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4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drawings/drawing5.xml" ContentType="application/vnd.openxmlformats-officedocument.drawing+xml"/>
  <Override PartName="/xl/drawings/drawing6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drawings/drawing7.xml" ContentType="application/vnd.openxmlformats-officedocument.drawing+xml"/>
  <Override PartName="/xl/drawings/drawing8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drawings/drawing9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drawings/drawing10.xml" ContentType="application/vnd.openxmlformats-officedocument.drawing+xml"/>
  <Override PartName="/xl/drawings/drawing11.xml" ContentType="application/vnd.openxmlformats-officedocument.drawing+xml"/>
  <Override PartName="/xl/activeX/activeX15.xml" ContentType="application/vnd.ms-office.activeX+xml"/>
  <Override PartName="/xl/activeX/activeX15.bin" ContentType="application/vnd.ms-office.activeX"/>
  <Override PartName="/xl/drawings/drawing12.xml" ContentType="application/vnd.openxmlformats-officedocument.drawing+xml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18.xml" ContentType="application/vnd.ms-office.activeX+xml"/>
  <Override PartName="/xl/activeX/activeX18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heckCompatibility="1" defaultThemeVersion="124226"/>
  <bookViews>
    <workbookView xWindow="240" yWindow="0" windowWidth="18360" windowHeight="8145" firstSheet="12" activeTab="17"/>
  </bookViews>
  <sheets>
    <sheet name="7tm Kidz AM r2" sheetId="9" r:id="rId1"/>
    <sheet name="7tm Kidz AM r1" sheetId="10" r:id="rId2"/>
    <sheet name="7tm PM r2" sheetId="12" r:id="rId3"/>
    <sheet name="7tm Kidz PM r1" sheetId="11" r:id="rId4"/>
    <sheet name=" 12 Club 10 tm pool " sheetId="6" r:id="rId5"/>
    <sheet name="13 Club Div A 10 tm pool " sheetId="8" r:id="rId6"/>
    <sheet name="13 Club Div B 8 tm pool" sheetId="7" r:id="rId7"/>
    <sheet name="14 Club Div A 10 tm pool  " sheetId="14" r:id="rId8"/>
    <sheet name="14 Club Div B 10 tm pool " sheetId="13" r:id="rId9"/>
    <sheet name="15 Club Div A 10 tm pool" sheetId="18" r:id="rId10"/>
    <sheet name="15 Club Div B  5 tm pool " sheetId="3" r:id="rId11"/>
    <sheet name="16 Club 10 tm Pool " sheetId="15" r:id="rId12"/>
    <sheet name="17 Club 10 tm Pool" sheetId="1" r:id="rId13"/>
    <sheet name="18 Club  5 tm pool" sheetId="2" r:id="rId14"/>
    <sheet name="RatingResultsSummary" sheetId="19" r:id="rId15"/>
    <sheet name="Initial" sheetId="5" r:id="rId16"/>
    <sheet name="Final" sheetId="20" r:id="rId17"/>
    <sheet name="Final-PM" sheetId="21" r:id="rId18"/>
  </sheets>
  <externalReferences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div" localSheetId="7">#REF!</definedName>
    <definedName name="div" localSheetId="8">#REF!</definedName>
    <definedName name="div" localSheetId="9">#REF!</definedName>
    <definedName name="div" localSheetId="11">#REF!</definedName>
    <definedName name="div" localSheetId="1">#REF!</definedName>
    <definedName name="div" localSheetId="3">#REF!</definedName>
    <definedName name="div" localSheetId="16">#REF!</definedName>
    <definedName name="div" localSheetId="17">#REF!</definedName>
    <definedName name="div">#REF!</definedName>
    <definedName name="DormanTM" localSheetId="7">#REF!</definedName>
    <definedName name="DormanTM" localSheetId="8">#REF!</definedName>
    <definedName name="DormanTM" localSheetId="9">#REF!</definedName>
    <definedName name="DormanTM" localSheetId="11">#REF!</definedName>
    <definedName name="DormanTM" localSheetId="1">#REF!</definedName>
    <definedName name="DormanTM" localSheetId="3">#REF!</definedName>
    <definedName name="DormanTM" localSheetId="16">#REF!</definedName>
    <definedName name="DormanTM" localSheetId="17">#REF!</definedName>
    <definedName name="DormanTM">#REF!</definedName>
    <definedName name="mizuno" localSheetId="7">#REF!</definedName>
    <definedName name="mizuno" localSheetId="8">#REF!</definedName>
    <definedName name="mizuno" localSheetId="9">#REF!</definedName>
    <definedName name="mizuno" localSheetId="11">#REF!</definedName>
    <definedName name="mizuno" localSheetId="1">#REF!</definedName>
    <definedName name="mizuno" localSheetId="3">#REF!</definedName>
    <definedName name="mizuno" localSheetId="16">#REF!</definedName>
    <definedName name="mizuno" localSheetId="17">#REF!</definedName>
    <definedName name="mizuno">#REF!</definedName>
    <definedName name="Playoff_K" localSheetId="5">[1]Example!$AS$3</definedName>
    <definedName name="Playoff_K" localSheetId="6">[2]Example!$AS$3</definedName>
    <definedName name="Playoff_K" localSheetId="7">[1]Example!$AS$3</definedName>
    <definedName name="Playoff_K" localSheetId="8">[1]Example!$AS$3</definedName>
    <definedName name="Playoff_K" localSheetId="9">[9]Example!$AS$3</definedName>
    <definedName name="Playoff_K" localSheetId="10">[1]Example!$AS$3</definedName>
    <definedName name="Playoff_K" localSheetId="11">[1]Example!$AS$3</definedName>
    <definedName name="Playoff_K" localSheetId="13">[1]Example!$AS$3</definedName>
    <definedName name="Playoff_K">[3]Example!$AS$3</definedName>
    <definedName name="Pool_K" localSheetId="5">[1]Example!$AS$2</definedName>
    <definedName name="Pool_K" localSheetId="6">[2]Example!$AS$2</definedName>
    <definedName name="Pool_K" localSheetId="7">[1]Example!$AS$2</definedName>
    <definedName name="Pool_K" localSheetId="8">[1]Example!$AS$2</definedName>
    <definedName name="Pool_K" localSheetId="9">[9]Example!$AS$2</definedName>
    <definedName name="Pool_K" localSheetId="10">[1]Example!$AS$2</definedName>
    <definedName name="Pool_K" localSheetId="11">[1]Example!$AS$2</definedName>
    <definedName name="Pool_K" localSheetId="13">[1]Example!$AS$2</definedName>
    <definedName name="Pool_K">[3]Example!$AS$2</definedName>
    <definedName name="_xlnm.Print_Area" localSheetId="4">' 12 Club 10 tm pool '!$A$1:$AQ$234</definedName>
    <definedName name="_xlnm.Print_Area" localSheetId="5">'13 Club Div A 10 tm pool '!$A$1:$AQ$234</definedName>
    <definedName name="_xlnm.Print_Area" localSheetId="6">'13 Club Div B 8 tm pool'!$A$1:$AQ$175,'13 Club Div B 8 tm pool'!$A$182:$AQ$234</definedName>
    <definedName name="_xlnm.Print_Area" localSheetId="7">'14 Club Div A 10 tm pool  '!$A$1:$AQ$234</definedName>
    <definedName name="_xlnm.Print_Area" localSheetId="8">'14 Club Div B 10 tm pool '!$A$1:$AQ$234</definedName>
    <definedName name="_xlnm.Print_Area" localSheetId="9">'15 Club Div A 10 tm pool'!$A$1:$AQ$234</definedName>
    <definedName name="_xlnm.Print_Area" localSheetId="10">'15 Club Div B  5 tm pool '!$A$1:$AQ$148</definedName>
    <definedName name="_xlnm.Print_Area" localSheetId="11">'16 Club 10 tm Pool '!$A$1:$AQ$234</definedName>
    <definedName name="_xlnm.Print_Area" localSheetId="12">'17 Club 10 tm Pool'!$A$1:$AQ$234</definedName>
    <definedName name="_xlnm.Print_Area" localSheetId="13">'18 Club  5 tm pool'!$A$1:$AQ$148</definedName>
    <definedName name="_xlnm.Print_Area" localSheetId="1">'7tm Kidz AM r1'!$A$1:$AR$234</definedName>
    <definedName name="_xlnm.Print_Area" localSheetId="0">'7tm Kidz AM r2'!$A$1:$AR$234</definedName>
    <definedName name="_xlnm.Print_Area" localSheetId="3">'7tm Kidz PM r1'!$A$1:$AR$234</definedName>
    <definedName name="_xlnm.Print_Area" localSheetId="2">'7tm PM r2'!$A$1:$AR$234</definedName>
    <definedName name="score" localSheetId="4">#REF!</definedName>
    <definedName name="score" localSheetId="5">#REF!</definedName>
    <definedName name="score" localSheetId="7">#REF!</definedName>
    <definedName name="score" localSheetId="8">#REF!</definedName>
    <definedName name="score" localSheetId="9">#REF!</definedName>
    <definedName name="score" localSheetId="10">#REF!</definedName>
    <definedName name="score" localSheetId="11">#REF!</definedName>
    <definedName name="score" localSheetId="1">#REF!</definedName>
    <definedName name="score" localSheetId="3">#REF!</definedName>
    <definedName name="score" localSheetId="16">#REF!</definedName>
    <definedName name="score" localSheetId="17">#REF!</definedName>
    <definedName name="score">#REF!</definedName>
    <definedName name="sex" localSheetId="7">#REF!</definedName>
    <definedName name="sex" localSheetId="8">#REF!</definedName>
    <definedName name="sex" localSheetId="9">#REF!</definedName>
    <definedName name="sex" localSheetId="11">#REF!</definedName>
    <definedName name="sex" localSheetId="1">#REF!</definedName>
    <definedName name="sex" localSheetId="3">#REF!</definedName>
    <definedName name="sex" localSheetId="16">#REF!</definedName>
    <definedName name="sex" localSheetId="17">#REF!</definedName>
    <definedName name="sex">#REF!</definedName>
    <definedName name="UniformNeeds" localSheetId="7">#REF!</definedName>
    <definedName name="UniformNeeds" localSheetId="8">#REF!</definedName>
    <definedName name="UniformNeeds" localSheetId="9">#REF!</definedName>
    <definedName name="UniformNeeds" localSheetId="11">#REF!</definedName>
    <definedName name="UniformNeeds" localSheetId="1">#REF!</definedName>
    <definedName name="UniformNeeds" localSheetId="3">#REF!</definedName>
    <definedName name="UniformNeeds" localSheetId="16">#REF!</definedName>
    <definedName name="UniformNeeds" localSheetId="17">#REF!</definedName>
    <definedName name="UniformNeeds">#REF!</definedName>
  </definedNames>
  <calcPr calcId="145621"/>
</workbook>
</file>

<file path=xl/calcChain.xml><?xml version="1.0" encoding="utf-8"?>
<calcChain xmlns="http://schemas.openxmlformats.org/spreadsheetml/2006/main">
  <c r="R265" i="21" l="1"/>
  <c r="K265" i="21" s="1"/>
  <c r="F265" i="21"/>
  <c r="E265" i="21"/>
  <c r="R267" i="21"/>
  <c r="K267" i="21"/>
  <c r="F267" i="21"/>
  <c r="E267" i="21"/>
  <c r="R266" i="21"/>
  <c r="K266" i="21"/>
  <c r="F266" i="21"/>
  <c r="E266" i="21"/>
  <c r="R268" i="21"/>
  <c r="K268" i="21"/>
  <c r="F268" i="21"/>
  <c r="E268" i="21"/>
  <c r="R269" i="21"/>
  <c r="K269" i="21"/>
  <c r="F269" i="21"/>
  <c r="E269" i="21"/>
  <c r="R263" i="21"/>
  <c r="K263" i="21"/>
  <c r="F263" i="21"/>
  <c r="E263" i="21"/>
  <c r="R262" i="21"/>
  <c r="K262" i="21"/>
  <c r="F262" i="21"/>
  <c r="E262" i="21"/>
  <c r="R264" i="21"/>
  <c r="K264" i="21"/>
  <c r="F264" i="21"/>
  <c r="E264" i="21"/>
  <c r="R255" i="21"/>
  <c r="K255" i="21"/>
  <c r="F255" i="21"/>
  <c r="E255" i="21"/>
  <c r="R254" i="21"/>
  <c r="K254" i="21"/>
  <c r="F254" i="21"/>
  <c r="E254" i="21"/>
  <c r="R258" i="21"/>
  <c r="K258" i="21" s="1"/>
  <c r="F258" i="21"/>
  <c r="E258" i="21"/>
  <c r="R252" i="21"/>
  <c r="K252" i="21" s="1"/>
  <c r="F252" i="21"/>
  <c r="E252" i="21"/>
  <c r="R259" i="21"/>
  <c r="K259" i="21"/>
  <c r="F259" i="21"/>
  <c r="E259" i="21"/>
  <c r="R261" i="21"/>
  <c r="K261" i="21"/>
  <c r="F261" i="21"/>
  <c r="E261" i="21"/>
  <c r="R256" i="21"/>
  <c r="K256" i="21"/>
  <c r="F256" i="21"/>
  <c r="E256" i="21"/>
  <c r="R257" i="21"/>
  <c r="K257" i="21"/>
  <c r="F257" i="21"/>
  <c r="E257" i="21"/>
  <c r="R253" i="21"/>
  <c r="K253" i="21"/>
  <c r="F253" i="21"/>
  <c r="E253" i="21"/>
  <c r="R260" i="21"/>
  <c r="K260" i="21" s="1"/>
  <c r="F260" i="21"/>
  <c r="E260" i="21"/>
  <c r="R241" i="21"/>
  <c r="K241" i="21"/>
  <c r="F241" i="21"/>
  <c r="E241" i="21"/>
  <c r="R244" i="21"/>
  <c r="K244" i="21" s="1"/>
  <c r="F244" i="21"/>
  <c r="E244" i="21"/>
  <c r="R248" i="21"/>
  <c r="K248" i="21"/>
  <c r="F248" i="21"/>
  <c r="E248" i="21"/>
  <c r="R250" i="21"/>
  <c r="K250" i="21"/>
  <c r="F250" i="21"/>
  <c r="E250" i="21"/>
  <c r="R249" i="21"/>
  <c r="K249" i="21"/>
  <c r="F249" i="21"/>
  <c r="E249" i="21"/>
  <c r="R247" i="21"/>
  <c r="K247" i="21" s="1"/>
  <c r="F247" i="21"/>
  <c r="E247" i="21"/>
  <c r="R240" i="21"/>
  <c r="K240" i="21"/>
  <c r="F240" i="21"/>
  <c r="E240" i="21"/>
  <c r="R242" i="21"/>
  <c r="K242" i="21"/>
  <c r="F242" i="21"/>
  <c r="E242" i="21"/>
  <c r="R251" i="21"/>
  <c r="K251" i="21"/>
  <c r="F251" i="21"/>
  <c r="E251" i="21"/>
  <c r="R246" i="21"/>
  <c r="K246" i="21" s="1"/>
  <c r="F246" i="21"/>
  <c r="E246" i="21"/>
  <c r="R233" i="21"/>
  <c r="K233" i="21"/>
  <c r="F233" i="21"/>
  <c r="E233" i="21"/>
  <c r="R238" i="21"/>
  <c r="K238" i="21"/>
  <c r="F238" i="21"/>
  <c r="E238" i="21"/>
  <c r="R236" i="21"/>
  <c r="K236" i="21" s="1"/>
  <c r="F236" i="21"/>
  <c r="E236" i="21"/>
  <c r="R245" i="21"/>
  <c r="K245" i="21"/>
  <c r="F245" i="21"/>
  <c r="E245" i="21"/>
  <c r="R243" i="21"/>
  <c r="K243" i="21"/>
  <c r="F243" i="21"/>
  <c r="E243" i="21"/>
  <c r="R225" i="21"/>
  <c r="K225" i="21"/>
  <c r="F225" i="21"/>
  <c r="E225" i="21"/>
  <c r="R232" i="21"/>
  <c r="K232" i="21" s="1"/>
  <c r="F232" i="21"/>
  <c r="E232" i="21"/>
  <c r="R221" i="21"/>
  <c r="K221" i="21"/>
  <c r="F221" i="21"/>
  <c r="E221" i="21"/>
  <c r="R239" i="21"/>
  <c r="K239" i="21"/>
  <c r="F239" i="21"/>
  <c r="E239" i="21"/>
  <c r="R234" i="21"/>
  <c r="K234" i="21"/>
  <c r="F234" i="21"/>
  <c r="E234" i="21"/>
  <c r="R229" i="21"/>
  <c r="K229" i="21"/>
  <c r="F229" i="21"/>
  <c r="E229" i="21"/>
  <c r="R230" i="21"/>
  <c r="K230" i="21"/>
  <c r="F230" i="21"/>
  <c r="E230" i="21"/>
  <c r="R231" i="21"/>
  <c r="K231" i="21"/>
  <c r="F231" i="21"/>
  <c r="E231" i="21"/>
  <c r="R223" i="21"/>
  <c r="K223" i="21" s="1"/>
  <c r="F223" i="21"/>
  <c r="E223" i="21"/>
  <c r="R227" i="21"/>
  <c r="K227" i="21"/>
  <c r="F227" i="21"/>
  <c r="E227" i="21"/>
  <c r="R237" i="21"/>
  <c r="K237" i="21"/>
  <c r="F237" i="21"/>
  <c r="E237" i="21"/>
  <c r="R224" i="21"/>
  <c r="K224" i="21"/>
  <c r="F224" i="21"/>
  <c r="E224" i="21"/>
  <c r="R222" i="21"/>
  <c r="K222" i="21"/>
  <c r="F222" i="21"/>
  <c r="E222" i="21"/>
  <c r="R235" i="21"/>
  <c r="K235" i="21"/>
  <c r="F235" i="21"/>
  <c r="E235" i="21"/>
  <c r="R226" i="21"/>
  <c r="K226" i="21"/>
  <c r="F226" i="21"/>
  <c r="E226" i="21"/>
  <c r="R228" i="21"/>
  <c r="K228" i="21"/>
  <c r="F228" i="21"/>
  <c r="E228" i="21"/>
  <c r="R218" i="21"/>
  <c r="K218" i="21"/>
  <c r="F218" i="21"/>
  <c r="E218" i="21"/>
  <c r="R219" i="21"/>
  <c r="K219" i="21"/>
  <c r="F219" i="21"/>
  <c r="E219" i="21"/>
  <c r="R208" i="21"/>
  <c r="K208" i="21"/>
  <c r="F208" i="21"/>
  <c r="E208" i="21"/>
  <c r="R217" i="21"/>
  <c r="K217" i="21" s="1"/>
  <c r="F217" i="21"/>
  <c r="E217" i="21"/>
  <c r="R220" i="21"/>
  <c r="K220" i="21"/>
  <c r="F220" i="21"/>
  <c r="E220" i="21"/>
  <c r="R215" i="21"/>
  <c r="K215" i="21"/>
  <c r="F215" i="21"/>
  <c r="E215" i="21"/>
  <c r="R216" i="21"/>
  <c r="K216" i="21"/>
  <c r="F216" i="21"/>
  <c r="E216" i="21"/>
  <c r="R214" i="21"/>
  <c r="K214" i="21"/>
  <c r="F214" i="21"/>
  <c r="E214" i="21"/>
  <c r="R213" i="21"/>
  <c r="K213" i="21"/>
  <c r="F213" i="21"/>
  <c r="E213" i="21"/>
  <c r="R205" i="21"/>
  <c r="K205" i="21" s="1"/>
  <c r="F205" i="21"/>
  <c r="E205" i="21"/>
  <c r="R206" i="21"/>
  <c r="K206" i="21" s="1"/>
  <c r="F206" i="21"/>
  <c r="E206" i="21"/>
  <c r="R211" i="21"/>
  <c r="K211" i="21"/>
  <c r="F211" i="21"/>
  <c r="E211" i="21"/>
  <c r="R212" i="21"/>
  <c r="K212" i="21"/>
  <c r="F212" i="21"/>
  <c r="E212" i="21"/>
  <c r="R210" i="21"/>
  <c r="K210" i="21"/>
  <c r="F210" i="21"/>
  <c r="E210" i="21"/>
  <c r="R204" i="21"/>
  <c r="K204" i="21" s="1"/>
  <c r="F204" i="21"/>
  <c r="E204" i="21"/>
  <c r="R209" i="21"/>
  <c r="K209" i="21"/>
  <c r="F209" i="21"/>
  <c r="E209" i="21"/>
  <c r="R191" i="21"/>
  <c r="K191" i="21"/>
  <c r="F191" i="21"/>
  <c r="E191" i="21"/>
  <c r="R198" i="21"/>
  <c r="K198" i="21" s="1"/>
  <c r="F198" i="21"/>
  <c r="E198" i="21"/>
  <c r="R199" i="21"/>
  <c r="K199" i="21"/>
  <c r="F199" i="21"/>
  <c r="E199" i="21"/>
  <c r="R195" i="21"/>
  <c r="K195" i="21"/>
  <c r="F195" i="21"/>
  <c r="E195" i="21"/>
  <c r="R192" i="21"/>
  <c r="K192" i="21"/>
  <c r="F192" i="21"/>
  <c r="E192" i="21"/>
  <c r="R197" i="21"/>
  <c r="K197" i="21" s="1"/>
  <c r="F197" i="21"/>
  <c r="E197" i="21"/>
  <c r="R196" i="21"/>
  <c r="K196" i="21" s="1"/>
  <c r="F196" i="21"/>
  <c r="E196" i="21"/>
  <c r="R193" i="21"/>
  <c r="K193" i="21" s="1"/>
  <c r="F193" i="21"/>
  <c r="E193" i="21"/>
  <c r="R194" i="21"/>
  <c r="K194" i="21"/>
  <c r="F194" i="21"/>
  <c r="E194" i="21"/>
  <c r="R201" i="21"/>
  <c r="K201" i="21" s="1"/>
  <c r="F201" i="21"/>
  <c r="E201" i="21"/>
  <c r="R203" i="21"/>
  <c r="K203" i="21"/>
  <c r="F203" i="21"/>
  <c r="E203" i="21"/>
  <c r="R200" i="21"/>
  <c r="K200" i="21"/>
  <c r="F200" i="21"/>
  <c r="E200" i="21"/>
  <c r="R202" i="21"/>
  <c r="K202" i="21"/>
  <c r="F202" i="21"/>
  <c r="E202" i="21"/>
  <c r="R207" i="21"/>
  <c r="K207" i="21"/>
  <c r="F207" i="21"/>
  <c r="E207" i="21"/>
  <c r="R190" i="21"/>
  <c r="K190" i="21" s="1"/>
  <c r="F190" i="21"/>
  <c r="E190" i="21"/>
  <c r="R185" i="21"/>
  <c r="K185" i="21"/>
  <c r="F185" i="21"/>
  <c r="E185" i="21"/>
  <c r="R178" i="21"/>
  <c r="K178" i="21"/>
  <c r="F178" i="21"/>
  <c r="E178" i="21"/>
  <c r="R177" i="21"/>
  <c r="K177" i="21"/>
  <c r="F177" i="21"/>
  <c r="E177" i="21"/>
  <c r="R183" i="21"/>
  <c r="K183" i="21" s="1"/>
  <c r="F183" i="21"/>
  <c r="E183" i="21"/>
  <c r="R188" i="21"/>
  <c r="K188" i="21"/>
  <c r="F188" i="21"/>
  <c r="E188" i="21"/>
  <c r="R184" i="21"/>
  <c r="K184" i="21"/>
  <c r="F184" i="21"/>
  <c r="E184" i="21"/>
  <c r="R182" i="21"/>
  <c r="K182" i="21"/>
  <c r="F182" i="21"/>
  <c r="E182" i="21"/>
  <c r="R180" i="21"/>
  <c r="K180" i="21"/>
  <c r="F180" i="21"/>
  <c r="E180" i="21"/>
  <c r="R189" i="21"/>
  <c r="K189" i="21"/>
  <c r="F189" i="21"/>
  <c r="E189" i="21"/>
  <c r="R186" i="21"/>
  <c r="K186" i="21" s="1"/>
  <c r="F186" i="21"/>
  <c r="E186" i="21"/>
  <c r="R181" i="21"/>
  <c r="K181" i="21"/>
  <c r="F181" i="21"/>
  <c r="E181" i="21"/>
  <c r="R174" i="21"/>
  <c r="K174" i="21"/>
  <c r="F174" i="21"/>
  <c r="E174" i="21"/>
  <c r="R187" i="21"/>
  <c r="K187" i="21"/>
  <c r="F187" i="21"/>
  <c r="E187" i="21"/>
  <c r="R171" i="21"/>
  <c r="K171" i="21"/>
  <c r="F171" i="21"/>
  <c r="E171" i="21"/>
  <c r="R175" i="21"/>
  <c r="K175" i="21" s="1"/>
  <c r="F175" i="21"/>
  <c r="E175" i="21"/>
  <c r="R169" i="21"/>
  <c r="K169" i="21" s="1"/>
  <c r="F169" i="21"/>
  <c r="E169" i="21"/>
  <c r="R165" i="21"/>
  <c r="K165" i="21" s="1"/>
  <c r="F165" i="21"/>
  <c r="E165" i="21"/>
  <c r="R176" i="21"/>
  <c r="K176" i="21"/>
  <c r="F176" i="21"/>
  <c r="E176" i="21"/>
  <c r="R157" i="21"/>
  <c r="K157" i="21" s="1"/>
  <c r="F157" i="21"/>
  <c r="E157" i="21"/>
  <c r="R173" i="21"/>
  <c r="K173" i="21"/>
  <c r="F173" i="21"/>
  <c r="E173" i="21"/>
  <c r="R154" i="21"/>
  <c r="K154" i="21"/>
  <c r="F154" i="21"/>
  <c r="E154" i="21"/>
  <c r="R153" i="21"/>
  <c r="K153" i="21"/>
  <c r="F153" i="21"/>
  <c r="E153" i="21"/>
  <c r="R170" i="21"/>
  <c r="K170" i="21"/>
  <c r="F170" i="21"/>
  <c r="E170" i="21"/>
  <c r="R167" i="21"/>
  <c r="K167" i="21"/>
  <c r="F167" i="21"/>
  <c r="E167" i="21"/>
  <c r="R162" i="21"/>
  <c r="K162" i="21" s="1"/>
  <c r="F162" i="21"/>
  <c r="E162" i="21"/>
  <c r="R156" i="21"/>
  <c r="K156" i="21"/>
  <c r="F156" i="21"/>
  <c r="E156" i="21"/>
  <c r="R159" i="21"/>
  <c r="K159" i="21"/>
  <c r="F159" i="21"/>
  <c r="E159" i="21"/>
  <c r="R155" i="21"/>
  <c r="K155" i="21" s="1"/>
  <c r="F155" i="21"/>
  <c r="E155" i="21"/>
  <c r="R161" i="21"/>
  <c r="K161" i="21" s="1"/>
  <c r="F161" i="21"/>
  <c r="E161" i="21"/>
  <c r="R160" i="21"/>
  <c r="K160" i="21" s="1"/>
  <c r="F160" i="21"/>
  <c r="E160" i="21"/>
  <c r="R149" i="21"/>
  <c r="K149" i="21" s="1"/>
  <c r="F149" i="21"/>
  <c r="E149" i="21"/>
  <c r="R146" i="21"/>
  <c r="K146" i="21"/>
  <c r="F146" i="21"/>
  <c r="E146" i="21"/>
  <c r="R148" i="21"/>
  <c r="K148" i="21"/>
  <c r="F148" i="21"/>
  <c r="E148" i="21"/>
  <c r="R172" i="21"/>
  <c r="K172" i="21"/>
  <c r="F172" i="21"/>
  <c r="E172" i="21"/>
  <c r="R168" i="21"/>
  <c r="K168" i="21"/>
  <c r="F168" i="21"/>
  <c r="E168" i="21"/>
  <c r="R163" i="21"/>
  <c r="K163" i="21"/>
  <c r="F163" i="21"/>
  <c r="E163" i="21"/>
  <c r="R158" i="21"/>
  <c r="K158" i="21"/>
  <c r="F158" i="21"/>
  <c r="E158" i="21"/>
  <c r="R164" i="21"/>
  <c r="K164" i="21"/>
  <c r="F164" i="21"/>
  <c r="E164" i="21"/>
  <c r="R166" i="21"/>
  <c r="K166" i="21"/>
  <c r="F166" i="21"/>
  <c r="E166" i="21"/>
  <c r="R147" i="21"/>
  <c r="K147" i="21"/>
  <c r="F147" i="21"/>
  <c r="E147" i="21"/>
  <c r="R150" i="21"/>
  <c r="K150" i="21"/>
  <c r="F150" i="21"/>
  <c r="E150" i="21"/>
  <c r="R152" i="21"/>
  <c r="K152" i="21" s="1"/>
  <c r="F152" i="21"/>
  <c r="E152" i="21"/>
  <c r="R179" i="21"/>
  <c r="K179" i="21"/>
  <c r="F179" i="21"/>
  <c r="E179" i="21"/>
  <c r="R151" i="21"/>
  <c r="K151" i="21"/>
  <c r="F151" i="21"/>
  <c r="E151" i="21"/>
  <c r="R133" i="21"/>
  <c r="K133" i="21"/>
  <c r="F133" i="21"/>
  <c r="E133" i="21"/>
  <c r="R130" i="21"/>
  <c r="K130" i="21"/>
  <c r="F130" i="21"/>
  <c r="E130" i="21"/>
  <c r="R136" i="21"/>
  <c r="K136" i="21"/>
  <c r="F136" i="21"/>
  <c r="E136" i="21"/>
  <c r="R145" i="21"/>
  <c r="K145" i="21"/>
  <c r="F145" i="21"/>
  <c r="E145" i="21"/>
  <c r="R137" i="21"/>
  <c r="K137" i="21"/>
  <c r="F137" i="21"/>
  <c r="E137" i="21"/>
  <c r="R134" i="21"/>
  <c r="K134" i="21"/>
  <c r="F134" i="21"/>
  <c r="E134" i="21"/>
  <c r="R144" i="21"/>
  <c r="K144" i="21" s="1"/>
  <c r="F144" i="21"/>
  <c r="E144" i="21"/>
  <c r="R135" i="21"/>
  <c r="K135" i="21"/>
  <c r="F135" i="21"/>
  <c r="E135" i="21"/>
  <c r="R140" i="21"/>
  <c r="K140" i="21"/>
  <c r="F140" i="21"/>
  <c r="E140" i="21"/>
  <c r="R131" i="21"/>
  <c r="K131" i="21"/>
  <c r="F131" i="21"/>
  <c r="E131" i="21"/>
  <c r="R138" i="21"/>
  <c r="K138" i="21"/>
  <c r="F138" i="21"/>
  <c r="E138" i="21"/>
  <c r="R129" i="21"/>
  <c r="K129" i="21"/>
  <c r="F129" i="21"/>
  <c r="E129" i="21"/>
  <c r="R120" i="21"/>
  <c r="K120" i="21"/>
  <c r="F120" i="21"/>
  <c r="E120" i="21"/>
  <c r="R126" i="21"/>
  <c r="K126" i="21"/>
  <c r="F126" i="21"/>
  <c r="E126" i="21"/>
  <c r="R141" i="21"/>
  <c r="K141" i="21"/>
  <c r="F141" i="21"/>
  <c r="E141" i="21"/>
  <c r="R142" i="21"/>
  <c r="K142" i="21"/>
  <c r="F142" i="21"/>
  <c r="E142" i="21"/>
  <c r="R116" i="21"/>
  <c r="K116" i="21"/>
  <c r="F116" i="21"/>
  <c r="E116" i="21"/>
  <c r="R119" i="21"/>
  <c r="K119" i="21"/>
  <c r="F119" i="21"/>
  <c r="E119" i="21"/>
  <c r="R123" i="21"/>
  <c r="K123" i="21"/>
  <c r="F123" i="21"/>
  <c r="E123" i="21"/>
  <c r="R128" i="21"/>
  <c r="K128" i="21" s="1"/>
  <c r="F128" i="21"/>
  <c r="E128" i="21"/>
  <c r="R121" i="21"/>
  <c r="K121" i="21" s="1"/>
  <c r="F121" i="21"/>
  <c r="E121" i="21"/>
  <c r="R122" i="21"/>
  <c r="K122" i="21" s="1"/>
  <c r="F122" i="21"/>
  <c r="E122" i="21"/>
  <c r="R127" i="21"/>
  <c r="K127" i="21"/>
  <c r="F127" i="21"/>
  <c r="E127" i="21"/>
  <c r="R143" i="21"/>
  <c r="K143" i="21"/>
  <c r="F143" i="21"/>
  <c r="E143" i="21"/>
  <c r="R125" i="21"/>
  <c r="K125" i="21"/>
  <c r="F125" i="21"/>
  <c r="E125" i="21"/>
  <c r="R139" i="21"/>
  <c r="K139" i="21"/>
  <c r="F139" i="21"/>
  <c r="E139" i="21"/>
  <c r="R132" i="21"/>
  <c r="K132" i="21"/>
  <c r="F132" i="21"/>
  <c r="E132" i="21"/>
  <c r="R124" i="21"/>
  <c r="K124" i="21" s="1"/>
  <c r="F124" i="21"/>
  <c r="E124" i="21"/>
  <c r="R103" i="21"/>
  <c r="K103" i="21"/>
  <c r="F103" i="21"/>
  <c r="E103" i="21"/>
  <c r="R112" i="21"/>
  <c r="K112" i="21" s="1"/>
  <c r="F112" i="21"/>
  <c r="E112" i="21"/>
  <c r="R98" i="21"/>
  <c r="K98" i="21"/>
  <c r="F98" i="21"/>
  <c r="E98" i="21"/>
  <c r="R115" i="21"/>
  <c r="K115" i="21" s="1"/>
  <c r="F115" i="21"/>
  <c r="E115" i="21"/>
  <c r="R118" i="21"/>
  <c r="K118" i="21"/>
  <c r="F118" i="21"/>
  <c r="E118" i="21"/>
  <c r="R99" i="21"/>
  <c r="K99" i="21" s="1"/>
  <c r="F99" i="21"/>
  <c r="E99" i="21"/>
  <c r="R101" i="21"/>
  <c r="K101" i="21" s="1"/>
  <c r="F101" i="21"/>
  <c r="E101" i="21"/>
  <c r="R110" i="21"/>
  <c r="K110" i="21"/>
  <c r="F110" i="21"/>
  <c r="E110" i="21"/>
  <c r="R106" i="21"/>
  <c r="K106" i="21"/>
  <c r="F106" i="21"/>
  <c r="E106" i="21"/>
  <c r="R94" i="21"/>
  <c r="K94" i="21"/>
  <c r="F94" i="21"/>
  <c r="E94" i="21"/>
  <c r="R114" i="21"/>
  <c r="K114" i="21"/>
  <c r="F114" i="21"/>
  <c r="E114" i="21"/>
  <c r="R113" i="21"/>
  <c r="K113" i="21" s="1"/>
  <c r="F113" i="21"/>
  <c r="E113" i="21"/>
  <c r="R117" i="21"/>
  <c r="K117" i="21"/>
  <c r="F117" i="21"/>
  <c r="E117" i="21"/>
  <c r="R104" i="21"/>
  <c r="K104" i="21" s="1"/>
  <c r="F104" i="21"/>
  <c r="E104" i="21"/>
  <c r="R97" i="21"/>
  <c r="K97" i="21" s="1"/>
  <c r="F97" i="21"/>
  <c r="E97" i="21"/>
  <c r="R102" i="21"/>
  <c r="K102" i="21" s="1"/>
  <c r="F102" i="21"/>
  <c r="E102" i="21"/>
  <c r="R111" i="21"/>
  <c r="K111" i="21"/>
  <c r="F111" i="21"/>
  <c r="E111" i="21"/>
  <c r="R96" i="21"/>
  <c r="K96" i="21"/>
  <c r="F96" i="21"/>
  <c r="E96" i="21"/>
  <c r="R105" i="21"/>
  <c r="K105" i="21"/>
  <c r="F105" i="21"/>
  <c r="E105" i="21"/>
  <c r="R93" i="21"/>
  <c r="K93" i="21" s="1"/>
  <c r="F93" i="21"/>
  <c r="E93" i="21"/>
  <c r="R107" i="21"/>
  <c r="K107" i="21"/>
  <c r="F107" i="21"/>
  <c r="E107" i="21"/>
  <c r="R108" i="21"/>
  <c r="K108" i="21"/>
  <c r="F108" i="21"/>
  <c r="E108" i="21"/>
  <c r="R95" i="21"/>
  <c r="K95" i="21"/>
  <c r="F95" i="21"/>
  <c r="E95" i="21"/>
  <c r="R92" i="21"/>
  <c r="K92" i="21"/>
  <c r="F92" i="21"/>
  <c r="E92" i="21"/>
  <c r="R109" i="21"/>
  <c r="K109" i="21" s="1"/>
  <c r="F109" i="21"/>
  <c r="E109" i="21"/>
  <c r="R100" i="21"/>
  <c r="K100" i="21" s="1"/>
  <c r="F100" i="21"/>
  <c r="E100" i="21"/>
  <c r="R84" i="21"/>
  <c r="K84" i="21"/>
  <c r="F84" i="21"/>
  <c r="E84" i="21"/>
  <c r="R64" i="21"/>
  <c r="K64" i="21"/>
  <c r="F64" i="21"/>
  <c r="E64" i="21"/>
  <c r="R79" i="21"/>
  <c r="K79" i="21"/>
  <c r="F79" i="21"/>
  <c r="E79" i="21"/>
  <c r="R70" i="21"/>
  <c r="K70" i="21" s="1"/>
  <c r="F70" i="21"/>
  <c r="E70" i="21"/>
  <c r="R90" i="21"/>
  <c r="K90" i="21"/>
  <c r="F90" i="21"/>
  <c r="E90" i="21"/>
  <c r="R88" i="21"/>
  <c r="K88" i="21"/>
  <c r="F88" i="21"/>
  <c r="E88" i="21"/>
  <c r="R73" i="21"/>
  <c r="K73" i="21"/>
  <c r="F73" i="21"/>
  <c r="E73" i="21"/>
  <c r="R86" i="21"/>
  <c r="K86" i="21" s="1"/>
  <c r="F86" i="21"/>
  <c r="E86" i="21"/>
  <c r="R91" i="21"/>
  <c r="K91" i="21" s="1"/>
  <c r="F91" i="21"/>
  <c r="E91" i="21"/>
  <c r="R81" i="21"/>
  <c r="K81" i="21" s="1"/>
  <c r="F81" i="21"/>
  <c r="E81" i="21"/>
  <c r="R85" i="21"/>
  <c r="K85" i="21" s="1"/>
  <c r="F85" i="21"/>
  <c r="E85" i="21"/>
  <c r="R74" i="21"/>
  <c r="K74" i="21"/>
  <c r="F74" i="21"/>
  <c r="E74" i="21"/>
  <c r="R71" i="21"/>
  <c r="K71" i="21" s="1"/>
  <c r="F71" i="21"/>
  <c r="E71" i="21"/>
  <c r="R67" i="21"/>
  <c r="K67" i="21"/>
  <c r="F67" i="21"/>
  <c r="E67" i="21"/>
  <c r="R77" i="21"/>
  <c r="K77" i="21" s="1"/>
  <c r="F77" i="21"/>
  <c r="E77" i="21"/>
  <c r="R76" i="21"/>
  <c r="K76" i="21" s="1"/>
  <c r="F76" i="21"/>
  <c r="E76" i="21"/>
  <c r="R69" i="21"/>
  <c r="K69" i="21"/>
  <c r="F69" i="21"/>
  <c r="E69" i="21"/>
  <c r="R82" i="21"/>
  <c r="K82" i="21"/>
  <c r="F82" i="21"/>
  <c r="E82" i="21"/>
  <c r="R65" i="21"/>
  <c r="K65" i="21"/>
  <c r="F65" i="21"/>
  <c r="E65" i="21"/>
  <c r="R87" i="21"/>
  <c r="K87" i="21"/>
  <c r="F87" i="21"/>
  <c r="E87" i="21"/>
  <c r="R72" i="21"/>
  <c r="K72" i="21"/>
  <c r="F72" i="21"/>
  <c r="E72" i="21"/>
  <c r="R58" i="21"/>
  <c r="K58" i="21" s="1"/>
  <c r="F58" i="21"/>
  <c r="E58" i="21"/>
  <c r="R80" i="21"/>
  <c r="K80" i="21"/>
  <c r="F80" i="21"/>
  <c r="E80" i="21"/>
  <c r="R78" i="21"/>
  <c r="K78" i="21" s="1"/>
  <c r="F78" i="21"/>
  <c r="E78" i="21"/>
  <c r="R68" i="21"/>
  <c r="K68" i="21" s="1"/>
  <c r="F68" i="21"/>
  <c r="E68" i="21"/>
  <c r="R75" i="21"/>
  <c r="K75" i="21"/>
  <c r="F75" i="21"/>
  <c r="E75" i="21"/>
  <c r="R89" i="21"/>
  <c r="K89" i="21"/>
  <c r="F89" i="21"/>
  <c r="E89" i="21"/>
  <c r="R83" i="21"/>
  <c r="K83" i="21"/>
  <c r="F83" i="21"/>
  <c r="E83" i="21"/>
  <c r="R59" i="21"/>
  <c r="K59" i="21"/>
  <c r="F59" i="21"/>
  <c r="E59" i="21"/>
  <c r="R63" i="21"/>
  <c r="K63" i="21" s="1"/>
  <c r="F63" i="21"/>
  <c r="E63" i="21"/>
  <c r="R61" i="21"/>
  <c r="K61" i="21" s="1"/>
  <c r="F61" i="21"/>
  <c r="E61" i="21"/>
  <c r="R62" i="21"/>
  <c r="K62" i="21" s="1"/>
  <c r="F62" i="21"/>
  <c r="E62" i="21"/>
  <c r="R60" i="21"/>
  <c r="K60" i="21"/>
  <c r="F60" i="21"/>
  <c r="E60" i="21"/>
  <c r="R66" i="21"/>
  <c r="K66" i="21" s="1"/>
  <c r="F66" i="21"/>
  <c r="E66" i="21"/>
  <c r="R50" i="21"/>
  <c r="K50" i="21" s="1"/>
  <c r="F50" i="21"/>
  <c r="E50" i="21"/>
  <c r="R47" i="21"/>
  <c r="K47" i="21" s="1"/>
  <c r="F47" i="21"/>
  <c r="E47" i="21"/>
  <c r="R53" i="21"/>
  <c r="K53" i="21"/>
  <c r="F53" i="21"/>
  <c r="E53" i="21"/>
  <c r="R56" i="21"/>
  <c r="K56" i="21"/>
  <c r="F56" i="21"/>
  <c r="E56" i="21"/>
  <c r="R57" i="21"/>
  <c r="K57" i="21" s="1"/>
  <c r="F57" i="21"/>
  <c r="E57" i="21"/>
  <c r="R52" i="21"/>
  <c r="K52" i="21" s="1"/>
  <c r="F52" i="21"/>
  <c r="E52" i="21"/>
  <c r="R54" i="21"/>
  <c r="K54" i="21" s="1"/>
  <c r="F54" i="21"/>
  <c r="E54" i="21"/>
  <c r="R48" i="21"/>
  <c r="K48" i="21" s="1"/>
  <c r="F48" i="21"/>
  <c r="E48" i="21"/>
  <c r="R46" i="21"/>
  <c r="K46" i="21"/>
  <c r="F46" i="21"/>
  <c r="E46" i="21"/>
  <c r="R51" i="21"/>
  <c r="K51" i="21"/>
  <c r="F51" i="21"/>
  <c r="E51" i="21"/>
  <c r="R49" i="21"/>
  <c r="K49" i="21"/>
  <c r="F49" i="21"/>
  <c r="E49" i="21"/>
  <c r="R45" i="21"/>
  <c r="K45" i="21"/>
  <c r="F45" i="21"/>
  <c r="E45" i="21"/>
  <c r="R55" i="21"/>
  <c r="K55" i="21" s="1"/>
  <c r="F55" i="21"/>
  <c r="E55" i="21"/>
  <c r="R42" i="21"/>
  <c r="K42" i="21"/>
  <c r="F42" i="21"/>
  <c r="E42" i="21"/>
  <c r="R30" i="21"/>
  <c r="K30" i="21"/>
  <c r="F30" i="21"/>
  <c r="E30" i="21"/>
  <c r="R38" i="21"/>
  <c r="K38" i="21"/>
  <c r="F38" i="21"/>
  <c r="E38" i="21"/>
  <c r="R39" i="21"/>
  <c r="K39" i="21"/>
  <c r="F39" i="21"/>
  <c r="E39" i="21"/>
  <c r="R36" i="21"/>
  <c r="K36" i="21"/>
  <c r="F36" i="21"/>
  <c r="E36" i="21"/>
  <c r="R33" i="21"/>
  <c r="K33" i="21"/>
  <c r="F33" i="21"/>
  <c r="E33" i="21"/>
  <c r="R44" i="21"/>
  <c r="K44" i="21"/>
  <c r="F44" i="21"/>
  <c r="E44" i="21"/>
  <c r="R37" i="21"/>
  <c r="K37" i="21"/>
  <c r="F37" i="21"/>
  <c r="E37" i="21"/>
  <c r="R43" i="21"/>
  <c r="K43" i="21" s="1"/>
  <c r="F43" i="21"/>
  <c r="E43" i="21"/>
  <c r="R23" i="21"/>
  <c r="K23" i="21"/>
  <c r="F23" i="21"/>
  <c r="E23" i="21"/>
  <c r="R29" i="21"/>
  <c r="K29" i="21" s="1"/>
  <c r="F29" i="21"/>
  <c r="E29" i="21"/>
  <c r="R22" i="21"/>
  <c r="K22" i="21"/>
  <c r="F22" i="21"/>
  <c r="E22" i="21"/>
  <c r="R20" i="21"/>
  <c r="K20" i="21"/>
  <c r="F20" i="21"/>
  <c r="E20" i="21"/>
  <c r="R19" i="21"/>
  <c r="K19" i="21"/>
  <c r="F19" i="21"/>
  <c r="E19" i="21"/>
  <c r="R25" i="21"/>
  <c r="K25" i="21"/>
  <c r="F25" i="21"/>
  <c r="E25" i="21"/>
  <c r="R24" i="21"/>
  <c r="K24" i="21"/>
  <c r="F24" i="21"/>
  <c r="E24" i="21"/>
  <c r="R26" i="21"/>
  <c r="K26" i="21"/>
  <c r="F26" i="21"/>
  <c r="E26" i="21"/>
  <c r="R32" i="21"/>
  <c r="K32" i="21"/>
  <c r="F32" i="21"/>
  <c r="E32" i="21"/>
  <c r="R15" i="21"/>
  <c r="K15" i="21"/>
  <c r="F15" i="21"/>
  <c r="E15" i="21"/>
  <c r="R34" i="21"/>
  <c r="K34" i="21"/>
  <c r="F34" i="21"/>
  <c r="E34" i="21"/>
  <c r="R35" i="21"/>
  <c r="K35" i="21"/>
  <c r="F35" i="21"/>
  <c r="E35" i="21"/>
  <c r="R27" i="21"/>
  <c r="K27" i="21" s="1"/>
  <c r="F27" i="21"/>
  <c r="E27" i="21"/>
  <c r="R41" i="21"/>
  <c r="K41" i="21"/>
  <c r="F41" i="21"/>
  <c r="E41" i="21"/>
  <c r="R17" i="21"/>
  <c r="K17" i="21" s="1"/>
  <c r="F17" i="21"/>
  <c r="E17" i="21"/>
  <c r="R40" i="21"/>
  <c r="K40" i="21"/>
  <c r="F40" i="21"/>
  <c r="E40" i="21"/>
  <c r="R21" i="21"/>
  <c r="K21" i="21"/>
  <c r="F21" i="21"/>
  <c r="E21" i="21"/>
  <c r="R16" i="21"/>
  <c r="K16" i="21" s="1"/>
  <c r="F16" i="21"/>
  <c r="E16" i="21"/>
  <c r="R28" i="21"/>
  <c r="K28" i="21" s="1"/>
  <c r="F28" i="21"/>
  <c r="E28" i="21"/>
  <c r="R31" i="21"/>
  <c r="K31" i="21" s="1"/>
  <c r="F31" i="21"/>
  <c r="E31" i="21"/>
  <c r="R12" i="21"/>
  <c r="K12" i="21" s="1"/>
  <c r="F12" i="21"/>
  <c r="E12" i="21"/>
  <c r="R8" i="21"/>
  <c r="K8" i="21"/>
  <c r="F8" i="21"/>
  <c r="E8" i="21"/>
  <c r="R14" i="21"/>
  <c r="K14" i="21" s="1"/>
  <c r="F14" i="21"/>
  <c r="E14" i="21"/>
  <c r="R11" i="21"/>
  <c r="K11" i="21"/>
  <c r="F11" i="21"/>
  <c r="E11" i="21"/>
  <c r="R18" i="21"/>
  <c r="K18" i="21" s="1"/>
  <c r="F18" i="21"/>
  <c r="E18" i="21"/>
  <c r="R10" i="21"/>
  <c r="K10" i="21" s="1"/>
  <c r="F10" i="21"/>
  <c r="E10" i="21"/>
  <c r="R9" i="21"/>
  <c r="K9" i="21" s="1"/>
  <c r="F9" i="21"/>
  <c r="E9" i="21"/>
  <c r="R13" i="21"/>
  <c r="K13" i="21" s="1"/>
  <c r="F13" i="21"/>
  <c r="E13" i="21"/>
  <c r="R4" i="21"/>
  <c r="K4" i="21"/>
  <c r="F4" i="21"/>
  <c r="E4" i="21"/>
  <c r="R3" i="21"/>
  <c r="K3" i="21"/>
  <c r="F3" i="21"/>
  <c r="E3" i="21"/>
  <c r="R7" i="21"/>
  <c r="K7" i="21"/>
  <c r="F7" i="21"/>
  <c r="E7" i="21"/>
  <c r="R6" i="21"/>
  <c r="K6" i="21" s="1"/>
  <c r="F6" i="21"/>
  <c r="E6" i="21"/>
  <c r="R5" i="21"/>
  <c r="K5" i="21"/>
  <c r="F5" i="21"/>
  <c r="E5" i="21"/>
  <c r="R2" i="21"/>
  <c r="K2" i="21"/>
  <c r="F2" i="21"/>
  <c r="E2" i="21"/>
  <c r="K433" i="20"/>
  <c r="F433" i="20"/>
  <c r="E433" i="20"/>
  <c r="C433" i="20" s="1"/>
  <c r="D433" i="20" s="1"/>
  <c r="K432" i="20"/>
  <c r="F432" i="20"/>
  <c r="E432" i="20"/>
  <c r="R431" i="20"/>
  <c r="K431" i="20"/>
  <c r="F431" i="20"/>
  <c r="E431" i="20"/>
  <c r="C432" i="20" s="1"/>
  <c r="D432" i="20" s="1"/>
  <c r="R430" i="20"/>
  <c r="K430" i="20"/>
  <c r="F430" i="20"/>
  <c r="E430" i="20"/>
  <c r="R429" i="20"/>
  <c r="K429" i="20"/>
  <c r="F429" i="20"/>
  <c r="E429" i="20"/>
  <c r="C429" i="20" s="1"/>
  <c r="D429" i="20" s="1"/>
  <c r="D430" i="20" s="1"/>
  <c r="R428" i="20"/>
  <c r="R427" i="20"/>
  <c r="K427" i="20"/>
  <c r="F427" i="20"/>
  <c r="E427" i="20"/>
  <c r="R426" i="20"/>
  <c r="K426" i="20"/>
  <c r="F426" i="20"/>
  <c r="E426" i="20"/>
  <c r="R425" i="20"/>
  <c r="K425" i="20" s="1"/>
  <c r="F425" i="20"/>
  <c r="E425" i="20"/>
  <c r="R424" i="20"/>
  <c r="K424" i="20"/>
  <c r="F424" i="20"/>
  <c r="E424" i="20"/>
  <c r="R423" i="20"/>
  <c r="K423" i="20"/>
  <c r="F423" i="20"/>
  <c r="E423" i="20"/>
  <c r="R422" i="20"/>
  <c r="K422" i="20"/>
  <c r="F422" i="20"/>
  <c r="E422" i="20"/>
  <c r="R421" i="20"/>
  <c r="K421" i="20" s="1"/>
  <c r="F421" i="20"/>
  <c r="E421" i="20"/>
  <c r="R420" i="20"/>
  <c r="K420" i="20"/>
  <c r="F420" i="20"/>
  <c r="E420" i="20"/>
  <c r="R419" i="20"/>
  <c r="K419" i="20"/>
  <c r="F419" i="20"/>
  <c r="E419" i="20"/>
  <c r="R418" i="20"/>
  <c r="K418" i="20"/>
  <c r="F418" i="20"/>
  <c r="E418" i="20"/>
  <c r="R417" i="20"/>
  <c r="K417" i="20"/>
  <c r="F417" i="20"/>
  <c r="E417" i="20"/>
  <c r="R416" i="20"/>
  <c r="K416" i="20"/>
  <c r="F416" i="20"/>
  <c r="E416" i="20"/>
  <c r="R415" i="20"/>
  <c r="K415" i="20" s="1"/>
  <c r="F415" i="20"/>
  <c r="E415" i="20"/>
  <c r="R414" i="20"/>
  <c r="K414" i="20"/>
  <c r="F414" i="20"/>
  <c r="E414" i="20"/>
  <c r="R413" i="20"/>
  <c r="K413" i="20"/>
  <c r="F413" i="20"/>
  <c r="E413" i="20"/>
  <c r="R412" i="20"/>
  <c r="K412" i="20"/>
  <c r="F412" i="20"/>
  <c r="E412" i="20"/>
  <c r="R411" i="20"/>
  <c r="K411" i="20"/>
  <c r="F411" i="20"/>
  <c r="E411" i="20"/>
  <c r="R410" i="20"/>
  <c r="K410" i="20"/>
  <c r="F410" i="20"/>
  <c r="E410" i="20"/>
  <c r="R409" i="20"/>
  <c r="K409" i="20"/>
  <c r="F409" i="20"/>
  <c r="E409" i="20"/>
  <c r="R408" i="20"/>
  <c r="K408" i="20"/>
  <c r="F408" i="20"/>
  <c r="E408" i="20"/>
  <c r="R407" i="20"/>
  <c r="K407" i="20" s="1"/>
  <c r="F407" i="20"/>
  <c r="E407" i="20"/>
  <c r="R406" i="20"/>
  <c r="K406" i="20"/>
  <c r="F406" i="20"/>
  <c r="E406" i="20"/>
  <c r="R405" i="20"/>
  <c r="K405" i="20" s="1"/>
  <c r="F405" i="20"/>
  <c r="E405" i="20"/>
  <c r="R404" i="20"/>
  <c r="K404" i="20"/>
  <c r="F404" i="20"/>
  <c r="E404" i="20"/>
  <c r="R403" i="20"/>
  <c r="K403" i="20" s="1"/>
  <c r="F403" i="20"/>
  <c r="E403" i="20"/>
  <c r="R402" i="20"/>
  <c r="K402" i="20"/>
  <c r="F402" i="20"/>
  <c r="E402" i="20"/>
  <c r="R401" i="20"/>
  <c r="K401" i="20"/>
  <c r="F401" i="20"/>
  <c r="E401" i="20"/>
  <c r="R400" i="20"/>
  <c r="K400" i="20"/>
  <c r="F400" i="20"/>
  <c r="E400" i="20"/>
  <c r="R399" i="20"/>
  <c r="K399" i="20"/>
  <c r="F399" i="20"/>
  <c r="E399" i="20"/>
  <c r="R398" i="20"/>
  <c r="K398" i="20"/>
  <c r="F398" i="20"/>
  <c r="E398" i="20"/>
  <c r="R397" i="20"/>
  <c r="K397" i="20" s="1"/>
  <c r="F397" i="20"/>
  <c r="E397" i="20"/>
  <c r="R396" i="20"/>
  <c r="K396" i="20"/>
  <c r="F396" i="20"/>
  <c r="E396" i="20"/>
  <c r="R395" i="20"/>
  <c r="K395" i="20" s="1"/>
  <c r="F395" i="20"/>
  <c r="E395" i="20"/>
  <c r="R394" i="20"/>
  <c r="K394" i="20"/>
  <c r="F394" i="20"/>
  <c r="E394" i="20"/>
  <c r="R393" i="20"/>
  <c r="K393" i="20"/>
  <c r="F393" i="20"/>
  <c r="E393" i="20"/>
  <c r="R392" i="20"/>
  <c r="K392" i="20"/>
  <c r="F392" i="20"/>
  <c r="E392" i="20"/>
  <c r="R391" i="20"/>
  <c r="K391" i="20" s="1"/>
  <c r="F391" i="20"/>
  <c r="E391" i="20"/>
  <c r="R390" i="20"/>
  <c r="K390" i="20"/>
  <c r="F390" i="20"/>
  <c r="E390" i="20"/>
  <c r="R389" i="20"/>
  <c r="K389" i="20" s="1"/>
  <c r="F389" i="20"/>
  <c r="E389" i="20"/>
  <c r="R388" i="20"/>
  <c r="K388" i="20"/>
  <c r="F388" i="20"/>
  <c r="E388" i="20"/>
  <c r="R387" i="20"/>
  <c r="K387" i="20" s="1"/>
  <c r="F387" i="20"/>
  <c r="E387" i="20"/>
  <c r="R386" i="20"/>
  <c r="K386" i="20"/>
  <c r="F386" i="20"/>
  <c r="E386" i="20"/>
  <c r="R385" i="20"/>
  <c r="K385" i="20" s="1"/>
  <c r="F385" i="20"/>
  <c r="E385" i="20"/>
  <c r="R384" i="20"/>
  <c r="K384" i="20"/>
  <c r="F384" i="20"/>
  <c r="E384" i="20"/>
  <c r="R383" i="20"/>
  <c r="K383" i="20" s="1"/>
  <c r="F383" i="20"/>
  <c r="E383" i="20"/>
  <c r="R382" i="20"/>
  <c r="K382" i="20"/>
  <c r="F382" i="20"/>
  <c r="E382" i="20"/>
  <c r="R381" i="20"/>
  <c r="K381" i="20" s="1"/>
  <c r="F381" i="20"/>
  <c r="E381" i="20"/>
  <c r="R380" i="20"/>
  <c r="K380" i="20"/>
  <c r="F380" i="20"/>
  <c r="E380" i="20"/>
  <c r="R379" i="20"/>
  <c r="K379" i="20" s="1"/>
  <c r="F379" i="20"/>
  <c r="E379" i="20"/>
  <c r="R378" i="20"/>
  <c r="K378" i="20"/>
  <c r="F378" i="20"/>
  <c r="E378" i="20"/>
  <c r="R377" i="20"/>
  <c r="K377" i="20"/>
  <c r="F377" i="20"/>
  <c r="E377" i="20"/>
  <c r="R376" i="20"/>
  <c r="K376" i="20"/>
  <c r="F376" i="20"/>
  <c r="E376" i="20"/>
  <c r="R375" i="20"/>
  <c r="K375" i="20" s="1"/>
  <c r="F375" i="20"/>
  <c r="E375" i="20"/>
  <c r="R374" i="20"/>
  <c r="K374" i="20"/>
  <c r="F374" i="20"/>
  <c r="E374" i="20"/>
  <c r="R373" i="20"/>
  <c r="K373" i="20" s="1"/>
  <c r="F373" i="20"/>
  <c r="E373" i="20"/>
  <c r="R372" i="20"/>
  <c r="K372" i="20"/>
  <c r="F372" i="20"/>
  <c r="E372" i="20"/>
  <c r="R371" i="20"/>
  <c r="K371" i="20"/>
  <c r="F371" i="20"/>
  <c r="E371" i="20"/>
  <c r="R370" i="20"/>
  <c r="K370" i="20"/>
  <c r="F370" i="20"/>
  <c r="E370" i="20"/>
  <c r="R369" i="20"/>
  <c r="K369" i="20"/>
  <c r="F369" i="20"/>
  <c r="E369" i="20"/>
  <c r="R368" i="20"/>
  <c r="K368" i="20"/>
  <c r="F368" i="20"/>
  <c r="E368" i="20"/>
  <c r="R367" i="20"/>
  <c r="K367" i="20" s="1"/>
  <c r="F367" i="20"/>
  <c r="E367" i="20"/>
  <c r="R366" i="20"/>
  <c r="K366" i="20"/>
  <c r="F366" i="20"/>
  <c r="E366" i="20"/>
  <c r="R365" i="20"/>
  <c r="K365" i="20"/>
  <c r="F365" i="20"/>
  <c r="E365" i="20"/>
  <c r="R364" i="20"/>
  <c r="K364" i="20"/>
  <c r="F364" i="20"/>
  <c r="E364" i="20"/>
  <c r="R363" i="20"/>
  <c r="K363" i="20"/>
  <c r="F363" i="20"/>
  <c r="E363" i="20"/>
  <c r="R362" i="20"/>
  <c r="K362" i="20"/>
  <c r="F362" i="20"/>
  <c r="E362" i="20"/>
  <c r="R361" i="20"/>
  <c r="K361" i="20" s="1"/>
  <c r="F361" i="20"/>
  <c r="E361" i="20"/>
  <c r="R360" i="20"/>
  <c r="K360" i="20"/>
  <c r="F360" i="20"/>
  <c r="E360" i="20"/>
  <c r="R359" i="20"/>
  <c r="K359" i="20" s="1"/>
  <c r="F359" i="20"/>
  <c r="E359" i="20"/>
  <c r="R358" i="20"/>
  <c r="K358" i="20"/>
  <c r="F358" i="20"/>
  <c r="E358" i="20"/>
  <c r="R357" i="20"/>
  <c r="K357" i="20"/>
  <c r="F357" i="20"/>
  <c r="E357" i="20"/>
  <c r="R356" i="20"/>
  <c r="K356" i="20"/>
  <c r="F356" i="20"/>
  <c r="E356" i="20"/>
  <c r="R355" i="20"/>
  <c r="K355" i="20"/>
  <c r="F355" i="20"/>
  <c r="E355" i="20"/>
  <c r="R354" i="20"/>
  <c r="K354" i="20"/>
  <c r="F354" i="20"/>
  <c r="E354" i="20"/>
  <c r="R353" i="20"/>
  <c r="K353" i="20"/>
  <c r="F353" i="20"/>
  <c r="E353" i="20"/>
  <c r="R352" i="20"/>
  <c r="K352" i="20"/>
  <c r="F352" i="20"/>
  <c r="E352" i="20"/>
  <c r="R351" i="20"/>
  <c r="K351" i="20"/>
  <c r="F351" i="20"/>
  <c r="E351" i="20"/>
  <c r="R350" i="20"/>
  <c r="K350" i="20"/>
  <c r="F350" i="20"/>
  <c r="E350" i="20"/>
  <c r="R349" i="20"/>
  <c r="K349" i="20"/>
  <c r="F349" i="20"/>
  <c r="E349" i="20"/>
  <c r="R348" i="20"/>
  <c r="K348" i="20"/>
  <c r="F348" i="20"/>
  <c r="E348" i="20"/>
  <c r="R347" i="20"/>
  <c r="K347" i="20" s="1"/>
  <c r="F347" i="20"/>
  <c r="E347" i="20"/>
  <c r="R346" i="20"/>
  <c r="K346" i="20"/>
  <c r="F346" i="20"/>
  <c r="E346" i="20"/>
  <c r="R345" i="20"/>
  <c r="K345" i="20" s="1"/>
  <c r="F345" i="20"/>
  <c r="E345" i="20"/>
  <c r="R344" i="20"/>
  <c r="K344" i="20"/>
  <c r="F344" i="20"/>
  <c r="E344" i="20"/>
  <c r="R343" i="20"/>
  <c r="K343" i="20"/>
  <c r="F343" i="20"/>
  <c r="E343" i="20"/>
  <c r="C343" i="20" s="1"/>
  <c r="D343" i="20" s="1"/>
  <c r="D344" i="20" s="1"/>
  <c r="D345" i="20" s="1"/>
  <c r="D346" i="20" s="1"/>
  <c r="D347" i="20" s="1"/>
  <c r="D348" i="20" s="1"/>
  <c r="D349" i="20" s="1"/>
  <c r="D350" i="20" s="1"/>
  <c r="D351" i="20" s="1"/>
  <c r="D352" i="20" s="1"/>
  <c r="D353" i="20" s="1"/>
  <c r="D354" i="20" s="1"/>
  <c r="D355" i="20" s="1"/>
  <c r="D356" i="20" s="1"/>
  <c r="D357" i="20" s="1"/>
  <c r="D358" i="20" s="1"/>
  <c r="D359" i="20" s="1"/>
  <c r="D360" i="20" s="1"/>
  <c r="D361" i="20" s="1"/>
  <c r="D362" i="20" s="1"/>
  <c r="D363" i="20" s="1"/>
  <c r="D364" i="20" s="1"/>
  <c r="D365" i="20" s="1"/>
  <c r="D366" i="20" s="1"/>
  <c r="D367" i="20" s="1"/>
  <c r="R342" i="20"/>
  <c r="K342" i="20"/>
  <c r="F342" i="20"/>
  <c r="E342" i="20"/>
  <c r="R341" i="20"/>
  <c r="K341" i="20" s="1"/>
  <c r="F341" i="20"/>
  <c r="E341" i="20"/>
  <c r="R340" i="20"/>
  <c r="K340" i="20"/>
  <c r="F340" i="20"/>
  <c r="E340" i="20"/>
  <c r="R339" i="20"/>
  <c r="K339" i="20" s="1"/>
  <c r="F339" i="20"/>
  <c r="E339" i="20"/>
  <c r="R338" i="20"/>
  <c r="K338" i="20"/>
  <c r="F338" i="20"/>
  <c r="E338" i="20"/>
  <c r="R337" i="20"/>
  <c r="K337" i="20" s="1"/>
  <c r="F337" i="20"/>
  <c r="E337" i="20"/>
  <c r="R336" i="20"/>
  <c r="K336" i="20"/>
  <c r="F336" i="20"/>
  <c r="E336" i="20"/>
  <c r="R335" i="20"/>
  <c r="K335" i="20" s="1"/>
  <c r="F335" i="20"/>
  <c r="E335" i="20"/>
  <c r="R334" i="20"/>
  <c r="K334" i="20"/>
  <c r="F334" i="20"/>
  <c r="E334" i="20"/>
  <c r="R333" i="20"/>
  <c r="K333" i="20" s="1"/>
  <c r="F333" i="20"/>
  <c r="E333" i="20"/>
  <c r="R332" i="20"/>
  <c r="K332" i="20"/>
  <c r="F332" i="20"/>
  <c r="E332" i="20"/>
  <c r="R331" i="20"/>
  <c r="K331" i="20" s="1"/>
  <c r="F331" i="20"/>
  <c r="E331" i="20"/>
  <c r="R330" i="20"/>
  <c r="K330" i="20"/>
  <c r="F330" i="20"/>
  <c r="E330" i="20"/>
  <c r="R329" i="20"/>
  <c r="K329" i="20" s="1"/>
  <c r="F329" i="20"/>
  <c r="E329" i="20"/>
  <c r="R328" i="20"/>
  <c r="K328" i="20"/>
  <c r="F328" i="20"/>
  <c r="E328" i="20"/>
  <c r="R327" i="20"/>
  <c r="K327" i="20" s="1"/>
  <c r="F327" i="20"/>
  <c r="E327" i="20"/>
  <c r="R326" i="20"/>
  <c r="K326" i="20"/>
  <c r="F326" i="20"/>
  <c r="E326" i="20"/>
  <c r="R325" i="20"/>
  <c r="K325" i="20" s="1"/>
  <c r="F325" i="20"/>
  <c r="E325" i="20"/>
  <c r="R324" i="20"/>
  <c r="K324" i="20"/>
  <c r="F324" i="20"/>
  <c r="E324" i="20"/>
  <c r="R323" i="20"/>
  <c r="K323" i="20" s="1"/>
  <c r="F323" i="20"/>
  <c r="E323" i="20"/>
  <c r="R322" i="20"/>
  <c r="K322" i="20"/>
  <c r="F322" i="20"/>
  <c r="E322" i="20"/>
  <c r="R321" i="20"/>
  <c r="K321" i="20" s="1"/>
  <c r="F321" i="20"/>
  <c r="E321" i="20"/>
  <c r="R320" i="20"/>
  <c r="K320" i="20"/>
  <c r="F320" i="20"/>
  <c r="E320" i="20"/>
  <c r="R319" i="20"/>
  <c r="K319" i="20"/>
  <c r="F319" i="20"/>
  <c r="E319" i="20"/>
  <c r="R318" i="20"/>
  <c r="K318" i="20"/>
  <c r="F318" i="20"/>
  <c r="E318" i="20"/>
  <c r="R317" i="20"/>
  <c r="K317" i="20"/>
  <c r="F317" i="20"/>
  <c r="E317" i="20"/>
  <c r="R316" i="20"/>
  <c r="K316" i="20"/>
  <c r="F316" i="20"/>
  <c r="E316" i="20"/>
  <c r="R315" i="20"/>
  <c r="K315" i="20" s="1"/>
  <c r="F315" i="20"/>
  <c r="E315" i="20"/>
  <c r="R314" i="20"/>
  <c r="K314" i="20"/>
  <c r="F314" i="20"/>
  <c r="E314" i="20"/>
  <c r="R313" i="20"/>
  <c r="K313" i="20" s="1"/>
  <c r="F313" i="20"/>
  <c r="E313" i="20"/>
  <c r="R312" i="20"/>
  <c r="K312" i="20"/>
  <c r="F312" i="20"/>
  <c r="E312" i="20"/>
  <c r="R311" i="20"/>
  <c r="K311" i="20"/>
  <c r="F311" i="20"/>
  <c r="E311" i="20"/>
  <c r="R310" i="20"/>
  <c r="K310" i="20"/>
  <c r="F310" i="20"/>
  <c r="E310" i="20"/>
  <c r="R309" i="20"/>
  <c r="K309" i="20" s="1"/>
  <c r="F309" i="20"/>
  <c r="E309" i="20"/>
  <c r="R308" i="20"/>
  <c r="K308" i="20"/>
  <c r="F308" i="20"/>
  <c r="E308" i="20"/>
  <c r="R307" i="20"/>
  <c r="K307" i="20" s="1"/>
  <c r="F307" i="20"/>
  <c r="E307" i="20"/>
  <c r="R306" i="20"/>
  <c r="K306" i="20"/>
  <c r="F306" i="20"/>
  <c r="E306" i="20"/>
  <c r="R305" i="20"/>
  <c r="K305" i="20"/>
  <c r="F305" i="20"/>
  <c r="E305" i="20"/>
  <c r="R304" i="20"/>
  <c r="K304" i="20"/>
  <c r="F304" i="20"/>
  <c r="E304" i="20"/>
  <c r="R303" i="20"/>
  <c r="K303" i="20"/>
  <c r="F303" i="20"/>
  <c r="E303" i="20"/>
  <c r="R302" i="20"/>
  <c r="K302" i="20"/>
  <c r="F302" i="20"/>
  <c r="E302" i="20"/>
  <c r="R301" i="20"/>
  <c r="K301" i="20" s="1"/>
  <c r="F301" i="20"/>
  <c r="E301" i="20"/>
  <c r="R300" i="20"/>
  <c r="K300" i="20"/>
  <c r="F300" i="20"/>
  <c r="E300" i="20"/>
  <c r="R299" i="20"/>
  <c r="K299" i="20" s="1"/>
  <c r="F299" i="20"/>
  <c r="E299" i="20"/>
  <c r="R298" i="20"/>
  <c r="K298" i="20"/>
  <c r="F298" i="20"/>
  <c r="E298" i="20"/>
  <c r="R297" i="20"/>
  <c r="K297" i="20" s="1"/>
  <c r="F297" i="20"/>
  <c r="E297" i="20"/>
  <c r="R296" i="20"/>
  <c r="K296" i="20"/>
  <c r="F296" i="20"/>
  <c r="E296" i="20"/>
  <c r="R295" i="20"/>
  <c r="K295" i="20"/>
  <c r="F295" i="20"/>
  <c r="E295" i="20"/>
  <c r="R294" i="20"/>
  <c r="K294" i="20"/>
  <c r="F294" i="20"/>
  <c r="E294" i="20"/>
  <c r="R293" i="20"/>
  <c r="K293" i="20" s="1"/>
  <c r="F293" i="20"/>
  <c r="E293" i="20"/>
  <c r="R292" i="20"/>
  <c r="K292" i="20"/>
  <c r="F292" i="20"/>
  <c r="E292" i="20"/>
  <c r="R291" i="20"/>
  <c r="K291" i="20"/>
  <c r="F291" i="20"/>
  <c r="E291" i="20"/>
  <c r="R290" i="20"/>
  <c r="K290" i="20"/>
  <c r="F290" i="20"/>
  <c r="E290" i="20"/>
  <c r="R289" i="20"/>
  <c r="K289" i="20"/>
  <c r="F289" i="20"/>
  <c r="E289" i="20"/>
  <c r="R288" i="20"/>
  <c r="K288" i="20"/>
  <c r="F288" i="20"/>
  <c r="E288" i="20"/>
  <c r="R287" i="20"/>
  <c r="K287" i="20" s="1"/>
  <c r="F287" i="20"/>
  <c r="E287" i="20"/>
  <c r="R286" i="20"/>
  <c r="K286" i="20" s="1"/>
  <c r="F286" i="20"/>
  <c r="E286" i="20"/>
  <c r="R285" i="20"/>
  <c r="K285" i="20" s="1"/>
  <c r="F285" i="20"/>
  <c r="E285" i="20"/>
  <c r="R284" i="20"/>
  <c r="K284" i="20"/>
  <c r="F284" i="20"/>
  <c r="E284" i="20"/>
  <c r="R283" i="20"/>
  <c r="K283" i="20" s="1"/>
  <c r="F283" i="20"/>
  <c r="E283" i="20"/>
  <c r="R282" i="20"/>
  <c r="K282" i="20" s="1"/>
  <c r="F282" i="20"/>
  <c r="E282" i="20"/>
  <c r="R281" i="20"/>
  <c r="K281" i="20" s="1"/>
  <c r="F281" i="20"/>
  <c r="E281" i="20"/>
  <c r="R280" i="20"/>
  <c r="K280" i="20" s="1"/>
  <c r="F280" i="20"/>
  <c r="E280" i="20"/>
  <c r="R279" i="20"/>
  <c r="K279" i="20" s="1"/>
  <c r="F279" i="20"/>
  <c r="E279" i="20"/>
  <c r="R278" i="20"/>
  <c r="K278" i="20" s="1"/>
  <c r="F278" i="20"/>
  <c r="E278" i="20"/>
  <c r="R277" i="20"/>
  <c r="K277" i="20" s="1"/>
  <c r="F277" i="20"/>
  <c r="E277" i="20"/>
  <c r="R276" i="20"/>
  <c r="K276" i="20" s="1"/>
  <c r="F276" i="20"/>
  <c r="E276" i="20"/>
  <c r="R275" i="20"/>
  <c r="K275" i="20" s="1"/>
  <c r="F275" i="20"/>
  <c r="E275" i="20"/>
  <c r="R274" i="20"/>
  <c r="K274" i="20" s="1"/>
  <c r="F274" i="20"/>
  <c r="E274" i="20"/>
  <c r="R273" i="20"/>
  <c r="K273" i="20" s="1"/>
  <c r="F273" i="20"/>
  <c r="E273" i="20"/>
  <c r="R272" i="20"/>
  <c r="K272" i="20" s="1"/>
  <c r="F272" i="20"/>
  <c r="E272" i="20"/>
  <c r="R271" i="20"/>
  <c r="K271" i="20" s="1"/>
  <c r="F271" i="20"/>
  <c r="E271" i="20"/>
  <c r="R270" i="20"/>
  <c r="K270" i="20" s="1"/>
  <c r="F270" i="20"/>
  <c r="E270" i="20"/>
  <c r="R269" i="20"/>
  <c r="K269" i="20" s="1"/>
  <c r="F269" i="20"/>
  <c r="E269" i="20"/>
  <c r="R268" i="20"/>
  <c r="K268" i="20" s="1"/>
  <c r="F268" i="20"/>
  <c r="E268" i="20"/>
  <c r="R267" i="20"/>
  <c r="K267" i="20" s="1"/>
  <c r="F267" i="20"/>
  <c r="E267" i="20"/>
  <c r="R266" i="20"/>
  <c r="K266" i="20" s="1"/>
  <c r="F266" i="20"/>
  <c r="E266" i="20"/>
  <c r="R265" i="20"/>
  <c r="K265" i="20" s="1"/>
  <c r="F265" i="20"/>
  <c r="E265" i="20"/>
  <c r="R264" i="20"/>
  <c r="K264" i="20" s="1"/>
  <c r="F264" i="20"/>
  <c r="E264" i="20"/>
  <c r="R263" i="20"/>
  <c r="K263" i="20" s="1"/>
  <c r="F263" i="20"/>
  <c r="E263" i="20"/>
  <c r="R262" i="20"/>
  <c r="K262" i="20" s="1"/>
  <c r="F262" i="20"/>
  <c r="E262" i="20"/>
  <c r="R261" i="20"/>
  <c r="K261" i="20" s="1"/>
  <c r="F261" i="20"/>
  <c r="E261" i="20"/>
  <c r="R260" i="20"/>
  <c r="K260" i="20" s="1"/>
  <c r="F260" i="20"/>
  <c r="E260" i="20"/>
  <c r="R259" i="20"/>
  <c r="K259" i="20" s="1"/>
  <c r="F259" i="20"/>
  <c r="E259" i="20"/>
  <c r="R258" i="20"/>
  <c r="K258" i="20"/>
  <c r="F258" i="20"/>
  <c r="E258" i="20"/>
  <c r="R257" i="20"/>
  <c r="K257" i="20" s="1"/>
  <c r="F257" i="20"/>
  <c r="E257" i="20"/>
  <c r="R256" i="20"/>
  <c r="K256" i="20" s="1"/>
  <c r="F256" i="20"/>
  <c r="E256" i="20"/>
  <c r="R255" i="20"/>
  <c r="K255" i="20" s="1"/>
  <c r="F255" i="20"/>
  <c r="E255" i="20"/>
  <c r="R254" i="20"/>
  <c r="K254" i="20"/>
  <c r="F254" i="20"/>
  <c r="E254" i="20"/>
  <c r="R253" i="20"/>
  <c r="K253" i="20"/>
  <c r="F253" i="20"/>
  <c r="E253" i="20"/>
  <c r="R252" i="20"/>
  <c r="K252" i="20" s="1"/>
  <c r="F252" i="20"/>
  <c r="E252" i="20"/>
  <c r="R251" i="20"/>
  <c r="K251" i="20" s="1"/>
  <c r="F251" i="20"/>
  <c r="E251" i="20"/>
  <c r="R250" i="20"/>
  <c r="K250" i="20"/>
  <c r="F250" i="20"/>
  <c r="E250" i="20"/>
  <c r="R249" i="20"/>
  <c r="K249" i="20"/>
  <c r="F249" i="20"/>
  <c r="E249" i="20"/>
  <c r="R248" i="20"/>
  <c r="K248" i="20"/>
  <c r="F248" i="20"/>
  <c r="E248" i="20"/>
  <c r="R247" i="20"/>
  <c r="K247" i="20"/>
  <c r="F247" i="20"/>
  <c r="E247" i="20"/>
  <c r="R246" i="20"/>
  <c r="K246" i="20"/>
  <c r="F246" i="20"/>
  <c r="E246" i="20"/>
  <c r="R245" i="20"/>
  <c r="K245" i="20"/>
  <c r="F245" i="20"/>
  <c r="E245" i="20"/>
  <c r="R244" i="20"/>
  <c r="K244" i="20" s="1"/>
  <c r="F244" i="20"/>
  <c r="E244" i="20"/>
  <c r="R243" i="20"/>
  <c r="K243" i="20"/>
  <c r="F243" i="20"/>
  <c r="E243" i="20"/>
  <c r="R242" i="20"/>
  <c r="K242" i="20"/>
  <c r="F242" i="20"/>
  <c r="E242" i="20"/>
  <c r="R241" i="20"/>
  <c r="K241" i="20"/>
  <c r="F241" i="20"/>
  <c r="E241" i="20"/>
  <c r="R240" i="20"/>
  <c r="K240" i="20" s="1"/>
  <c r="F240" i="20"/>
  <c r="E240" i="20"/>
  <c r="R239" i="20"/>
  <c r="K239" i="20" s="1"/>
  <c r="F239" i="20"/>
  <c r="E239" i="20"/>
  <c r="R238" i="20"/>
  <c r="K238" i="20" s="1"/>
  <c r="F238" i="20"/>
  <c r="E238" i="20"/>
  <c r="R237" i="20"/>
  <c r="K237" i="20" s="1"/>
  <c r="F237" i="20"/>
  <c r="E237" i="20"/>
  <c r="R236" i="20"/>
  <c r="K236" i="20" s="1"/>
  <c r="F236" i="20"/>
  <c r="E236" i="20"/>
  <c r="R235" i="20"/>
  <c r="K235" i="20"/>
  <c r="F235" i="20"/>
  <c r="E235" i="20"/>
  <c r="R234" i="20"/>
  <c r="K234" i="20"/>
  <c r="F234" i="20"/>
  <c r="E234" i="20"/>
  <c r="R233" i="20"/>
  <c r="K233" i="20"/>
  <c r="F233" i="20"/>
  <c r="E233" i="20"/>
  <c r="R232" i="20"/>
  <c r="K232" i="20"/>
  <c r="F232" i="20"/>
  <c r="E232" i="20"/>
  <c r="R231" i="20"/>
  <c r="K231" i="20"/>
  <c r="F231" i="20"/>
  <c r="E231" i="20"/>
  <c r="R230" i="20"/>
  <c r="K230" i="20" s="1"/>
  <c r="F230" i="20"/>
  <c r="E230" i="20"/>
  <c r="R229" i="20"/>
  <c r="K229" i="20"/>
  <c r="F229" i="20"/>
  <c r="E229" i="20"/>
  <c r="R228" i="20"/>
  <c r="K228" i="20"/>
  <c r="F228" i="20"/>
  <c r="E228" i="20"/>
  <c r="R227" i="20"/>
  <c r="K227" i="20"/>
  <c r="F227" i="20"/>
  <c r="E227" i="20"/>
  <c r="R226" i="20"/>
  <c r="K226" i="20"/>
  <c r="F226" i="20"/>
  <c r="E226" i="20"/>
  <c r="R225" i="20"/>
  <c r="K225" i="20"/>
  <c r="F225" i="20"/>
  <c r="E225" i="20"/>
  <c r="R224" i="20"/>
  <c r="K224" i="20"/>
  <c r="F224" i="20"/>
  <c r="E224" i="20"/>
  <c r="R223" i="20"/>
  <c r="K223" i="20"/>
  <c r="F223" i="20"/>
  <c r="E223" i="20"/>
  <c r="R222" i="20"/>
  <c r="K222" i="20"/>
  <c r="F222" i="20"/>
  <c r="E222" i="20"/>
  <c r="R221" i="20"/>
  <c r="K221" i="20"/>
  <c r="F221" i="20"/>
  <c r="E221" i="20"/>
  <c r="R220" i="20"/>
  <c r="K220" i="20"/>
  <c r="F220" i="20"/>
  <c r="E220" i="20"/>
  <c r="R219" i="20"/>
  <c r="K219" i="20" s="1"/>
  <c r="F219" i="20"/>
  <c r="E219" i="20"/>
  <c r="R218" i="20"/>
  <c r="K218" i="20"/>
  <c r="F218" i="20"/>
  <c r="E218" i="20"/>
  <c r="R217" i="20"/>
  <c r="K217" i="20"/>
  <c r="F217" i="20"/>
  <c r="E217" i="20"/>
  <c r="R216" i="20"/>
  <c r="K216" i="20"/>
  <c r="F216" i="20"/>
  <c r="E216" i="20"/>
  <c r="R215" i="20"/>
  <c r="K215" i="20"/>
  <c r="F215" i="20"/>
  <c r="E215" i="20"/>
  <c r="R214" i="20"/>
  <c r="K214" i="20"/>
  <c r="F214" i="20"/>
  <c r="E214" i="20"/>
  <c r="C214" i="20" s="1"/>
  <c r="R213" i="20"/>
  <c r="K213" i="20"/>
  <c r="F213" i="20"/>
  <c r="E213" i="20"/>
  <c r="R212" i="20"/>
  <c r="K212" i="20"/>
  <c r="F212" i="20"/>
  <c r="E212" i="20"/>
  <c r="R211" i="20"/>
  <c r="K211" i="20"/>
  <c r="F211" i="20"/>
  <c r="E211" i="20"/>
  <c r="R210" i="20"/>
  <c r="K210" i="20"/>
  <c r="F210" i="20"/>
  <c r="E210" i="20"/>
  <c r="R209" i="20"/>
  <c r="K209" i="20"/>
  <c r="F209" i="20"/>
  <c r="E209" i="20"/>
  <c r="R208" i="20"/>
  <c r="K208" i="20"/>
  <c r="F208" i="20"/>
  <c r="E208" i="20"/>
  <c r="R207" i="20"/>
  <c r="K207" i="20"/>
  <c r="F207" i="20"/>
  <c r="E207" i="20"/>
  <c r="R206" i="20"/>
  <c r="K206" i="20"/>
  <c r="F206" i="20"/>
  <c r="E206" i="20"/>
  <c r="R205" i="20"/>
  <c r="K205" i="20"/>
  <c r="F205" i="20"/>
  <c r="E205" i="20"/>
  <c r="R204" i="20"/>
  <c r="K204" i="20"/>
  <c r="F204" i="20"/>
  <c r="E204" i="20"/>
  <c r="R203" i="20"/>
  <c r="K203" i="20" s="1"/>
  <c r="F203" i="20"/>
  <c r="E203" i="20"/>
  <c r="R202" i="20"/>
  <c r="K202" i="20"/>
  <c r="F202" i="20"/>
  <c r="E202" i="20"/>
  <c r="R201" i="20"/>
  <c r="K201" i="20" s="1"/>
  <c r="F201" i="20"/>
  <c r="E201" i="20"/>
  <c r="R200" i="20"/>
  <c r="K200" i="20"/>
  <c r="F200" i="20"/>
  <c r="E200" i="20"/>
  <c r="R199" i="20"/>
  <c r="K199" i="20" s="1"/>
  <c r="F199" i="20"/>
  <c r="E199" i="20"/>
  <c r="R198" i="20"/>
  <c r="K198" i="20"/>
  <c r="F198" i="20"/>
  <c r="E198" i="20"/>
  <c r="R197" i="20"/>
  <c r="K197" i="20" s="1"/>
  <c r="F197" i="20"/>
  <c r="E197" i="20"/>
  <c r="R196" i="20"/>
  <c r="K196" i="20"/>
  <c r="F196" i="20"/>
  <c r="E196" i="20"/>
  <c r="R195" i="20"/>
  <c r="K195" i="20" s="1"/>
  <c r="F195" i="20"/>
  <c r="E195" i="20"/>
  <c r="R194" i="20"/>
  <c r="K194" i="20"/>
  <c r="F194" i="20"/>
  <c r="E194" i="20"/>
  <c r="R193" i="20"/>
  <c r="K193" i="20" s="1"/>
  <c r="F193" i="20"/>
  <c r="E193" i="20"/>
  <c r="R192" i="20"/>
  <c r="K192" i="20"/>
  <c r="F192" i="20"/>
  <c r="E192" i="20"/>
  <c r="R191" i="20"/>
  <c r="K191" i="20" s="1"/>
  <c r="F191" i="20"/>
  <c r="E191" i="20"/>
  <c r="R190" i="20"/>
  <c r="K190" i="20"/>
  <c r="F190" i="20"/>
  <c r="E190" i="20"/>
  <c r="R189" i="20"/>
  <c r="K189" i="20" s="1"/>
  <c r="F189" i="20"/>
  <c r="E189" i="20"/>
  <c r="R188" i="20"/>
  <c r="K188" i="20"/>
  <c r="F188" i="20"/>
  <c r="E188" i="20"/>
  <c r="R187" i="20"/>
  <c r="K187" i="20" s="1"/>
  <c r="F187" i="20"/>
  <c r="E187" i="20"/>
  <c r="R186" i="20"/>
  <c r="K186" i="20"/>
  <c r="F186" i="20"/>
  <c r="E186" i="20"/>
  <c r="R185" i="20"/>
  <c r="K185" i="20" s="1"/>
  <c r="F185" i="20"/>
  <c r="E185" i="20"/>
  <c r="R184" i="20"/>
  <c r="K184" i="20"/>
  <c r="F184" i="20"/>
  <c r="E184" i="20"/>
  <c r="R183" i="20"/>
  <c r="K183" i="20" s="1"/>
  <c r="F183" i="20"/>
  <c r="E183" i="20"/>
  <c r="R182" i="20"/>
  <c r="K182" i="20"/>
  <c r="F182" i="20"/>
  <c r="E182" i="20"/>
  <c r="R181" i="20"/>
  <c r="K181" i="20" s="1"/>
  <c r="F181" i="20"/>
  <c r="E181" i="20"/>
  <c r="R180" i="20"/>
  <c r="K180" i="20"/>
  <c r="F180" i="20"/>
  <c r="E180" i="20"/>
  <c r="R179" i="20"/>
  <c r="K179" i="20" s="1"/>
  <c r="F179" i="20"/>
  <c r="E179" i="20"/>
  <c r="R178" i="20"/>
  <c r="K178" i="20"/>
  <c r="F178" i="20"/>
  <c r="E178" i="20"/>
  <c r="R177" i="20"/>
  <c r="K177" i="20" s="1"/>
  <c r="F177" i="20"/>
  <c r="E177" i="20"/>
  <c r="R176" i="20"/>
  <c r="K176" i="20"/>
  <c r="F176" i="20"/>
  <c r="E176" i="20"/>
  <c r="R175" i="20"/>
  <c r="K175" i="20"/>
  <c r="F175" i="20"/>
  <c r="E175" i="20"/>
  <c r="R174" i="20"/>
  <c r="K174" i="20"/>
  <c r="F174" i="20"/>
  <c r="E174" i="20"/>
  <c r="R173" i="20"/>
  <c r="K173" i="20" s="1"/>
  <c r="F173" i="20"/>
  <c r="E173" i="20"/>
  <c r="R172" i="20"/>
  <c r="K172" i="20"/>
  <c r="F172" i="20"/>
  <c r="E172" i="20"/>
  <c r="R171" i="20"/>
  <c r="K171" i="20" s="1"/>
  <c r="F171" i="20"/>
  <c r="E171" i="20"/>
  <c r="R170" i="20"/>
  <c r="K170" i="20"/>
  <c r="F170" i="20"/>
  <c r="E170" i="20"/>
  <c r="R169" i="20"/>
  <c r="K169" i="20" s="1"/>
  <c r="F169" i="20"/>
  <c r="E169" i="20"/>
  <c r="R168" i="20"/>
  <c r="K168" i="20"/>
  <c r="F168" i="20"/>
  <c r="E168" i="20"/>
  <c r="R167" i="20"/>
  <c r="K167" i="20" s="1"/>
  <c r="F167" i="20"/>
  <c r="E167" i="20"/>
  <c r="R166" i="20"/>
  <c r="K166" i="20"/>
  <c r="F166" i="20"/>
  <c r="E166" i="20"/>
  <c r="R165" i="20"/>
  <c r="K165" i="20" s="1"/>
  <c r="F165" i="20"/>
  <c r="E165" i="20"/>
  <c r="R164" i="20"/>
  <c r="K164" i="20"/>
  <c r="F164" i="20"/>
  <c r="E164" i="20"/>
  <c r="R163" i="20"/>
  <c r="K163" i="20" s="1"/>
  <c r="F163" i="20"/>
  <c r="E163" i="20"/>
  <c r="R162" i="20"/>
  <c r="K162" i="20"/>
  <c r="F162" i="20"/>
  <c r="E162" i="20"/>
  <c r="R161" i="20"/>
  <c r="K161" i="20"/>
  <c r="F161" i="20"/>
  <c r="E161" i="20"/>
  <c r="R160" i="20"/>
  <c r="K160" i="20"/>
  <c r="F160" i="20"/>
  <c r="E160" i="20"/>
  <c r="R159" i="20"/>
  <c r="K159" i="20"/>
  <c r="F159" i="20"/>
  <c r="E159" i="20"/>
  <c r="R158" i="20"/>
  <c r="K158" i="20"/>
  <c r="F158" i="20"/>
  <c r="E158" i="20"/>
  <c r="R157" i="20"/>
  <c r="K157" i="20"/>
  <c r="F157" i="20"/>
  <c r="E157" i="20"/>
  <c r="R156" i="20"/>
  <c r="K156" i="20"/>
  <c r="F156" i="20"/>
  <c r="E156" i="20"/>
  <c r="R155" i="20"/>
  <c r="K155" i="20"/>
  <c r="F155" i="20"/>
  <c r="E155" i="20"/>
  <c r="R154" i="20"/>
  <c r="K154" i="20"/>
  <c r="F154" i="20"/>
  <c r="E154" i="20"/>
  <c r="R153" i="20"/>
  <c r="K153" i="20" s="1"/>
  <c r="F153" i="20"/>
  <c r="E153" i="20"/>
  <c r="R152" i="20"/>
  <c r="K152" i="20"/>
  <c r="F152" i="20"/>
  <c r="E152" i="20"/>
  <c r="R151" i="20"/>
  <c r="K151" i="20" s="1"/>
  <c r="F151" i="20"/>
  <c r="E151" i="20"/>
  <c r="R150" i="20"/>
  <c r="K150" i="20"/>
  <c r="F150" i="20"/>
  <c r="E150" i="20"/>
  <c r="R149" i="20"/>
  <c r="K149" i="20" s="1"/>
  <c r="F149" i="20"/>
  <c r="E149" i="20"/>
  <c r="R148" i="20"/>
  <c r="K148" i="20"/>
  <c r="F148" i="20"/>
  <c r="E148" i="20"/>
  <c r="R147" i="20"/>
  <c r="K147" i="20"/>
  <c r="F147" i="20"/>
  <c r="E147" i="20"/>
  <c r="R146" i="20"/>
  <c r="K146" i="20"/>
  <c r="F146" i="20"/>
  <c r="E146" i="20"/>
  <c r="R145" i="20"/>
  <c r="K145" i="20" s="1"/>
  <c r="F145" i="20"/>
  <c r="E145" i="20"/>
  <c r="R144" i="20"/>
  <c r="K144" i="20"/>
  <c r="F144" i="20"/>
  <c r="E144" i="20"/>
  <c r="R143" i="20"/>
  <c r="K143" i="20"/>
  <c r="F143" i="20"/>
  <c r="E143" i="20"/>
  <c r="R142" i="20"/>
  <c r="K142" i="20"/>
  <c r="F142" i="20"/>
  <c r="E142" i="20"/>
  <c r="R141" i="20"/>
  <c r="K141" i="20" s="1"/>
  <c r="F141" i="20"/>
  <c r="E141" i="20"/>
  <c r="R140" i="20"/>
  <c r="K140" i="20"/>
  <c r="F140" i="20"/>
  <c r="E140" i="20"/>
  <c r="R139" i="20"/>
  <c r="K139" i="20"/>
  <c r="F139" i="20"/>
  <c r="E139" i="20"/>
  <c r="R138" i="20"/>
  <c r="K138" i="20"/>
  <c r="F138" i="20"/>
  <c r="E138" i="20"/>
  <c r="R137" i="20"/>
  <c r="K137" i="20"/>
  <c r="F137" i="20"/>
  <c r="E137" i="20"/>
  <c r="R136" i="20"/>
  <c r="K136" i="20"/>
  <c r="F136" i="20"/>
  <c r="E136" i="20"/>
  <c r="R135" i="20"/>
  <c r="K135" i="20" s="1"/>
  <c r="F135" i="20"/>
  <c r="E135" i="20"/>
  <c r="R134" i="20"/>
  <c r="K134" i="20"/>
  <c r="F134" i="20"/>
  <c r="E134" i="20"/>
  <c r="R133" i="20"/>
  <c r="K133" i="20" s="1"/>
  <c r="F133" i="20"/>
  <c r="E133" i="20"/>
  <c r="C133" i="20" s="1"/>
  <c r="R132" i="20"/>
  <c r="K132" i="20"/>
  <c r="F132" i="20"/>
  <c r="E132" i="20"/>
  <c r="C132" i="20" s="1"/>
  <c r="D132" i="20" s="1"/>
  <c r="D133" i="20" s="1"/>
  <c r="D134" i="20" s="1"/>
  <c r="D135" i="20" s="1"/>
  <c r="D136" i="20" s="1"/>
  <c r="D137" i="20" s="1"/>
  <c r="D138" i="20" s="1"/>
  <c r="D139" i="20" s="1"/>
  <c r="D140" i="20" s="1"/>
  <c r="D141" i="20" s="1"/>
  <c r="D142" i="20" s="1"/>
  <c r="D143" i="20" s="1"/>
  <c r="D144" i="20" s="1"/>
  <c r="D145" i="20" s="1"/>
  <c r="D146" i="20" s="1"/>
  <c r="D147" i="20" s="1"/>
  <c r="D148" i="20" s="1"/>
  <c r="D149" i="20" s="1"/>
  <c r="D150" i="20" s="1"/>
  <c r="D151" i="20" s="1"/>
  <c r="D152" i="20" s="1"/>
  <c r="D153" i="20" s="1"/>
  <c r="D154" i="20" s="1"/>
  <c r="D155" i="20" s="1"/>
  <c r="D156" i="20" s="1"/>
  <c r="D157" i="20" s="1"/>
  <c r="D158" i="20" s="1"/>
  <c r="D159" i="20" s="1"/>
  <c r="D160" i="20" s="1"/>
  <c r="D161" i="20" s="1"/>
  <c r="D162" i="20" s="1"/>
  <c r="D163" i="20" s="1"/>
  <c r="D164" i="20" s="1"/>
  <c r="D165" i="20" s="1"/>
  <c r="D166" i="20" s="1"/>
  <c r="R131" i="20"/>
  <c r="K131" i="20" s="1"/>
  <c r="F131" i="20"/>
  <c r="E131" i="20"/>
  <c r="R130" i="20"/>
  <c r="K130" i="20"/>
  <c r="F130" i="20"/>
  <c r="E130" i="20"/>
  <c r="R129" i="20"/>
  <c r="K129" i="20" s="1"/>
  <c r="F129" i="20"/>
  <c r="E129" i="20"/>
  <c r="R128" i="20"/>
  <c r="K128" i="20"/>
  <c r="F128" i="20"/>
  <c r="E128" i="20"/>
  <c r="R127" i="20"/>
  <c r="K127" i="20" s="1"/>
  <c r="F127" i="20"/>
  <c r="E127" i="20"/>
  <c r="R126" i="20"/>
  <c r="K126" i="20"/>
  <c r="F126" i="20"/>
  <c r="E126" i="20"/>
  <c r="R125" i="20"/>
  <c r="K125" i="20" s="1"/>
  <c r="F125" i="20"/>
  <c r="E125" i="20"/>
  <c r="R124" i="20"/>
  <c r="K124" i="20"/>
  <c r="F124" i="20"/>
  <c r="E124" i="20"/>
  <c r="R123" i="20"/>
  <c r="K123" i="20" s="1"/>
  <c r="F123" i="20"/>
  <c r="E123" i="20"/>
  <c r="R122" i="20"/>
  <c r="K122" i="20"/>
  <c r="F122" i="20"/>
  <c r="E122" i="20"/>
  <c r="R121" i="20"/>
  <c r="K121" i="20" s="1"/>
  <c r="F121" i="20"/>
  <c r="E121" i="20"/>
  <c r="R120" i="20"/>
  <c r="K120" i="20"/>
  <c r="F120" i="20"/>
  <c r="E120" i="20"/>
  <c r="R119" i="20"/>
  <c r="K119" i="20" s="1"/>
  <c r="F119" i="20"/>
  <c r="E119" i="20"/>
  <c r="R118" i="20"/>
  <c r="K118" i="20"/>
  <c r="F118" i="20"/>
  <c r="E118" i="20"/>
  <c r="R117" i="20"/>
  <c r="K117" i="20" s="1"/>
  <c r="F117" i="20"/>
  <c r="E117" i="20"/>
  <c r="R116" i="20"/>
  <c r="K116" i="20"/>
  <c r="F116" i="20"/>
  <c r="E116" i="20"/>
  <c r="R115" i="20"/>
  <c r="K115" i="20" s="1"/>
  <c r="F115" i="20"/>
  <c r="E115" i="20"/>
  <c r="R114" i="20"/>
  <c r="K114" i="20"/>
  <c r="F114" i="20"/>
  <c r="E114" i="20"/>
  <c r="R113" i="20"/>
  <c r="K113" i="20" s="1"/>
  <c r="F113" i="20"/>
  <c r="E113" i="20"/>
  <c r="R112" i="20"/>
  <c r="K112" i="20"/>
  <c r="F112" i="20"/>
  <c r="E112" i="20"/>
  <c r="R111" i="20"/>
  <c r="K111" i="20" s="1"/>
  <c r="F111" i="20"/>
  <c r="E111" i="20"/>
  <c r="R110" i="20"/>
  <c r="K110" i="20"/>
  <c r="F110" i="20"/>
  <c r="E110" i="20"/>
  <c r="R109" i="20"/>
  <c r="K109" i="20" s="1"/>
  <c r="F109" i="20"/>
  <c r="E109" i="20"/>
  <c r="R108" i="20"/>
  <c r="K108" i="20"/>
  <c r="F108" i="20"/>
  <c r="E108" i="20"/>
  <c r="R107" i="20"/>
  <c r="K107" i="20" s="1"/>
  <c r="F107" i="20"/>
  <c r="E107" i="20"/>
  <c r="R106" i="20"/>
  <c r="K106" i="20"/>
  <c r="F106" i="20"/>
  <c r="E106" i="20"/>
  <c r="R105" i="20"/>
  <c r="K105" i="20" s="1"/>
  <c r="F105" i="20"/>
  <c r="E105" i="20"/>
  <c r="R104" i="20"/>
  <c r="K104" i="20"/>
  <c r="F104" i="20"/>
  <c r="E104" i="20"/>
  <c r="R103" i="20"/>
  <c r="K103" i="20" s="1"/>
  <c r="F103" i="20"/>
  <c r="E103" i="20"/>
  <c r="R102" i="20"/>
  <c r="K102" i="20"/>
  <c r="F102" i="20"/>
  <c r="E102" i="20"/>
  <c r="R101" i="20"/>
  <c r="K101" i="20" s="1"/>
  <c r="F101" i="20"/>
  <c r="E101" i="20"/>
  <c r="R100" i="20"/>
  <c r="K100" i="20"/>
  <c r="F100" i="20"/>
  <c r="E100" i="20"/>
  <c r="R99" i="20"/>
  <c r="K99" i="20" s="1"/>
  <c r="F99" i="20"/>
  <c r="E99" i="20"/>
  <c r="R98" i="20"/>
  <c r="K98" i="20"/>
  <c r="F98" i="20"/>
  <c r="E98" i="20"/>
  <c r="R97" i="20"/>
  <c r="K97" i="20" s="1"/>
  <c r="F97" i="20"/>
  <c r="E97" i="20"/>
  <c r="R96" i="20"/>
  <c r="K96" i="20"/>
  <c r="F96" i="20"/>
  <c r="E96" i="20"/>
  <c r="R95" i="20"/>
  <c r="K95" i="20" s="1"/>
  <c r="F95" i="20"/>
  <c r="E95" i="20"/>
  <c r="R94" i="20"/>
  <c r="K94" i="20"/>
  <c r="F94" i="20"/>
  <c r="E94" i="20"/>
  <c r="R93" i="20"/>
  <c r="K93" i="20"/>
  <c r="F93" i="20"/>
  <c r="E93" i="20"/>
  <c r="R92" i="20"/>
  <c r="K92" i="20"/>
  <c r="F92" i="20"/>
  <c r="E92" i="20"/>
  <c r="R91" i="20"/>
  <c r="K91" i="20" s="1"/>
  <c r="F91" i="20"/>
  <c r="E91" i="20"/>
  <c r="R90" i="20"/>
  <c r="K90" i="20"/>
  <c r="F90" i="20"/>
  <c r="E90" i="20"/>
  <c r="R89" i="20"/>
  <c r="K89" i="20" s="1"/>
  <c r="F89" i="20"/>
  <c r="E89" i="20"/>
  <c r="R88" i="20"/>
  <c r="K88" i="20"/>
  <c r="F88" i="20"/>
  <c r="E88" i="20"/>
  <c r="R87" i="20"/>
  <c r="K87" i="20" s="1"/>
  <c r="F87" i="20"/>
  <c r="E87" i="20"/>
  <c r="R86" i="20"/>
  <c r="K86" i="20"/>
  <c r="F86" i="20"/>
  <c r="E86" i="20"/>
  <c r="R85" i="20"/>
  <c r="K85" i="20" s="1"/>
  <c r="F85" i="20"/>
  <c r="E85" i="20"/>
  <c r="R84" i="20"/>
  <c r="K84" i="20"/>
  <c r="F84" i="20"/>
  <c r="E84" i="20"/>
  <c r="R83" i="20"/>
  <c r="K83" i="20" s="1"/>
  <c r="F83" i="20"/>
  <c r="E83" i="20"/>
  <c r="R82" i="20"/>
  <c r="K82" i="20"/>
  <c r="F82" i="20"/>
  <c r="E82" i="20"/>
  <c r="R81" i="20"/>
  <c r="K81" i="20" s="1"/>
  <c r="F81" i="20"/>
  <c r="E81" i="20"/>
  <c r="R80" i="20"/>
  <c r="K80" i="20"/>
  <c r="F80" i="20"/>
  <c r="E80" i="20"/>
  <c r="R79" i="20"/>
  <c r="K79" i="20"/>
  <c r="F79" i="20"/>
  <c r="E79" i="20"/>
  <c r="R78" i="20"/>
  <c r="K78" i="20"/>
  <c r="F78" i="20"/>
  <c r="E78" i="20"/>
  <c r="R77" i="20"/>
  <c r="K77" i="20"/>
  <c r="F77" i="20"/>
  <c r="E77" i="20"/>
  <c r="R76" i="20"/>
  <c r="K76" i="20"/>
  <c r="F76" i="20"/>
  <c r="E76" i="20"/>
  <c r="R75" i="20"/>
  <c r="K75" i="20" s="1"/>
  <c r="F75" i="20"/>
  <c r="E75" i="20"/>
  <c r="R74" i="20"/>
  <c r="K74" i="20"/>
  <c r="F74" i="20"/>
  <c r="E74" i="20"/>
  <c r="R73" i="20"/>
  <c r="K73" i="20" s="1"/>
  <c r="F73" i="20"/>
  <c r="E73" i="20"/>
  <c r="R72" i="20"/>
  <c r="K72" i="20"/>
  <c r="F72" i="20"/>
  <c r="E72" i="20"/>
  <c r="R71" i="20"/>
  <c r="K71" i="20"/>
  <c r="F71" i="20"/>
  <c r="E71" i="20"/>
  <c r="R70" i="20"/>
  <c r="K70" i="20"/>
  <c r="F70" i="20"/>
  <c r="E70" i="20"/>
  <c r="R69" i="20"/>
  <c r="K69" i="20"/>
  <c r="F69" i="20"/>
  <c r="E69" i="20"/>
  <c r="R68" i="20"/>
  <c r="K68" i="20"/>
  <c r="F68" i="20"/>
  <c r="E68" i="20"/>
  <c r="R67" i="20"/>
  <c r="K67" i="20"/>
  <c r="F67" i="20"/>
  <c r="E67" i="20"/>
  <c r="R66" i="20"/>
  <c r="K66" i="20"/>
  <c r="F66" i="20"/>
  <c r="E66" i="20"/>
  <c r="R65" i="20"/>
  <c r="K65" i="20" s="1"/>
  <c r="F65" i="20"/>
  <c r="E65" i="20"/>
  <c r="D65" i="20"/>
  <c r="D66" i="20" s="1"/>
  <c r="D67" i="20" s="1"/>
  <c r="D68" i="20" s="1"/>
  <c r="D69" i="20" s="1"/>
  <c r="D70" i="20" s="1"/>
  <c r="D71" i="20" s="1"/>
  <c r="D72" i="20" s="1"/>
  <c r="D73" i="20" s="1"/>
  <c r="D74" i="20" s="1"/>
  <c r="D75" i="20" s="1"/>
  <c r="D76" i="20" s="1"/>
  <c r="D77" i="20" s="1"/>
  <c r="D78" i="20" s="1"/>
  <c r="D79" i="20" s="1"/>
  <c r="D80" i="20" s="1"/>
  <c r="D81" i="20" s="1"/>
  <c r="D82" i="20" s="1"/>
  <c r="D83" i="20" s="1"/>
  <c r="D84" i="20" s="1"/>
  <c r="D85" i="20" s="1"/>
  <c r="R64" i="20"/>
  <c r="K64" i="20"/>
  <c r="F64" i="20"/>
  <c r="E64" i="20"/>
  <c r="C64" i="20" s="1"/>
  <c r="D64" i="20" s="1"/>
  <c r="R63" i="20"/>
  <c r="K63" i="20" s="1"/>
  <c r="F63" i="20"/>
  <c r="E63" i="20"/>
  <c r="D63" i="20"/>
  <c r="C63" i="20"/>
  <c r="R62" i="20"/>
  <c r="K62" i="20"/>
  <c r="F62" i="20"/>
  <c r="E62" i="20"/>
  <c r="R61" i="20"/>
  <c r="K61" i="20"/>
  <c r="F61" i="20"/>
  <c r="E61" i="20"/>
  <c r="R60" i="20"/>
  <c r="K60" i="20"/>
  <c r="F60" i="20"/>
  <c r="E60" i="20"/>
  <c r="R59" i="20"/>
  <c r="K59" i="20" s="1"/>
  <c r="F59" i="20"/>
  <c r="E59" i="20"/>
  <c r="R58" i="20"/>
  <c r="K58" i="20"/>
  <c r="F58" i="20"/>
  <c r="E58" i="20"/>
  <c r="R57" i="20"/>
  <c r="K57" i="20" s="1"/>
  <c r="F57" i="20"/>
  <c r="E57" i="20"/>
  <c r="R56" i="20"/>
  <c r="K56" i="20"/>
  <c r="F56" i="20"/>
  <c r="E56" i="20"/>
  <c r="R55" i="20"/>
  <c r="K55" i="20" s="1"/>
  <c r="F55" i="20"/>
  <c r="E55" i="20"/>
  <c r="R54" i="20"/>
  <c r="K54" i="20"/>
  <c r="F54" i="20"/>
  <c r="E54" i="20"/>
  <c r="R53" i="20"/>
  <c r="K53" i="20" s="1"/>
  <c r="F53" i="20"/>
  <c r="E53" i="20"/>
  <c r="R52" i="20"/>
  <c r="K52" i="20"/>
  <c r="F52" i="20"/>
  <c r="E52" i="20"/>
  <c r="R51" i="20"/>
  <c r="K51" i="20" s="1"/>
  <c r="F51" i="20"/>
  <c r="E51" i="20"/>
  <c r="R50" i="20"/>
  <c r="K50" i="20"/>
  <c r="F50" i="20"/>
  <c r="E50" i="20"/>
  <c r="R49" i="20"/>
  <c r="K49" i="20" s="1"/>
  <c r="F49" i="20"/>
  <c r="E49" i="20"/>
  <c r="R48" i="20"/>
  <c r="K48" i="20"/>
  <c r="F48" i="20"/>
  <c r="E48" i="20"/>
  <c r="R47" i="20"/>
  <c r="K47" i="20" s="1"/>
  <c r="F47" i="20"/>
  <c r="E47" i="20"/>
  <c r="R46" i="20"/>
  <c r="K46" i="20"/>
  <c r="F46" i="20"/>
  <c r="E46" i="20"/>
  <c r="R45" i="20"/>
  <c r="K45" i="20"/>
  <c r="F45" i="20"/>
  <c r="E45" i="20"/>
  <c r="R44" i="20"/>
  <c r="K44" i="20"/>
  <c r="F44" i="20"/>
  <c r="E44" i="20"/>
  <c r="R43" i="20"/>
  <c r="K43" i="20"/>
  <c r="F43" i="20"/>
  <c r="E43" i="20"/>
  <c r="R42" i="20"/>
  <c r="K42" i="20"/>
  <c r="F42" i="20"/>
  <c r="E42" i="20"/>
  <c r="R41" i="20"/>
  <c r="K41" i="20"/>
  <c r="F41" i="20"/>
  <c r="E41" i="20"/>
  <c r="R40" i="20"/>
  <c r="K40" i="20" s="1"/>
  <c r="F40" i="20"/>
  <c r="E40" i="20"/>
  <c r="R39" i="20"/>
  <c r="K39" i="20"/>
  <c r="F39" i="20"/>
  <c r="E39" i="20"/>
  <c r="R38" i="20"/>
  <c r="K38" i="20" s="1"/>
  <c r="F38" i="20"/>
  <c r="E38" i="20"/>
  <c r="R37" i="20"/>
  <c r="K37" i="20"/>
  <c r="F37" i="20"/>
  <c r="E37" i="20"/>
  <c r="R36" i="20"/>
  <c r="K36" i="20" s="1"/>
  <c r="F36" i="20"/>
  <c r="E36" i="20"/>
  <c r="R35" i="20"/>
  <c r="K35" i="20"/>
  <c r="F35" i="20"/>
  <c r="E35" i="20"/>
  <c r="R34" i="20"/>
  <c r="K34" i="20" s="1"/>
  <c r="F34" i="20"/>
  <c r="E34" i="20"/>
  <c r="R33" i="20"/>
  <c r="K33" i="20"/>
  <c r="F33" i="20"/>
  <c r="E33" i="20"/>
  <c r="R32" i="20"/>
  <c r="K32" i="20" s="1"/>
  <c r="F32" i="20"/>
  <c r="E32" i="20"/>
  <c r="R31" i="20"/>
  <c r="K31" i="20"/>
  <c r="F31" i="20"/>
  <c r="E31" i="20"/>
  <c r="R30" i="20"/>
  <c r="K30" i="20" s="1"/>
  <c r="F30" i="20"/>
  <c r="E30" i="20"/>
  <c r="R29" i="20"/>
  <c r="K29" i="20"/>
  <c r="F29" i="20"/>
  <c r="E29" i="20"/>
  <c r="R28" i="20"/>
  <c r="K28" i="20" s="1"/>
  <c r="F28" i="20"/>
  <c r="E28" i="20"/>
  <c r="R27" i="20"/>
  <c r="K27" i="20"/>
  <c r="F27" i="20"/>
  <c r="E27" i="20"/>
  <c r="R26" i="20"/>
  <c r="K26" i="20" s="1"/>
  <c r="F26" i="20"/>
  <c r="E26" i="20"/>
  <c r="R25" i="20"/>
  <c r="K25" i="20"/>
  <c r="F25" i="20"/>
  <c r="E25" i="20"/>
  <c r="R24" i="20"/>
  <c r="K24" i="20" s="1"/>
  <c r="F24" i="20"/>
  <c r="E24" i="20"/>
  <c r="R23" i="20"/>
  <c r="K23" i="20"/>
  <c r="F23" i="20"/>
  <c r="E23" i="20"/>
  <c r="R22" i="20"/>
  <c r="K22" i="20" s="1"/>
  <c r="F22" i="20"/>
  <c r="E22" i="20"/>
  <c r="R21" i="20"/>
  <c r="K21" i="20"/>
  <c r="F21" i="20"/>
  <c r="E21" i="20"/>
  <c r="R20" i="20"/>
  <c r="K20" i="20" s="1"/>
  <c r="F20" i="20"/>
  <c r="E20" i="20"/>
  <c r="R19" i="20"/>
  <c r="K19" i="20"/>
  <c r="F19" i="20"/>
  <c r="E19" i="20"/>
  <c r="R18" i="20"/>
  <c r="K18" i="20" s="1"/>
  <c r="F18" i="20"/>
  <c r="E18" i="20"/>
  <c r="R17" i="20"/>
  <c r="K17" i="20"/>
  <c r="F17" i="20"/>
  <c r="E17" i="20"/>
  <c r="R16" i="20"/>
  <c r="K16" i="20" s="1"/>
  <c r="F16" i="20"/>
  <c r="E16" i="20"/>
  <c r="R15" i="20"/>
  <c r="K15" i="20"/>
  <c r="F15" i="20"/>
  <c r="E15" i="20"/>
  <c r="R14" i="20"/>
  <c r="K14" i="20" s="1"/>
  <c r="F14" i="20"/>
  <c r="E14" i="20"/>
  <c r="R13" i="20"/>
  <c r="K13" i="20"/>
  <c r="F13" i="20"/>
  <c r="E13" i="20"/>
  <c r="R12" i="20"/>
  <c r="K12" i="20"/>
  <c r="F12" i="20"/>
  <c r="E12" i="20"/>
  <c r="R11" i="20"/>
  <c r="K11" i="20"/>
  <c r="F11" i="20"/>
  <c r="E11" i="20"/>
  <c r="C11" i="20" s="1"/>
  <c r="R10" i="20"/>
  <c r="K10" i="20" s="1"/>
  <c r="F10" i="20"/>
  <c r="E10" i="20"/>
  <c r="R9" i="20"/>
  <c r="K9" i="20"/>
  <c r="F9" i="20"/>
  <c r="E9" i="20"/>
  <c r="C10" i="20" s="1"/>
  <c r="D10" i="20" s="1"/>
  <c r="R8" i="20"/>
  <c r="K8" i="20" s="1"/>
  <c r="F8" i="20"/>
  <c r="E8" i="20"/>
  <c r="R7" i="20"/>
  <c r="K7" i="20"/>
  <c r="F7" i="20"/>
  <c r="E7" i="20"/>
  <c r="R6" i="20"/>
  <c r="K6" i="20" s="1"/>
  <c r="F6" i="20"/>
  <c r="E6" i="20"/>
  <c r="R5" i="20"/>
  <c r="K5" i="20"/>
  <c r="F5" i="20"/>
  <c r="E5" i="20"/>
  <c r="R4" i="20"/>
  <c r="K4" i="20" s="1"/>
  <c r="F4" i="20"/>
  <c r="E4" i="20"/>
  <c r="R3" i="20"/>
  <c r="K3" i="20"/>
  <c r="F3" i="20"/>
  <c r="E3" i="20"/>
  <c r="C3" i="20" s="1"/>
  <c r="C4" i="20" s="1"/>
  <c r="D4" i="20" s="1"/>
  <c r="R2" i="20"/>
  <c r="K2" i="20"/>
  <c r="F2" i="20"/>
  <c r="E2" i="20"/>
  <c r="D2" i="20"/>
  <c r="D3" i="20" s="1"/>
  <c r="C2" i="20"/>
  <c r="C2" i="21" l="1"/>
  <c r="D2" i="21" s="1"/>
  <c r="D11" i="20"/>
  <c r="C12" i="20"/>
  <c r="D12" i="20" s="1"/>
  <c r="D13" i="20" s="1"/>
  <c r="D14" i="20" s="1"/>
  <c r="D15" i="20" s="1"/>
  <c r="D16" i="20" s="1"/>
  <c r="C5" i="20"/>
  <c r="D5" i="20" s="1"/>
  <c r="C13" i="20"/>
  <c r="C14" i="20" s="1"/>
  <c r="C15" i="20" s="1"/>
  <c r="C16" i="20" s="1"/>
  <c r="C17" i="20" s="1"/>
  <c r="C134" i="20"/>
  <c r="C135" i="20" s="1"/>
  <c r="C136" i="20" s="1"/>
  <c r="C137" i="20" s="1"/>
  <c r="C138" i="20" s="1"/>
  <c r="C139" i="20" s="1"/>
  <c r="C140" i="20" s="1"/>
  <c r="C141" i="20" s="1"/>
  <c r="C142" i="20" s="1"/>
  <c r="C143" i="20" s="1"/>
  <c r="C144" i="20" s="1"/>
  <c r="C145" i="20" s="1"/>
  <c r="C146" i="20" s="1"/>
  <c r="C147" i="20" s="1"/>
  <c r="C148" i="20" s="1"/>
  <c r="C149" i="20" s="1"/>
  <c r="C150" i="20" s="1"/>
  <c r="C151" i="20" s="1"/>
  <c r="C152" i="20" s="1"/>
  <c r="C153" i="20" s="1"/>
  <c r="C154" i="20" s="1"/>
  <c r="C155" i="20" s="1"/>
  <c r="C156" i="20" s="1"/>
  <c r="C157" i="20" s="1"/>
  <c r="C158" i="20" s="1"/>
  <c r="C159" i="20" s="1"/>
  <c r="C160" i="20" s="1"/>
  <c r="C161" i="20" s="1"/>
  <c r="C162" i="20" s="1"/>
  <c r="C163" i="20" s="1"/>
  <c r="C164" i="20" s="1"/>
  <c r="C165" i="20" s="1"/>
  <c r="C166" i="20" s="1"/>
  <c r="C167" i="20" s="1"/>
  <c r="C6" i="20"/>
  <c r="D6" i="20" s="1"/>
  <c r="D7" i="20" s="1"/>
  <c r="D8" i="20" s="1"/>
  <c r="D9" i="20" s="1"/>
  <c r="C215" i="20"/>
  <c r="D215" i="20" s="1"/>
  <c r="D214" i="20"/>
  <c r="C65" i="20"/>
  <c r="C66" i="20" s="1"/>
  <c r="C67" i="20" s="1"/>
  <c r="C68" i="20" s="1"/>
  <c r="C69" i="20" s="1"/>
  <c r="C70" i="20" s="1"/>
  <c r="C71" i="20" s="1"/>
  <c r="C72" i="20" s="1"/>
  <c r="C73" i="20" s="1"/>
  <c r="C74" i="20" s="1"/>
  <c r="C75" i="20" s="1"/>
  <c r="C76" i="20" s="1"/>
  <c r="C77" i="20" s="1"/>
  <c r="C78" i="20" s="1"/>
  <c r="C79" i="20" s="1"/>
  <c r="C80" i="20" s="1"/>
  <c r="C81" i="20" s="1"/>
  <c r="C82" i="20" s="1"/>
  <c r="C83" i="20" s="1"/>
  <c r="C84" i="20" s="1"/>
  <c r="C85" i="20" s="1"/>
  <c r="C86" i="20" s="1"/>
  <c r="C431" i="20"/>
  <c r="D431" i="20" s="1"/>
  <c r="C430" i="20"/>
  <c r="C284" i="20"/>
  <c r="D284" i="20" s="1"/>
  <c r="D285" i="20" s="1"/>
  <c r="D286" i="20" s="1"/>
  <c r="D287" i="20" s="1"/>
  <c r="D288" i="20" s="1"/>
  <c r="D289" i="20" s="1"/>
  <c r="D290" i="20" s="1"/>
  <c r="D291" i="20" s="1"/>
  <c r="D292" i="20" s="1"/>
  <c r="D293" i="20" s="1"/>
  <c r="D294" i="20" s="1"/>
  <c r="D295" i="20" s="1"/>
  <c r="D296" i="20" s="1"/>
  <c r="D297" i="20" s="1"/>
  <c r="D298" i="20" s="1"/>
  <c r="D299" i="20" s="1"/>
  <c r="D300" i="20" s="1"/>
  <c r="D301" i="20" s="1"/>
  <c r="D302" i="20" s="1"/>
  <c r="D303" i="20" s="1"/>
  <c r="D304" i="20" s="1"/>
  <c r="D305" i="20" s="1"/>
  <c r="D306" i="20" s="1"/>
  <c r="D307" i="20" s="1"/>
  <c r="D308" i="20" s="1"/>
  <c r="D309" i="20" s="1"/>
  <c r="D310" i="20" s="1"/>
  <c r="D311" i="20" s="1"/>
  <c r="D312" i="20" s="1"/>
  <c r="D313" i="20" s="1"/>
  <c r="D314" i="20" s="1"/>
  <c r="D315" i="20" s="1"/>
  <c r="D316" i="20" s="1"/>
  <c r="C344" i="20"/>
  <c r="C345" i="20" s="1"/>
  <c r="C346" i="20" s="1"/>
  <c r="C347" i="20" s="1"/>
  <c r="C348" i="20" s="1"/>
  <c r="C349" i="20" s="1"/>
  <c r="C350" i="20" s="1"/>
  <c r="C351" i="20" s="1"/>
  <c r="C352" i="20" s="1"/>
  <c r="C353" i="20" s="1"/>
  <c r="C354" i="20" s="1"/>
  <c r="C355" i="20" s="1"/>
  <c r="C356" i="20" s="1"/>
  <c r="C357" i="20" s="1"/>
  <c r="C358" i="20" s="1"/>
  <c r="C359" i="20" s="1"/>
  <c r="C360" i="20" s="1"/>
  <c r="C361" i="20" s="1"/>
  <c r="C362" i="20" s="1"/>
  <c r="C363" i="20" s="1"/>
  <c r="C364" i="20" s="1"/>
  <c r="C365" i="20" s="1"/>
  <c r="C366" i="20" s="1"/>
  <c r="C367" i="20" s="1"/>
  <c r="C368" i="20" s="1"/>
  <c r="C392" i="20"/>
  <c r="D392" i="20" s="1"/>
  <c r="D393" i="20" s="1"/>
  <c r="D394" i="20" s="1"/>
  <c r="D395" i="20" s="1"/>
  <c r="D396" i="20" s="1"/>
  <c r="D397" i="20" s="1"/>
  <c r="D398" i="20" s="1"/>
  <c r="D399" i="20" s="1"/>
  <c r="D400" i="20" s="1"/>
  <c r="D401" i="20" s="1"/>
  <c r="D402" i="20" s="1"/>
  <c r="D403" i="20" s="1"/>
  <c r="D404" i="20" s="1"/>
  <c r="D405" i="20" s="1"/>
  <c r="D406" i="20" s="1"/>
  <c r="D407" i="20" s="1"/>
  <c r="D408" i="20" s="1"/>
  <c r="D409" i="20" s="1"/>
  <c r="D410" i="20" s="1"/>
  <c r="D411" i="20" s="1"/>
  <c r="D412" i="20" s="1"/>
  <c r="D413" i="20" s="1"/>
  <c r="D414" i="20" s="1"/>
  <c r="D415" i="20" s="1"/>
  <c r="D416" i="20" s="1"/>
  <c r="F433" i="5"/>
  <c r="E433" i="5"/>
  <c r="C433" i="5" s="1"/>
  <c r="D433" i="5" s="1"/>
  <c r="K433" i="5"/>
  <c r="AW12" i="18"/>
  <c r="AW11" i="18"/>
  <c r="AW10" i="18"/>
  <c r="AW9" i="18"/>
  <c r="AW8" i="18"/>
  <c r="AW7" i="18"/>
  <c r="AW6" i="18"/>
  <c r="AW5" i="18"/>
  <c r="AW4" i="18"/>
  <c r="AW3" i="18"/>
  <c r="AE221" i="18"/>
  <c r="AC221" i="18"/>
  <c r="AB221" i="18"/>
  <c r="Z221" i="18"/>
  <c r="Y221" i="18"/>
  <c r="W221" i="18"/>
  <c r="J221" i="18"/>
  <c r="H221" i="18"/>
  <c r="G221" i="18"/>
  <c r="E221" i="18"/>
  <c r="D221" i="18"/>
  <c r="B221" i="18"/>
  <c r="AE220" i="18"/>
  <c r="AC220" i="18"/>
  <c r="AB220" i="18"/>
  <c r="Z220" i="18"/>
  <c r="Y220" i="18"/>
  <c r="W220" i="18"/>
  <c r="J220" i="18"/>
  <c r="H220" i="18"/>
  <c r="G220" i="18"/>
  <c r="E220" i="18"/>
  <c r="D220" i="18"/>
  <c r="B220" i="18"/>
  <c r="AE219" i="18"/>
  <c r="AE222" i="18" s="1"/>
  <c r="AC219" i="18"/>
  <c r="AC222" i="18" s="1"/>
  <c r="AB219" i="18"/>
  <c r="AB222" i="18" s="1"/>
  <c r="Z219" i="18"/>
  <c r="Z222" i="18" s="1"/>
  <c r="AE218" i="18" s="1"/>
  <c r="Y219" i="18"/>
  <c r="Y222" i="18" s="1"/>
  <c r="W219" i="18"/>
  <c r="W222" i="18" s="1"/>
  <c r="AC218" i="18" s="1"/>
  <c r="J219" i="18"/>
  <c r="J222" i="18" s="1"/>
  <c r="H219" i="18"/>
  <c r="H222" i="18" s="1"/>
  <c r="G219" i="18"/>
  <c r="G222" i="18" s="1"/>
  <c r="E219" i="18"/>
  <c r="E222" i="18" s="1"/>
  <c r="J218" i="18" s="1"/>
  <c r="D219" i="18"/>
  <c r="D222" i="18" s="1"/>
  <c r="B219" i="18"/>
  <c r="B222" i="18" s="1"/>
  <c r="H218" i="18" s="1"/>
  <c r="A174" i="18"/>
  <c r="AE161" i="18"/>
  <c r="AC161" i="18"/>
  <c r="AB161" i="18"/>
  <c r="Z161" i="18"/>
  <c r="W161" i="18"/>
  <c r="V161" i="18"/>
  <c r="T161" i="18"/>
  <c r="Q161" i="18"/>
  <c r="P161" i="18"/>
  <c r="N161" i="18"/>
  <c r="M161" i="18"/>
  <c r="K161" i="18"/>
  <c r="H161" i="18"/>
  <c r="G161" i="18"/>
  <c r="E161" i="18"/>
  <c r="B161" i="18"/>
  <c r="AE160" i="18"/>
  <c r="AC160" i="18"/>
  <c r="Z160" i="18"/>
  <c r="Y160" i="18"/>
  <c r="W160" i="18"/>
  <c r="V160" i="18"/>
  <c r="T160" i="18"/>
  <c r="S160" i="18"/>
  <c r="P160" i="18"/>
  <c r="N160" i="18"/>
  <c r="K160" i="18"/>
  <c r="J160" i="18"/>
  <c r="H160" i="18"/>
  <c r="E160" i="18"/>
  <c r="D160" i="18"/>
  <c r="B160" i="18"/>
  <c r="AE159" i="18"/>
  <c r="AC159" i="18"/>
  <c r="AB159" i="18"/>
  <c r="Y159" i="18"/>
  <c r="W159" i="18"/>
  <c r="T159" i="18"/>
  <c r="S159" i="18"/>
  <c r="Q159" i="18"/>
  <c r="N159" i="18"/>
  <c r="M159" i="18"/>
  <c r="K159" i="18"/>
  <c r="J159" i="18"/>
  <c r="G159" i="18"/>
  <c r="E159" i="18"/>
  <c r="D159" i="18"/>
  <c r="B159" i="18"/>
  <c r="AC158" i="18"/>
  <c r="AB158" i="18"/>
  <c r="Z158" i="18"/>
  <c r="Y158" i="18"/>
  <c r="W158" i="18"/>
  <c r="V158" i="18"/>
  <c r="S158" i="18"/>
  <c r="Q158" i="18"/>
  <c r="P158" i="18"/>
  <c r="N158" i="18"/>
  <c r="M158" i="18"/>
  <c r="J158" i="18"/>
  <c r="H158" i="18"/>
  <c r="G158" i="18"/>
  <c r="E158" i="18"/>
  <c r="D158" i="18"/>
  <c r="AE157" i="18"/>
  <c r="AB157" i="18"/>
  <c r="Z157" i="18"/>
  <c r="Y157" i="18"/>
  <c r="V157" i="18"/>
  <c r="T157" i="18"/>
  <c r="S157" i="18"/>
  <c r="Q157" i="18"/>
  <c r="P157" i="18"/>
  <c r="M157" i="18"/>
  <c r="K157" i="18"/>
  <c r="J157" i="18"/>
  <c r="H157" i="18"/>
  <c r="G157" i="18"/>
  <c r="D157" i="18"/>
  <c r="B157" i="18"/>
  <c r="AE153" i="18"/>
  <c r="AC153" i="18"/>
  <c r="AB153" i="18"/>
  <c r="Z153" i="18"/>
  <c r="W153" i="18"/>
  <c r="V153" i="18"/>
  <c r="T153" i="18"/>
  <c r="Q153" i="18"/>
  <c r="P153" i="18"/>
  <c r="N153" i="18"/>
  <c r="M153" i="18"/>
  <c r="K153" i="18"/>
  <c r="H153" i="18"/>
  <c r="G153" i="18"/>
  <c r="E153" i="18"/>
  <c r="B153" i="18"/>
  <c r="AE152" i="18"/>
  <c r="AC152" i="18"/>
  <c r="Z152" i="18"/>
  <c r="Y152" i="18"/>
  <c r="W152" i="18"/>
  <c r="V152" i="18"/>
  <c r="T152" i="18"/>
  <c r="S152" i="18"/>
  <c r="P152" i="18"/>
  <c r="N152" i="18"/>
  <c r="K152" i="18"/>
  <c r="J152" i="18"/>
  <c r="H152" i="18"/>
  <c r="E152" i="18"/>
  <c r="D152" i="18"/>
  <c r="B152" i="18"/>
  <c r="AE151" i="18"/>
  <c r="AC151" i="18"/>
  <c r="AB151" i="18"/>
  <c r="Y151" i="18"/>
  <c r="W151" i="18"/>
  <c r="T151" i="18"/>
  <c r="S151" i="18"/>
  <c r="Q151" i="18"/>
  <c r="N151" i="18"/>
  <c r="M151" i="18"/>
  <c r="K151" i="18"/>
  <c r="J151" i="18"/>
  <c r="G151" i="18"/>
  <c r="E151" i="18"/>
  <c r="D151" i="18"/>
  <c r="B151" i="18"/>
  <c r="AC150" i="18"/>
  <c r="AB150" i="18"/>
  <c r="Z150" i="18"/>
  <c r="Y150" i="18"/>
  <c r="W150" i="18"/>
  <c r="V150" i="18"/>
  <c r="S150" i="18"/>
  <c r="Q150" i="18"/>
  <c r="P150" i="18"/>
  <c r="N150" i="18"/>
  <c r="M150" i="18"/>
  <c r="J150" i="18"/>
  <c r="H150" i="18"/>
  <c r="G150" i="18"/>
  <c r="E150" i="18"/>
  <c r="D150" i="18"/>
  <c r="AE149" i="18"/>
  <c r="AB149" i="18"/>
  <c r="Z149" i="18"/>
  <c r="Y149" i="18"/>
  <c r="V149" i="18"/>
  <c r="T149" i="18"/>
  <c r="S149" i="18"/>
  <c r="Q149" i="18"/>
  <c r="P149" i="18"/>
  <c r="M149" i="18"/>
  <c r="K149" i="18"/>
  <c r="J149" i="18"/>
  <c r="H149" i="18"/>
  <c r="G149" i="18"/>
  <c r="D149" i="18"/>
  <c r="B149" i="18"/>
  <c r="AE147" i="18"/>
  <c r="AC147" i="18"/>
  <c r="AB147" i="18"/>
  <c r="Z147" i="18"/>
  <c r="W147" i="18"/>
  <c r="V147" i="18"/>
  <c r="T147" i="18"/>
  <c r="Q147" i="18"/>
  <c r="P147" i="18"/>
  <c r="N147" i="18"/>
  <c r="M147" i="18"/>
  <c r="K147" i="18"/>
  <c r="H147" i="18"/>
  <c r="G147" i="18"/>
  <c r="E147" i="18"/>
  <c r="B147" i="18"/>
  <c r="AE146" i="18"/>
  <c r="AC146" i="18"/>
  <c r="Z146" i="18"/>
  <c r="Y146" i="18"/>
  <c r="W146" i="18"/>
  <c r="V146" i="18"/>
  <c r="T146" i="18"/>
  <c r="S146" i="18"/>
  <c r="P146" i="18"/>
  <c r="N146" i="18"/>
  <c r="K146" i="18"/>
  <c r="J146" i="18"/>
  <c r="H146" i="18"/>
  <c r="E146" i="18"/>
  <c r="D146" i="18"/>
  <c r="B146" i="18"/>
  <c r="AE145" i="18"/>
  <c r="AC145" i="18"/>
  <c r="AB145" i="18"/>
  <c r="Y145" i="18"/>
  <c r="W145" i="18"/>
  <c r="T145" i="18"/>
  <c r="S145" i="18"/>
  <c r="Q145" i="18"/>
  <c r="N145" i="18"/>
  <c r="M145" i="18"/>
  <c r="K145" i="18"/>
  <c r="J145" i="18"/>
  <c r="G145" i="18"/>
  <c r="E145" i="18"/>
  <c r="D145" i="18"/>
  <c r="B145" i="18"/>
  <c r="AC144" i="18"/>
  <c r="AB144" i="18"/>
  <c r="Z144" i="18"/>
  <c r="Y144" i="18"/>
  <c r="W144" i="18"/>
  <c r="V144" i="18"/>
  <c r="S144" i="18"/>
  <c r="Q144" i="18"/>
  <c r="P144" i="18"/>
  <c r="N144" i="18"/>
  <c r="M144" i="18"/>
  <c r="J144" i="18"/>
  <c r="H144" i="18"/>
  <c r="G144" i="18"/>
  <c r="E144" i="18"/>
  <c r="D144" i="18"/>
  <c r="AE143" i="18"/>
  <c r="AB143" i="18"/>
  <c r="Z143" i="18"/>
  <c r="Y143" i="18"/>
  <c r="V143" i="18"/>
  <c r="T143" i="18"/>
  <c r="S143" i="18"/>
  <c r="Q143" i="18"/>
  <c r="P143" i="18"/>
  <c r="M143" i="18"/>
  <c r="K143" i="18"/>
  <c r="J143" i="18"/>
  <c r="H143" i="18"/>
  <c r="G143" i="18"/>
  <c r="D143" i="18"/>
  <c r="B143" i="18"/>
  <c r="AE141" i="18"/>
  <c r="AC141" i="18"/>
  <c r="AB141" i="18"/>
  <c r="Z141" i="18"/>
  <c r="W141" i="18"/>
  <c r="V141" i="18"/>
  <c r="T141" i="18"/>
  <c r="Q141" i="18"/>
  <c r="P141" i="18"/>
  <c r="N141" i="18"/>
  <c r="M141" i="18"/>
  <c r="K141" i="18"/>
  <c r="H141" i="18"/>
  <c r="G141" i="18"/>
  <c r="E141" i="18"/>
  <c r="B141" i="18"/>
  <c r="AE140" i="18"/>
  <c r="AC140" i="18"/>
  <c r="Z140" i="18"/>
  <c r="Y140" i="18"/>
  <c r="W140" i="18"/>
  <c r="V140" i="18"/>
  <c r="T140" i="18"/>
  <c r="S140" i="18"/>
  <c r="P140" i="18"/>
  <c r="N140" i="18"/>
  <c r="K140" i="18"/>
  <c r="J140" i="18"/>
  <c r="H140" i="18"/>
  <c r="E140" i="18"/>
  <c r="D140" i="18"/>
  <c r="B140" i="18"/>
  <c r="AE139" i="18"/>
  <c r="AC139" i="18"/>
  <c r="AB139" i="18"/>
  <c r="Y139" i="18"/>
  <c r="W139" i="18"/>
  <c r="T139" i="18"/>
  <c r="S139" i="18"/>
  <c r="Q139" i="18"/>
  <c r="N139" i="18"/>
  <c r="M139" i="18"/>
  <c r="K139" i="18"/>
  <c r="J139" i="18"/>
  <c r="G139" i="18"/>
  <c r="E139" i="18"/>
  <c r="D139" i="18"/>
  <c r="B139" i="18"/>
  <c r="AC138" i="18"/>
  <c r="AB138" i="18"/>
  <c r="Z138" i="18"/>
  <c r="Y138" i="18"/>
  <c r="W138" i="18"/>
  <c r="V138" i="18"/>
  <c r="S138" i="18"/>
  <c r="Q138" i="18"/>
  <c r="P138" i="18"/>
  <c r="N138" i="18"/>
  <c r="M138" i="18"/>
  <c r="J138" i="18"/>
  <c r="H138" i="18"/>
  <c r="G138" i="18"/>
  <c r="E138" i="18"/>
  <c r="D138" i="18"/>
  <c r="AE137" i="18"/>
  <c r="AB137" i="18"/>
  <c r="Z137" i="18"/>
  <c r="Y137" i="18"/>
  <c r="V137" i="18"/>
  <c r="T137" i="18"/>
  <c r="S137" i="18"/>
  <c r="Q137" i="18"/>
  <c r="P137" i="18"/>
  <c r="M137" i="18"/>
  <c r="K137" i="18"/>
  <c r="J137" i="18"/>
  <c r="H137" i="18"/>
  <c r="G137" i="18"/>
  <c r="D137" i="18"/>
  <c r="B137" i="18"/>
  <c r="AE135" i="18"/>
  <c r="AC135" i="18"/>
  <c r="AB135" i="18"/>
  <c r="Z135" i="18"/>
  <c r="W135" i="18"/>
  <c r="V135" i="18"/>
  <c r="T135" i="18"/>
  <c r="Q135" i="18"/>
  <c r="P135" i="18"/>
  <c r="N135" i="18"/>
  <c r="M135" i="18"/>
  <c r="K135" i="18"/>
  <c r="H135" i="18"/>
  <c r="G135" i="18"/>
  <c r="E135" i="18"/>
  <c r="B135" i="18"/>
  <c r="AE134" i="18"/>
  <c r="AC134" i="18"/>
  <c r="Z134" i="18"/>
  <c r="Y134" i="18"/>
  <c r="W134" i="18"/>
  <c r="V134" i="18"/>
  <c r="T134" i="18"/>
  <c r="S134" i="18"/>
  <c r="P134" i="18"/>
  <c r="N134" i="18"/>
  <c r="K134" i="18"/>
  <c r="J134" i="18"/>
  <c r="H134" i="18"/>
  <c r="E134" i="18"/>
  <c r="D134" i="18"/>
  <c r="B134" i="18"/>
  <c r="AE133" i="18"/>
  <c r="AC133" i="18"/>
  <c r="AB133" i="18"/>
  <c r="Y133" i="18"/>
  <c r="W133" i="18"/>
  <c r="T133" i="18"/>
  <c r="S133" i="18"/>
  <c r="Q133" i="18"/>
  <c r="N133" i="18"/>
  <c r="M133" i="18"/>
  <c r="K133" i="18"/>
  <c r="J133" i="18"/>
  <c r="G133" i="18"/>
  <c r="E133" i="18"/>
  <c r="D133" i="18"/>
  <c r="B133" i="18"/>
  <c r="AC132" i="18"/>
  <c r="AB132" i="18"/>
  <c r="Z132" i="18"/>
  <c r="Y132" i="18"/>
  <c r="W132" i="18"/>
  <c r="V132" i="18"/>
  <c r="S132" i="18"/>
  <c r="Q132" i="18"/>
  <c r="P132" i="18"/>
  <c r="N132" i="18"/>
  <c r="M132" i="18"/>
  <c r="J132" i="18"/>
  <c r="H132" i="18"/>
  <c r="G132" i="18"/>
  <c r="E132" i="18"/>
  <c r="D132" i="18"/>
  <c r="AE131" i="18"/>
  <c r="AB131" i="18"/>
  <c r="Z131" i="18"/>
  <c r="Y131" i="18"/>
  <c r="V131" i="18"/>
  <c r="T131" i="18"/>
  <c r="S131" i="18"/>
  <c r="Q131" i="18"/>
  <c r="P131" i="18"/>
  <c r="M131" i="18"/>
  <c r="K131" i="18"/>
  <c r="J131" i="18"/>
  <c r="H131" i="18"/>
  <c r="G131" i="18"/>
  <c r="D131" i="18"/>
  <c r="B131" i="18"/>
  <c r="AE120" i="18"/>
  <c r="AE128" i="18" s="1"/>
  <c r="AC120" i="18"/>
  <c r="AC128" i="18" s="1"/>
  <c r="AB120" i="18"/>
  <c r="AB128" i="18" s="1"/>
  <c r="Z120" i="18"/>
  <c r="Z128" i="18" s="1"/>
  <c r="Y120" i="18"/>
  <c r="Y128" i="18" s="1"/>
  <c r="W120" i="18"/>
  <c r="W128" i="18" s="1"/>
  <c r="V120" i="18"/>
  <c r="V128" i="18" s="1"/>
  <c r="T120" i="18"/>
  <c r="T128" i="18" s="1"/>
  <c r="S120" i="18"/>
  <c r="S128" i="18" s="1"/>
  <c r="Q120" i="18"/>
  <c r="Q128" i="18" s="1"/>
  <c r="P120" i="18"/>
  <c r="P128" i="18" s="1"/>
  <c r="N120" i="18"/>
  <c r="N128" i="18" s="1"/>
  <c r="M120" i="18"/>
  <c r="M128" i="18" s="1"/>
  <c r="K120" i="18"/>
  <c r="K128" i="18" s="1"/>
  <c r="J120" i="18"/>
  <c r="J128" i="18" s="1"/>
  <c r="H120" i="18"/>
  <c r="H128" i="18" s="1"/>
  <c r="G120" i="18"/>
  <c r="G128" i="18" s="1"/>
  <c r="E120" i="18"/>
  <c r="E128" i="18" s="1"/>
  <c r="D120" i="18"/>
  <c r="D128" i="18" s="1"/>
  <c r="B120" i="18"/>
  <c r="B128" i="18" s="1"/>
  <c r="AE119" i="18"/>
  <c r="AE127" i="18" s="1"/>
  <c r="AC119" i="18"/>
  <c r="AC127" i="18" s="1"/>
  <c r="AB119" i="18"/>
  <c r="AB127" i="18" s="1"/>
  <c r="Z119" i="18"/>
  <c r="Z127" i="18" s="1"/>
  <c r="Y119" i="18"/>
  <c r="Y127" i="18" s="1"/>
  <c r="W119" i="18"/>
  <c r="W127" i="18" s="1"/>
  <c r="V119" i="18"/>
  <c r="V127" i="18" s="1"/>
  <c r="T119" i="18"/>
  <c r="T127" i="18" s="1"/>
  <c r="S119" i="18"/>
  <c r="S127" i="18" s="1"/>
  <c r="Q119" i="18"/>
  <c r="Q127" i="18" s="1"/>
  <c r="P119" i="18"/>
  <c r="P127" i="18" s="1"/>
  <c r="N119" i="18"/>
  <c r="N127" i="18" s="1"/>
  <c r="M119" i="18"/>
  <c r="M127" i="18" s="1"/>
  <c r="K119" i="18"/>
  <c r="K127" i="18" s="1"/>
  <c r="J119" i="18"/>
  <c r="J127" i="18" s="1"/>
  <c r="H119" i="18"/>
  <c r="H127" i="18" s="1"/>
  <c r="G119" i="18"/>
  <c r="G127" i="18" s="1"/>
  <c r="E119" i="18"/>
  <c r="E127" i="18" s="1"/>
  <c r="D119" i="18"/>
  <c r="D127" i="18" s="1"/>
  <c r="B119" i="18"/>
  <c r="B127" i="18" s="1"/>
  <c r="AE118" i="18"/>
  <c r="AE126" i="18" s="1"/>
  <c r="AC118" i="18"/>
  <c r="AC126" i="18" s="1"/>
  <c r="AB118" i="18"/>
  <c r="AB126" i="18" s="1"/>
  <c r="Z118" i="18"/>
  <c r="Z126" i="18" s="1"/>
  <c r="Y118" i="18"/>
  <c r="Y126" i="18" s="1"/>
  <c r="W118" i="18"/>
  <c r="W126" i="18" s="1"/>
  <c r="V118" i="18"/>
  <c r="V126" i="18" s="1"/>
  <c r="T118" i="18"/>
  <c r="T126" i="18" s="1"/>
  <c r="S118" i="18"/>
  <c r="S126" i="18" s="1"/>
  <c r="Q118" i="18"/>
  <c r="Q126" i="18" s="1"/>
  <c r="P118" i="18"/>
  <c r="P126" i="18" s="1"/>
  <c r="N118" i="18"/>
  <c r="N126" i="18" s="1"/>
  <c r="M118" i="18"/>
  <c r="M126" i="18" s="1"/>
  <c r="K118" i="18"/>
  <c r="K126" i="18" s="1"/>
  <c r="J118" i="18"/>
  <c r="J126" i="18" s="1"/>
  <c r="H118" i="18"/>
  <c r="H126" i="18" s="1"/>
  <c r="G118" i="18"/>
  <c r="G126" i="18" s="1"/>
  <c r="E118" i="18"/>
  <c r="E126" i="18" s="1"/>
  <c r="D118" i="18"/>
  <c r="D126" i="18" s="1"/>
  <c r="B118" i="18"/>
  <c r="B126" i="18" s="1"/>
  <c r="AE117" i="18"/>
  <c r="AE125" i="18" s="1"/>
  <c r="AC117" i="18"/>
  <c r="AC125" i="18" s="1"/>
  <c r="AB117" i="18"/>
  <c r="AB125" i="18" s="1"/>
  <c r="Z117" i="18"/>
  <c r="Z125" i="18" s="1"/>
  <c r="Y117" i="18"/>
  <c r="Y125" i="18" s="1"/>
  <c r="W117" i="18"/>
  <c r="W125" i="18" s="1"/>
  <c r="V117" i="18"/>
  <c r="V125" i="18" s="1"/>
  <c r="T117" i="18"/>
  <c r="T125" i="18" s="1"/>
  <c r="S117" i="18"/>
  <c r="S125" i="18" s="1"/>
  <c r="Q117" i="18"/>
  <c r="Q125" i="18" s="1"/>
  <c r="P117" i="18"/>
  <c r="P125" i="18" s="1"/>
  <c r="N117" i="18"/>
  <c r="N125" i="18" s="1"/>
  <c r="M117" i="18"/>
  <c r="M125" i="18" s="1"/>
  <c r="K117" i="18"/>
  <c r="K125" i="18" s="1"/>
  <c r="J117" i="18"/>
  <c r="J125" i="18" s="1"/>
  <c r="H117" i="18"/>
  <c r="H125" i="18" s="1"/>
  <c r="G117" i="18"/>
  <c r="G125" i="18" s="1"/>
  <c r="E117" i="18"/>
  <c r="E125" i="18" s="1"/>
  <c r="D117" i="18"/>
  <c r="D125" i="18" s="1"/>
  <c r="B117" i="18"/>
  <c r="B125" i="18" s="1"/>
  <c r="AE116" i="18"/>
  <c r="AE124" i="18" s="1"/>
  <c r="AC116" i="18"/>
  <c r="AC124" i="18" s="1"/>
  <c r="AB116" i="18"/>
  <c r="AB152" i="18" s="1"/>
  <c r="Z116" i="18"/>
  <c r="Z151" i="18" s="1"/>
  <c r="Y116" i="18"/>
  <c r="Y124" i="18" s="1"/>
  <c r="W116" i="18"/>
  <c r="W124" i="18" s="1"/>
  <c r="V116" i="18"/>
  <c r="V121" i="18" s="1"/>
  <c r="V122" i="18" s="1"/>
  <c r="V133" i="18" s="1"/>
  <c r="T116" i="18"/>
  <c r="T121" i="18" s="1"/>
  <c r="S116" i="18"/>
  <c r="S124" i="18" s="1"/>
  <c r="Q116" i="18"/>
  <c r="Q152" i="18" s="1"/>
  <c r="P116" i="18"/>
  <c r="P151" i="18" s="1"/>
  <c r="N116" i="18"/>
  <c r="N124" i="18" s="1"/>
  <c r="M116" i="18"/>
  <c r="M152" i="18" s="1"/>
  <c r="K116" i="18"/>
  <c r="K150" i="18" s="1"/>
  <c r="J116" i="18"/>
  <c r="J153" i="18" s="1"/>
  <c r="H116" i="18"/>
  <c r="H121" i="18" s="1"/>
  <c r="G116" i="18"/>
  <c r="G152" i="18" s="1"/>
  <c r="E116" i="18"/>
  <c r="E124" i="18" s="1"/>
  <c r="D116" i="18"/>
  <c r="D124" i="18" s="1"/>
  <c r="B116" i="18"/>
  <c r="B124" i="18" s="1"/>
  <c r="B129" i="18" s="1"/>
  <c r="AE115" i="18"/>
  <c r="AC115" i="18"/>
  <c r="AB115" i="18"/>
  <c r="Z115" i="18"/>
  <c r="Y115" i="18"/>
  <c r="W115" i="18"/>
  <c r="V115" i="18"/>
  <c r="T115" i="18"/>
  <c r="S115" i="18"/>
  <c r="Q115" i="18"/>
  <c r="P115" i="18"/>
  <c r="N115" i="18"/>
  <c r="M115" i="18"/>
  <c r="K115" i="18"/>
  <c r="J115" i="18"/>
  <c r="H115" i="18"/>
  <c r="G115" i="18"/>
  <c r="E115" i="18"/>
  <c r="D115" i="18"/>
  <c r="B115" i="18"/>
  <c r="AG113" i="18" s="1"/>
  <c r="AQ113" i="18" s="1"/>
  <c r="W101" i="18" s="1"/>
  <c r="AD114" i="18"/>
  <c r="AA114" i="18"/>
  <c r="X114" i="18"/>
  <c r="U114" i="18"/>
  <c r="R114" i="18"/>
  <c r="O114" i="18"/>
  <c r="L114" i="18"/>
  <c r="I114" i="18"/>
  <c r="F114" i="18"/>
  <c r="A114" i="18"/>
  <c r="AP113" i="18"/>
  <c r="AO113" i="18"/>
  <c r="AN113" i="18"/>
  <c r="AM113" i="18"/>
  <c r="AL113" i="18"/>
  <c r="AK113" i="18"/>
  <c r="AJ113" i="18"/>
  <c r="AI113" i="18"/>
  <c r="AH113" i="18"/>
  <c r="AF113" i="18"/>
  <c r="AD113" i="18"/>
  <c r="AA113" i="18"/>
  <c r="X113" i="18"/>
  <c r="U113" i="18"/>
  <c r="R113" i="18"/>
  <c r="O113" i="18"/>
  <c r="L113" i="18"/>
  <c r="I113" i="18"/>
  <c r="F113" i="18"/>
  <c r="A113" i="18"/>
  <c r="AP112" i="18"/>
  <c r="AO112" i="18"/>
  <c r="AN112" i="18"/>
  <c r="AM112" i="18"/>
  <c r="AL112" i="18"/>
  <c r="AK112" i="18"/>
  <c r="AJ112" i="18"/>
  <c r="AI112" i="18"/>
  <c r="AH112" i="18"/>
  <c r="AG112" i="18"/>
  <c r="AQ112" i="18" s="1"/>
  <c r="W99" i="18" s="1"/>
  <c r="AF112" i="18"/>
  <c r="AD112" i="18"/>
  <c r="AA112" i="18"/>
  <c r="X112" i="18"/>
  <c r="U112" i="18"/>
  <c r="R112" i="18"/>
  <c r="O112" i="18"/>
  <c r="L112" i="18"/>
  <c r="I112" i="18"/>
  <c r="F112" i="18"/>
  <c r="A112" i="18"/>
  <c r="AP111" i="18"/>
  <c r="AO111" i="18"/>
  <c r="AN111" i="18"/>
  <c r="AM111" i="18"/>
  <c r="AL111" i="18"/>
  <c r="AK111" i="18"/>
  <c r="AJ111" i="18"/>
  <c r="AI111" i="18"/>
  <c r="AH111" i="18"/>
  <c r="AG111" i="18"/>
  <c r="AQ111" i="18" s="1"/>
  <c r="W97" i="18" s="1"/>
  <c r="AF111" i="18"/>
  <c r="AD111" i="18"/>
  <c r="AA111" i="18"/>
  <c r="X111" i="18"/>
  <c r="U111" i="18"/>
  <c r="R111" i="18"/>
  <c r="O111" i="18"/>
  <c r="L111" i="18"/>
  <c r="I111" i="18"/>
  <c r="F111" i="18"/>
  <c r="A111" i="18"/>
  <c r="AP110" i="18"/>
  <c r="AO110" i="18"/>
  <c r="AN110" i="18"/>
  <c r="AM110" i="18"/>
  <c r="AL110" i="18"/>
  <c r="AK110" i="18"/>
  <c r="AJ110" i="18"/>
  <c r="AI110" i="18"/>
  <c r="AH110" i="18"/>
  <c r="AG110" i="18"/>
  <c r="AQ110" i="18" s="1"/>
  <c r="W95" i="18" s="1"/>
  <c r="AF110" i="18"/>
  <c r="AD110" i="18"/>
  <c r="AA110" i="18"/>
  <c r="X110" i="18"/>
  <c r="U110" i="18"/>
  <c r="R110" i="18"/>
  <c r="O110" i="18"/>
  <c r="L110" i="18"/>
  <c r="I110" i="18"/>
  <c r="F110" i="18"/>
  <c r="AP109" i="18"/>
  <c r="AO109" i="18"/>
  <c r="AN109" i="18"/>
  <c r="AM109" i="18"/>
  <c r="AL109" i="18"/>
  <c r="AK109" i="18"/>
  <c r="AJ109" i="18"/>
  <c r="AI109" i="18"/>
  <c r="AH109" i="18"/>
  <c r="AG109" i="18"/>
  <c r="AQ109" i="18" s="1"/>
  <c r="W93" i="18" s="1"/>
  <c r="AF109" i="18"/>
  <c r="AD109" i="18"/>
  <c r="AA109" i="18"/>
  <c r="X109" i="18"/>
  <c r="U109" i="18"/>
  <c r="R109" i="18"/>
  <c r="O109" i="18"/>
  <c r="L109" i="18"/>
  <c r="I109" i="18"/>
  <c r="F109" i="18"/>
  <c r="AC107" i="18"/>
  <c r="Z107" i="18"/>
  <c r="W107" i="18"/>
  <c r="T107" i="18"/>
  <c r="Q107" i="18"/>
  <c r="N107" i="18"/>
  <c r="K107" i="18"/>
  <c r="H107" i="18"/>
  <c r="E107" i="18"/>
  <c r="E102" i="18"/>
  <c r="R180" i="18" s="1"/>
  <c r="K213" i="18" s="1"/>
  <c r="E101" i="18"/>
  <c r="B168" i="18" s="1"/>
  <c r="A101" i="18"/>
  <c r="E100" i="18"/>
  <c r="AL180" i="18" s="1"/>
  <c r="AG213" i="18" s="1"/>
  <c r="E99" i="18"/>
  <c r="B167" i="18" s="1"/>
  <c r="A99" i="18"/>
  <c r="E98" i="18"/>
  <c r="E97" i="18"/>
  <c r="B166" i="18" s="1"/>
  <c r="A97" i="18"/>
  <c r="E96" i="18"/>
  <c r="AB180" i="18" s="1"/>
  <c r="AG211" i="18" s="1"/>
  <c r="E95" i="18"/>
  <c r="V180" i="18" s="1"/>
  <c r="X211" i="18" s="1"/>
  <c r="A95" i="18"/>
  <c r="E94" i="18"/>
  <c r="H180" i="18" s="1"/>
  <c r="K211" i="18" s="1"/>
  <c r="E93" i="18"/>
  <c r="A93" i="18"/>
  <c r="R92" i="18"/>
  <c r="L92" i="18"/>
  <c r="K91" i="18"/>
  <c r="A89" i="18"/>
  <c r="AE76" i="18"/>
  <c r="AC76" i="18"/>
  <c r="AB76" i="18"/>
  <c r="Z76" i="18"/>
  <c r="W76" i="18"/>
  <c r="V76" i="18"/>
  <c r="T76" i="18"/>
  <c r="Q76" i="18"/>
  <c r="P76" i="18"/>
  <c r="N76" i="18"/>
  <c r="M76" i="18"/>
  <c r="K76" i="18"/>
  <c r="H76" i="18"/>
  <c r="G76" i="18"/>
  <c r="E76" i="18"/>
  <c r="B76" i="18"/>
  <c r="AE75" i="18"/>
  <c r="AC75" i="18"/>
  <c r="Z75" i="18"/>
  <c r="Y75" i="18"/>
  <c r="W75" i="18"/>
  <c r="V75" i="18"/>
  <c r="T75" i="18"/>
  <c r="S75" i="18"/>
  <c r="P75" i="18"/>
  <c r="N75" i="18"/>
  <c r="K75" i="18"/>
  <c r="J75" i="18"/>
  <c r="H75" i="18"/>
  <c r="E75" i="18"/>
  <c r="D75" i="18"/>
  <c r="B75" i="18"/>
  <c r="AE74" i="18"/>
  <c r="AC74" i="18"/>
  <c r="AB74" i="18"/>
  <c r="Y74" i="18"/>
  <c r="W74" i="18"/>
  <c r="T74" i="18"/>
  <c r="S74" i="18"/>
  <c r="Q74" i="18"/>
  <c r="N74" i="18"/>
  <c r="M74" i="18"/>
  <c r="K74" i="18"/>
  <c r="J74" i="18"/>
  <c r="G74" i="18"/>
  <c r="E74" i="18"/>
  <c r="D74" i="18"/>
  <c r="B74" i="18"/>
  <c r="AC73" i="18"/>
  <c r="AB73" i="18"/>
  <c r="Z73" i="18"/>
  <c r="Y73" i="18"/>
  <c r="W73" i="18"/>
  <c r="V73" i="18"/>
  <c r="S73" i="18"/>
  <c r="Q73" i="18"/>
  <c r="P73" i="18"/>
  <c r="N73" i="18"/>
  <c r="M73" i="18"/>
  <c r="J73" i="18"/>
  <c r="H73" i="18"/>
  <c r="G73" i="18"/>
  <c r="E73" i="18"/>
  <c r="D73" i="18"/>
  <c r="AE72" i="18"/>
  <c r="AB72" i="18"/>
  <c r="Z72" i="18"/>
  <c r="Y72" i="18"/>
  <c r="V72" i="18"/>
  <c r="T72" i="18"/>
  <c r="S72" i="18"/>
  <c r="Q72" i="18"/>
  <c r="P72" i="18"/>
  <c r="M72" i="18"/>
  <c r="K72" i="18"/>
  <c r="J72" i="18"/>
  <c r="H72" i="18"/>
  <c r="G72" i="18"/>
  <c r="D72" i="18"/>
  <c r="B72" i="18"/>
  <c r="AE68" i="18"/>
  <c r="AC68" i="18"/>
  <c r="AB68" i="18"/>
  <c r="Z68" i="18"/>
  <c r="W68" i="18"/>
  <c r="V68" i="18"/>
  <c r="T68" i="18"/>
  <c r="Q68" i="18"/>
  <c r="P68" i="18"/>
  <c r="N68" i="18"/>
  <c r="M68" i="18"/>
  <c r="K68" i="18"/>
  <c r="H68" i="18"/>
  <c r="G68" i="18"/>
  <c r="E68" i="18"/>
  <c r="B68" i="18"/>
  <c r="AE67" i="18"/>
  <c r="AC67" i="18"/>
  <c r="Z67" i="18"/>
  <c r="Y67" i="18"/>
  <c r="W67" i="18"/>
  <c r="V67" i="18"/>
  <c r="T67" i="18"/>
  <c r="S67" i="18"/>
  <c r="P67" i="18"/>
  <c r="N67" i="18"/>
  <c r="K67" i="18"/>
  <c r="J67" i="18"/>
  <c r="H67" i="18"/>
  <c r="E67" i="18"/>
  <c r="D67" i="18"/>
  <c r="B67" i="18"/>
  <c r="AE66" i="18"/>
  <c r="AC66" i="18"/>
  <c r="AB66" i="18"/>
  <c r="Y66" i="18"/>
  <c r="W66" i="18"/>
  <c r="T66" i="18"/>
  <c r="S66" i="18"/>
  <c r="Q66" i="18"/>
  <c r="N66" i="18"/>
  <c r="M66" i="18"/>
  <c r="K66" i="18"/>
  <c r="J66" i="18"/>
  <c r="G66" i="18"/>
  <c r="E66" i="18"/>
  <c r="D66" i="18"/>
  <c r="B66" i="18"/>
  <c r="AC65" i="18"/>
  <c r="AB65" i="18"/>
  <c r="Z65" i="18"/>
  <c r="Y65" i="18"/>
  <c r="W65" i="18"/>
  <c r="V65" i="18"/>
  <c r="S65" i="18"/>
  <c r="Q65" i="18"/>
  <c r="P65" i="18"/>
  <c r="N65" i="18"/>
  <c r="M65" i="18"/>
  <c r="J65" i="18"/>
  <c r="H65" i="18"/>
  <c r="G65" i="18"/>
  <c r="E65" i="18"/>
  <c r="D65" i="18"/>
  <c r="AE64" i="18"/>
  <c r="AB64" i="18"/>
  <c r="Z64" i="18"/>
  <c r="Y64" i="18"/>
  <c r="V64" i="18"/>
  <c r="T64" i="18"/>
  <c r="S64" i="18"/>
  <c r="Q64" i="18"/>
  <c r="P64" i="18"/>
  <c r="M64" i="18"/>
  <c r="K64" i="18"/>
  <c r="J64" i="18"/>
  <c r="H64" i="18"/>
  <c r="G64" i="18"/>
  <c r="D64" i="18"/>
  <c r="B64" i="18"/>
  <c r="AE62" i="18"/>
  <c r="AC62" i="18"/>
  <c r="AB62" i="18"/>
  <c r="Z62" i="18"/>
  <c r="W62" i="18"/>
  <c r="V62" i="18"/>
  <c r="T62" i="18"/>
  <c r="Q62" i="18"/>
  <c r="P62" i="18"/>
  <c r="N62" i="18"/>
  <c r="M62" i="18"/>
  <c r="K62" i="18"/>
  <c r="H62" i="18"/>
  <c r="G62" i="18"/>
  <c r="E62" i="18"/>
  <c r="B62" i="18"/>
  <c r="AE61" i="18"/>
  <c r="AC61" i="18"/>
  <c r="Z61" i="18"/>
  <c r="Y61" i="18"/>
  <c r="W61" i="18"/>
  <c r="V61" i="18"/>
  <c r="T61" i="18"/>
  <c r="S61" i="18"/>
  <c r="P61" i="18"/>
  <c r="N61" i="18"/>
  <c r="K61" i="18"/>
  <c r="J61" i="18"/>
  <c r="H61" i="18"/>
  <c r="E61" i="18"/>
  <c r="D61" i="18"/>
  <c r="B61" i="18"/>
  <c r="AE60" i="18"/>
  <c r="AC60" i="18"/>
  <c r="AB60" i="18"/>
  <c r="Y60" i="18"/>
  <c r="W60" i="18"/>
  <c r="T60" i="18"/>
  <c r="S60" i="18"/>
  <c r="Q60" i="18"/>
  <c r="N60" i="18"/>
  <c r="M60" i="18"/>
  <c r="K60" i="18"/>
  <c r="J60" i="18"/>
  <c r="G60" i="18"/>
  <c r="E60" i="18"/>
  <c r="D60" i="18"/>
  <c r="B60" i="18"/>
  <c r="AC59" i="18"/>
  <c r="AB59" i="18"/>
  <c r="Z59" i="18"/>
  <c r="Y59" i="18"/>
  <c r="W59" i="18"/>
  <c r="V59" i="18"/>
  <c r="S59" i="18"/>
  <c r="Q59" i="18"/>
  <c r="P59" i="18"/>
  <c r="N59" i="18"/>
  <c r="M59" i="18"/>
  <c r="J59" i="18"/>
  <c r="H59" i="18"/>
  <c r="G59" i="18"/>
  <c r="E59" i="18"/>
  <c r="D59" i="18"/>
  <c r="AE58" i="18"/>
  <c r="AB58" i="18"/>
  <c r="Z58" i="18"/>
  <c r="Y58" i="18"/>
  <c r="V58" i="18"/>
  <c r="T58" i="18"/>
  <c r="S58" i="18"/>
  <c r="Q58" i="18"/>
  <c r="P58" i="18"/>
  <c r="M58" i="18"/>
  <c r="K58" i="18"/>
  <c r="J58" i="18"/>
  <c r="H58" i="18"/>
  <c r="G58" i="18"/>
  <c r="D58" i="18"/>
  <c r="B58" i="18"/>
  <c r="AE56" i="18"/>
  <c r="AC56" i="18"/>
  <c r="AB56" i="18"/>
  <c r="Z56" i="18"/>
  <c r="W56" i="18"/>
  <c r="V56" i="18"/>
  <c r="T56" i="18"/>
  <c r="Q56" i="18"/>
  <c r="P56" i="18"/>
  <c r="N56" i="18"/>
  <c r="M56" i="18"/>
  <c r="K56" i="18"/>
  <c r="H56" i="18"/>
  <c r="G56" i="18"/>
  <c r="E56" i="18"/>
  <c r="B56" i="18"/>
  <c r="AE55" i="18"/>
  <c r="AC55" i="18"/>
  <c r="Z55" i="18"/>
  <c r="Y55" i="18"/>
  <c r="W55" i="18"/>
  <c r="V55" i="18"/>
  <c r="T55" i="18"/>
  <c r="S55" i="18"/>
  <c r="P55" i="18"/>
  <c r="N55" i="18"/>
  <c r="K55" i="18"/>
  <c r="J55" i="18"/>
  <c r="H55" i="18"/>
  <c r="E55" i="18"/>
  <c r="D55" i="18"/>
  <c r="B55" i="18"/>
  <c r="AE54" i="18"/>
  <c r="AC54" i="18"/>
  <c r="AB54" i="18"/>
  <c r="Y54" i="18"/>
  <c r="W54" i="18"/>
  <c r="T54" i="18"/>
  <c r="S54" i="18"/>
  <c r="Q54" i="18"/>
  <c r="N54" i="18"/>
  <c r="M54" i="18"/>
  <c r="K54" i="18"/>
  <c r="J54" i="18"/>
  <c r="G54" i="18"/>
  <c r="E54" i="18"/>
  <c r="D54" i="18"/>
  <c r="B54" i="18"/>
  <c r="AC53" i="18"/>
  <c r="AB53" i="18"/>
  <c r="Z53" i="18"/>
  <c r="Y53" i="18"/>
  <c r="W53" i="18"/>
  <c r="V53" i="18"/>
  <c r="S53" i="18"/>
  <c r="Q53" i="18"/>
  <c r="P53" i="18"/>
  <c r="N53" i="18"/>
  <c r="M53" i="18"/>
  <c r="J53" i="18"/>
  <c r="H53" i="18"/>
  <c r="G53" i="18"/>
  <c r="E53" i="18"/>
  <c r="D53" i="18"/>
  <c r="AE52" i="18"/>
  <c r="AB52" i="18"/>
  <c r="Z52" i="18"/>
  <c r="Y52" i="18"/>
  <c r="V52" i="18"/>
  <c r="T52" i="18"/>
  <c r="S52" i="18"/>
  <c r="Q52" i="18"/>
  <c r="P52" i="18"/>
  <c r="M52" i="18"/>
  <c r="K52" i="18"/>
  <c r="J52" i="18"/>
  <c r="H52" i="18"/>
  <c r="G52" i="18"/>
  <c r="D52" i="18"/>
  <c r="B52" i="18"/>
  <c r="AE50" i="18"/>
  <c r="AC50" i="18"/>
  <c r="AB50" i="18"/>
  <c r="Z50" i="18"/>
  <c r="W50" i="18"/>
  <c r="V50" i="18"/>
  <c r="T50" i="18"/>
  <c r="Q50" i="18"/>
  <c r="P50" i="18"/>
  <c r="N50" i="18"/>
  <c r="M50" i="18"/>
  <c r="K50" i="18"/>
  <c r="H50" i="18"/>
  <c r="G50" i="18"/>
  <c r="E50" i="18"/>
  <c r="B50" i="18"/>
  <c r="AE49" i="18"/>
  <c r="AC49" i="18"/>
  <c r="Z49" i="18"/>
  <c r="Y49" i="18"/>
  <c r="W49" i="18"/>
  <c r="V49" i="18"/>
  <c r="T49" i="18"/>
  <c r="S49" i="18"/>
  <c r="P49" i="18"/>
  <c r="N49" i="18"/>
  <c r="K49" i="18"/>
  <c r="J49" i="18"/>
  <c r="H49" i="18"/>
  <c r="E49" i="18"/>
  <c r="D49" i="18"/>
  <c r="B49" i="18"/>
  <c r="AE48" i="18"/>
  <c r="AC48" i="18"/>
  <c r="AB48" i="18"/>
  <c r="Y48" i="18"/>
  <c r="W48" i="18"/>
  <c r="T48" i="18"/>
  <c r="S48" i="18"/>
  <c r="Q48" i="18"/>
  <c r="N48" i="18"/>
  <c r="M48" i="18"/>
  <c r="K48" i="18"/>
  <c r="J48" i="18"/>
  <c r="G48" i="18"/>
  <c r="E48" i="18"/>
  <c r="D48" i="18"/>
  <c r="B48" i="18"/>
  <c r="AC47" i="18"/>
  <c r="AB47" i="18"/>
  <c r="Z47" i="18"/>
  <c r="Y47" i="18"/>
  <c r="W47" i="18"/>
  <c r="V47" i="18"/>
  <c r="S47" i="18"/>
  <c r="Q47" i="18"/>
  <c r="P47" i="18"/>
  <c r="N47" i="18"/>
  <c r="M47" i="18"/>
  <c r="J47" i="18"/>
  <c r="H47" i="18"/>
  <c r="G47" i="18"/>
  <c r="E47" i="18"/>
  <c r="D47" i="18"/>
  <c r="AE46" i="18"/>
  <c r="AB46" i="18"/>
  <c r="Z46" i="18"/>
  <c r="Y46" i="18"/>
  <c r="V46" i="18"/>
  <c r="T46" i="18"/>
  <c r="S46" i="18"/>
  <c r="Q46" i="18"/>
  <c r="P46" i="18"/>
  <c r="M46" i="18"/>
  <c r="K46" i="18"/>
  <c r="J46" i="18"/>
  <c r="H46" i="18"/>
  <c r="G46" i="18"/>
  <c r="D46" i="18"/>
  <c r="B46" i="18"/>
  <c r="Y43" i="18"/>
  <c r="T43" i="18"/>
  <c r="M43" i="18"/>
  <c r="H43" i="18"/>
  <c r="AE42" i="18"/>
  <c r="Z42" i="18"/>
  <c r="S42" i="18"/>
  <c r="N42" i="18"/>
  <c r="G42" i="18"/>
  <c r="B42" i="18"/>
  <c r="Y41" i="18"/>
  <c r="T41" i="18"/>
  <c r="M41" i="18"/>
  <c r="H41" i="18"/>
  <c r="AE40" i="18"/>
  <c r="Z40" i="18"/>
  <c r="S40" i="18"/>
  <c r="N40" i="18"/>
  <c r="G40" i="18"/>
  <c r="B40" i="18"/>
  <c r="Y39" i="18"/>
  <c r="T39" i="18"/>
  <c r="M39" i="18"/>
  <c r="H39" i="18"/>
  <c r="AE35" i="18"/>
  <c r="AE43" i="18" s="1"/>
  <c r="AC35" i="18"/>
  <c r="AC43" i="18" s="1"/>
  <c r="AB35" i="18"/>
  <c r="AB43" i="18" s="1"/>
  <c r="Z35" i="18"/>
  <c r="Z43" i="18" s="1"/>
  <c r="Y35" i="18"/>
  <c r="W35" i="18"/>
  <c r="W43" i="18" s="1"/>
  <c r="V35" i="18"/>
  <c r="V43" i="18" s="1"/>
  <c r="T35" i="18"/>
  <c r="S35" i="18"/>
  <c r="S43" i="18" s="1"/>
  <c r="Q35" i="18"/>
  <c r="Q43" i="18" s="1"/>
  <c r="P35" i="18"/>
  <c r="P43" i="18" s="1"/>
  <c r="N35" i="18"/>
  <c r="N43" i="18" s="1"/>
  <c r="M35" i="18"/>
  <c r="K35" i="18"/>
  <c r="K43" i="18" s="1"/>
  <c r="J35" i="18"/>
  <c r="J43" i="18" s="1"/>
  <c r="H35" i="18"/>
  <c r="G35" i="18"/>
  <c r="G43" i="18" s="1"/>
  <c r="E35" i="18"/>
  <c r="E43" i="18" s="1"/>
  <c r="D35" i="18"/>
  <c r="D43" i="18" s="1"/>
  <c r="B35" i="18"/>
  <c r="B43" i="18" s="1"/>
  <c r="AE34" i="18"/>
  <c r="AC34" i="18"/>
  <c r="AC42" i="18" s="1"/>
  <c r="AB34" i="18"/>
  <c r="AB42" i="18" s="1"/>
  <c r="Z34" i="18"/>
  <c r="Y34" i="18"/>
  <c r="Y42" i="18" s="1"/>
  <c r="W34" i="18"/>
  <c r="W42" i="18" s="1"/>
  <c r="V34" i="18"/>
  <c r="V42" i="18" s="1"/>
  <c r="T34" i="18"/>
  <c r="T42" i="18" s="1"/>
  <c r="S34" i="18"/>
  <c r="Q34" i="18"/>
  <c r="Q42" i="18" s="1"/>
  <c r="P34" i="18"/>
  <c r="P42" i="18" s="1"/>
  <c r="N34" i="18"/>
  <c r="M34" i="18"/>
  <c r="M42" i="18" s="1"/>
  <c r="K34" i="18"/>
  <c r="K42" i="18" s="1"/>
  <c r="J34" i="18"/>
  <c r="J42" i="18" s="1"/>
  <c r="H34" i="18"/>
  <c r="H42" i="18" s="1"/>
  <c r="G34" i="18"/>
  <c r="E34" i="18"/>
  <c r="E42" i="18" s="1"/>
  <c r="D34" i="18"/>
  <c r="D42" i="18" s="1"/>
  <c r="B34" i="18"/>
  <c r="AE33" i="18"/>
  <c r="AE41" i="18" s="1"/>
  <c r="AC33" i="18"/>
  <c r="AC41" i="18" s="1"/>
  <c r="AB33" i="18"/>
  <c r="AB41" i="18" s="1"/>
  <c r="Z33" i="18"/>
  <c r="Z41" i="18" s="1"/>
  <c r="Y33" i="18"/>
  <c r="W33" i="18"/>
  <c r="W41" i="18" s="1"/>
  <c r="V33" i="18"/>
  <c r="V41" i="18" s="1"/>
  <c r="T33" i="18"/>
  <c r="S33" i="18"/>
  <c r="S41" i="18" s="1"/>
  <c r="Q33" i="18"/>
  <c r="Q41" i="18" s="1"/>
  <c r="P33" i="18"/>
  <c r="P41" i="18" s="1"/>
  <c r="N33" i="18"/>
  <c r="N41" i="18" s="1"/>
  <c r="M33" i="18"/>
  <c r="K33" i="18"/>
  <c r="K41" i="18" s="1"/>
  <c r="J33" i="18"/>
  <c r="J41" i="18" s="1"/>
  <c r="H33" i="18"/>
  <c r="G33" i="18"/>
  <c r="G41" i="18" s="1"/>
  <c r="E33" i="18"/>
  <c r="E41" i="18" s="1"/>
  <c r="D33" i="18"/>
  <c r="D41" i="18" s="1"/>
  <c r="B33" i="18"/>
  <c r="B41" i="18" s="1"/>
  <c r="AE32" i="18"/>
  <c r="AC32" i="18"/>
  <c r="AC40" i="18" s="1"/>
  <c r="AB32" i="18"/>
  <c r="AB40" i="18" s="1"/>
  <c r="Z32" i="18"/>
  <c r="Y32" i="18"/>
  <c r="Y36" i="18" s="1"/>
  <c r="W32" i="18"/>
  <c r="W40" i="18" s="1"/>
  <c r="V32" i="18"/>
  <c r="V40" i="18" s="1"/>
  <c r="T32" i="18"/>
  <c r="T36" i="18" s="1"/>
  <c r="S32" i="18"/>
  <c r="Q32" i="18"/>
  <c r="Q40" i="18" s="1"/>
  <c r="P32" i="18"/>
  <c r="P40" i="18" s="1"/>
  <c r="N32" i="18"/>
  <c r="M32" i="18"/>
  <c r="M36" i="18" s="1"/>
  <c r="K32" i="18"/>
  <c r="K40" i="18" s="1"/>
  <c r="J32" i="18"/>
  <c r="J40" i="18" s="1"/>
  <c r="H32" i="18"/>
  <c r="H36" i="18" s="1"/>
  <c r="G32" i="18"/>
  <c r="E32" i="18"/>
  <c r="E40" i="18" s="1"/>
  <c r="D32" i="18"/>
  <c r="D40" i="18" s="1"/>
  <c r="B32" i="18"/>
  <c r="AE31" i="18"/>
  <c r="AE39" i="18" s="1"/>
  <c r="AC31" i="18"/>
  <c r="AC39" i="18" s="1"/>
  <c r="AC44" i="18" s="1"/>
  <c r="AB31" i="18"/>
  <c r="AB67" i="18" s="1"/>
  <c r="Z31" i="18"/>
  <c r="Z66" i="18" s="1"/>
  <c r="Y31" i="18"/>
  <c r="Y68" i="18" s="1"/>
  <c r="W31" i="18"/>
  <c r="W64" i="18" s="1"/>
  <c r="X71" i="18" s="1"/>
  <c r="V31" i="18"/>
  <c r="V39" i="18" s="1"/>
  <c r="T31" i="18"/>
  <c r="T65" i="18" s="1"/>
  <c r="S31" i="18"/>
  <c r="S39" i="18" s="1"/>
  <c r="Q31" i="18"/>
  <c r="Q67" i="18" s="1"/>
  <c r="P31" i="18"/>
  <c r="P66" i="18" s="1"/>
  <c r="N31" i="18"/>
  <c r="N39" i="18" s="1"/>
  <c r="M31" i="18"/>
  <c r="M67" i="18" s="1"/>
  <c r="K31" i="18"/>
  <c r="K36" i="18" s="1"/>
  <c r="J31" i="18"/>
  <c r="J39" i="18" s="1"/>
  <c r="H31" i="18"/>
  <c r="H66" i="18" s="1"/>
  <c r="G31" i="18"/>
  <c r="G67" i="18" s="1"/>
  <c r="E31" i="18"/>
  <c r="E39" i="18" s="1"/>
  <c r="D31" i="18"/>
  <c r="D39" i="18" s="1"/>
  <c r="B31" i="18"/>
  <c r="B65" i="18" s="1"/>
  <c r="AE30" i="18"/>
  <c r="AC30" i="18"/>
  <c r="AB30" i="18"/>
  <c r="Z30" i="18"/>
  <c r="Y30" i="18"/>
  <c r="W30" i="18"/>
  <c r="AN24" i="18" s="1"/>
  <c r="V30" i="18"/>
  <c r="T30" i="18"/>
  <c r="S30" i="18"/>
  <c r="Q30" i="18"/>
  <c r="AL28" i="18" s="1"/>
  <c r="P30" i="18"/>
  <c r="AK26" i="18" s="1"/>
  <c r="N30" i="18"/>
  <c r="M30" i="18"/>
  <c r="AJ27" i="18" s="1"/>
  <c r="K30" i="18"/>
  <c r="J30" i="18"/>
  <c r="H30" i="18"/>
  <c r="G30" i="18"/>
  <c r="E30" i="18"/>
  <c r="D30" i="18"/>
  <c r="AG28" i="18" s="1"/>
  <c r="B30" i="18"/>
  <c r="AD29" i="18"/>
  <c r="AA29" i="18"/>
  <c r="X29" i="18"/>
  <c r="U29" i="18"/>
  <c r="R29" i="18"/>
  <c r="O29" i="18"/>
  <c r="L29" i="18"/>
  <c r="I29" i="18"/>
  <c r="F29" i="18"/>
  <c r="A29" i="18"/>
  <c r="AP28" i="18"/>
  <c r="AO28" i="18"/>
  <c r="AM28" i="18"/>
  <c r="AK28" i="18"/>
  <c r="AJ28" i="18"/>
  <c r="AI28" i="18"/>
  <c r="AH28" i="18"/>
  <c r="AF28" i="18"/>
  <c r="AD28" i="18"/>
  <c r="AA28" i="18"/>
  <c r="X28" i="18"/>
  <c r="U28" i="18"/>
  <c r="R28" i="18"/>
  <c r="O28" i="18"/>
  <c r="L28" i="18"/>
  <c r="I28" i="18"/>
  <c r="F28" i="18"/>
  <c r="A28" i="18"/>
  <c r="AP27" i="18"/>
  <c r="AO27" i="18"/>
  <c r="AN27" i="18"/>
  <c r="AM27" i="18"/>
  <c r="AL27" i="18"/>
  <c r="AK27" i="18"/>
  <c r="AI27" i="18"/>
  <c r="AH27" i="18"/>
  <c r="AG27" i="18"/>
  <c r="AQ27" i="18" s="1"/>
  <c r="W14" i="18" s="1"/>
  <c r="AF27" i="18"/>
  <c r="AD27" i="18"/>
  <c r="AA27" i="18"/>
  <c r="X27" i="18"/>
  <c r="U27" i="18"/>
  <c r="R27" i="18"/>
  <c r="O27" i="18"/>
  <c r="L27" i="18"/>
  <c r="I27" i="18"/>
  <c r="F27" i="18"/>
  <c r="A27" i="18"/>
  <c r="AP26" i="18"/>
  <c r="AO26" i="18"/>
  <c r="AN26" i="18"/>
  <c r="AM26" i="18"/>
  <c r="AL26" i="18"/>
  <c r="AJ26" i="18"/>
  <c r="AI26" i="18"/>
  <c r="AQ26" i="18" s="1"/>
  <c r="W12" i="18" s="1"/>
  <c r="AH26" i="18"/>
  <c r="AG26" i="18"/>
  <c r="AF26" i="18"/>
  <c r="AD26" i="18"/>
  <c r="AA26" i="18"/>
  <c r="X26" i="18"/>
  <c r="U26" i="18"/>
  <c r="R26" i="18"/>
  <c r="O26" i="18"/>
  <c r="L26" i="18"/>
  <c r="I26" i="18"/>
  <c r="F26" i="18"/>
  <c r="A26" i="18"/>
  <c r="AP25" i="18"/>
  <c r="AO25" i="18"/>
  <c r="AN25" i="18"/>
  <c r="AM25" i="18"/>
  <c r="AL25" i="18"/>
  <c r="AK25" i="18"/>
  <c r="AJ25" i="18"/>
  <c r="AI25" i="18"/>
  <c r="AH25" i="18"/>
  <c r="AG25" i="18"/>
  <c r="AQ25" i="18" s="1"/>
  <c r="W10" i="18" s="1"/>
  <c r="AF25" i="18"/>
  <c r="AD25" i="18"/>
  <c r="AA25" i="18"/>
  <c r="X25" i="18"/>
  <c r="U25" i="18"/>
  <c r="R25" i="18"/>
  <c r="O25" i="18"/>
  <c r="L25" i="18"/>
  <c r="I25" i="18"/>
  <c r="F25" i="18"/>
  <c r="AP24" i="18"/>
  <c r="AO24" i="18"/>
  <c r="AM24" i="18"/>
  <c r="AL24" i="18"/>
  <c r="AJ24" i="18"/>
  <c r="AI24" i="18"/>
  <c r="AH24" i="18"/>
  <c r="AG24" i="18"/>
  <c r="AF24" i="18"/>
  <c r="AD24" i="18"/>
  <c r="AA24" i="18"/>
  <c r="X24" i="18"/>
  <c r="U24" i="18"/>
  <c r="R24" i="18"/>
  <c r="O24" i="18"/>
  <c r="L24" i="18"/>
  <c r="I24" i="18"/>
  <c r="F24" i="18"/>
  <c r="AC22" i="18"/>
  <c r="Z22" i="18"/>
  <c r="W22" i="18"/>
  <c r="T22" i="18"/>
  <c r="Q22" i="18"/>
  <c r="N22" i="18"/>
  <c r="K22" i="18"/>
  <c r="H22" i="18"/>
  <c r="E22" i="18"/>
  <c r="E17" i="18"/>
  <c r="R179" i="18" s="1"/>
  <c r="K212" i="18" s="1"/>
  <c r="E16" i="18"/>
  <c r="L179" i="18" s="1"/>
  <c r="B212" i="18" s="1"/>
  <c r="A16" i="18"/>
  <c r="E15" i="18"/>
  <c r="E14" i="18"/>
  <c r="B82" i="18" s="1"/>
  <c r="A14" i="18"/>
  <c r="E13" i="18"/>
  <c r="AB179" i="18" s="1"/>
  <c r="AG210" i="18" s="1"/>
  <c r="E12" i="18"/>
  <c r="V179" i="18" s="1"/>
  <c r="X210" i="18" s="1"/>
  <c r="A12" i="18"/>
  <c r="E11" i="18"/>
  <c r="AL179" i="18" s="1"/>
  <c r="AG212" i="18" s="1"/>
  <c r="E10" i="18"/>
  <c r="AF179" i="18" s="1"/>
  <c r="X212" i="18" s="1"/>
  <c r="A10" i="18"/>
  <c r="E9" i="18"/>
  <c r="H179" i="18" s="1"/>
  <c r="K210" i="18" s="1"/>
  <c r="E8" i="18"/>
  <c r="B179" i="18" s="1"/>
  <c r="B210" i="18" s="1"/>
  <c r="A8" i="18"/>
  <c r="R7" i="18"/>
  <c r="L7" i="18"/>
  <c r="K6" i="18"/>
  <c r="C190" i="21" l="1"/>
  <c r="D368" i="20"/>
  <c r="C369" i="20"/>
  <c r="D167" i="20"/>
  <c r="C168" i="20"/>
  <c r="D17" i="20"/>
  <c r="C18" i="20"/>
  <c r="C87" i="20"/>
  <c r="D86" i="20"/>
  <c r="C285" i="20"/>
  <c r="C286" i="20" s="1"/>
  <c r="C287" i="20" s="1"/>
  <c r="C288" i="20" s="1"/>
  <c r="C289" i="20" s="1"/>
  <c r="C290" i="20" s="1"/>
  <c r="C291" i="20" s="1"/>
  <c r="C292" i="20" s="1"/>
  <c r="C293" i="20" s="1"/>
  <c r="C294" i="20" s="1"/>
  <c r="C295" i="20" s="1"/>
  <c r="C296" i="20" s="1"/>
  <c r="C297" i="20" s="1"/>
  <c r="C298" i="20" s="1"/>
  <c r="C299" i="20" s="1"/>
  <c r="C300" i="20" s="1"/>
  <c r="C301" i="20" s="1"/>
  <c r="C302" i="20" s="1"/>
  <c r="C303" i="20" s="1"/>
  <c r="C304" i="20" s="1"/>
  <c r="C305" i="20" s="1"/>
  <c r="C306" i="20" s="1"/>
  <c r="C307" i="20" s="1"/>
  <c r="C308" i="20" s="1"/>
  <c r="C309" i="20" s="1"/>
  <c r="C310" i="20" s="1"/>
  <c r="C311" i="20" s="1"/>
  <c r="C312" i="20" s="1"/>
  <c r="C313" i="20" s="1"/>
  <c r="C314" i="20" s="1"/>
  <c r="C315" i="20" s="1"/>
  <c r="C316" i="20" s="1"/>
  <c r="C317" i="20" s="1"/>
  <c r="C393" i="20"/>
  <c r="C394" i="20" s="1"/>
  <c r="C395" i="20" s="1"/>
  <c r="C396" i="20" s="1"/>
  <c r="C397" i="20" s="1"/>
  <c r="C398" i="20" s="1"/>
  <c r="C399" i="20" s="1"/>
  <c r="C400" i="20" s="1"/>
  <c r="C401" i="20" s="1"/>
  <c r="C402" i="20" s="1"/>
  <c r="C403" i="20" s="1"/>
  <c r="C404" i="20" s="1"/>
  <c r="C405" i="20" s="1"/>
  <c r="C406" i="20" s="1"/>
  <c r="C407" i="20" s="1"/>
  <c r="C408" i="20" s="1"/>
  <c r="C409" i="20" s="1"/>
  <c r="C410" i="20" s="1"/>
  <c r="C411" i="20" s="1"/>
  <c r="C412" i="20" s="1"/>
  <c r="C413" i="20" s="1"/>
  <c r="C414" i="20" s="1"/>
  <c r="C415" i="20" s="1"/>
  <c r="C416" i="20" s="1"/>
  <c r="C417" i="20" s="1"/>
  <c r="C216" i="20"/>
  <c r="C7" i="20"/>
  <c r="C8" i="20" s="1"/>
  <c r="C9" i="20" s="1"/>
  <c r="W72" i="18"/>
  <c r="Y76" i="18"/>
  <c r="AE59" i="18"/>
  <c r="AC58" i="18"/>
  <c r="AA71" i="18"/>
  <c r="AF67" i="18"/>
  <c r="L14" i="18" s="1"/>
  <c r="M37" i="18"/>
  <c r="M49" i="18" s="1"/>
  <c r="AT82" i="18"/>
  <c r="C82" i="18"/>
  <c r="D82" i="18" s="1"/>
  <c r="G85" i="18" s="1"/>
  <c r="B227" i="18"/>
  <c r="A190" i="18"/>
  <c r="U190" i="18"/>
  <c r="W227" i="18"/>
  <c r="AK24" i="18"/>
  <c r="AQ24" i="18" s="1"/>
  <c r="W8" i="18" s="1"/>
  <c r="B36" i="18"/>
  <c r="N36" i="18"/>
  <c r="Z36" i="18"/>
  <c r="Z37" i="18" s="1"/>
  <c r="K39" i="18"/>
  <c r="W39" i="18"/>
  <c r="N64" i="18"/>
  <c r="O71" i="18" s="1"/>
  <c r="L156" i="18"/>
  <c r="AA156" i="18"/>
  <c r="K223" i="18"/>
  <c r="D36" i="18"/>
  <c r="D37" i="18" s="1"/>
  <c r="D50" i="18" s="1"/>
  <c r="P36" i="18"/>
  <c r="P37" i="18" s="1"/>
  <c r="P48" i="18" s="1"/>
  <c r="AB36" i="18"/>
  <c r="AE65" i="18"/>
  <c r="V66" i="18"/>
  <c r="U71" i="18" s="1"/>
  <c r="D68" i="18"/>
  <c r="B79" i="18"/>
  <c r="B83" i="18"/>
  <c r="AC129" i="18"/>
  <c r="B229" i="18"/>
  <c r="A204" i="18"/>
  <c r="A193" i="18"/>
  <c r="AN28" i="18"/>
  <c r="AQ28" i="18" s="1"/>
  <c r="W16" i="18" s="1"/>
  <c r="E36" i="18"/>
  <c r="Q36" i="18"/>
  <c r="Q37" i="18" s="1"/>
  <c r="AC36" i="18"/>
  <c r="B39" i="18"/>
  <c r="B44" i="18" s="1"/>
  <c r="Z39" i="18"/>
  <c r="H40" i="18"/>
  <c r="H44" i="18" s="1"/>
  <c r="T40" i="18"/>
  <c r="T44" i="18" s="1"/>
  <c r="E64" i="18"/>
  <c r="F71" i="18" s="1"/>
  <c r="AC64" i="18"/>
  <c r="AD71" i="18" s="1"/>
  <c r="AB193" i="18"/>
  <c r="G36" i="18"/>
  <c r="G37" i="18" s="1"/>
  <c r="G49" i="18" s="1"/>
  <c r="S36" i="18"/>
  <c r="AE36" i="18"/>
  <c r="AE37" i="18" s="1"/>
  <c r="AE47" i="18" s="1"/>
  <c r="P39" i="18"/>
  <c r="N44" i="18" s="1"/>
  <c r="AB39" i="18"/>
  <c r="S68" i="18"/>
  <c r="R71" i="18" s="1"/>
  <c r="W228" i="18"/>
  <c r="U199" i="18"/>
  <c r="C167" i="18"/>
  <c r="D167" i="18" s="1"/>
  <c r="G170" i="18" s="1"/>
  <c r="AT167" i="18"/>
  <c r="AF152" i="18"/>
  <c r="L99" i="18" s="1"/>
  <c r="U204" i="18"/>
  <c r="W229" i="18"/>
  <c r="T193" i="18"/>
  <c r="Q39" i="18"/>
  <c r="Q44" i="18" s="1"/>
  <c r="AF64" i="18"/>
  <c r="L8" i="18" s="1"/>
  <c r="K65" i="18"/>
  <c r="AF65" i="18" s="1"/>
  <c r="L10" i="18" s="1"/>
  <c r="F193" i="18"/>
  <c r="AB203" i="18"/>
  <c r="J36" i="18"/>
  <c r="V36" i="18"/>
  <c r="V37" i="18" s="1"/>
  <c r="V48" i="18" s="1"/>
  <c r="G39" i="18"/>
  <c r="E44" i="18" s="1"/>
  <c r="M40" i="18"/>
  <c r="Y40" i="18"/>
  <c r="J68" i="18"/>
  <c r="I71" i="18" s="1"/>
  <c r="B81" i="18"/>
  <c r="W129" i="18"/>
  <c r="W36" i="18"/>
  <c r="W37" i="18" s="1"/>
  <c r="F203" i="18"/>
  <c r="AF223" i="18"/>
  <c r="AF198" i="18" s="1"/>
  <c r="B80" i="18"/>
  <c r="B180" i="18"/>
  <c r="B211" i="18" s="1"/>
  <c r="B164" i="18"/>
  <c r="AT166" i="18"/>
  <c r="C166" i="18"/>
  <c r="D166" i="18" s="1"/>
  <c r="G166" i="18" s="1"/>
  <c r="H170" i="18" s="1"/>
  <c r="AT168" i="18"/>
  <c r="C168" i="18"/>
  <c r="D170" i="18" s="1"/>
  <c r="D147" i="18"/>
  <c r="B144" i="18"/>
  <c r="K121" i="18"/>
  <c r="W121" i="18"/>
  <c r="H124" i="18"/>
  <c r="T124" i="18"/>
  <c r="W149" i="18"/>
  <c r="B150" i="18"/>
  <c r="C156" i="18" s="1"/>
  <c r="L180" i="18"/>
  <c r="B213" i="18" s="1"/>
  <c r="M121" i="18"/>
  <c r="M122" i="18" s="1"/>
  <c r="M134" i="18" s="1"/>
  <c r="Y121" i="18"/>
  <c r="Y122" i="18" s="1"/>
  <c r="Y135" i="18" s="1"/>
  <c r="J124" i="18"/>
  <c r="V124" i="18"/>
  <c r="Y153" i="18"/>
  <c r="B165" i="18"/>
  <c r="B121" i="18"/>
  <c r="B122" i="18" s="1"/>
  <c r="N121" i="18"/>
  <c r="Z121" i="18"/>
  <c r="Z122" i="18" s="1"/>
  <c r="K124" i="18"/>
  <c r="K129" i="18" s="1"/>
  <c r="N149" i="18"/>
  <c r="O156" i="18" s="1"/>
  <c r="H151" i="18"/>
  <c r="AF151" i="18" s="1"/>
  <c r="L97" i="18" s="1"/>
  <c r="D121" i="18"/>
  <c r="P121" i="18"/>
  <c r="P122" i="18" s="1"/>
  <c r="P133" i="18" s="1"/>
  <c r="AB121" i="18"/>
  <c r="M124" i="18"/>
  <c r="AE150" i="18"/>
  <c r="V151" i="18"/>
  <c r="D153" i="18"/>
  <c r="AF153" i="18" s="1"/>
  <c r="L101" i="18" s="1"/>
  <c r="E121" i="18"/>
  <c r="Q121" i="18"/>
  <c r="AC121" i="18"/>
  <c r="Z124" i="18"/>
  <c r="E149" i="18"/>
  <c r="AC149" i="18"/>
  <c r="AD156" i="18" s="1"/>
  <c r="T150" i="18"/>
  <c r="U156" i="18" s="1"/>
  <c r="AF180" i="18"/>
  <c r="X213" i="18" s="1"/>
  <c r="G121" i="18"/>
  <c r="G122" i="18" s="1"/>
  <c r="G134" i="18" s="1"/>
  <c r="S121" i="18"/>
  <c r="S122" i="18" s="1"/>
  <c r="S135" i="18" s="1"/>
  <c r="AE121" i="18"/>
  <c r="AE122" i="18" s="1"/>
  <c r="AE132" i="18" s="1"/>
  <c r="P124" i="18"/>
  <c r="N129" i="18" s="1"/>
  <c r="AB124" i="18"/>
  <c r="S153" i="18"/>
  <c r="R156" i="18" s="1"/>
  <c r="Q124" i="18"/>
  <c r="Q129" i="18" s="1"/>
  <c r="J121" i="18"/>
  <c r="G124" i="18"/>
  <c r="E129" i="18" s="1"/>
  <c r="D190" i="21" l="1"/>
  <c r="C45" i="21"/>
  <c r="D87" i="20"/>
  <c r="C88" i="20"/>
  <c r="D18" i="20"/>
  <c r="D19" i="20" s="1"/>
  <c r="D20" i="20" s="1"/>
  <c r="D21" i="20" s="1"/>
  <c r="D22" i="20" s="1"/>
  <c r="D23" i="20" s="1"/>
  <c r="D24" i="20" s="1"/>
  <c r="D25" i="20" s="1"/>
  <c r="D26" i="20" s="1"/>
  <c r="D27" i="20" s="1"/>
  <c r="D28" i="20" s="1"/>
  <c r="D29" i="20" s="1"/>
  <c r="D30" i="20" s="1"/>
  <c r="D31" i="20" s="1"/>
  <c r="D32" i="20" s="1"/>
  <c r="D33" i="20" s="1"/>
  <c r="D34" i="20" s="1"/>
  <c r="D35" i="20" s="1"/>
  <c r="D36" i="20" s="1"/>
  <c r="D37" i="20" s="1"/>
  <c r="D38" i="20" s="1"/>
  <c r="D39" i="20" s="1"/>
  <c r="D40" i="20" s="1"/>
  <c r="D41" i="20" s="1"/>
  <c r="D42" i="20" s="1"/>
  <c r="D43" i="20" s="1"/>
  <c r="D44" i="20" s="1"/>
  <c r="D45" i="20" s="1"/>
  <c r="D46" i="20" s="1"/>
  <c r="D47" i="20" s="1"/>
  <c r="C19" i="20"/>
  <c r="C20" i="20" s="1"/>
  <c r="C21" i="20" s="1"/>
  <c r="C22" i="20" s="1"/>
  <c r="C23" i="20" s="1"/>
  <c r="C24" i="20" s="1"/>
  <c r="C25" i="20" s="1"/>
  <c r="C26" i="20" s="1"/>
  <c r="C27" i="20" s="1"/>
  <c r="C28" i="20" s="1"/>
  <c r="C29" i="20" s="1"/>
  <c r="C30" i="20" s="1"/>
  <c r="C31" i="20" s="1"/>
  <c r="C32" i="20" s="1"/>
  <c r="C33" i="20" s="1"/>
  <c r="C34" i="20" s="1"/>
  <c r="C35" i="20" s="1"/>
  <c r="C36" i="20" s="1"/>
  <c r="C37" i="20" s="1"/>
  <c r="C38" i="20" s="1"/>
  <c r="C39" i="20" s="1"/>
  <c r="C40" i="20" s="1"/>
  <c r="C41" i="20" s="1"/>
  <c r="C42" i="20" s="1"/>
  <c r="C43" i="20" s="1"/>
  <c r="C44" i="20" s="1"/>
  <c r="C45" i="20" s="1"/>
  <c r="C46" i="20" s="1"/>
  <c r="C47" i="20" s="1"/>
  <c r="C48" i="20" s="1"/>
  <c r="D168" i="20"/>
  <c r="C169" i="20"/>
  <c r="D216" i="20"/>
  <c r="D217" i="20" s="1"/>
  <c r="D218" i="20" s="1"/>
  <c r="D219" i="20" s="1"/>
  <c r="D220" i="20" s="1"/>
  <c r="D221" i="20" s="1"/>
  <c r="D222" i="20" s="1"/>
  <c r="D223" i="20" s="1"/>
  <c r="D224" i="20" s="1"/>
  <c r="D225" i="20" s="1"/>
  <c r="D226" i="20" s="1"/>
  <c r="D227" i="20" s="1"/>
  <c r="D228" i="20" s="1"/>
  <c r="D229" i="20" s="1"/>
  <c r="D230" i="20" s="1"/>
  <c r="D231" i="20" s="1"/>
  <c r="D232" i="20" s="1"/>
  <c r="D233" i="20" s="1"/>
  <c r="D234" i="20" s="1"/>
  <c r="D235" i="20" s="1"/>
  <c r="D236" i="20" s="1"/>
  <c r="D237" i="20" s="1"/>
  <c r="D238" i="20" s="1"/>
  <c r="D239" i="20" s="1"/>
  <c r="D240" i="20" s="1"/>
  <c r="D241" i="20" s="1"/>
  <c r="D242" i="20" s="1"/>
  <c r="D243" i="20" s="1"/>
  <c r="D244" i="20" s="1"/>
  <c r="D245" i="20" s="1"/>
  <c r="D246" i="20" s="1"/>
  <c r="D247" i="20" s="1"/>
  <c r="D248" i="20" s="1"/>
  <c r="D249" i="20" s="1"/>
  <c r="D250" i="20" s="1"/>
  <c r="D251" i="20" s="1"/>
  <c r="D252" i="20" s="1"/>
  <c r="D253" i="20" s="1"/>
  <c r="D254" i="20" s="1"/>
  <c r="D255" i="20" s="1"/>
  <c r="D256" i="20" s="1"/>
  <c r="D257" i="20" s="1"/>
  <c r="C217" i="20"/>
  <c r="C218" i="20" s="1"/>
  <c r="C219" i="20" s="1"/>
  <c r="C220" i="20" s="1"/>
  <c r="C221" i="20" s="1"/>
  <c r="C222" i="20" s="1"/>
  <c r="C223" i="20" s="1"/>
  <c r="C224" i="20" s="1"/>
  <c r="C225" i="20" s="1"/>
  <c r="C226" i="20" s="1"/>
  <c r="C227" i="20" s="1"/>
  <c r="C228" i="20" s="1"/>
  <c r="C229" i="20" s="1"/>
  <c r="C230" i="20" s="1"/>
  <c r="C231" i="20" s="1"/>
  <c r="C232" i="20" s="1"/>
  <c r="C233" i="20" s="1"/>
  <c r="C234" i="20" s="1"/>
  <c r="C235" i="20" s="1"/>
  <c r="C236" i="20" s="1"/>
  <c r="C237" i="20" s="1"/>
  <c r="C238" i="20" s="1"/>
  <c r="C239" i="20" s="1"/>
  <c r="C240" i="20" s="1"/>
  <c r="C241" i="20" s="1"/>
  <c r="C242" i="20" s="1"/>
  <c r="C243" i="20" s="1"/>
  <c r="C244" i="20" s="1"/>
  <c r="C245" i="20" s="1"/>
  <c r="C246" i="20" s="1"/>
  <c r="C247" i="20" s="1"/>
  <c r="C248" i="20" s="1"/>
  <c r="C249" i="20" s="1"/>
  <c r="C250" i="20" s="1"/>
  <c r="C251" i="20" s="1"/>
  <c r="C252" i="20" s="1"/>
  <c r="C253" i="20" s="1"/>
  <c r="C254" i="20" s="1"/>
  <c r="C255" i="20" s="1"/>
  <c r="C256" i="20" s="1"/>
  <c r="C257" i="20" s="1"/>
  <c r="C258" i="20" s="1"/>
  <c r="C418" i="20"/>
  <c r="C419" i="20" s="1"/>
  <c r="D417" i="20"/>
  <c r="D418" i="20" s="1"/>
  <c r="C370" i="20"/>
  <c r="D369" i="20"/>
  <c r="C318" i="20"/>
  <c r="D317" i="20"/>
  <c r="G146" i="18"/>
  <c r="E143" i="18"/>
  <c r="H74" i="18"/>
  <c r="J76" i="18"/>
  <c r="T158" i="18"/>
  <c r="V159" i="18"/>
  <c r="T122" i="18"/>
  <c r="Q160" i="18"/>
  <c r="S161" i="18"/>
  <c r="G61" i="18"/>
  <c r="E58" i="18"/>
  <c r="S76" i="18"/>
  <c r="Q75" i="18"/>
  <c r="V74" i="18"/>
  <c r="T73" i="18"/>
  <c r="P145" i="18"/>
  <c r="N143" i="18"/>
  <c r="D161" i="18"/>
  <c r="B158" i="18"/>
  <c r="V60" i="18"/>
  <c r="T59" i="18"/>
  <c r="N58" i="18"/>
  <c r="P60" i="18"/>
  <c r="H60" i="18"/>
  <c r="J62" i="18"/>
  <c r="Z129" i="18"/>
  <c r="AB122" i="18"/>
  <c r="AB134" i="18" s="1"/>
  <c r="N122" i="18"/>
  <c r="A195" i="18"/>
  <c r="B230" i="18"/>
  <c r="S37" i="18"/>
  <c r="S50" i="18" s="1"/>
  <c r="AC37" i="18"/>
  <c r="AF68" i="18"/>
  <c r="L16" i="18" s="1"/>
  <c r="W44" i="18"/>
  <c r="AC122" i="18"/>
  <c r="B132" i="18"/>
  <c r="Q49" i="18"/>
  <c r="R37" i="18"/>
  <c r="K44" i="18"/>
  <c r="AT226" i="18"/>
  <c r="AF66" i="18"/>
  <c r="L12" i="18" s="1"/>
  <c r="Q122" i="18"/>
  <c r="D122" i="18"/>
  <c r="D135" i="18" s="1"/>
  <c r="AT165" i="18"/>
  <c r="C165" i="18"/>
  <c r="B170" i="18" s="1"/>
  <c r="AF150" i="18"/>
  <c r="L95" i="18" s="1"/>
  <c r="AT164" i="18"/>
  <c r="C164" i="18"/>
  <c r="D164" i="18" s="1"/>
  <c r="E170" i="18" s="1"/>
  <c r="G171" i="18" s="1"/>
  <c r="G172" i="18" s="1"/>
  <c r="AC72" i="18"/>
  <c r="AE73" i="18"/>
  <c r="E37" i="18"/>
  <c r="Z48" i="18"/>
  <c r="X156" i="18"/>
  <c r="W122" i="18" s="1"/>
  <c r="B228" i="18"/>
  <c r="A199" i="18"/>
  <c r="S62" i="18"/>
  <c r="Q61" i="18"/>
  <c r="AT231" i="18"/>
  <c r="G75" i="18"/>
  <c r="E72" i="18"/>
  <c r="AB37" i="18"/>
  <c r="AB49" i="18" s="1"/>
  <c r="AF49" i="18" s="1"/>
  <c r="N37" i="18"/>
  <c r="Q146" i="18"/>
  <c r="S147" i="18"/>
  <c r="W230" i="18"/>
  <c r="U195" i="18"/>
  <c r="T129" i="18"/>
  <c r="AT80" i="18"/>
  <c r="C80" i="18"/>
  <c r="B85" i="18" s="1"/>
  <c r="J37" i="18"/>
  <c r="J50" i="18" s="1"/>
  <c r="AC143" i="18"/>
  <c r="AE144" i="18"/>
  <c r="Z159" i="18"/>
  <c r="AB160" i="18"/>
  <c r="B37" i="18"/>
  <c r="T37" i="18"/>
  <c r="C71" i="18"/>
  <c r="P159" i="18"/>
  <c r="N157" i="18"/>
  <c r="H129" i="18"/>
  <c r="W143" i="18"/>
  <c r="Y147" i="18"/>
  <c r="AT232" i="18"/>
  <c r="AF50" i="18"/>
  <c r="K158" i="18"/>
  <c r="M160" i="18"/>
  <c r="Y37" i="18"/>
  <c r="Y50" i="18" s="1"/>
  <c r="H37" i="18"/>
  <c r="AC157" i="18"/>
  <c r="AE158" i="18"/>
  <c r="M146" i="18"/>
  <c r="K144" i="18"/>
  <c r="D171" i="18"/>
  <c r="D172" i="18" s="1"/>
  <c r="I156" i="18"/>
  <c r="C81" i="18"/>
  <c r="D81" i="18" s="1"/>
  <c r="G81" i="18" s="1"/>
  <c r="H85" i="18" s="1"/>
  <c r="AT81" i="18"/>
  <c r="Z44" i="18"/>
  <c r="AT228" i="18"/>
  <c r="AT83" i="18"/>
  <c r="C83" i="18"/>
  <c r="D85" i="18" s="1"/>
  <c r="J198" i="18"/>
  <c r="AT230" i="18"/>
  <c r="AF149" i="18"/>
  <c r="L93" i="18" s="1"/>
  <c r="F156" i="18"/>
  <c r="AA122" i="18"/>
  <c r="Z133" i="18"/>
  <c r="K122" i="18"/>
  <c r="W46" i="18"/>
  <c r="X37" i="18"/>
  <c r="H122" i="18"/>
  <c r="D62" i="18"/>
  <c r="B59" i="18"/>
  <c r="AT79" i="18"/>
  <c r="C79" i="18"/>
  <c r="D79" i="18" s="1"/>
  <c r="E85" i="18" s="1"/>
  <c r="G86" i="18" s="1"/>
  <c r="G87" i="18" s="1"/>
  <c r="P74" i="18"/>
  <c r="N72" i="18"/>
  <c r="Z74" i="18"/>
  <c r="AB75" i="18"/>
  <c r="L71" i="18"/>
  <c r="AW12" i="15"/>
  <c r="AW11" i="15"/>
  <c r="AW10" i="15"/>
  <c r="AW9" i="15"/>
  <c r="AW8" i="15"/>
  <c r="AW7" i="15"/>
  <c r="AW6" i="15"/>
  <c r="AW5" i="15"/>
  <c r="AW4" i="15"/>
  <c r="AW3" i="15"/>
  <c r="AE221" i="15"/>
  <c r="AC221" i="15"/>
  <c r="AB221" i="15"/>
  <c r="Z221" i="15"/>
  <c r="Y221" i="15"/>
  <c r="W221" i="15"/>
  <c r="J221" i="15"/>
  <c r="H221" i="15"/>
  <c r="G221" i="15"/>
  <c r="E221" i="15"/>
  <c r="D221" i="15"/>
  <c r="B221" i="15"/>
  <c r="AE220" i="15"/>
  <c r="AC220" i="15"/>
  <c r="AC222" i="15" s="1"/>
  <c r="AB220" i="15"/>
  <c r="Z220" i="15"/>
  <c r="Z222" i="15" s="1"/>
  <c r="AE218" i="15" s="1"/>
  <c r="Y220" i="15"/>
  <c r="W220" i="15"/>
  <c r="J220" i="15"/>
  <c r="H220" i="15"/>
  <c r="G220" i="15"/>
  <c r="E220" i="15"/>
  <c r="E222" i="15" s="1"/>
  <c r="J218" i="15" s="1"/>
  <c r="D220" i="15"/>
  <c r="B220" i="15"/>
  <c r="B222" i="15" s="1"/>
  <c r="H218" i="15" s="1"/>
  <c r="AE219" i="15"/>
  <c r="AE222" i="15" s="1"/>
  <c r="AC219" i="15"/>
  <c r="AB219" i="15"/>
  <c r="AB222" i="15" s="1"/>
  <c r="Z219" i="15"/>
  <c r="Y219" i="15"/>
  <c r="Y222" i="15" s="1"/>
  <c r="W219" i="15"/>
  <c r="W222" i="15" s="1"/>
  <c r="AC218" i="15" s="1"/>
  <c r="J219" i="15"/>
  <c r="J222" i="15" s="1"/>
  <c r="H219" i="15"/>
  <c r="H222" i="15" s="1"/>
  <c r="G219" i="15"/>
  <c r="G222" i="15" s="1"/>
  <c r="E219" i="15"/>
  <c r="D219" i="15"/>
  <c r="D222" i="15" s="1"/>
  <c r="B219" i="15"/>
  <c r="A174" i="15"/>
  <c r="AE161" i="15"/>
  <c r="AC161" i="15"/>
  <c r="AB161" i="15"/>
  <c r="Z161" i="15"/>
  <c r="W161" i="15"/>
  <c r="V161" i="15"/>
  <c r="T161" i="15"/>
  <c r="Q161" i="15"/>
  <c r="P161" i="15"/>
  <c r="N161" i="15"/>
  <c r="M161" i="15"/>
  <c r="K161" i="15"/>
  <c r="H161" i="15"/>
  <c r="G161" i="15"/>
  <c r="E161" i="15"/>
  <c r="B161" i="15"/>
  <c r="AE160" i="15"/>
  <c r="AC160" i="15"/>
  <c r="Z160" i="15"/>
  <c r="Y160" i="15"/>
  <c r="W160" i="15"/>
  <c r="V160" i="15"/>
  <c r="T160" i="15"/>
  <c r="S160" i="15"/>
  <c r="P160" i="15"/>
  <c r="N160" i="15"/>
  <c r="K160" i="15"/>
  <c r="J160" i="15"/>
  <c r="H160" i="15"/>
  <c r="E160" i="15"/>
  <c r="D160" i="15"/>
  <c r="B160" i="15"/>
  <c r="AE159" i="15"/>
  <c r="AC159" i="15"/>
  <c r="AB159" i="15"/>
  <c r="Y159" i="15"/>
  <c r="W159" i="15"/>
  <c r="T159" i="15"/>
  <c r="S159" i="15"/>
  <c r="Q159" i="15"/>
  <c r="N159" i="15"/>
  <c r="M159" i="15"/>
  <c r="K159" i="15"/>
  <c r="J159" i="15"/>
  <c r="G159" i="15"/>
  <c r="E159" i="15"/>
  <c r="D159" i="15"/>
  <c r="B159" i="15"/>
  <c r="AC158" i="15"/>
  <c r="AB158" i="15"/>
  <c r="Z158" i="15"/>
  <c r="Y158" i="15"/>
  <c r="W158" i="15"/>
  <c r="V158" i="15"/>
  <c r="S158" i="15"/>
  <c r="Q158" i="15"/>
  <c r="P158" i="15"/>
  <c r="N158" i="15"/>
  <c r="M158" i="15"/>
  <c r="J158" i="15"/>
  <c r="H158" i="15"/>
  <c r="G158" i="15"/>
  <c r="E158" i="15"/>
  <c r="D158" i="15"/>
  <c r="AE157" i="15"/>
  <c r="AB157" i="15"/>
  <c r="Z157" i="15"/>
  <c r="Y157" i="15"/>
  <c r="V157" i="15"/>
  <c r="T157" i="15"/>
  <c r="S157" i="15"/>
  <c r="Q157" i="15"/>
  <c r="P157" i="15"/>
  <c r="M157" i="15"/>
  <c r="K157" i="15"/>
  <c r="J157" i="15"/>
  <c r="H157" i="15"/>
  <c r="G157" i="15"/>
  <c r="D157" i="15"/>
  <c r="B157" i="15"/>
  <c r="AE153" i="15"/>
  <c r="AC153" i="15"/>
  <c r="AB153" i="15"/>
  <c r="Z153" i="15"/>
  <c r="W153" i="15"/>
  <c r="V153" i="15"/>
  <c r="T153" i="15"/>
  <c r="Q153" i="15"/>
  <c r="P153" i="15"/>
  <c r="N153" i="15"/>
  <c r="M153" i="15"/>
  <c r="K153" i="15"/>
  <c r="H153" i="15"/>
  <c r="G153" i="15"/>
  <c r="E153" i="15"/>
  <c r="B153" i="15"/>
  <c r="AE152" i="15"/>
  <c r="AC152" i="15"/>
  <c r="Z152" i="15"/>
  <c r="Y152" i="15"/>
  <c r="W152" i="15"/>
  <c r="V152" i="15"/>
  <c r="T152" i="15"/>
  <c r="S152" i="15"/>
  <c r="P152" i="15"/>
  <c r="N152" i="15"/>
  <c r="K152" i="15"/>
  <c r="J152" i="15"/>
  <c r="H152" i="15"/>
  <c r="E152" i="15"/>
  <c r="D152" i="15"/>
  <c r="B152" i="15"/>
  <c r="AE151" i="15"/>
  <c r="AC151" i="15"/>
  <c r="AB151" i="15"/>
  <c r="Y151" i="15"/>
  <c r="W151" i="15"/>
  <c r="T151" i="15"/>
  <c r="S151" i="15"/>
  <c r="Q151" i="15"/>
  <c r="N151" i="15"/>
  <c r="M151" i="15"/>
  <c r="K151" i="15"/>
  <c r="J151" i="15"/>
  <c r="G151" i="15"/>
  <c r="E151" i="15"/>
  <c r="D151" i="15"/>
  <c r="B151" i="15"/>
  <c r="AC150" i="15"/>
  <c r="AB150" i="15"/>
  <c r="Z150" i="15"/>
  <c r="AA156" i="15" s="1"/>
  <c r="Y150" i="15"/>
  <c r="W150" i="15"/>
  <c r="V150" i="15"/>
  <c r="S150" i="15"/>
  <c r="Q150" i="15"/>
  <c r="P150" i="15"/>
  <c r="N150" i="15"/>
  <c r="M150" i="15"/>
  <c r="J150" i="15"/>
  <c r="H150" i="15"/>
  <c r="G150" i="15"/>
  <c r="E150" i="15"/>
  <c r="D150" i="15"/>
  <c r="B150" i="15"/>
  <c r="AE149" i="15"/>
  <c r="AB149" i="15"/>
  <c r="Z149" i="15"/>
  <c r="Y149" i="15"/>
  <c r="V149" i="15"/>
  <c r="T149" i="15"/>
  <c r="S149" i="15"/>
  <c r="Q149" i="15"/>
  <c r="P149" i="15"/>
  <c r="M149" i="15"/>
  <c r="K149" i="15"/>
  <c r="J149" i="15"/>
  <c r="H149" i="15"/>
  <c r="G149" i="15"/>
  <c r="D149" i="15"/>
  <c r="B149" i="15"/>
  <c r="AE147" i="15"/>
  <c r="AC147" i="15"/>
  <c r="AB147" i="15"/>
  <c r="Z147" i="15"/>
  <c r="W147" i="15"/>
  <c r="V147" i="15"/>
  <c r="T147" i="15"/>
  <c r="Q147" i="15"/>
  <c r="P147" i="15"/>
  <c r="N147" i="15"/>
  <c r="M147" i="15"/>
  <c r="K147" i="15"/>
  <c r="H147" i="15"/>
  <c r="G147" i="15"/>
  <c r="E147" i="15"/>
  <c r="B147" i="15"/>
  <c r="AE146" i="15"/>
  <c r="AC146" i="15"/>
  <c r="Z146" i="15"/>
  <c r="Y146" i="15"/>
  <c r="W146" i="15"/>
  <c r="V146" i="15"/>
  <c r="T146" i="15"/>
  <c r="S146" i="15"/>
  <c r="P146" i="15"/>
  <c r="N146" i="15"/>
  <c r="K146" i="15"/>
  <c r="J146" i="15"/>
  <c r="H146" i="15"/>
  <c r="E146" i="15"/>
  <c r="D146" i="15"/>
  <c r="B146" i="15"/>
  <c r="AE145" i="15"/>
  <c r="AC145" i="15"/>
  <c r="AB145" i="15"/>
  <c r="Y145" i="15"/>
  <c r="W145" i="15"/>
  <c r="T145" i="15"/>
  <c r="S145" i="15"/>
  <c r="Q145" i="15"/>
  <c r="N145" i="15"/>
  <c r="M145" i="15"/>
  <c r="K145" i="15"/>
  <c r="J145" i="15"/>
  <c r="G145" i="15"/>
  <c r="E145" i="15"/>
  <c r="D145" i="15"/>
  <c r="B145" i="15"/>
  <c r="AC144" i="15"/>
  <c r="AB144" i="15"/>
  <c r="Z144" i="15"/>
  <c r="Y144" i="15"/>
  <c r="W144" i="15"/>
  <c r="V144" i="15"/>
  <c r="S144" i="15"/>
  <c r="Q144" i="15"/>
  <c r="P144" i="15"/>
  <c r="N144" i="15"/>
  <c r="M144" i="15"/>
  <c r="J144" i="15"/>
  <c r="H144" i="15"/>
  <c r="G144" i="15"/>
  <c r="E144" i="15"/>
  <c r="D144" i="15"/>
  <c r="AE143" i="15"/>
  <c r="AB143" i="15"/>
  <c r="Z143" i="15"/>
  <c r="Y143" i="15"/>
  <c r="V143" i="15"/>
  <c r="T143" i="15"/>
  <c r="S143" i="15"/>
  <c r="Q143" i="15"/>
  <c r="P143" i="15"/>
  <c r="M143" i="15"/>
  <c r="K143" i="15"/>
  <c r="J143" i="15"/>
  <c r="H143" i="15"/>
  <c r="G143" i="15"/>
  <c r="D143" i="15"/>
  <c r="B143" i="15"/>
  <c r="AE141" i="15"/>
  <c r="AC141" i="15"/>
  <c r="AB141" i="15"/>
  <c r="Z141" i="15"/>
  <c r="W141" i="15"/>
  <c r="V141" i="15"/>
  <c r="T141" i="15"/>
  <c r="Q141" i="15"/>
  <c r="P141" i="15"/>
  <c r="N141" i="15"/>
  <c r="M141" i="15"/>
  <c r="K141" i="15"/>
  <c r="H141" i="15"/>
  <c r="G141" i="15"/>
  <c r="E141" i="15"/>
  <c r="B141" i="15"/>
  <c r="AE140" i="15"/>
  <c r="AC140" i="15"/>
  <c r="Z140" i="15"/>
  <c r="Y140" i="15"/>
  <c r="W140" i="15"/>
  <c r="V140" i="15"/>
  <c r="T140" i="15"/>
  <c r="S140" i="15"/>
  <c r="P140" i="15"/>
  <c r="N140" i="15"/>
  <c r="K140" i="15"/>
  <c r="J140" i="15"/>
  <c r="H140" i="15"/>
  <c r="E140" i="15"/>
  <c r="D140" i="15"/>
  <c r="B140" i="15"/>
  <c r="AE139" i="15"/>
  <c r="AC139" i="15"/>
  <c r="AB139" i="15"/>
  <c r="Y139" i="15"/>
  <c r="W139" i="15"/>
  <c r="T139" i="15"/>
  <c r="S139" i="15"/>
  <c r="Q139" i="15"/>
  <c r="N139" i="15"/>
  <c r="M139" i="15"/>
  <c r="K139" i="15"/>
  <c r="J139" i="15"/>
  <c r="G139" i="15"/>
  <c r="E139" i="15"/>
  <c r="D139" i="15"/>
  <c r="B139" i="15"/>
  <c r="AC138" i="15"/>
  <c r="AB138" i="15"/>
  <c r="Z138" i="15"/>
  <c r="Y138" i="15"/>
  <c r="W138" i="15"/>
  <c r="V138" i="15"/>
  <c r="S138" i="15"/>
  <c r="Q138" i="15"/>
  <c r="P138" i="15"/>
  <c r="N138" i="15"/>
  <c r="M138" i="15"/>
  <c r="J138" i="15"/>
  <c r="H138" i="15"/>
  <c r="G138" i="15"/>
  <c r="E138" i="15"/>
  <c r="D138" i="15"/>
  <c r="AE137" i="15"/>
  <c r="AB137" i="15"/>
  <c r="Z137" i="15"/>
  <c r="Y137" i="15"/>
  <c r="V137" i="15"/>
  <c r="T137" i="15"/>
  <c r="S137" i="15"/>
  <c r="Q137" i="15"/>
  <c r="P137" i="15"/>
  <c r="M137" i="15"/>
  <c r="K137" i="15"/>
  <c r="J137" i="15"/>
  <c r="H137" i="15"/>
  <c r="G137" i="15"/>
  <c r="D137" i="15"/>
  <c r="B137" i="15"/>
  <c r="AE135" i="15"/>
  <c r="AC135" i="15"/>
  <c r="AB135" i="15"/>
  <c r="Z135" i="15"/>
  <c r="W135" i="15"/>
  <c r="V135" i="15"/>
  <c r="T135" i="15"/>
  <c r="Q135" i="15"/>
  <c r="P135" i="15"/>
  <c r="N135" i="15"/>
  <c r="M135" i="15"/>
  <c r="K135" i="15"/>
  <c r="H135" i="15"/>
  <c r="G135" i="15"/>
  <c r="E135" i="15"/>
  <c r="B135" i="15"/>
  <c r="AE134" i="15"/>
  <c r="AC134" i="15"/>
  <c r="Z134" i="15"/>
  <c r="Y134" i="15"/>
  <c r="W134" i="15"/>
  <c r="V134" i="15"/>
  <c r="T134" i="15"/>
  <c r="S134" i="15"/>
  <c r="P134" i="15"/>
  <c r="N134" i="15"/>
  <c r="K134" i="15"/>
  <c r="J134" i="15"/>
  <c r="H134" i="15"/>
  <c r="E134" i="15"/>
  <c r="D134" i="15"/>
  <c r="B134" i="15"/>
  <c r="AE133" i="15"/>
  <c r="AC133" i="15"/>
  <c r="AB133" i="15"/>
  <c r="Y133" i="15"/>
  <c r="W133" i="15"/>
  <c r="T133" i="15"/>
  <c r="S133" i="15"/>
  <c r="Q133" i="15"/>
  <c r="N133" i="15"/>
  <c r="M133" i="15"/>
  <c r="K133" i="15"/>
  <c r="J133" i="15"/>
  <c r="G133" i="15"/>
  <c r="E133" i="15"/>
  <c r="D133" i="15"/>
  <c r="B133" i="15"/>
  <c r="AC132" i="15"/>
  <c r="AB132" i="15"/>
  <c r="Z132" i="15"/>
  <c r="Y132" i="15"/>
  <c r="W132" i="15"/>
  <c r="V132" i="15"/>
  <c r="S132" i="15"/>
  <c r="Q132" i="15"/>
  <c r="P132" i="15"/>
  <c r="N132" i="15"/>
  <c r="M132" i="15"/>
  <c r="J132" i="15"/>
  <c r="H132" i="15"/>
  <c r="G132" i="15"/>
  <c r="E132" i="15"/>
  <c r="D132" i="15"/>
  <c r="AE131" i="15"/>
  <c r="AB131" i="15"/>
  <c r="Z131" i="15"/>
  <c r="Y131" i="15"/>
  <c r="V131" i="15"/>
  <c r="T131" i="15"/>
  <c r="S131" i="15"/>
  <c r="Q131" i="15"/>
  <c r="P131" i="15"/>
  <c r="M131" i="15"/>
  <c r="K131" i="15"/>
  <c r="J131" i="15"/>
  <c r="H131" i="15"/>
  <c r="G131" i="15"/>
  <c r="D131" i="15"/>
  <c r="B131" i="15"/>
  <c r="B129" i="15"/>
  <c r="T128" i="15"/>
  <c r="H128" i="15"/>
  <c r="Z127" i="15"/>
  <c r="N127" i="15"/>
  <c r="B127" i="15"/>
  <c r="T126" i="15"/>
  <c r="H126" i="15"/>
  <c r="Z125" i="15"/>
  <c r="N125" i="15"/>
  <c r="B125" i="15"/>
  <c r="T124" i="15"/>
  <c r="H124" i="15"/>
  <c r="T122" i="15"/>
  <c r="AE120" i="15"/>
  <c r="AE128" i="15" s="1"/>
  <c r="AC120" i="15"/>
  <c r="AC128" i="15" s="1"/>
  <c r="AB120" i="15"/>
  <c r="AB128" i="15" s="1"/>
  <c r="Z120" i="15"/>
  <c r="Z128" i="15" s="1"/>
  <c r="Y120" i="15"/>
  <c r="Y128" i="15" s="1"/>
  <c r="W120" i="15"/>
  <c r="W128" i="15" s="1"/>
  <c r="V120" i="15"/>
  <c r="V128" i="15" s="1"/>
  <c r="T120" i="15"/>
  <c r="S120" i="15"/>
  <c r="S128" i="15" s="1"/>
  <c r="Q120" i="15"/>
  <c r="Q128" i="15" s="1"/>
  <c r="P120" i="15"/>
  <c r="P128" i="15" s="1"/>
  <c r="N120" i="15"/>
  <c r="N128" i="15" s="1"/>
  <c r="M120" i="15"/>
  <c r="M128" i="15" s="1"/>
  <c r="K120" i="15"/>
  <c r="K128" i="15" s="1"/>
  <c r="J120" i="15"/>
  <c r="J128" i="15" s="1"/>
  <c r="H120" i="15"/>
  <c r="G120" i="15"/>
  <c r="G128" i="15" s="1"/>
  <c r="E120" i="15"/>
  <c r="E128" i="15" s="1"/>
  <c r="D120" i="15"/>
  <c r="D128" i="15" s="1"/>
  <c r="B120" i="15"/>
  <c r="B128" i="15" s="1"/>
  <c r="AE119" i="15"/>
  <c r="AE127" i="15" s="1"/>
  <c r="AC119" i="15"/>
  <c r="AC127" i="15" s="1"/>
  <c r="AB119" i="15"/>
  <c r="AB127" i="15" s="1"/>
  <c r="Z119" i="15"/>
  <c r="Y119" i="15"/>
  <c r="Y127" i="15" s="1"/>
  <c r="W119" i="15"/>
  <c r="W127" i="15" s="1"/>
  <c r="V119" i="15"/>
  <c r="V127" i="15" s="1"/>
  <c r="T119" i="15"/>
  <c r="T127" i="15" s="1"/>
  <c r="S119" i="15"/>
  <c r="S127" i="15" s="1"/>
  <c r="Q119" i="15"/>
  <c r="Q127" i="15" s="1"/>
  <c r="P119" i="15"/>
  <c r="P127" i="15" s="1"/>
  <c r="N119" i="15"/>
  <c r="M119" i="15"/>
  <c r="M127" i="15" s="1"/>
  <c r="K119" i="15"/>
  <c r="K127" i="15" s="1"/>
  <c r="J119" i="15"/>
  <c r="J127" i="15" s="1"/>
  <c r="H119" i="15"/>
  <c r="H127" i="15" s="1"/>
  <c r="G119" i="15"/>
  <c r="G127" i="15" s="1"/>
  <c r="E119" i="15"/>
  <c r="E127" i="15" s="1"/>
  <c r="D119" i="15"/>
  <c r="D127" i="15" s="1"/>
  <c r="B119" i="15"/>
  <c r="AE118" i="15"/>
  <c r="AE126" i="15" s="1"/>
  <c r="AC118" i="15"/>
  <c r="AC126" i="15" s="1"/>
  <c r="AB118" i="15"/>
  <c r="AB126" i="15" s="1"/>
  <c r="Z118" i="15"/>
  <c r="Z126" i="15" s="1"/>
  <c r="Y118" i="15"/>
  <c r="Y126" i="15" s="1"/>
  <c r="W118" i="15"/>
  <c r="W126" i="15" s="1"/>
  <c r="V118" i="15"/>
  <c r="V126" i="15" s="1"/>
  <c r="T118" i="15"/>
  <c r="S118" i="15"/>
  <c r="S126" i="15" s="1"/>
  <c r="Q118" i="15"/>
  <c r="Q126" i="15" s="1"/>
  <c r="P118" i="15"/>
  <c r="P126" i="15" s="1"/>
  <c r="N118" i="15"/>
  <c r="N126" i="15" s="1"/>
  <c r="M118" i="15"/>
  <c r="M126" i="15" s="1"/>
  <c r="K118" i="15"/>
  <c r="K126" i="15" s="1"/>
  <c r="J118" i="15"/>
  <c r="J126" i="15" s="1"/>
  <c r="H118" i="15"/>
  <c r="G118" i="15"/>
  <c r="G126" i="15" s="1"/>
  <c r="E118" i="15"/>
  <c r="E126" i="15" s="1"/>
  <c r="D118" i="15"/>
  <c r="D126" i="15" s="1"/>
  <c r="B118" i="15"/>
  <c r="B126" i="15" s="1"/>
  <c r="AE117" i="15"/>
  <c r="AE125" i="15" s="1"/>
  <c r="AC117" i="15"/>
  <c r="AC125" i="15" s="1"/>
  <c r="AB117" i="15"/>
  <c r="AB125" i="15" s="1"/>
  <c r="Z117" i="15"/>
  <c r="Y117" i="15"/>
  <c r="Y125" i="15" s="1"/>
  <c r="W117" i="15"/>
  <c r="W125" i="15" s="1"/>
  <c r="V117" i="15"/>
  <c r="V125" i="15" s="1"/>
  <c r="T117" i="15"/>
  <c r="T125" i="15" s="1"/>
  <c r="S117" i="15"/>
  <c r="S125" i="15" s="1"/>
  <c r="Q117" i="15"/>
  <c r="Q125" i="15" s="1"/>
  <c r="P117" i="15"/>
  <c r="P125" i="15" s="1"/>
  <c r="N117" i="15"/>
  <c r="M117" i="15"/>
  <c r="M125" i="15" s="1"/>
  <c r="K117" i="15"/>
  <c r="K125" i="15" s="1"/>
  <c r="J117" i="15"/>
  <c r="J125" i="15" s="1"/>
  <c r="H117" i="15"/>
  <c r="H125" i="15" s="1"/>
  <c r="G117" i="15"/>
  <c r="G125" i="15" s="1"/>
  <c r="E117" i="15"/>
  <c r="E125" i="15" s="1"/>
  <c r="D117" i="15"/>
  <c r="D125" i="15" s="1"/>
  <c r="B117" i="15"/>
  <c r="AE116" i="15"/>
  <c r="AE124" i="15" s="1"/>
  <c r="AC116" i="15"/>
  <c r="AB116" i="15"/>
  <c r="AB152" i="15" s="1"/>
  <c r="Z116" i="15"/>
  <c r="Z151" i="15" s="1"/>
  <c r="Y116" i="15"/>
  <c r="Y124" i="15" s="1"/>
  <c r="W116" i="15"/>
  <c r="W124" i="15" s="1"/>
  <c r="V116" i="15"/>
  <c r="V121" i="15" s="1"/>
  <c r="V122" i="15" s="1"/>
  <c r="V133" i="15" s="1"/>
  <c r="T116" i="15"/>
  <c r="T121" i="15" s="1"/>
  <c r="S116" i="15"/>
  <c r="S124" i="15" s="1"/>
  <c r="Q116" i="15"/>
  <c r="P116" i="15"/>
  <c r="P151" i="15" s="1"/>
  <c r="N116" i="15"/>
  <c r="N124" i="15" s="1"/>
  <c r="M116" i="15"/>
  <c r="M152" i="15" s="1"/>
  <c r="K116" i="15"/>
  <c r="J116" i="15"/>
  <c r="J153" i="15" s="1"/>
  <c r="H116" i="15"/>
  <c r="H121" i="15" s="1"/>
  <c r="G116" i="15"/>
  <c r="G152" i="15" s="1"/>
  <c r="E116" i="15"/>
  <c r="D116" i="15"/>
  <c r="D124" i="15" s="1"/>
  <c r="B116" i="15"/>
  <c r="B124" i="15" s="1"/>
  <c r="AE115" i="15"/>
  <c r="AC115" i="15"/>
  <c r="AB115" i="15"/>
  <c r="Z115" i="15"/>
  <c r="Y115" i="15"/>
  <c r="W115" i="15"/>
  <c r="V115" i="15"/>
  <c r="T115" i="15"/>
  <c r="S115" i="15"/>
  <c r="Q115" i="15"/>
  <c r="AL113" i="15" s="1"/>
  <c r="P115" i="15"/>
  <c r="N115" i="15"/>
  <c r="M115" i="15"/>
  <c r="K115" i="15"/>
  <c r="J115" i="15"/>
  <c r="H115" i="15"/>
  <c r="G115" i="15"/>
  <c r="E115" i="15"/>
  <c r="D115" i="15"/>
  <c r="B115" i="15"/>
  <c r="AD114" i="15"/>
  <c r="AA114" i="15"/>
  <c r="X114" i="15"/>
  <c r="U114" i="15"/>
  <c r="R114" i="15"/>
  <c r="O114" i="15"/>
  <c r="L114" i="15"/>
  <c r="I114" i="15"/>
  <c r="F114" i="15"/>
  <c r="A114" i="15"/>
  <c r="AP113" i="15"/>
  <c r="AO113" i="15"/>
  <c r="AM113" i="15"/>
  <c r="AK113" i="15"/>
  <c r="AJ113" i="15"/>
  <c r="AI113" i="15"/>
  <c r="AH113" i="15"/>
  <c r="AG113" i="15"/>
  <c r="AF113" i="15"/>
  <c r="AD113" i="15"/>
  <c r="AA113" i="15"/>
  <c r="X113" i="15"/>
  <c r="U113" i="15"/>
  <c r="R113" i="15"/>
  <c r="O113" i="15"/>
  <c r="L113" i="15"/>
  <c r="I113" i="15"/>
  <c r="F113" i="15"/>
  <c r="A113" i="15"/>
  <c r="AP112" i="15"/>
  <c r="AO112" i="15"/>
  <c r="AN112" i="15"/>
  <c r="AM112" i="15"/>
  <c r="AL112" i="15"/>
  <c r="AK112" i="15"/>
  <c r="AI112" i="15"/>
  <c r="AH112" i="15"/>
  <c r="AG112" i="15"/>
  <c r="AF112" i="15"/>
  <c r="AD112" i="15"/>
  <c r="AA112" i="15"/>
  <c r="X112" i="15"/>
  <c r="U112" i="15"/>
  <c r="R112" i="15"/>
  <c r="O112" i="15"/>
  <c r="L112" i="15"/>
  <c r="I112" i="15"/>
  <c r="F112" i="15"/>
  <c r="A112" i="15"/>
  <c r="AP111" i="15"/>
  <c r="AO111" i="15"/>
  <c r="AN111" i="15"/>
  <c r="AM111" i="15"/>
  <c r="AL111" i="15"/>
  <c r="AK111" i="15"/>
  <c r="AJ111" i="15"/>
  <c r="AI111" i="15"/>
  <c r="AH111" i="15"/>
  <c r="AG111" i="15"/>
  <c r="AF111" i="15"/>
  <c r="AD111" i="15"/>
  <c r="AA111" i="15"/>
  <c r="X111" i="15"/>
  <c r="U111" i="15"/>
  <c r="R111" i="15"/>
  <c r="O111" i="15"/>
  <c r="L111" i="15"/>
  <c r="I111" i="15"/>
  <c r="F111" i="15"/>
  <c r="A111" i="15"/>
  <c r="AP110" i="15"/>
  <c r="AO110" i="15"/>
  <c r="AN110" i="15"/>
  <c r="AM110" i="15"/>
  <c r="AL110" i="15"/>
  <c r="AK110" i="15"/>
  <c r="AI110" i="15"/>
  <c r="AH110" i="15"/>
  <c r="AG110" i="15"/>
  <c r="AF110" i="15"/>
  <c r="AD110" i="15"/>
  <c r="AA110" i="15"/>
  <c r="X110" i="15"/>
  <c r="U110" i="15"/>
  <c r="R110" i="15"/>
  <c r="O110" i="15"/>
  <c r="L110" i="15"/>
  <c r="I110" i="15"/>
  <c r="F110" i="15"/>
  <c r="AP109" i="15"/>
  <c r="AO109" i="15"/>
  <c r="AM109" i="15"/>
  <c r="AL109" i="15"/>
  <c r="AK109" i="15"/>
  <c r="AJ109" i="15"/>
  <c r="AI109" i="15"/>
  <c r="AH109" i="15"/>
  <c r="AG109" i="15"/>
  <c r="AF109" i="15"/>
  <c r="AD109" i="15"/>
  <c r="AA109" i="15"/>
  <c r="X109" i="15"/>
  <c r="U109" i="15"/>
  <c r="R109" i="15"/>
  <c r="O109" i="15"/>
  <c r="L109" i="15"/>
  <c r="I109" i="15"/>
  <c r="F109" i="15"/>
  <c r="AC107" i="15"/>
  <c r="Z107" i="15"/>
  <c r="W107" i="15"/>
  <c r="T107" i="15"/>
  <c r="Q107" i="15"/>
  <c r="N107" i="15"/>
  <c r="K107" i="15"/>
  <c r="H107" i="15"/>
  <c r="E107" i="15"/>
  <c r="E102" i="15"/>
  <c r="E101" i="15"/>
  <c r="B168" i="15" s="1"/>
  <c r="A101" i="15"/>
  <c r="E100" i="15"/>
  <c r="AL180" i="15" s="1"/>
  <c r="AG213" i="15" s="1"/>
  <c r="E99" i="15"/>
  <c r="A99" i="15"/>
  <c r="E98" i="15"/>
  <c r="AB180" i="15" s="1"/>
  <c r="AG211" i="15" s="1"/>
  <c r="E97" i="15"/>
  <c r="A97" i="15"/>
  <c r="E96" i="15"/>
  <c r="H180" i="15" s="1"/>
  <c r="K211" i="15" s="1"/>
  <c r="E95" i="15"/>
  <c r="A95" i="15"/>
  <c r="E94" i="15"/>
  <c r="R180" i="15" s="1"/>
  <c r="K213" i="15" s="1"/>
  <c r="E93" i="15"/>
  <c r="B164" i="15" s="1"/>
  <c r="A93" i="15"/>
  <c r="R92" i="15"/>
  <c r="L92" i="15"/>
  <c r="K91" i="15"/>
  <c r="A89" i="15"/>
  <c r="AE76" i="15"/>
  <c r="AC76" i="15"/>
  <c r="AB76" i="15"/>
  <c r="Z76" i="15"/>
  <c r="W76" i="15"/>
  <c r="V76" i="15"/>
  <c r="T76" i="15"/>
  <c r="Q76" i="15"/>
  <c r="P76" i="15"/>
  <c r="N76" i="15"/>
  <c r="M76" i="15"/>
  <c r="K76" i="15"/>
  <c r="H76" i="15"/>
  <c r="G76" i="15"/>
  <c r="E76" i="15"/>
  <c r="B76" i="15"/>
  <c r="AE75" i="15"/>
  <c r="AC75" i="15"/>
  <c r="Z75" i="15"/>
  <c r="Y75" i="15"/>
  <c r="W75" i="15"/>
  <c r="V75" i="15"/>
  <c r="T75" i="15"/>
  <c r="S75" i="15"/>
  <c r="P75" i="15"/>
  <c r="N75" i="15"/>
  <c r="K75" i="15"/>
  <c r="J75" i="15"/>
  <c r="H75" i="15"/>
  <c r="E75" i="15"/>
  <c r="D75" i="15"/>
  <c r="B75" i="15"/>
  <c r="AE74" i="15"/>
  <c r="AC74" i="15"/>
  <c r="AB74" i="15"/>
  <c r="Y74" i="15"/>
  <c r="W74" i="15"/>
  <c r="T74" i="15"/>
  <c r="S74" i="15"/>
  <c r="Q74" i="15"/>
  <c r="N74" i="15"/>
  <c r="M74" i="15"/>
  <c r="K74" i="15"/>
  <c r="J74" i="15"/>
  <c r="G74" i="15"/>
  <c r="E74" i="15"/>
  <c r="D74" i="15"/>
  <c r="B74" i="15"/>
  <c r="AC73" i="15"/>
  <c r="AB73" i="15"/>
  <c r="Z73" i="15"/>
  <c r="Y73" i="15"/>
  <c r="W73" i="15"/>
  <c r="V73" i="15"/>
  <c r="S73" i="15"/>
  <c r="Q73" i="15"/>
  <c r="P73" i="15"/>
  <c r="N73" i="15"/>
  <c r="M73" i="15"/>
  <c r="J73" i="15"/>
  <c r="H73" i="15"/>
  <c r="G73" i="15"/>
  <c r="E73" i="15"/>
  <c r="D73" i="15"/>
  <c r="AE72" i="15"/>
  <c r="AB72" i="15"/>
  <c r="Z72" i="15"/>
  <c r="Y72" i="15"/>
  <c r="V72" i="15"/>
  <c r="T72" i="15"/>
  <c r="S72" i="15"/>
  <c r="Q72" i="15"/>
  <c r="P72" i="15"/>
  <c r="M72" i="15"/>
  <c r="K72" i="15"/>
  <c r="J72" i="15"/>
  <c r="H72" i="15"/>
  <c r="G72" i="15"/>
  <c r="D72" i="15"/>
  <c r="B72" i="15"/>
  <c r="AE68" i="15"/>
  <c r="AC68" i="15"/>
  <c r="AB68" i="15"/>
  <c r="Z68" i="15"/>
  <c r="W68" i="15"/>
  <c r="V68" i="15"/>
  <c r="T68" i="15"/>
  <c r="Q68" i="15"/>
  <c r="P68" i="15"/>
  <c r="N68" i="15"/>
  <c r="M68" i="15"/>
  <c r="K68" i="15"/>
  <c r="H68" i="15"/>
  <c r="G68" i="15"/>
  <c r="E68" i="15"/>
  <c r="B68" i="15"/>
  <c r="AE67" i="15"/>
  <c r="AC67" i="15"/>
  <c r="Z67" i="15"/>
  <c r="Y67" i="15"/>
  <c r="W67" i="15"/>
  <c r="V67" i="15"/>
  <c r="T67" i="15"/>
  <c r="S67" i="15"/>
  <c r="P67" i="15"/>
  <c r="N67" i="15"/>
  <c r="K67" i="15"/>
  <c r="J67" i="15"/>
  <c r="H67" i="15"/>
  <c r="E67" i="15"/>
  <c r="D67" i="15"/>
  <c r="B67" i="15"/>
  <c r="AE66" i="15"/>
  <c r="AC66" i="15"/>
  <c r="AB66" i="15"/>
  <c r="Y66" i="15"/>
  <c r="W66" i="15"/>
  <c r="T66" i="15"/>
  <c r="S66" i="15"/>
  <c r="Q66" i="15"/>
  <c r="N66" i="15"/>
  <c r="M66" i="15"/>
  <c r="K66" i="15"/>
  <c r="J66" i="15"/>
  <c r="G66" i="15"/>
  <c r="E66" i="15"/>
  <c r="D66" i="15"/>
  <c r="B66" i="15"/>
  <c r="AC65" i="15"/>
  <c r="AB65" i="15"/>
  <c r="Z65" i="15"/>
  <c r="Y65" i="15"/>
  <c r="W65" i="15"/>
  <c r="V65" i="15"/>
  <c r="S65" i="15"/>
  <c r="Q65" i="15"/>
  <c r="P65" i="15"/>
  <c r="N65" i="15"/>
  <c r="M65" i="15"/>
  <c r="J65" i="15"/>
  <c r="H65" i="15"/>
  <c r="G65" i="15"/>
  <c r="E65" i="15"/>
  <c r="D65" i="15"/>
  <c r="AE64" i="15"/>
  <c r="AB64" i="15"/>
  <c r="Z64" i="15"/>
  <c r="Y64" i="15"/>
  <c r="V64" i="15"/>
  <c r="T64" i="15"/>
  <c r="S64" i="15"/>
  <c r="Q64" i="15"/>
  <c r="P64" i="15"/>
  <c r="M64" i="15"/>
  <c r="K64" i="15"/>
  <c r="J64" i="15"/>
  <c r="H64" i="15"/>
  <c r="G64" i="15"/>
  <c r="D64" i="15"/>
  <c r="B64" i="15"/>
  <c r="AE62" i="15"/>
  <c r="AC62" i="15"/>
  <c r="AB62" i="15"/>
  <c r="Z62" i="15"/>
  <c r="W62" i="15"/>
  <c r="V62" i="15"/>
  <c r="T62" i="15"/>
  <c r="Q62" i="15"/>
  <c r="P62" i="15"/>
  <c r="N62" i="15"/>
  <c r="M62" i="15"/>
  <c r="K62" i="15"/>
  <c r="H62" i="15"/>
  <c r="G62" i="15"/>
  <c r="E62" i="15"/>
  <c r="B62" i="15"/>
  <c r="AE61" i="15"/>
  <c r="AC61" i="15"/>
  <c r="Z61" i="15"/>
  <c r="Y61" i="15"/>
  <c r="W61" i="15"/>
  <c r="V61" i="15"/>
  <c r="T61" i="15"/>
  <c r="S61" i="15"/>
  <c r="P61" i="15"/>
  <c r="N61" i="15"/>
  <c r="K61" i="15"/>
  <c r="J61" i="15"/>
  <c r="H61" i="15"/>
  <c r="E61" i="15"/>
  <c r="D61" i="15"/>
  <c r="B61" i="15"/>
  <c r="AE60" i="15"/>
  <c r="AC60" i="15"/>
  <c r="AB60" i="15"/>
  <c r="Y60" i="15"/>
  <c r="W60" i="15"/>
  <c r="T60" i="15"/>
  <c r="S60" i="15"/>
  <c r="Q60" i="15"/>
  <c r="N60" i="15"/>
  <c r="M60" i="15"/>
  <c r="K60" i="15"/>
  <c r="J60" i="15"/>
  <c r="G60" i="15"/>
  <c r="E60" i="15"/>
  <c r="D60" i="15"/>
  <c r="B60" i="15"/>
  <c r="AC59" i="15"/>
  <c r="AB59" i="15"/>
  <c r="Z59" i="15"/>
  <c r="Y59" i="15"/>
  <c r="W59" i="15"/>
  <c r="V59" i="15"/>
  <c r="S59" i="15"/>
  <c r="Q59" i="15"/>
  <c r="P59" i="15"/>
  <c r="N59" i="15"/>
  <c r="M59" i="15"/>
  <c r="J59" i="15"/>
  <c r="H59" i="15"/>
  <c r="G59" i="15"/>
  <c r="E59" i="15"/>
  <c r="D59" i="15"/>
  <c r="AE58" i="15"/>
  <c r="AB58" i="15"/>
  <c r="Z58" i="15"/>
  <c r="Y58" i="15"/>
  <c r="V58" i="15"/>
  <c r="T58" i="15"/>
  <c r="S58" i="15"/>
  <c r="Q58" i="15"/>
  <c r="P58" i="15"/>
  <c r="M58" i="15"/>
  <c r="K58" i="15"/>
  <c r="J58" i="15"/>
  <c r="H58" i="15"/>
  <c r="G58" i="15"/>
  <c r="D58" i="15"/>
  <c r="B58" i="15"/>
  <c r="AE56" i="15"/>
  <c r="AC56" i="15"/>
  <c r="AB56" i="15"/>
  <c r="Z56" i="15"/>
  <c r="W56" i="15"/>
  <c r="V56" i="15"/>
  <c r="T56" i="15"/>
  <c r="Q56" i="15"/>
  <c r="P56" i="15"/>
  <c r="N56" i="15"/>
  <c r="M56" i="15"/>
  <c r="K56" i="15"/>
  <c r="H56" i="15"/>
  <c r="G56" i="15"/>
  <c r="E56" i="15"/>
  <c r="B56" i="15"/>
  <c r="AE55" i="15"/>
  <c r="AC55" i="15"/>
  <c r="Z55" i="15"/>
  <c r="Y55" i="15"/>
  <c r="W55" i="15"/>
  <c r="V55" i="15"/>
  <c r="T55" i="15"/>
  <c r="S55" i="15"/>
  <c r="P55" i="15"/>
  <c r="N55" i="15"/>
  <c r="K55" i="15"/>
  <c r="J55" i="15"/>
  <c r="H55" i="15"/>
  <c r="E55" i="15"/>
  <c r="D55" i="15"/>
  <c r="B55" i="15"/>
  <c r="AE54" i="15"/>
  <c r="AC54" i="15"/>
  <c r="AB54" i="15"/>
  <c r="Y54" i="15"/>
  <c r="W54" i="15"/>
  <c r="T54" i="15"/>
  <c r="S54" i="15"/>
  <c r="Q54" i="15"/>
  <c r="N54" i="15"/>
  <c r="M54" i="15"/>
  <c r="K54" i="15"/>
  <c r="J54" i="15"/>
  <c r="G54" i="15"/>
  <c r="E54" i="15"/>
  <c r="D54" i="15"/>
  <c r="B54" i="15"/>
  <c r="AC53" i="15"/>
  <c r="AB53" i="15"/>
  <c r="Z53" i="15"/>
  <c r="Y53" i="15"/>
  <c r="W53" i="15"/>
  <c r="V53" i="15"/>
  <c r="S53" i="15"/>
  <c r="Q53" i="15"/>
  <c r="P53" i="15"/>
  <c r="N53" i="15"/>
  <c r="M53" i="15"/>
  <c r="J53" i="15"/>
  <c r="H53" i="15"/>
  <c r="G53" i="15"/>
  <c r="E53" i="15"/>
  <c r="D53" i="15"/>
  <c r="AE52" i="15"/>
  <c r="AB52" i="15"/>
  <c r="Z52" i="15"/>
  <c r="Y52" i="15"/>
  <c r="V52" i="15"/>
  <c r="T52" i="15"/>
  <c r="S52" i="15"/>
  <c r="Q52" i="15"/>
  <c r="P52" i="15"/>
  <c r="M52" i="15"/>
  <c r="K52" i="15"/>
  <c r="J52" i="15"/>
  <c r="H52" i="15"/>
  <c r="G52" i="15"/>
  <c r="D52" i="15"/>
  <c r="B52" i="15"/>
  <c r="AE50" i="15"/>
  <c r="AC50" i="15"/>
  <c r="AB50" i="15"/>
  <c r="Z50" i="15"/>
  <c r="W50" i="15"/>
  <c r="V50" i="15"/>
  <c r="T50" i="15"/>
  <c r="Q50" i="15"/>
  <c r="P50" i="15"/>
  <c r="N50" i="15"/>
  <c r="M50" i="15"/>
  <c r="K50" i="15"/>
  <c r="H50" i="15"/>
  <c r="G50" i="15"/>
  <c r="E50" i="15"/>
  <c r="B50" i="15"/>
  <c r="AE49" i="15"/>
  <c r="AC49" i="15"/>
  <c r="Z49" i="15"/>
  <c r="Y49" i="15"/>
  <c r="W49" i="15"/>
  <c r="V49" i="15"/>
  <c r="T49" i="15"/>
  <c r="S49" i="15"/>
  <c r="P49" i="15"/>
  <c r="N49" i="15"/>
  <c r="K49" i="15"/>
  <c r="J49" i="15"/>
  <c r="H49" i="15"/>
  <c r="E49" i="15"/>
  <c r="D49" i="15"/>
  <c r="B49" i="15"/>
  <c r="AE48" i="15"/>
  <c r="AC48" i="15"/>
  <c r="AB48" i="15"/>
  <c r="Y48" i="15"/>
  <c r="W48" i="15"/>
  <c r="T48" i="15"/>
  <c r="S48" i="15"/>
  <c r="Q48" i="15"/>
  <c r="N48" i="15"/>
  <c r="M48" i="15"/>
  <c r="K48" i="15"/>
  <c r="J48" i="15"/>
  <c r="G48" i="15"/>
  <c r="E48" i="15"/>
  <c r="D48" i="15"/>
  <c r="B48" i="15"/>
  <c r="AC47" i="15"/>
  <c r="AB47" i="15"/>
  <c r="Z47" i="15"/>
  <c r="Y47" i="15"/>
  <c r="W47" i="15"/>
  <c r="V47" i="15"/>
  <c r="S47" i="15"/>
  <c r="Q47" i="15"/>
  <c r="P47" i="15"/>
  <c r="N47" i="15"/>
  <c r="M47" i="15"/>
  <c r="J47" i="15"/>
  <c r="H47" i="15"/>
  <c r="G47" i="15"/>
  <c r="E47" i="15"/>
  <c r="D47" i="15"/>
  <c r="AE46" i="15"/>
  <c r="AB46" i="15"/>
  <c r="Z46" i="15"/>
  <c r="Y46" i="15"/>
  <c r="V46" i="15"/>
  <c r="T46" i="15"/>
  <c r="S46" i="15"/>
  <c r="Q46" i="15"/>
  <c r="P46" i="15"/>
  <c r="M46" i="15"/>
  <c r="K46" i="15"/>
  <c r="J46" i="15"/>
  <c r="H46" i="15"/>
  <c r="G46" i="15"/>
  <c r="D46" i="15"/>
  <c r="B46" i="15"/>
  <c r="AB43" i="15"/>
  <c r="V43" i="15"/>
  <c r="T43" i="15"/>
  <c r="P43" i="15"/>
  <c r="J43" i="15"/>
  <c r="H43" i="15"/>
  <c r="D43" i="15"/>
  <c r="AB42" i="15"/>
  <c r="Z42" i="15"/>
  <c r="V42" i="15"/>
  <c r="P42" i="15"/>
  <c r="N42" i="15"/>
  <c r="J42" i="15"/>
  <c r="D42" i="15"/>
  <c r="B42" i="15"/>
  <c r="AB41" i="15"/>
  <c r="V41" i="15"/>
  <c r="T41" i="15"/>
  <c r="P41" i="15"/>
  <c r="J41" i="15"/>
  <c r="H41" i="15"/>
  <c r="AB40" i="15"/>
  <c r="Z40" i="15"/>
  <c r="P40" i="15"/>
  <c r="N40" i="15"/>
  <c r="D40" i="15"/>
  <c r="B40" i="15"/>
  <c r="V39" i="15"/>
  <c r="T39" i="15"/>
  <c r="J39" i="15"/>
  <c r="H39" i="15"/>
  <c r="AE35" i="15"/>
  <c r="AE43" i="15" s="1"/>
  <c r="AC35" i="15"/>
  <c r="AC43" i="15" s="1"/>
  <c r="AB35" i="15"/>
  <c r="Z35" i="15"/>
  <c r="Z43" i="15" s="1"/>
  <c r="Y35" i="15"/>
  <c r="Y43" i="15" s="1"/>
  <c r="W35" i="15"/>
  <c r="W43" i="15" s="1"/>
  <c r="V35" i="15"/>
  <c r="T35" i="15"/>
  <c r="S35" i="15"/>
  <c r="S43" i="15" s="1"/>
  <c r="Q35" i="15"/>
  <c r="Q43" i="15" s="1"/>
  <c r="P35" i="15"/>
  <c r="N35" i="15"/>
  <c r="N43" i="15" s="1"/>
  <c r="M35" i="15"/>
  <c r="M43" i="15" s="1"/>
  <c r="K35" i="15"/>
  <c r="K43" i="15" s="1"/>
  <c r="J35" i="15"/>
  <c r="H35" i="15"/>
  <c r="G35" i="15"/>
  <c r="G43" i="15" s="1"/>
  <c r="E35" i="15"/>
  <c r="E43" i="15" s="1"/>
  <c r="D35" i="15"/>
  <c r="B35" i="15"/>
  <c r="B43" i="15" s="1"/>
  <c r="AE34" i="15"/>
  <c r="AE42" i="15" s="1"/>
  <c r="AC34" i="15"/>
  <c r="AC42" i="15" s="1"/>
  <c r="AB34" i="15"/>
  <c r="Z34" i="15"/>
  <c r="Y34" i="15"/>
  <c r="Y42" i="15" s="1"/>
  <c r="W34" i="15"/>
  <c r="W42" i="15" s="1"/>
  <c r="V34" i="15"/>
  <c r="T34" i="15"/>
  <c r="T42" i="15" s="1"/>
  <c r="S34" i="15"/>
  <c r="S42" i="15" s="1"/>
  <c r="Q34" i="15"/>
  <c r="Q42" i="15" s="1"/>
  <c r="P34" i="15"/>
  <c r="N34" i="15"/>
  <c r="M34" i="15"/>
  <c r="M42" i="15" s="1"/>
  <c r="K34" i="15"/>
  <c r="K42" i="15" s="1"/>
  <c r="J34" i="15"/>
  <c r="H34" i="15"/>
  <c r="H42" i="15" s="1"/>
  <c r="G34" i="15"/>
  <c r="G42" i="15" s="1"/>
  <c r="E34" i="15"/>
  <c r="E42" i="15" s="1"/>
  <c r="D34" i="15"/>
  <c r="B34" i="15"/>
  <c r="AE33" i="15"/>
  <c r="AE41" i="15" s="1"/>
  <c r="AC33" i="15"/>
  <c r="AC41" i="15" s="1"/>
  <c r="AB33" i="15"/>
  <c r="Z33" i="15"/>
  <c r="Z41" i="15" s="1"/>
  <c r="Y33" i="15"/>
  <c r="Y41" i="15" s="1"/>
  <c r="W33" i="15"/>
  <c r="W41" i="15" s="1"/>
  <c r="V33" i="15"/>
  <c r="T33" i="15"/>
  <c r="S33" i="15"/>
  <c r="S41" i="15" s="1"/>
  <c r="Q33" i="15"/>
  <c r="Q41" i="15" s="1"/>
  <c r="P33" i="15"/>
  <c r="N33" i="15"/>
  <c r="N41" i="15" s="1"/>
  <c r="M33" i="15"/>
  <c r="M41" i="15" s="1"/>
  <c r="K33" i="15"/>
  <c r="K41" i="15" s="1"/>
  <c r="J33" i="15"/>
  <c r="H33" i="15"/>
  <c r="G33" i="15"/>
  <c r="G41" i="15" s="1"/>
  <c r="E33" i="15"/>
  <c r="E41" i="15" s="1"/>
  <c r="D33" i="15"/>
  <c r="D41" i="15" s="1"/>
  <c r="B33" i="15"/>
  <c r="B41" i="15" s="1"/>
  <c r="AE32" i="15"/>
  <c r="AE40" i="15" s="1"/>
  <c r="AC32" i="15"/>
  <c r="AC40" i="15" s="1"/>
  <c r="AB32" i="15"/>
  <c r="Z32" i="15"/>
  <c r="Y32" i="15"/>
  <c r="Y40" i="15" s="1"/>
  <c r="W32" i="15"/>
  <c r="W36" i="15" s="1"/>
  <c r="V32" i="15"/>
  <c r="V36" i="15" s="1"/>
  <c r="T32" i="15"/>
  <c r="T40" i="15" s="1"/>
  <c r="S32" i="15"/>
  <c r="S40" i="15" s="1"/>
  <c r="Q32" i="15"/>
  <c r="Q40" i="15" s="1"/>
  <c r="P32" i="15"/>
  <c r="N32" i="15"/>
  <c r="M32" i="15"/>
  <c r="M40" i="15" s="1"/>
  <c r="K32" i="15"/>
  <c r="K36" i="15" s="1"/>
  <c r="J32" i="15"/>
  <c r="J36" i="15" s="1"/>
  <c r="H32" i="15"/>
  <c r="H40" i="15" s="1"/>
  <c r="G32" i="15"/>
  <c r="G40" i="15" s="1"/>
  <c r="E32" i="15"/>
  <c r="E40" i="15" s="1"/>
  <c r="D32" i="15"/>
  <c r="B32" i="15"/>
  <c r="AE31" i="15"/>
  <c r="AE39" i="15" s="1"/>
  <c r="AC31" i="15"/>
  <c r="AC39" i="15" s="1"/>
  <c r="AC44" i="15" s="1"/>
  <c r="AB31" i="15"/>
  <c r="AB67" i="15" s="1"/>
  <c r="Z31" i="15"/>
  <c r="Z66" i="15" s="1"/>
  <c r="Y31" i="15"/>
  <c r="Y68" i="15" s="1"/>
  <c r="W31" i="15"/>
  <c r="W64" i="15" s="1"/>
  <c r="X71" i="15" s="1"/>
  <c r="V31" i="15"/>
  <c r="V66" i="15" s="1"/>
  <c r="T31" i="15"/>
  <c r="T36" i="15" s="1"/>
  <c r="S31" i="15"/>
  <c r="S39" i="15" s="1"/>
  <c r="Q31" i="15"/>
  <c r="Q67" i="15" s="1"/>
  <c r="P31" i="15"/>
  <c r="P66" i="15" s="1"/>
  <c r="N31" i="15"/>
  <c r="N39" i="15" s="1"/>
  <c r="M31" i="15"/>
  <c r="M36" i="15" s="1"/>
  <c r="K31" i="15"/>
  <c r="K65" i="15" s="1"/>
  <c r="J31" i="15"/>
  <c r="J68" i="15" s="1"/>
  <c r="H31" i="15"/>
  <c r="H36" i="15" s="1"/>
  <c r="H37" i="15" s="1"/>
  <c r="G31" i="15"/>
  <c r="G67" i="15" s="1"/>
  <c r="E31" i="15"/>
  <c r="E39" i="15" s="1"/>
  <c r="D31" i="15"/>
  <c r="D39" i="15" s="1"/>
  <c r="B31" i="15"/>
  <c r="B65" i="15" s="1"/>
  <c r="AE30" i="15"/>
  <c r="AP25" i="15" s="1"/>
  <c r="AC30" i="15"/>
  <c r="AB30" i="15"/>
  <c r="Z30" i="15"/>
  <c r="Y30" i="15"/>
  <c r="AN28" i="15" s="1"/>
  <c r="W30" i="15"/>
  <c r="V30" i="15"/>
  <c r="T30" i="15"/>
  <c r="S30" i="15"/>
  <c r="AL27" i="15" s="1"/>
  <c r="Q30" i="15"/>
  <c r="P30" i="15"/>
  <c r="N30" i="15"/>
  <c r="M30" i="15"/>
  <c r="AJ27" i="15" s="1"/>
  <c r="K30" i="15"/>
  <c r="AJ25" i="15" s="1"/>
  <c r="J30" i="15"/>
  <c r="AI26" i="15" s="1"/>
  <c r="H30" i="15"/>
  <c r="G30" i="15"/>
  <c r="AH27" i="15" s="1"/>
  <c r="AQ27" i="15" s="1"/>
  <c r="W14" i="15" s="1"/>
  <c r="E30" i="15"/>
  <c r="D30" i="15"/>
  <c r="B30" i="15"/>
  <c r="AD29" i="15"/>
  <c r="AA29" i="15"/>
  <c r="X29" i="15"/>
  <c r="U29" i="15"/>
  <c r="R29" i="15"/>
  <c r="O29" i="15"/>
  <c r="L29" i="15"/>
  <c r="I29" i="15"/>
  <c r="F29" i="15"/>
  <c r="A29" i="15"/>
  <c r="AP28" i="15"/>
  <c r="AO28" i="15"/>
  <c r="AM28" i="15"/>
  <c r="AK28" i="15"/>
  <c r="AJ28" i="15"/>
  <c r="AI28" i="15"/>
  <c r="AH28" i="15"/>
  <c r="AG28" i="15"/>
  <c r="AF28" i="15"/>
  <c r="AD28" i="15"/>
  <c r="AA28" i="15"/>
  <c r="X28" i="15"/>
  <c r="U28" i="15"/>
  <c r="R28" i="15"/>
  <c r="O28" i="15"/>
  <c r="L28" i="15"/>
  <c r="I28" i="15"/>
  <c r="F28" i="15"/>
  <c r="A28" i="15"/>
  <c r="AP27" i="15"/>
  <c r="AO27" i="15"/>
  <c r="AN27" i="15"/>
  <c r="AM27" i="15"/>
  <c r="AK27" i="15"/>
  <c r="AI27" i="15"/>
  <c r="AG27" i="15"/>
  <c r="AF27" i="15"/>
  <c r="AD27" i="15"/>
  <c r="AA27" i="15"/>
  <c r="X27" i="15"/>
  <c r="U27" i="15"/>
  <c r="R27" i="15"/>
  <c r="O27" i="15"/>
  <c r="L27" i="15"/>
  <c r="I27" i="15"/>
  <c r="F27" i="15"/>
  <c r="A27" i="15"/>
  <c r="AP26" i="15"/>
  <c r="AO26" i="15"/>
  <c r="AN26" i="15"/>
  <c r="AM26" i="15"/>
  <c r="AL26" i="15"/>
  <c r="AK26" i="15"/>
  <c r="AJ26" i="15"/>
  <c r="AH26" i="15"/>
  <c r="AG26" i="15"/>
  <c r="AQ26" i="15" s="1"/>
  <c r="W12" i="15" s="1"/>
  <c r="AF26" i="15"/>
  <c r="AD26" i="15"/>
  <c r="AA26" i="15"/>
  <c r="X26" i="15"/>
  <c r="U26" i="15"/>
  <c r="R26" i="15"/>
  <c r="O26" i="15"/>
  <c r="L26" i="15"/>
  <c r="I26" i="15"/>
  <c r="F26" i="15"/>
  <c r="A26" i="15"/>
  <c r="AO25" i="15"/>
  <c r="AN25" i="15"/>
  <c r="AM25" i="15"/>
  <c r="AL25" i="15"/>
  <c r="AK25" i="15"/>
  <c r="AI25" i="15"/>
  <c r="AH25" i="15"/>
  <c r="AG25" i="15"/>
  <c r="AF25" i="15"/>
  <c r="AD25" i="15"/>
  <c r="AA25" i="15"/>
  <c r="X25" i="15"/>
  <c r="U25" i="15"/>
  <c r="R25" i="15"/>
  <c r="O25" i="15"/>
  <c r="L25" i="15"/>
  <c r="I25" i="15"/>
  <c r="F25" i="15"/>
  <c r="AP24" i="15"/>
  <c r="AO24" i="15"/>
  <c r="AN24" i="15"/>
  <c r="AM24" i="15"/>
  <c r="AL24" i="15"/>
  <c r="AK24" i="15"/>
  <c r="AJ24" i="15"/>
  <c r="AI24" i="15"/>
  <c r="AG24" i="15"/>
  <c r="AF24" i="15"/>
  <c r="AD24" i="15"/>
  <c r="AA24" i="15"/>
  <c r="X24" i="15"/>
  <c r="U24" i="15"/>
  <c r="R24" i="15"/>
  <c r="O24" i="15"/>
  <c r="L24" i="15"/>
  <c r="I24" i="15"/>
  <c r="F24" i="15"/>
  <c r="AC22" i="15"/>
  <c r="Z22" i="15"/>
  <c r="W22" i="15"/>
  <c r="T22" i="15"/>
  <c r="Q22" i="15"/>
  <c r="N22" i="15"/>
  <c r="K22" i="15"/>
  <c r="H22" i="15"/>
  <c r="E22" i="15"/>
  <c r="E17" i="15"/>
  <c r="R179" i="15" s="1"/>
  <c r="K212" i="15" s="1"/>
  <c r="E16" i="15"/>
  <c r="B83" i="15" s="1"/>
  <c r="A16" i="15"/>
  <c r="E15" i="15"/>
  <c r="AL179" i="15" s="1"/>
  <c r="AG212" i="15" s="1"/>
  <c r="E14" i="15"/>
  <c r="AF179" i="15" s="1"/>
  <c r="X212" i="15" s="1"/>
  <c r="A14" i="15"/>
  <c r="E13" i="15"/>
  <c r="E12" i="15"/>
  <c r="B81" i="15" s="1"/>
  <c r="A12" i="15"/>
  <c r="E11" i="15"/>
  <c r="AB179" i="15" s="1"/>
  <c r="AG210" i="15" s="1"/>
  <c r="E10" i="15"/>
  <c r="V179" i="15" s="1"/>
  <c r="X210" i="15" s="1"/>
  <c r="A10" i="15"/>
  <c r="E9" i="15"/>
  <c r="H179" i="15" s="1"/>
  <c r="K210" i="15" s="1"/>
  <c r="E8" i="15"/>
  <c r="B179" i="15" s="1"/>
  <c r="B210" i="15" s="1"/>
  <c r="A8" i="15"/>
  <c r="R7" i="15"/>
  <c r="L7" i="15"/>
  <c r="K6" i="15"/>
  <c r="K432" i="5"/>
  <c r="F432" i="5"/>
  <c r="E432" i="5"/>
  <c r="C432" i="5" s="1"/>
  <c r="D432" i="5" s="1"/>
  <c r="AW12" i="14"/>
  <c r="AW11" i="14"/>
  <c r="AW10" i="14"/>
  <c r="AW9" i="14"/>
  <c r="AW8" i="14"/>
  <c r="AW7" i="14"/>
  <c r="AW6" i="14"/>
  <c r="AW5" i="14"/>
  <c r="AW4" i="14"/>
  <c r="AW3" i="14"/>
  <c r="AE221" i="14"/>
  <c r="AC221" i="14"/>
  <c r="AB221" i="14"/>
  <c r="Z221" i="14"/>
  <c r="Y221" i="14"/>
  <c r="W221" i="14"/>
  <c r="J221" i="14"/>
  <c r="H221" i="14"/>
  <c r="G221" i="14"/>
  <c r="E221" i="14"/>
  <c r="D221" i="14"/>
  <c r="B221" i="14"/>
  <c r="AE220" i="14"/>
  <c r="AC220" i="14"/>
  <c r="AB220" i="14"/>
  <c r="Z220" i="14"/>
  <c r="Y220" i="14"/>
  <c r="W220" i="14"/>
  <c r="J220" i="14"/>
  <c r="H220" i="14"/>
  <c r="G220" i="14"/>
  <c r="E220" i="14"/>
  <c r="D220" i="14"/>
  <c r="B220" i="14"/>
  <c r="AE219" i="14"/>
  <c r="AE222" i="14" s="1"/>
  <c r="AC219" i="14"/>
  <c r="AC222" i="14" s="1"/>
  <c r="AB219" i="14"/>
  <c r="AB222" i="14" s="1"/>
  <c r="Z219" i="14"/>
  <c r="Z222" i="14" s="1"/>
  <c r="Y219" i="14"/>
  <c r="Y222" i="14" s="1"/>
  <c r="W219" i="14"/>
  <c r="W222" i="14" s="1"/>
  <c r="AC218" i="14" s="1"/>
  <c r="J219" i="14"/>
  <c r="J222" i="14" s="1"/>
  <c r="H219" i="14"/>
  <c r="H222" i="14" s="1"/>
  <c r="G219" i="14"/>
  <c r="G222" i="14" s="1"/>
  <c r="E219" i="14"/>
  <c r="E222" i="14" s="1"/>
  <c r="J218" i="14" s="1"/>
  <c r="D219" i="14"/>
  <c r="D222" i="14" s="1"/>
  <c r="B219" i="14"/>
  <c r="B222" i="14" s="1"/>
  <c r="A174" i="14"/>
  <c r="AE161" i="14"/>
  <c r="AC161" i="14"/>
  <c r="AB161" i="14"/>
  <c r="Z161" i="14"/>
  <c r="W161" i="14"/>
  <c r="V161" i="14"/>
  <c r="T161" i="14"/>
  <c r="Q161" i="14"/>
  <c r="P161" i="14"/>
  <c r="N161" i="14"/>
  <c r="M161" i="14"/>
  <c r="K161" i="14"/>
  <c r="H161" i="14"/>
  <c r="G161" i="14"/>
  <c r="E161" i="14"/>
  <c r="B161" i="14"/>
  <c r="AE160" i="14"/>
  <c r="AC160" i="14"/>
  <c r="Z160" i="14"/>
  <c r="Y160" i="14"/>
  <c r="W160" i="14"/>
  <c r="V160" i="14"/>
  <c r="T160" i="14"/>
  <c r="S160" i="14"/>
  <c r="P160" i="14"/>
  <c r="N160" i="14"/>
  <c r="K160" i="14"/>
  <c r="J160" i="14"/>
  <c r="H160" i="14"/>
  <c r="E160" i="14"/>
  <c r="D160" i="14"/>
  <c r="B160" i="14"/>
  <c r="AE159" i="14"/>
  <c r="AC159" i="14"/>
  <c r="AB159" i="14"/>
  <c r="Y159" i="14"/>
  <c r="W159" i="14"/>
  <c r="T159" i="14"/>
  <c r="S159" i="14"/>
  <c r="Q159" i="14"/>
  <c r="N159" i="14"/>
  <c r="M159" i="14"/>
  <c r="K159" i="14"/>
  <c r="J159" i="14"/>
  <c r="G159" i="14"/>
  <c r="E159" i="14"/>
  <c r="D159" i="14"/>
  <c r="B159" i="14"/>
  <c r="AC158" i="14"/>
  <c r="AB158" i="14"/>
  <c r="Z158" i="14"/>
  <c r="Y158" i="14"/>
  <c r="W158" i="14"/>
  <c r="V158" i="14"/>
  <c r="S158" i="14"/>
  <c r="Q158" i="14"/>
  <c r="P158" i="14"/>
  <c r="N158" i="14"/>
  <c r="M158" i="14"/>
  <c r="J158" i="14"/>
  <c r="H158" i="14"/>
  <c r="G158" i="14"/>
  <c r="E158" i="14"/>
  <c r="D158" i="14"/>
  <c r="AE157" i="14"/>
  <c r="AB157" i="14"/>
  <c r="Z157" i="14"/>
  <c r="Y157" i="14"/>
  <c r="V157" i="14"/>
  <c r="T157" i="14"/>
  <c r="S157" i="14"/>
  <c r="Q157" i="14"/>
  <c r="P157" i="14"/>
  <c r="M157" i="14"/>
  <c r="K157" i="14"/>
  <c r="J157" i="14"/>
  <c r="H157" i="14"/>
  <c r="G157" i="14"/>
  <c r="D157" i="14"/>
  <c r="B157" i="14"/>
  <c r="AE153" i="14"/>
  <c r="AC153" i="14"/>
  <c r="AB153" i="14"/>
  <c r="Z153" i="14"/>
  <c r="W153" i="14"/>
  <c r="V153" i="14"/>
  <c r="T153" i="14"/>
  <c r="Q153" i="14"/>
  <c r="P153" i="14"/>
  <c r="N153" i="14"/>
  <c r="M153" i="14"/>
  <c r="K153" i="14"/>
  <c r="H153" i="14"/>
  <c r="G153" i="14"/>
  <c r="E153" i="14"/>
  <c r="B153" i="14"/>
  <c r="AE152" i="14"/>
  <c r="AC152" i="14"/>
  <c r="Z152" i="14"/>
  <c r="Y152" i="14"/>
  <c r="W152" i="14"/>
  <c r="V152" i="14"/>
  <c r="T152" i="14"/>
  <c r="S152" i="14"/>
  <c r="P152" i="14"/>
  <c r="N152" i="14"/>
  <c r="K152" i="14"/>
  <c r="J152" i="14"/>
  <c r="H152" i="14"/>
  <c r="E152" i="14"/>
  <c r="D152" i="14"/>
  <c r="B152" i="14"/>
  <c r="AE151" i="14"/>
  <c r="AC151" i="14"/>
  <c r="AB151" i="14"/>
  <c r="Y151" i="14"/>
  <c r="W151" i="14"/>
  <c r="T151" i="14"/>
  <c r="S151" i="14"/>
  <c r="Q151" i="14"/>
  <c r="N151" i="14"/>
  <c r="M151" i="14"/>
  <c r="K151" i="14"/>
  <c r="J151" i="14"/>
  <c r="G151" i="14"/>
  <c r="E151" i="14"/>
  <c r="D151" i="14"/>
  <c r="B151" i="14"/>
  <c r="AC150" i="14"/>
  <c r="AB150" i="14"/>
  <c r="Z150" i="14"/>
  <c r="Y150" i="14"/>
  <c r="W150" i="14"/>
  <c r="V150" i="14"/>
  <c r="S150" i="14"/>
  <c r="Q150" i="14"/>
  <c r="P150" i="14"/>
  <c r="N150" i="14"/>
  <c r="M150" i="14"/>
  <c r="J150" i="14"/>
  <c r="H150" i="14"/>
  <c r="G150" i="14"/>
  <c r="E150" i="14"/>
  <c r="D150" i="14"/>
  <c r="AE149" i="14"/>
  <c r="AB149" i="14"/>
  <c r="Z149" i="14"/>
  <c r="Y149" i="14"/>
  <c r="V149" i="14"/>
  <c r="T149" i="14"/>
  <c r="S149" i="14"/>
  <c r="Q149" i="14"/>
  <c r="P149" i="14"/>
  <c r="M149" i="14"/>
  <c r="K149" i="14"/>
  <c r="J149" i="14"/>
  <c r="H149" i="14"/>
  <c r="G149" i="14"/>
  <c r="D149" i="14"/>
  <c r="B149" i="14"/>
  <c r="AE147" i="14"/>
  <c r="AC147" i="14"/>
  <c r="AB147" i="14"/>
  <c r="Z147" i="14"/>
  <c r="W147" i="14"/>
  <c r="V147" i="14"/>
  <c r="T147" i="14"/>
  <c r="Q147" i="14"/>
  <c r="P147" i="14"/>
  <c r="N147" i="14"/>
  <c r="M147" i="14"/>
  <c r="K147" i="14"/>
  <c r="H147" i="14"/>
  <c r="G147" i="14"/>
  <c r="E147" i="14"/>
  <c r="B147" i="14"/>
  <c r="AE146" i="14"/>
  <c r="AC146" i="14"/>
  <c r="Z146" i="14"/>
  <c r="Y146" i="14"/>
  <c r="W146" i="14"/>
  <c r="V146" i="14"/>
  <c r="T146" i="14"/>
  <c r="S146" i="14"/>
  <c r="P146" i="14"/>
  <c r="N146" i="14"/>
  <c r="K146" i="14"/>
  <c r="J146" i="14"/>
  <c r="H146" i="14"/>
  <c r="E146" i="14"/>
  <c r="D146" i="14"/>
  <c r="B146" i="14"/>
  <c r="AE145" i="14"/>
  <c r="AC145" i="14"/>
  <c r="AB145" i="14"/>
  <c r="Y145" i="14"/>
  <c r="W145" i="14"/>
  <c r="T145" i="14"/>
  <c r="S145" i="14"/>
  <c r="Q145" i="14"/>
  <c r="N145" i="14"/>
  <c r="M145" i="14"/>
  <c r="K145" i="14"/>
  <c r="J145" i="14"/>
  <c r="G145" i="14"/>
  <c r="E145" i="14"/>
  <c r="D145" i="14"/>
  <c r="B145" i="14"/>
  <c r="AC144" i="14"/>
  <c r="AB144" i="14"/>
  <c r="Z144" i="14"/>
  <c r="Y144" i="14"/>
  <c r="W144" i="14"/>
  <c r="V144" i="14"/>
  <c r="S144" i="14"/>
  <c r="Q144" i="14"/>
  <c r="P144" i="14"/>
  <c r="N144" i="14"/>
  <c r="M144" i="14"/>
  <c r="J144" i="14"/>
  <c r="H144" i="14"/>
  <c r="G144" i="14"/>
  <c r="E144" i="14"/>
  <c r="D144" i="14"/>
  <c r="AE143" i="14"/>
  <c r="AB143" i="14"/>
  <c r="Z143" i="14"/>
  <c r="Y143" i="14"/>
  <c r="V143" i="14"/>
  <c r="T143" i="14"/>
  <c r="S143" i="14"/>
  <c r="Q143" i="14"/>
  <c r="P143" i="14"/>
  <c r="M143" i="14"/>
  <c r="K143" i="14"/>
  <c r="J143" i="14"/>
  <c r="H143" i="14"/>
  <c r="G143" i="14"/>
  <c r="D143" i="14"/>
  <c r="B143" i="14"/>
  <c r="AE141" i="14"/>
  <c r="AC141" i="14"/>
  <c r="AB141" i="14"/>
  <c r="Z141" i="14"/>
  <c r="W141" i="14"/>
  <c r="V141" i="14"/>
  <c r="T141" i="14"/>
  <c r="Q141" i="14"/>
  <c r="P141" i="14"/>
  <c r="N141" i="14"/>
  <c r="M141" i="14"/>
  <c r="K141" i="14"/>
  <c r="H141" i="14"/>
  <c r="G141" i="14"/>
  <c r="E141" i="14"/>
  <c r="B141" i="14"/>
  <c r="AE140" i="14"/>
  <c r="AC140" i="14"/>
  <c r="Z140" i="14"/>
  <c r="Y140" i="14"/>
  <c r="W140" i="14"/>
  <c r="V140" i="14"/>
  <c r="T140" i="14"/>
  <c r="S140" i="14"/>
  <c r="P140" i="14"/>
  <c r="N140" i="14"/>
  <c r="K140" i="14"/>
  <c r="J140" i="14"/>
  <c r="H140" i="14"/>
  <c r="E140" i="14"/>
  <c r="D140" i="14"/>
  <c r="B140" i="14"/>
  <c r="AE139" i="14"/>
  <c r="AC139" i="14"/>
  <c r="AB139" i="14"/>
  <c r="Y139" i="14"/>
  <c r="W139" i="14"/>
  <c r="T139" i="14"/>
  <c r="S139" i="14"/>
  <c r="Q139" i="14"/>
  <c r="N139" i="14"/>
  <c r="M139" i="14"/>
  <c r="K139" i="14"/>
  <c r="J139" i="14"/>
  <c r="G139" i="14"/>
  <c r="E139" i="14"/>
  <c r="D139" i="14"/>
  <c r="B139" i="14"/>
  <c r="AC138" i="14"/>
  <c r="AB138" i="14"/>
  <c r="Z138" i="14"/>
  <c r="Y138" i="14"/>
  <c r="W138" i="14"/>
  <c r="V138" i="14"/>
  <c r="S138" i="14"/>
  <c r="Q138" i="14"/>
  <c r="P138" i="14"/>
  <c r="N138" i="14"/>
  <c r="M138" i="14"/>
  <c r="J138" i="14"/>
  <c r="H138" i="14"/>
  <c r="G138" i="14"/>
  <c r="E138" i="14"/>
  <c r="D138" i="14"/>
  <c r="AE137" i="14"/>
  <c r="AB137" i="14"/>
  <c r="Z137" i="14"/>
  <c r="Y137" i="14"/>
  <c r="V137" i="14"/>
  <c r="T137" i="14"/>
  <c r="S137" i="14"/>
  <c r="Q137" i="14"/>
  <c r="P137" i="14"/>
  <c r="M137" i="14"/>
  <c r="K137" i="14"/>
  <c r="J137" i="14"/>
  <c r="H137" i="14"/>
  <c r="G137" i="14"/>
  <c r="D137" i="14"/>
  <c r="B137" i="14"/>
  <c r="AE135" i="14"/>
  <c r="AC135" i="14"/>
  <c r="AB135" i="14"/>
  <c r="Z135" i="14"/>
  <c r="W135" i="14"/>
  <c r="V135" i="14"/>
  <c r="T135" i="14"/>
  <c r="Q135" i="14"/>
  <c r="P135" i="14"/>
  <c r="N135" i="14"/>
  <c r="M135" i="14"/>
  <c r="K135" i="14"/>
  <c r="H135" i="14"/>
  <c r="G135" i="14"/>
  <c r="E135" i="14"/>
  <c r="B135" i="14"/>
  <c r="AE134" i="14"/>
  <c r="AC134" i="14"/>
  <c r="Z134" i="14"/>
  <c r="Y134" i="14"/>
  <c r="W134" i="14"/>
  <c r="V134" i="14"/>
  <c r="T134" i="14"/>
  <c r="S134" i="14"/>
  <c r="P134" i="14"/>
  <c r="N134" i="14"/>
  <c r="K134" i="14"/>
  <c r="J134" i="14"/>
  <c r="H134" i="14"/>
  <c r="E134" i="14"/>
  <c r="D134" i="14"/>
  <c r="B134" i="14"/>
  <c r="AE133" i="14"/>
  <c r="AC133" i="14"/>
  <c r="AB133" i="14"/>
  <c r="Y133" i="14"/>
  <c r="W133" i="14"/>
  <c r="T133" i="14"/>
  <c r="S133" i="14"/>
  <c r="Q133" i="14"/>
  <c r="N133" i="14"/>
  <c r="M133" i="14"/>
  <c r="K133" i="14"/>
  <c r="J133" i="14"/>
  <c r="G133" i="14"/>
  <c r="E133" i="14"/>
  <c r="D133" i="14"/>
  <c r="B133" i="14"/>
  <c r="AC132" i="14"/>
  <c r="AB132" i="14"/>
  <c r="Z132" i="14"/>
  <c r="Y132" i="14"/>
  <c r="W132" i="14"/>
  <c r="V132" i="14"/>
  <c r="S132" i="14"/>
  <c r="Q132" i="14"/>
  <c r="P132" i="14"/>
  <c r="N132" i="14"/>
  <c r="M132" i="14"/>
  <c r="J132" i="14"/>
  <c r="H132" i="14"/>
  <c r="G132" i="14"/>
  <c r="E132" i="14"/>
  <c r="D132" i="14"/>
  <c r="AE131" i="14"/>
  <c r="AB131" i="14"/>
  <c r="Z131" i="14"/>
  <c r="Y131" i="14"/>
  <c r="V131" i="14"/>
  <c r="T131" i="14"/>
  <c r="S131" i="14"/>
  <c r="Q131" i="14"/>
  <c r="P131" i="14"/>
  <c r="M131" i="14"/>
  <c r="K131" i="14"/>
  <c r="J131" i="14"/>
  <c r="H131" i="14"/>
  <c r="G131" i="14"/>
  <c r="D131" i="14"/>
  <c r="B131" i="14"/>
  <c r="AB128" i="14"/>
  <c r="V128" i="14"/>
  <c r="P128" i="14"/>
  <c r="J128" i="14"/>
  <c r="D128" i="14"/>
  <c r="AB127" i="14"/>
  <c r="V127" i="14"/>
  <c r="AE120" i="14"/>
  <c r="AE128" i="14" s="1"/>
  <c r="AC120" i="14"/>
  <c r="AC128" i="14" s="1"/>
  <c r="AB120" i="14"/>
  <c r="Z120" i="14"/>
  <c r="Z128" i="14" s="1"/>
  <c r="Y120" i="14"/>
  <c r="Y128" i="14" s="1"/>
  <c r="W120" i="14"/>
  <c r="W128" i="14" s="1"/>
  <c r="V120" i="14"/>
  <c r="T120" i="14"/>
  <c r="T128" i="14" s="1"/>
  <c r="S120" i="14"/>
  <c r="S128" i="14" s="1"/>
  <c r="Q120" i="14"/>
  <c r="Q128" i="14" s="1"/>
  <c r="P120" i="14"/>
  <c r="N120" i="14"/>
  <c r="N128" i="14" s="1"/>
  <c r="M120" i="14"/>
  <c r="M128" i="14" s="1"/>
  <c r="K120" i="14"/>
  <c r="K128" i="14" s="1"/>
  <c r="J120" i="14"/>
  <c r="H120" i="14"/>
  <c r="H128" i="14" s="1"/>
  <c r="G120" i="14"/>
  <c r="G128" i="14" s="1"/>
  <c r="E120" i="14"/>
  <c r="E128" i="14" s="1"/>
  <c r="D120" i="14"/>
  <c r="B120" i="14"/>
  <c r="B128" i="14" s="1"/>
  <c r="AE119" i="14"/>
  <c r="AE127" i="14" s="1"/>
  <c r="AC119" i="14"/>
  <c r="AC127" i="14" s="1"/>
  <c r="AB119" i="14"/>
  <c r="Z119" i="14"/>
  <c r="Z127" i="14" s="1"/>
  <c r="Y119" i="14"/>
  <c r="Y127" i="14" s="1"/>
  <c r="W119" i="14"/>
  <c r="W127" i="14" s="1"/>
  <c r="V119" i="14"/>
  <c r="T119" i="14"/>
  <c r="T127" i="14" s="1"/>
  <c r="S119" i="14"/>
  <c r="S127" i="14" s="1"/>
  <c r="Q119" i="14"/>
  <c r="Q127" i="14" s="1"/>
  <c r="P119" i="14"/>
  <c r="P127" i="14" s="1"/>
  <c r="N119" i="14"/>
  <c r="N127" i="14" s="1"/>
  <c r="M119" i="14"/>
  <c r="M127" i="14" s="1"/>
  <c r="K119" i="14"/>
  <c r="K127" i="14" s="1"/>
  <c r="J119" i="14"/>
  <c r="J127" i="14" s="1"/>
  <c r="H119" i="14"/>
  <c r="H127" i="14" s="1"/>
  <c r="G119" i="14"/>
  <c r="G127" i="14" s="1"/>
  <c r="E119" i="14"/>
  <c r="E127" i="14" s="1"/>
  <c r="D119" i="14"/>
  <c r="D127" i="14" s="1"/>
  <c r="B119" i="14"/>
  <c r="B127" i="14" s="1"/>
  <c r="AE118" i="14"/>
  <c r="AE126" i="14" s="1"/>
  <c r="AC118" i="14"/>
  <c r="AC126" i="14" s="1"/>
  <c r="AB118" i="14"/>
  <c r="AB126" i="14" s="1"/>
  <c r="Z118" i="14"/>
  <c r="Z126" i="14" s="1"/>
  <c r="Y118" i="14"/>
  <c r="Y126" i="14" s="1"/>
  <c r="W118" i="14"/>
  <c r="W126" i="14" s="1"/>
  <c r="V118" i="14"/>
  <c r="V126" i="14" s="1"/>
  <c r="T118" i="14"/>
  <c r="T126" i="14" s="1"/>
  <c r="S118" i="14"/>
  <c r="S126" i="14" s="1"/>
  <c r="Q118" i="14"/>
  <c r="Q126" i="14" s="1"/>
  <c r="P118" i="14"/>
  <c r="P126" i="14" s="1"/>
  <c r="N118" i="14"/>
  <c r="N126" i="14" s="1"/>
  <c r="M118" i="14"/>
  <c r="M126" i="14" s="1"/>
  <c r="K118" i="14"/>
  <c r="K126" i="14" s="1"/>
  <c r="J118" i="14"/>
  <c r="J126" i="14" s="1"/>
  <c r="H118" i="14"/>
  <c r="H126" i="14" s="1"/>
  <c r="G118" i="14"/>
  <c r="G126" i="14" s="1"/>
  <c r="E118" i="14"/>
  <c r="E126" i="14" s="1"/>
  <c r="D118" i="14"/>
  <c r="D126" i="14" s="1"/>
  <c r="B118" i="14"/>
  <c r="B126" i="14" s="1"/>
  <c r="AE117" i="14"/>
  <c r="AE125" i="14" s="1"/>
  <c r="AC117" i="14"/>
  <c r="AC125" i="14" s="1"/>
  <c r="AB117" i="14"/>
  <c r="AB125" i="14" s="1"/>
  <c r="Z117" i="14"/>
  <c r="Z125" i="14" s="1"/>
  <c r="Y117" i="14"/>
  <c r="Y125" i="14" s="1"/>
  <c r="W117" i="14"/>
  <c r="W125" i="14" s="1"/>
  <c r="V117" i="14"/>
  <c r="V125" i="14" s="1"/>
  <c r="T117" i="14"/>
  <c r="T125" i="14" s="1"/>
  <c r="S117" i="14"/>
  <c r="S125" i="14" s="1"/>
  <c r="Q117" i="14"/>
  <c r="Q125" i="14" s="1"/>
  <c r="P117" i="14"/>
  <c r="P125" i="14" s="1"/>
  <c r="N117" i="14"/>
  <c r="N125" i="14" s="1"/>
  <c r="M117" i="14"/>
  <c r="M125" i="14" s="1"/>
  <c r="K117" i="14"/>
  <c r="K125" i="14" s="1"/>
  <c r="J117" i="14"/>
  <c r="J125" i="14" s="1"/>
  <c r="H117" i="14"/>
  <c r="H125" i="14" s="1"/>
  <c r="G117" i="14"/>
  <c r="G125" i="14" s="1"/>
  <c r="E117" i="14"/>
  <c r="E125" i="14" s="1"/>
  <c r="D117" i="14"/>
  <c r="D125" i="14" s="1"/>
  <c r="B117" i="14"/>
  <c r="B125" i="14" s="1"/>
  <c r="AE116" i="14"/>
  <c r="AE124" i="14" s="1"/>
  <c r="AC116" i="14"/>
  <c r="AC124" i="14" s="1"/>
  <c r="AB116" i="14"/>
  <c r="AB152" i="14" s="1"/>
  <c r="Z116" i="14"/>
  <c r="Z151" i="14" s="1"/>
  <c r="Y116" i="14"/>
  <c r="Y124" i="14" s="1"/>
  <c r="W116" i="14"/>
  <c r="W124" i="14" s="1"/>
  <c r="W129" i="14" s="1"/>
  <c r="V116" i="14"/>
  <c r="V121" i="14" s="1"/>
  <c r="T116" i="14"/>
  <c r="T121" i="14" s="1"/>
  <c r="S116" i="14"/>
  <c r="S124" i="14" s="1"/>
  <c r="Q116" i="14"/>
  <c r="Q152" i="14" s="1"/>
  <c r="P116" i="14"/>
  <c r="P151" i="14" s="1"/>
  <c r="N116" i="14"/>
  <c r="N124" i="14" s="1"/>
  <c r="M116" i="14"/>
  <c r="M152" i="14" s="1"/>
  <c r="K116" i="14"/>
  <c r="K150" i="14" s="1"/>
  <c r="J116" i="14"/>
  <c r="J153" i="14" s="1"/>
  <c r="H116" i="14"/>
  <c r="H121" i="14" s="1"/>
  <c r="G116" i="14"/>
  <c r="G152" i="14" s="1"/>
  <c r="E116" i="14"/>
  <c r="E124" i="14" s="1"/>
  <c r="D116" i="14"/>
  <c r="D124" i="14" s="1"/>
  <c r="B116" i="14"/>
  <c r="B124" i="14" s="1"/>
  <c r="AE115" i="14"/>
  <c r="AC115" i="14"/>
  <c r="AB115" i="14"/>
  <c r="Z115" i="14"/>
  <c r="Y115" i="14"/>
  <c r="AN113" i="14" s="1"/>
  <c r="W115" i="14"/>
  <c r="V115" i="14"/>
  <c r="T115" i="14"/>
  <c r="S115" i="14"/>
  <c r="AL112" i="14" s="1"/>
  <c r="Q115" i="14"/>
  <c r="P115" i="14"/>
  <c r="N115" i="14"/>
  <c r="M115" i="14"/>
  <c r="AJ112" i="14" s="1"/>
  <c r="K115" i="14"/>
  <c r="J115" i="14"/>
  <c r="H115" i="14"/>
  <c r="G115" i="14"/>
  <c r="E115" i="14"/>
  <c r="D115" i="14"/>
  <c r="B115" i="14"/>
  <c r="AD114" i="14"/>
  <c r="AA114" i="14"/>
  <c r="X114" i="14"/>
  <c r="U114" i="14"/>
  <c r="R114" i="14"/>
  <c r="O114" i="14"/>
  <c r="L114" i="14"/>
  <c r="I114" i="14"/>
  <c r="F114" i="14"/>
  <c r="A114" i="14"/>
  <c r="AP113" i="14"/>
  <c r="AO113" i="14"/>
  <c r="AM113" i="14"/>
  <c r="AK113" i="14"/>
  <c r="AJ113" i="14"/>
  <c r="AI113" i="14"/>
  <c r="AH113" i="14"/>
  <c r="AG113" i="14"/>
  <c r="AF113" i="14"/>
  <c r="AD113" i="14"/>
  <c r="AA113" i="14"/>
  <c r="X113" i="14"/>
  <c r="U113" i="14"/>
  <c r="R113" i="14"/>
  <c r="O113" i="14"/>
  <c r="L113" i="14"/>
  <c r="I113" i="14"/>
  <c r="F113" i="14"/>
  <c r="A113" i="14"/>
  <c r="AP112" i="14"/>
  <c r="AO112" i="14"/>
  <c r="AN112" i="14"/>
  <c r="AM112" i="14"/>
  <c r="AK112" i="14"/>
  <c r="AI112" i="14"/>
  <c r="AH112" i="14"/>
  <c r="AG112" i="14"/>
  <c r="AF112" i="14"/>
  <c r="AD112" i="14"/>
  <c r="AA112" i="14"/>
  <c r="X112" i="14"/>
  <c r="U112" i="14"/>
  <c r="R112" i="14"/>
  <c r="O112" i="14"/>
  <c r="L112" i="14"/>
  <c r="I112" i="14"/>
  <c r="F112" i="14"/>
  <c r="A112" i="14"/>
  <c r="AP111" i="14"/>
  <c r="AO111" i="14"/>
  <c r="AN111" i="14"/>
  <c r="AM111" i="14"/>
  <c r="AL111" i="14"/>
  <c r="AK111" i="14"/>
  <c r="AJ111" i="14"/>
  <c r="AI111" i="14"/>
  <c r="AH111" i="14"/>
  <c r="AG111" i="14"/>
  <c r="AQ111" i="14" s="1"/>
  <c r="W97" i="14" s="1"/>
  <c r="AF111" i="14"/>
  <c r="AD111" i="14"/>
  <c r="AA111" i="14"/>
  <c r="X111" i="14"/>
  <c r="U111" i="14"/>
  <c r="R111" i="14"/>
  <c r="O111" i="14"/>
  <c r="L111" i="14"/>
  <c r="I111" i="14"/>
  <c r="F111" i="14"/>
  <c r="A111" i="14"/>
  <c r="AP110" i="14"/>
  <c r="AO110" i="14"/>
  <c r="AN110" i="14"/>
  <c r="AM110" i="14"/>
  <c r="AL110" i="14"/>
  <c r="AK110" i="14"/>
  <c r="AJ110" i="14"/>
  <c r="AI110" i="14"/>
  <c r="AQ110" i="14" s="1"/>
  <c r="W95" i="14" s="1"/>
  <c r="AH110" i="14"/>
  <c r="AG110" i="14"/>
  <c r="AF110" i="14"/>
  <c r="AD110" i="14"/>
  <c r="AA110" i="14"/>
  <c r="X110" i="14"/>
  <c r="U110" i="14"/>
  <c r="R110" i="14"/>
  <c r="O110" i="14"/>
  <c r="L110" i="14"/>
  <c r="I110" i="14"/>
  <c r="F110" i="14"/>
  <c r="AP109" i="14"/>
  <c r="AO109" i="14"/>
  <c r="AN109" i="14"/>
  <c r="AM109" i="14"/>
  <c r="AL109" i="14"/>
  <c r="AK109" i="14"/>
  <c r="AJ109" i="14"/>
  <c r="AI109" i="14"/>
  <c r="AH109" i="14"/>
  <c r="AG109" i="14"/>
  <c r="AQ109" i="14" s="1"/>
  <c r="W93" i="14" s="1"/>
  <c r="AF109" i="14"/>
  <c r="AD109" i="14"/>
  <c r="AA109" i="14"/>
  <c r="X109" i="14"/>
  <c r="U109" i="14"/>
  <c r="R109" i="14"/>
  <c r="O109" i="14"/>
  <c r="L109" i="14"/>
  <c r="I109" i="14"/>
  <c r="F109" i="14"/>
  <c r="AC107" i="14"/>
  <c r="Z107" i="14"/>
  <c r="W107" i="14"/>
  <c r="T107" i="14"/>
  <c r="Q107" i="14"/>
  <c r="N107" i="14"/>
  <c r="K107" i="14"/>
  <c r="H107" i="14"/>
  <c r="E107" i="14"/>
  <c r="E102" i="14"/>
  <c r="E101" i="14"/>
  <c r="B168" i="14" s="1"/>
  <c r="A101" i="14"/>
  <c r="E100" i="14"/>
  <c r="AB180" i="14" s="1"/>
  <c r="AG211" i="14" s="1"/>
  <c r="E99" i="14"/>
  <c r="B167" i="14" s="1"/>
  <c r="A99" i="14"/>
  <c r="E98" i="14"/>
  <c r="H180" i="14" s="1"/>
  <c r="K211" i="14" s="1"/>
  <c r="E97" i="14"/>
  <c r="B166" i="14" s="1"/>
  <c r="A97" i="14"/>
  <c r="E96" i="14"/>
  <c r="AL180" i="14" s="1"/>
  <c r="AG213" i="14" s="1"/>
  <c r="E95" i="14"/>
  <c r="AF180" i="14" s="1"/>
  <c r="X213" i="14" s="1"/>
  <c r="A95" i="14"/>
  <c r="E94" i="14"/>
  <c r="R180" i="14" s="1"/>
  <c r="K213" i="14" s="1"/>
  <c r="E93" i="14"/>
  <c r="B164" i="14" s="1"/>
  <c r="A93" i="14"/>
  <c r="R92" i="14"/>
  <c r="L92" i="14"/>
  <c r="K91" i="14"/>
  <c r="A89" i="14"/>
  <c r="AE76" i="14"/>
  <c r="AC76" i="14"/>
  <c r="AB76" i="14"/>
  <c r="Z76" i="14"/>
  <c r="W76" i="14"/>
  <c r="V76" i="14"/>
  <c r="T76" i="14"/>
  <c r="Q76" i="14"/>
  <c r="P76" i="14"/>
  <c r="N76" i="14"/>
  <c r="M76" i="14"/>
  <c r="K76" i="14"/>
  <c r="H76" i="14"/>
  <c r="G76" i="14"/>
  <c r="E76" i="14"/>
  <c r="B76" i="14"/>
  <c r="AE75" i="14"/>
  <c r="AC75" i="14"/>
  <c r="Z75" i="14"/>
  <c r="Y75" i="14"/>
  <c r="W75" i="14"/>
  <c r="V75" i="14"/>
  <c r="T75" i="14"/>
  <c r="S75" i="14"/>
  <c r="P75" i="14"/>
  <c r="N75" i="14"/>
  <c r="K75" i="14"/>
  <c r="J75" i="14"/>
  <c r="H75" i="14"/>
  <c r="E75" i="14"/>
  <c r="D75" i="14"/>
  <c r="B75" i="14"/>
  <c r="AE74" i="14"/>
  <c r="AC74" i="14"/>
  <c r="AB74" i="14"/>
  <c r="Y74" i="14"/>
  <c r="W74" i="14"/>
  <c r="T74" i="14"/>
  <c r="S74" i="14"/>
  <c r="Q74" i="14"/>
  <c r="N74" i="14"/>
  <c r="M74" i="14"/>
  <c r="K74" i="14"/>
  <c r="J74" i="14"/>
  <c r="G74" i="14"/>
  <c r="E74" i="14"/>
  <c r="D74" i="14"/>
  <c r="B74" i="14"/>
  <c r="AC73" i="14"/>
  <c r="AB73" i="14"/>
  <c r="Z73" i="14"/>
  <c r="Y73" i="14"/>
  <c r="W73" i="14"/>
  <c r="V73" i="14"/>
  <c r="S73" i="14"/>
  <c r="Q73" i="14"/>
  <c r="P73" i="14"/>
  <c r="N73" i="14"/>
  <c r="M73" i="14"/>
  <c r="J73" i="14"/>
  <c r="H73" i="14"/>
  <c r="G73" i="14"/>
  <c r="E73" i="14"/>
  <c r="D73" i="14"/>
  <c r="AE72" i="14"/>
  <c r="AB72" i="14"/>
  <c r="Z72" i="14"/>
  <c r="Y72" i="14"/>
  <c r="V72" i="14"/>
  <c r="T72" i="14"/>
  <c r="S72" i="14"/>
  <c r="Q72" i="14"/>
  <c r="P72" i="14"/>
  <c r="M72" i="14"/>
  <c r="K72" i="14"/>
  <c r="J72" i="14"/>
  <c r="H72" i="14"/>
  <c r="G72" i="14"/>
  <c r="D72" i="14"/>
  <c r="B72" i="14"/>
  <c r="AE68" i="14"/>
  <c r="AC68" i="14"/>
  <c r="AB68" i="14"/>
  <c r="Z68" i="14"/>
  <c r="W68" i="14"/>
  <c r="V68" i="14"/>
  <c r="T68" i="14"/>
  <c r="Q68" i="14"/>
  <c r="P68" i="14"/>
  <c r="N68" i="14"/>
  <c r="M68" i="14"/>
  <c r="K68" i="14"/>
  <c r="H68" i="14"/>
  <c r="G68" i="14"/>
  <c r="E68" i="14"/>
  <c r="B68" i="14"/>
  <c r="AE67" i="14"/>
  <c r="AC67" i="14"/>
  <c r="Z67" i="14"/>
  <c r="Y67" i="14"/>
  <c r="W67" i="14"/>
  <c r="V67" i="14"/>
  <c r="T67" i="14"/>
  <c r="S67" i="14"/>
  <c r="P67" i="14"/>
  <c r="N67" i="14"/>
  <c r="K67" i="14"/>
  <c r="J67" i="14"/>
  <c r="H67" i="14"/>
  <c r="E67" i="14"/>
  <c r="D67" i="14"/>
  <c r="B67" i="14"/>
  <c r="AE66" i="14"/>
  <c r="AC66" i="14"/>
  <c r="AB66" i="14"/>
  <c r="Y66" i="14"/>
  <c r="W66" i="14"/>
  <c r="T66" i="14"/>
  <c r="S66" i="14"/>
  <c r="Q66" i="14"/>
  <c r="N66" i="14"/>
  <c r="M66" i="14"/>
  <c r="K66" i="14"/>
  <c r="J66" i="14"/>
  <c r="G66" i="14"/>
  <c r="E66" i="14"/>
  <c r="D66" i="14"/>
  <c r="B66" i="14"/>
  <c r="AC65" i="14"/>
  <c r="AB65" i="14"/>
  <c r="Z65" i="14"/>
  <c r="Y65" i="14"/>
  <c r="W65" i="14"/>
  <c r="V65" i="14"/>
  <c r="S65" i="14"/>
  <c r="Q65" i="14"/>
  <c r="P65" i="14"/>
  <c r="N65" i="14"/>
  <c r="M65" i="14"/>
  <c r="J65" i="14"/>
  <c r="H65" i="14"/>
  <c r="G65" i="14"/>
  <c r="E65" i="14"/>
  <c r="D65" i="14"/>
  <c r="AE64" i="14"/>
  <c r="AB64" i="14"/>
  <c r="Z64" i="14"/>
  <c r="Y64" i="14"/>
  <c r="V64" i="14"/>
  <c r="T64" i="14"/>
  <c r="S64" i="14"/>
  <c r="Q64" i="14"/>
  <c r="P64" i="14"/>
  <c r="M64" i="14"/>
  <c r="K64" i="14"/>
  <c r="J64" i="14"/>
  <c r="H64" i="14"/>
  <c r="G64" i="14"/>
  <c r="D64" i="14"/>
  <c r="B64" i="14"/>
  <c r="AE62" i="14"/>
  <c r="AC62" i="14"/>
  <c r="AB62" i="14"/>
  <c r="Z62" i="14"/>
  <c r="W62" i="14"/>
  <c r="V62" i="14"/>
  <c r="T62" i="14"/>
  <c r="Q62" i="14"/>
  <c r="P62" i="14"/>
  <c r="N62" i="14"/>
  <c r="M62" i="14"/>
  <c r="K62" i="14"/>
  <c r="H62" i="14"/>
  <c r="G62" i="14"/>
  <c r="E62" i="14"/>
  <c r="B62" i="14"/>
  <c r="AE61" i="14"/>
  <c r="AC61" i="14"/>
  <c r="Z61" i="14"/>
  <c r="Y61" i="14"/>
  <c r="W61" i="14"/>
  <c r="V61" i="14"/>
  <c r="T61" i="14"/>
  <c r="S61" i="14"/>
  <c r="P61" i="14"/>
  <c r="N61" i="14"/>
  <c r="K61" i="14"/>
  <c r="J61" i="14"/>
  <c r="H61" i="14"/>
  <c r="E61" i="14"/>
  <c r="D61" i="14"/>
  <c r="B61" i="14"/>
  <c r="AE60" i="14"/>
  <c r="AC60" i="14"/>
  <c r="AB60" i="14"/>
  <c r="Y60" i="14"/>
  <c r="W60" i="14"/>
  <c r="T60" i="14"/>
  <c r="S60" i="14"/>
  <c r="Q60" i="14"/>
  <c r="N60" i="14"/>
  <c r="M60" i="14"/>
  <c r="K60" i="14"/>
  <c r="J60" i="14"/>
  <c r="G60" i="14"/>
  <c r="E60" i="14"/>
  <c r="D60" i="14"/>
  <c r="B60" i="14"/>
  <c r="AC59" i="14"/>
  <c r="AB59" i="14"/>
  <c r="Z59" i="14"/>
  <c r="Y59" i="14"/>
  <c r="W59" i="14"/>
  <c r="V59" i="14"/>
  <c r="S59" i="14"/>
  <c r="Q59" i="14"/>
  <c r="P59" i="14"/>
  <c r="N59" i="14"/>
  <c r="M59" i="14"/>
  <c r="J59" i="14"/>
  <c r="H59" i="14"/>
  <c r="G59" i="14"/>
  <c r="E59" i="14"/>
  <c r="D59" i="14"/>
  <c r="AE58" i="14"/>
  <c r="AB58" i="14"/>
  <c r="Z58" i="14"/>
  <c r="Y58" i="14"/>
  <c r="V58" i="14"/>
  <c r="T58" i="14"/>
  <c r="S58" i="14"/>
  <c r="Q58" i="14"/>
  <c r="P58" i="14"/>
  <c r="M58" i="14"/>
  <c r="K58" i="14"/>
  <c r="J58" i="14"/>
  <c r="H58" i="14"/>
  <c r="G58" i="14"/>
  <c r="D58" i="14"/>
  <c r="B58" i="14"/>
  <c r="AE56" i="14"/>
  <c r="AC56" i="14"/>
  <c r="AB56" i="14"/>
  <c r="Z56" i="14"/>
  <c r="W56" i="14"/>
  <c r="V56" i="14"/>
  <c r="T56" i="14"/>
  <c r="Q56" i="14"/>
  <c r="P56" i="14"/>
  <c r="N56" i="14"/>
  <c r="M56" i="14"/>
  <c r="K56" i="14"/>
  <c r="H56" i="14"/>
  <c r="G56" i="14"/>
  <c r="E56" i="14"/>
  <c r="B56" i="14"/>
  <c r="AE55" i="14"/>
  <c r="AC55" i="14"/>
  <c r="Z55" i="14"/>
  <c r="Y55" i="14"/>
  <c r="W55" i="14"/>
  <c r="V55" i="14"/>
  <c r="T55" i="14"/>
  <c r="S55" i="14"/>
  <c r="P55" i="14"/>
  <c r="N55" i="14"/>
  <c r="K55" i="14"/>
  <c r="J55" i="14"/>
  <c r="H55" i="14"/>
  <c r="E55" i="14"/>
  <c r="D55" i="14"/>
  <c r="B55" i="14"/>
  <c r="AE54" i="14"/>
  <c r="AC54" i="14"/>
  <c r="AB54" i="14"/>
  <c r="Y54" i="14"/>
  <c r="W54" i="14"/>
  <c r="T54" i="14"/>
  <c r="S54" i="14"/>
  <c r="Q54" i="14"/>
  <c r="N54" i="14"/>
  <c r="M54" i="14"/>
  <c r="K54" i="14"/>
  <c r="J54" i="14"/>
  <c r="G54" i="14"/>
  <c r="E54" i="14"/>
  <c r="D54" i="14"/>
  <c r="B54" i="14"/>
  <c r="AC53" i="14"/>
  <c r="AB53" i="14"/>
  <c r="Z53" i="14"/>
  <c r="Y53" i="14"/>
  <c r="W53" i="14"/>
  <c r="V53" i="14"/>
  <c r="S53" i="14"/>
  <c r="Q53" i="14"/>
  <c r="P53" i="14"/>
  <c r="N53" i="14"/>
  <c r="M53" i="14"/>
  <c r="J53" i="14"/>
  <c r="H53" i="14"/>
  <c r="G53" i="14"/>
  <c r="E53" i="14"/>
  <c r="D53" i="14"/>
  <c r="AE52" i="14"/>
  <c r="AB52" i="14"/>
  <c r="Z52" i="14"/>
  <c r="Y52" i="14"/>
  <c r="V52" i="14"/>
  <c r="T52" i="14"/>
  <c r="S52" i="14"/>
  <c r="Q52" i="14"/>
  <c r="P52" i="14"/>
  <c r="M52" i="14"/>
  <c r="K52" i="14"/>
  <c r="J52" i="14"/>
  <c r="H52" i="14"/>
  <c r="G52" i="14"/>
  <c r="D52" i="14"/>
  <c r="B52" i="14"/>
  <c r="AE50" i="14"/>
  <c r="AC50" i="14"/>
  <c r="AB50" i="14"/>
  <c r="Z50" i="14"/>
  <c r="W50" i="14"/>
  <c r="V50" i="14"/>
  <c r="T50" i="14"/>
  <c r="Q50" i="14"/>
  <c r="P50" i="14"/>
  <c r="N50" i="14"/>
  <c r="M50" i="14"/>
  <c r="K50" i="14"/>
  <c r="H50" i="14"/>
  <c r="G50" i="14"/>
  <c r="E50" i="14"/>
  <c r="B50" i="14"/>
  <c r="AE49" i="14"/>
  <c r="AC49" i="14"/>
  <c r="Z49" i="14"/>
  <c r="Y49" i="14"/>
  <c r="W49" i="14"/>
  <c r="V49" i="14"/>
  <c r="T49" i="14"/>
  <c r="S49" i="14"/>
  <c r="P49" i="14"/>
  <c r="N49" i="14"/>
  <c r="K49" i="14"/>
  <c r="J49" i="14"/>
  <c r="H49" i="14"/>
  <c r="E49" i="14"/>
  <c r="D49" i="14"/>
  <c r="B49" i="14"/>
  <c r="AE48" i="14"/>
  <c r="AC48" i="14"/>
  <c r="AB48" i="14"/>
  <c r="Y48" i="14"/>
  <c r="W48" i="14"/>
  <c r="T48" i="14"/>
  <c r="S48" i="14"/>
  <c r="Q48" i="14"/>
  <c r="N48" i="14"/>
  <c r="M48" i="14"/>
  <c r="K48" i="14"/>
  <c r="J48" i="14"/>
  <c r="G48" i="14"/>
  <c r="E48" i="14"/>
  <c r="D48" i="14"/>
  <c r="B48" i="14"/>
  <c r="AC47" i="14"/>
  <c r="AB47" i="14"/>
  <c r="Z47" i="14"/>
  <c r="Y47" i="14"/>
  <c r="W47" i="14"/>
  <c r="V47" i="14"/>
  <c r="S47" i="14"/>
  <c r="Q47" i="14"/>
  <c r="P47" i="14"/>
  <c r="N47" i="14"/>
  <c r="M47" i="14"/>
  <c r="J47" i="14"/>
  <c r="H47" i="14"/>
  <c r="G47" i="14"/>
  <c r="E47" i="14"/>
  <c r="D47" i="14"/>
  <c r="AE46" i="14"/>
  <c r="AB46" i="14"/>
  <c r="Z46" i="14"/>
  <c r="Y46" i="14"/>
  <c r="V46" i="14"/>
  <c r="T46" i="14"/>
  <c r="S46" i="14"/>
  <c r="Q46" i="14"/>
  <c r="P46" i="14"/>
  <c r="M46" i="14"/>
  <c r="K46" i="14"/>
  <c r="J46" i="14"/>
  <c r="H46" i="14"/>
  <c r="G46" i="14"/>
  <c r="D46" i="14"/>
  <c r="B46" i="14"/>
  <c r="AE43" i="14"/>
  <c r="AC43" i="14"/>
  <c r="Y43" i="14"/>
  <c r="W43" i="14"/>
  <c r="S43" i="14"/>
  <c r="Q43" i="14"/>
  <c r="M43" i="14"/>
  <c r="K43" i="14"/>
  <c r="G43" i="14"/>
  <c r="E43" i="14"/>
  <c r="AE42" i="14"/>
  <c r="AC42" i="14"/>
  <c r="W42" i="14"/>
  <c r="Q42" i="14"/>
  <c r="K42" i="14"/>
  <c r="E42" i="14"/>
  <c r="AC41" i="14"/>
  <c r="W41" i="14"/>
  <c r="Q41" i="14"/>
  <c r="K41" i="14"/>
  <c r="E41" i="14"/>
  <c r="AC40" i="14"/>
  <c r="W40" i="14"/>
  <c r="Q40" i="14"/>
  <c r="K40" i="14"/>
  <c r="E40" i="14"/>
  <c r="AC39" i="14"/>
  <c r="W39" i="14"/>
  <c r="Q39" i="14"/>
  <c r="K39" i="14"/>
  <c r="E39" i="14"/>
  <c r="AE35" i="14"/>
  <c r="AC35" i="14"/>
  <c r="AB35" i="14"/>
  <c r="AB43" i="14" s="1"/>
  <c r="Z35" i="14"/>
  <c r="Z43" i="14" s="1"/>
  <c r="Y35" i="14"/>
  <c r="W35" i="14"/>
  <c r="V35" i="14"/>
  <c r="V43" i="14" s="1"/>
  <c r="T35" i="14"/>
  <c r="T43" i="14" s="1"/>
  <c r="S35" i="14"/>
  <c r="Q35" i="14"/>
  <c r="P35" i="14"/>
  <c r="P43" i="14" s="1"/>
  <c r="N35" i="14"/>
  <c r="N43" i="14" s="1"/>
  <c r="M35" i="14"/>
  <c r="K35" i="14"/>
  <c r="J35" i="14"/>
  <c r="J43" i="14" s="1"/>
  <c r="H35" i="14"/>
  <c r="H43" i="14" s="1"/>
  <c r="G35" i="14"/>
  <c r="E35" i="14"/>
  <c r="D35" i="14"/>
  <c r="D43" i="14" s="1"/>
  <c r="B35" i="14"/>
  <c r="B43" i="14" s="1"/>
  <c r="AE34" i="14"/>
  <c r="AC34" i="14"/>
  <c r="AB34" i="14"/>
  <c r="AB42" i="14" s="1"/>
  <c r="Z34" i="14"/>
  <c r="Z42" i="14" s="1"/>
  <c r="Y34" i="14"/>
  <c r="Y42" i="14" s="1"/>
  <c r="W34" i="14"/>
  <c r="V34" i="14"/>
  <c r="V42" i="14" s="1"/>
  <c r="T34" i="14"/>
  <c r="T42" i="14" s="1"/>
  <c r="S34" i="14"/>
  <c r="S42" i="14" s="1"/>
  <c r="Q34" i="14"/>
  <c r="P34" i="14"/>
  <c r="P42" i="14" s="1"/>
  <c r="N34" i="14"/>
  <c r="N42" i="14" s="1"/>
  <c r="M34" i="14"/>
  <c r="M42" i="14" s="1"/>
  <c r="K34" i="14"/>
  <c r="J34" i="14"/>
  <c r="J42" i="14" s="1"/>
  <c r="H34" i="14"/>
  <c r="H42" i="14" s="1"/>
  <c r="G34" i="14"/>
  <c r="G42" i="14" s="1"/>
  <c r="E34" i="14"/>
  <c r="D34" i="14"/>
  <c r="D42" i="14" s="1"/>
  <c r="B34" i="14"/>
  <c r="B42" i="14" s="1"/>
  <c r="AE33" i="14"/>
  <c r="AE41" i="14" s="1"/>
  <c r="AC33" i="14"/>
  <c r="AB33" i="14"/>
  <c r="AB41" i="14" s="1"/>
  <c r="Z33" i="14"/>
  <c r="Z41" i="14" s="1"/>
  <c r="Y33" i="14"/>
  <c r="Y41" i="14" s="1"/>
  <c r="W33" i="14"/>
  <c r="V33" i="14"/>
  <c r="V41" i="14" s="1"/>
  <c r="T33" i="14"/>
  <c r="T41" i="14" s="1"/>
  <c r="S33" i="14"/>
  <c r="S41" i="14" s="1"/>
  <c r="Q33" i="14"/>
  <c r="P33" i="14"/>
  <c r="P41" i="14" s="1"/>
  <c r="N33" i="14"/>
  <c r="N41" i="14" s="1"/>
  <c r="M33" i="14"/>
  <c r="M41" i="14" s="1"/>
  <c r="K33" i="14"/>
  <c r="J33" i="14"/>
  <c r="J41" i="14" s="1"/>
  <c r="H33" i="14"/>
  <c r="H41" i="14" s="1"/>
  <c r="G33" i="14"/>
  <c r="G41" i="14" s="1"/>
  <c r="E33" i="14"/>
  <c r="D33" i="14"/>
  <c r="D41" i="14" s="1"/>
  <c r="B33" i="14"/>
  <c r="B41" i="14" s="1"/>
  <c r="AE32" i="14"/>
  <c r="AE40" i="14" s="1"/>
  <c r="AC32" i="14"/>
  <c r="AB32" i="14"/>
  <c r="AB40" i="14" s="1"/>
  <c r="Z32" i="14"/>
  <c r="Z40" i="14" s="1"/>
  <c r="Y32" i="14"/>
  <c r="Y40" i="14" s="1"/>
  <c r="W32" i="14"/>
  <c r="V32" i="14"/>
  <c r="V40" i="14" s="1"/>
  <c r="T32" i="14"/>
  <c r="T40" i="14" s="1"/>
  <c r="S32" i="14"/>
  <c r="S40" i="14" s="1"/>
  <c r="Q32" i="14"/>
  <c r="P32" i="14"/>
  <c r="P40" i="14" s="1"/>
  <c r="N32" i="14"/>
  <c r="N40" i="14" s="1"/>
  <c r="M32" i="14"/>
  <c r="M40" i="14" s="1"/>
  <c r="K32" i="14"/>
  <c r="J32" i="14"/>
  <c r="J40" i="14" s="1"/>
  <c r="H32" i="14"/>
  <c r="H40" i="14" s="1"/>
  <c r="G32" i="14"/>
  <c r="G40" i="14" s="1"/>
  <c r="E32" i="14"/>
  <c r="D32" i="14"/>
  <c r="D40" i="14" s="1"/>
  <c r="B32" i="14"/>
  <c r="B40" i="14" s="1"/>
  <c r="AE31" i="14"/>
  <c r="AE65" i="14" s="1"/>
  <c r="AC31" i="14"/>
  <c r="AC64" i="14" s="1"/>
  <c r="AB31" i="14"/>
  <c r="AB36" i="14" s="1"/>
  <c r="AB37" i="14" s="1"/>
  <c r="AB49" i="14" s="1"/>
  <c r="Z31" i="14"/>
  <c r="Z36" i="14" s="1"/>
  <c r="Y31" i="14"/>
  <c r="Y39" i="14" s="1"/>
  <c r="W31" i="14"/>
  <c r="W64" i="14" s="1"/>
  <c r="V31" i="14"/>
  <c r="V66" i="14" s="1"/>
  <c r="T31" i="14"/>
  <c r="T39" i="14" s="1"/>
  <c r="S31" i="14"/>
  <c r="S39" i="14" s="1"/>
  <c r="Q31" i="14"/>
  <c r="Q67" i="14" s="1"/>
  <c r="P31" i="14"/>
  <c r="P36" i="14" s="1"/>
  <c r="N31" i="14"/>
  <c r="N64" i="14" s="1"/>
  <c r="M31" i="14"/>
  <c r="M67" i="14" s="1"/>
  <c r="K31" i="14"/>
  <c r="K36" i="14" s="1"/>
  <c r="J31" i="14"/>
  <c r="J39" i="14" s="1"/>
  <c r="H31" i="14"/>
  <c r="H66" i="14" s="1"/>
  <c r="G31" i="14"/>
  <c r="G67" i="14" s="1"/>
  <c r="E31" i="14"/>
  <c r="E64" i="14" s="1"/>
  <c r="D31" i="14"/>
  <c r="D68" i="14" s="1"/>
  <c r="B31" i="14"/>
  <c r="B36" i="14" s="1"/>
  <c r="AE30" i="14"/>
  <c r="AP25" i="14" s="1"/>
  <c r="AC30" i="14"/>
  <c r="AB30" i="14"/>
  <c r="AO26" i="14" s="1"/>
  <c r="Z30" i="14"/>
  <c r="Y30" i="14"/>
  <c r="AN28" i="14" s="1"/>
  <c r="W30" i="14"/>
  <c r="V30" i="14"/>
  <c r="T30" i="14"/>
  <c r="S30" i="14"/>
  <c r="AL27" i="14" s="1"/>
  <c r="Q30" i="14"/>
  <c r="P30" i="14"/>
  <c r="AK26" i="14" s="1"/>
  <c r="N30" i="14"/>
  <c r="M30" i="14"/>
  <c r="K30" i="14"/>
  <c r="J30" i="14"/>
  <c r="H30" i="14"/>
  <c r="G30" i="14"/>
  <c r="AH27" i="14" s="1"/>
  <c r="E30" i="14"/>
  <c r="D30" i="14"/>
  <c r="AG28" i="14" s="1"/>
  <c r="B30" i="14"/>
  <c r="AD29" i="14"/>
  <c r="AA29" i="14"/>
  <c r="X29" i="14"/>
  <c r="U29" i="14"/>
  <c r="R29" i="14"/>
  <c r="O29" i="14"/>
  <c r="L29" i="14"/>
  <c r="I29" i="14"/>
  <c r="F29" i="14"/>
  <c r="A29" i="14"/>
  <c r="AP28" i="14"/>
  <c r="AO28" i="14"/>
  <c r="AM28" i="14"/>
  <c r="AL28" i="14"/>
  <c r="AK28" i="14"/>
  <c r="AJ28" i="14"/>
  <c r="AI28" i="14"/>
  <c r="AH28" i="14"/>
  <c r="AF28" i="14"/>
  <c r="AD28" i="14"/>
  <c r="AA28" i="14"/>
  <c r="X28" i="14"/>
  <c r="U28" i="14"/>
  <c r="R28" i="14"/>
  <c r="O28" i="14"/>
  <c r="L28" i="14"/>
  <c r="I28" i="14"/>
  <c r="F28" i="14"/>
  <c r="A28" i="14"/>
  <c r="AP27" i="14"/>
  <c r="AO27" i="14"/>
  <c r="AN27" i="14"/>
  <c r="AM27" i="14"/>
  <c r="AK27" i="14"/>
  <c r="AJ27" i="14"/>
  <c r="AI27" i="14"/>
  <c r="AG27" i="14"/>
  <c r="AQ27" i="14" s="1"/>
  <c r="W14" i="14" s="1"/>
  <c r="AF27" i="14"/>
  <c r="AD27" i="14"/>
  <c r="AA27" i="14"/>
  <c r="X27" i="14"/>
  <c r="U27" i="14"/>
  <c r="R27" i="14"/>
  <c r="O27" i="14"/>
  <c r="L27" i="14"/>
  <c r="I27" i="14"/>
  <c r="F27" i="14"/>
  <c r="A27" i="14"/>
  <c r="AP26" i="14"/>
  <c r="AN26" i="14"/>
  <c r="AM26" i="14"/>
  <c r="AL26" i="14"/>
  <c r="AJ26" i="14"/>
  <c r="AI26" i="14"/>
  <c r="AH26" i="14"/>
  <c r="AG26" i="14"/>
  <c r="AF26" i="14"/>
  <c r="AD26" i="14"/>
  <c r="AA26" i="14"/>
  <c r="X26" i="14"/>
  <c r="U26" i="14"/>
  <c r="R26" i="14"/>
  <c r="O26" i="14"/>
  <c r="L26" i="14"/>
  <c r="I26" i="14"/>
  <c r="F26" i="14"/>
  <c r="A26" i="14"/>
  <c r="AO25" i="14"/>
  <c r="AN25" i="14"/>
  <c r="AM25" i="14"/>
  <c r="AL25" i="14"/>
  <c r="AK25" i="14"/>
  <c r="AJ25" i="14"/>
  <c r="AI25" i="14"/>
  <c r="AH25" i="14"/>
  <c r="AG25" i="14"/>
  <c r="AF25" i="14"/>
  <c r="AD25" i="14"/>
  <c r="AA25" i="14"/>
  <c r="X25" i="14"/>
  <c r="U25" i="14"/>
  <c r="R25" i="14"/>
  <c r="O25" i="14"/>
  <c r="L25" i="14"/>
  <c r="I25" i="14"/>
  <c r="F25" i="14"/>
  <c r="AP24" i="14"/>
  <c r="AO24" i="14"/>
  <c r="AN24" i="14"/>
  <c r="AM24" i="14"/>
  <c r="AL24" i="14"/>
  <c r="AK24" i="14"/>
  <c r="AJ24" i="14"/>
  <c r="AI24" i="14"/>
  <c r="AH24" i="14"/>
  <c r="AG24" i="14"/>
  <c r="AQ24" i="14" s="1"/>
  <c r="W8" i="14" s="1"/>
  <c r="AF24" i="14"/>
  <c r="AD24" i="14"/>
  <c r="AA24" i="14"/>
  <c r="X24" i="14"/>
  <c r="U24" i="14"/>
  <c r="R24" i="14"/>
  <c r="O24" i="14"/>
  <c r="L24" i="14"/>
  <c r="I24" i="14"/>
  <c r="F24" i="14"/>
  <c r="AC22" i="14"/>
  <c r="Z22" i="14"/>
  <c r="W22" i="14"/>
  <c r="T22" i="14"/>
  <c r="Q22" i="14"/>
  <c r="N22" i="14"/>
  <c r="K22" i="14"/>
  <c r="H22" i="14"/>
  <c r="E22" i="14"/>
  <c r="E17" i="14"/>
  <c r="AB179" i="14" s="1"/>
  <c r="AG210" i="14" s="1"/>
  <c r="E16" i="14"/>
  <c r="V179" i="14" s="1"/>
  <c r="X210" i="14" s="1"/>
  <c r="A16" i="14"/>
  <c r="E15" i="14"/>
  <c r="E14" i="14"/>
  <c r="B82" i="14" s="1"/>
  <c r="A14" i="14"/>
  <c r="E13" i="14"/>
  <c r="AL179" i="14" s="1"/>
  <c r="AG212" i="14" s="1"/>
  <c r="E12" i="14"/>
  <c r="A12" i="14"/>
  <c r="E11" i="14"/>
  <c r="H179" i="14" s="1"/>
  <c r="K210" i="14" s="1"/>
  <c r="E10" i="14"/>
  <c r="B179" i="14" s="1"/>
  <c r="B210" i="14" s="1"/>
  <c r="A10" i="14"/>
  <c r="E9" i="14"/>
  <c r="R179" i="14" s="1"/>
  <c r="K212" i="14" s="1"/>
  <c r="E8" i="14"/>
  <c r="A8" i="14"/>
  <c r="R7" i="14"/>
  <c r="L7" i="14"/>
  <c r="K6" i="14"/>
  <c r="AW12" i="13"/>
  <c r="AW11" i="13"/>
  <c r="AW10" i="13"/>
  <c r="AW9" i="13"/>
  <c r="AW8" i="13"/>
  <c r="AW7" i="13"/>
  <c r="AW6" i="13"/>
  <c r="AW5" i="13"/>
  <c r="AW4" i="13"/>
  <c r="AW3" i="13"/>
  <c r="AE221" i="13"/>
  <c r="AC221" i="13"/>
  <c r="AB221" i="13"/>
  <c r="Z221" i="13"/>
  <c r="Y221" i="13"/>
  <c r="W221" i="13"/>
  <c r="J221" i="13"/>
  <c r="H221" i="13"/>
  <c r="G221" i="13"/>
  <c r="E221" i="13"/>
  <c r="D221" i="13"/>
  <c r="B221" i="13"/>
  <c r="AE220" i="13"/>
  <c r="AC220" i="13"/>
  <c r="AB220" i="13"/>
  <c r="AB222" i="13" s="1"/>
  <c r="Z220" i="13"/>
  <c r="Z222" i="13" s="1"/>
  <c r="Y220" i="13"/>
  <c r="W220" i="13"/>
  <c r="J220" i="13"/>
  <c r="H220" i="13"/>
  <c r="G220" i="13"/>
  <c r="E220" i="13"/>
  <c r="D220" i="13"/>
  <c r="D222" i="13" s="1"/>
  <c r="B220" i="13"/>
  <c r="B222" i="13" s="1"/>
  <c r="AE219" i="13"/>
  <c r="AE222" i="13" s="1"/>
  <c r="AC219" i="13"/>
  <c r="AC222" i="13" s="1"/>
  <c r="AB219" i="13"/>
  <c r="Z219" i="13"/>
  <c r="Y219" i="13"/>
  <c r="Y222" i="13" s="1"/>
  <c r="W219" i="13"/>
  <c r="W222" i="13" s="1"/>
  <c r="AC218" i="13" s="1"/>
  <c r="J219" i="13"/>
  <c r="J222" i="13" s="1"/>
  <c r="H219" i="13"/>
  <c r="H222" i="13" s="1"/>
  <c r="G219" i="13"/>
  <c r="G222" i="13" s="1"/>
  <c r="E219" i="13"/>
  <c r="E222" i="13" s="1"/>
  <c r="J218" i="13" s="1"/>
  <c r="D219" i="13"/>
  <c r="B219" i="13"/>
  <c r="A174" i="13"/>
  <c r="AE161" i="13"/>
  <c r="AC161" i="13"/>
  <c r="AB161" i="13"/>
  <c r="Z161" i="13"/>
  <c r="W161" i="13"/>
  <c r="V161" i="13"/>
  <c r="T161" i="13"/>
  <c r="Q161" i="13"/>
  <c r="P161" i="13"/>
  <c r="N161" i="13"/>
  <c r="M161" i="13"/>
  <c r="K161" i="13"/>
  <c r="H161" i="13"/>
  <c r="G161" i="13"/>
  <c r="E161" i="13"/>
  <c r="B161" i="13"/>
  <c r="AE160" i="13"/>
  <c r="AC160" i="13"/>
  <c r="Z160" i="13"/>
  <c r="Y160" i="13"/>
  <c r="W160" i="13"/>
  <c r="V160" i="13"/>
  <c r="T160" i="13"/>
  <c r="S160" i="13"/>
  <c r="P160" i="13"/>
  <c r="N160" i="13"/>
  <c r="K160" i="13"/>
  <c r="J160" i="13"/>
  <c r="H160" i="13"/>
  <c r="E160" i="13"/>
  <c r="D160" i="13"/>
  <c r="B160" i="13"/>
  <c r="AE159" i="13"/>
  <c r="AC159" i="13"/>
  <c r="AB159" i="13"/>
  <c r="Y159" i="13"/>
  <c r="W159" i="13"/>
  <c r="T159" i="13"/>
  <c r="S159" i="13"/>
  <c r="Q159" i="13"/>
  <c r="N159" i="13"/>
  <c r="M159" i="13"/>
  <c r="K159" i="13"/>
  <c r="J159" i="13"/>
  <c r="G159" i="13"/>
  <c r="E159" i="13"/>
  <c r="D159" i="13"/>
  <c r="B159" i="13"/>
  <c r="AC158" i="13"/>
  <c r="AB158" i="13"/>
  <c r="Z158" i="13"/>
  <c r="Y158" i="13"/>
  <c r="W158" i="13"/>
  <c r="V158" i="13"/>
  <c r="S158" i="13"/>
  <c r="Q158" i="13"/>
  <c r="P158" i="13"/>
  <c r="N158" i="13"/>
  <c r="M158" i="13"/>
  <c r="J158" i="13"/>
  <c r="H158" i="13"/>
  <c r="G158" i="13"/>
  <c r="E158" i="13"/>
  <c r="D158" i="13"/>
  <c r="AE157" i="13"/>
  <c r="AB157" i="13"/>
  <c r="Z157" i="13"/>
  <c r="Y157" i="13"/>
  <c r="V157" i="13"/>
  <c r="T157" i="13"/>
  <c r="S157" i="13"/>
  <c r="Q157" i="13"/>
  <c r="P157" i="13"/>
  <c r="M157" i="13"/>
  <c r="K157" i="13"/>
  <c r="J157" i="13"/>
  <c r="H157" i="13"/>
  <c r="G157" i="13"/>
  <c r="D157" i="13"/>
  <c r="B157" i="13"/>
  <c r="AE153" i="13"/>
  <c r="AC153" i="13"/>
  <c r="AB153" i="13"/>
  <c r="Z153" i="13"/>
  <c r="W153" i="13"/>
  <c r="V153" i="13"/>
  <c r="T153" i="13"/>
  <c r="Q153" i="13"/>
  <c r="P153" i="13"/>
  <c r="N153" i="13"/>
  <c r="M153" i="13"/>
  <c r="K153" i="13"/>
  <c r="H153" i="13"/>
  <c r="G153" i="13"/>
  <c r="E153" i="13"/>
  <c r="B153" i="13"/>
  <c r="AE152" i="13"/>
  <c r="AC152" i="13"/>
  <c r="Z152" i="13"/>
  <c r="Y152" i="13"/>
  <c r="W152" i="13"/>
  <c r="V152" i="13"/>
  <c r="T152" i="13"/>
  <c r="S152" i="13"/>
  <c r="P152" i="13"/>
  <c r="N152" i="13"/>
  <c r="K152" i="13"/>
  <c r="J152" i="13"/>
  <c r="H152" i="13"/>
  <c r="E152" i="13"/>
  <c r="D152" i="13"/>
  <c r="B152" i="13"/>
  <c r="AE151" i="13"/>
  <c r="AC151" i="13"/>
  <c r="AB151" i="13"/>
  <c r="Y151" i="13"/>
  <c r="W151" i="13"/>
  <c r="T151" i="13"/>
  <c r="S151" i="13"/>
  <c r="Q151" i="13"/>
  <c r="N151" i="13"/>
  <c r="M151" i="13"/>
  <c r="K151" i="13"/>
  <c r="J151" i="13"/>
  <c r="G151" i="13"/>
  <c r="E151" i="13"/>
  <c r="D151" i="13"/>
  <c r="B151" i="13"/>
  <c r="AC150" i="13"/>
  <c r="AB150" i="13"/>
  <c r="Z150" i="13"/>
  <c r="Y150" i="13"/>
  <c r="W150" i="13"/>
  <c r="V150" i="13"/>
  <c r="S150" i="13"/>
  <c r="Q150" i="13"/>
  <c r="P150" i="13"/>
  <c r="N150" i="13"/>
  <c r="M150" i="13"/>
  <c r="J150" i="13"/>
  <c r="H150" i="13"/>
  <c r="G150" i="13"/>
  <c r="E150" i="13"/>
  <c r="D150" i="13"/>
  <c r="AE149" i="13"/>
  <c r="AB149" i="13"/>
  <c r="Z149" i="13"/>
  <c r="Y149" i="13"/>
  <c r="V149" i="13"/>
  <c r="T149" i="13"/>
  <c r="S149" i="13"/>
  <c r="Q149" i="13"/>
  <c r="P149" i="13"/>
  <c r="M149" i="13"/>
  <c r="K149" i="13"/>
  <c r="J149" i="13"/>
  <c r="H149" i="13"/>
  <c r="G149" i="13"/>
  <c r="D149" i="13"/>
  <c r="B149" i="13"/>
  <c r="AE147" i="13"/>
  <c r="AC147" i="13"/>
  <c r="AB147" i="13"/>
  <c r="Z147" i="13"/>
  <c r="W147" i="13"/>
  <c r="V147" i="13"/>
  <c r="T147" i="13"/>
  <c r="Q147" i="13"/>
  <c r="P147" i="13"/>
  <c r="N147" i="13"/>
  <c r="M147" i="13"/>
  <c r="K147" i="13"/>
  <c r="H147" i="13"/>
  <c r="G147" i="13"/>
  <c r="E147" i="13"/>
  <c r="B147" i="13"/>
  <c r="AE146" i="13"/>
  <c r="AC146" i="13"/>
  <c r="Z146" i="13"/>
  <c r="Y146" i="13"/>
  <c r="W146" i="13"/>
  <c r="V146" i="13"/>
  <c r="T146" i="13"/>
  <c r="S146" i="13"/>
  <c r="P146" i="13"/>
  <c r="N146" i="13"/>
  <c r="K146" i="13"/>
  <c r="J146" i="13"/>
  <c r="H146" i="13"/>
  <c r="E146" i="13"/>
  <c r="D146" i="13"/>
  <c r="B146" i="13"/>
  <c r="AE145" i="13"/>
  <c r="AC145" i="13"/>
  <c r="AB145" i="13"/>
  <c r="Y145" i="13"/>
  <c r="W145" i="13"/>
  <c r="T145" i="13"/>
  <c r="S145" i="13"/>
  <c r="Q145" i="13"/>
  <c r="N145" i="13"/>
  <c r="M145" i="13"/>
  <c r="K145" i="13"/>
  <c r="J145" i="13"/>
  <c r="G145" i="13"/>
  <c r="E145" i="13"/>
  <c r="D145" i="13"/>
  <c r="B145" i="13"/>
  <c r="AC144" i="13"/>
  <c r="AB144" i="13"/>
  <c r="Z144" i="13"/>
  <c r="Y144" i="13"/>
  <c r="W144" i="13"/>
  <c r="V144" i="13"/>
  <c r="S144" i="13"/>
  <c r="Q144" i="13"/>
  <c r="P144" i="13"/>
  <c r="N144" i="13"/>
  <c r="M144" i="13"/>
  <c r="J144" i="13"/>
  <c r="H144" i="13"/>
  <c r="G144" i="13"/>
  <c r="E144" i="13"/>
  <c r="D144" i="13"/>
  <c r="AE143" i="13"/>
  <c r="AB143" i="13"/>
  <c r="Z143" i="13"/>
  <c r="Y143" i="13"/>
  <c r="V143" i="13"/>
  <c r="T143" i="13"/>
  <c r="S143" i="13"/>
  <c r="Q143" i="13"/>
  <c r="P143" i="13"/>
  <c r="M143" i="13"/>
  <c r="K143" i="13"/>
  <c r="J143" i="13"/>
  <c r="H143" i="13"/>
  <c r="G143" i="13"/>
  <c r="D143" i="13"/>
  <c r="B143" i="13"/>
  <c r="AE141" i="13"/>
  <c r="AC141" i="13"/>
  <c r="AB141" i="13"/>
  <c r="Z141" i="13"/>
  <c r="W141" i="13"/>
  <c r="V141" i="13"/>
  <c r="T141" i="13"/>
  <c r="Q141" i="13"/>
  <c r="P141" i="13"/>
  <c r="N141" i="13"/>
  <c r="M141" i="13"/>
  <c r="K141" i="13"/>
  <c r="H141" i="13"/>
  <c r="G141" i="13"/>
  <c r="E141" i="13"/>
  <c r="B141" i="13"/>
  <c r="AE140" i="13"/>
  <c r="AC140" i="13"/>
  <c r="Z140" i="13"/>
  <c r="Y140" i="13"/>
  <c r="W140" i="13"/>
  <c r="V140" i="13"/>
  <c r="T140" i="13"/>
  <c r="S140" i="13"/>
  <c r="P140" i="13"/>
  <c r="N140" i="13"/>
  <c r="K140" i="13"/>
  <c r="J140" i="13"/>
  <c r="H140" i="13"/>
  <c r="E140" i="13"/>
  <c r="D140" i="13"/>
  <c r="B140" i="13"/>
  <c r="AE139" i="13"/>
  <c r="AC139" i="13"/>
  <c r="AB139" i="13"/>
  <c r="Y139" i="13"/>
  <c r="W139" i="13"/>
  <c r="T139" i="13"/>
  <c r="S139" i="13"/>
  <c r="Q139" i="13"/>
  <c r="N139" i="13"/>
  <c r="M139" i="13"/>
  <c r="K139" i="13"/>
  <c r="J139" i="13"/>
  <c r="G139" i="13"/>
  <c r="E139" i="13"/>
  <c r="D139" i="13"/>
  <c r="B139" i="13"/>
  <c r="AC138" i="13"/>
  <c r="AB138" i="13"/>
  <c r="Z138" i="13"/>
  <c r="Y138" i="13"/>
  <c r="W138" i="13"/>
  <c r="V138" i="13"/>
  <c r="S138" i="13"/>
  <c r="Q138" i="13"/>
  <c r="P138" i="13"/>
  <c r="N138" i="13"/>
  <c r="M138" i="13"/>
  <c r="J138" i="13"/>
  <c r="H138" i="13"/>
  <c r="G138" i="13"/>
  <c r="E138" i="13"/>
  <c r="D138" i="13"/>
  <c r="AE137" i="13"/>
  <c r="AB137" i="13"/>
  <c r="Z137" i="13"/>
  <c r="Y137" i="13"/>
  <c r="V137" i="13"/>
  <c r="T137" i="13"/>
  <c r="S137" i="13"/>
  <c r="Q137" i="13"/>
  <c r="P137" i="13"/>
  <c r="M137" i="13"/>
  <c r="K137" i="13"/>
  <c r="J137" i="13"/>
  <c r="H137" i="13"/>
  <c r="G137" i="13"/>
  <c r="D137" i="13"/>
  <c r="B137" i="13"/>
  <c r="AE135" i="13"/>
  <c r="AC135" i="13"/>
  <c r="AB135" i="13"/>
  <c r="Z135" i="13"/>
  <c r="W135" i="13"/>
  <c r="V135" i="13"/>
  <c r="T135" i="13"/>
  <c r="Q135" i="13"/>
  <c r="P135" i="13"/>
  <c r="N135" i="13"/>
  <c r="M135" i="13"/>
  <c r="K135" i="13"/>
  <c r="H135" i="13"/>
  <c r="G135" i="13"/>
  <c r="E135" i="13"/>
  <c r="B135" i="13"/>
  <c r="AE134" i="13"/>
  <c r="AC134" i="13"/>
  <c r="Z134" i="13"/>
  <c r="Y134" i="13"/>
  <c r="W134" i="13"/>
  <c r="V134" i="13"/>
  <c r="T134" i="13"/>
  <c r="S134" i="13"/>
  <c r="P134" i="13"/>
  <c r="N134" i="13"/>
  <c r="K134" i="13"/>
  <c r="J134" i="13"/>
  <c r="H134" i="13"/>
  <c r="E134" i="13"/>
  <c r="D134" i="13"/>
  <c r="B134" i="13"/>
  <c r="AE133" i="13"/>
  <c r="AC133" i="13"/>
  <c r="AB133" i="13"/>
  <c r="Y133" i="13"/>
  <c r="W133" i="13"/>
  <c r="T133" i="13"/>
  <c r="S133" i="13"/>
  <c r="Q133" i="13"/>
  <c r="N133" i="13"/>
  <c r="M133" i="13"/>
  <c r="K133" i="13"/>
  <c r="J133" i="13"/>
  <c r="G133" i="13"/>
  <c r="E133" i="13"/>
  <c r="D133" i="13"/>
  <c r="B133" i="13"/>
  <c r="AC132" i="13"/>
  <c r="AB132" i="13"/>
  <c r="Z132" i="13"/>
  <c r="Y132" i="13"/>
  <c r="W132" i="13"/>
  <c r="V132" i="13"/>
  <c r="S132" i="13"/>
  <c r="Q132" i="13"/>
  <c r="P132" i="13"/>
  <c r="N132" i="13"/>
  <c r="M132" i="13"/>
  <c r="J132" i="13"/>
  <c r="H132" i="13"/>
  <c r="G132" i="13"/>
  <c r="E132" i="13"/>
  <c r="D132" i="13"/>
  <c r="AE131" i="13"/>
  <c r="AB131" i="13"/>
  <c r="Z131" i="13"/>
  <c r="Y131" i="13"/>
  <c r="V131" i="13"/>
  <c r="T131" i="13"/>
  <c r="S131" i="13"/>
  <c r="Q131" i="13"/>
  <c r="P131" i="13"/>
  <c r="M131" i="13"/>
  <c r="K131" i="13"/>
  <c r="J131" i="13"/>
  <c r="H131" i="13"/>
  <c r="G131" i="13"/>
  <c r="D131" i="13"/>
  <c r="B131" i="13"/>
  <c r="AE120" i="13"/>
  <c r="AE128" i="13" s="1"/>
  <c r="AC120" i="13"/>
  <c r="AC128" i="13" s="1"/>
  <c r="AB120" i="13"/>
  <c r="AB128" i="13" s="1"/>
  <c r="Z120" i="13"/>
  <c r="Z128" i="13" s="1"/>
  <c r="Y120" i="13"/>
  <c r="Y128" i="13" s="1"/>
  <c r="W120" i="13"/>
  <c r="W128" i="13" s="1"/>
  <c r="V120" i="13"/>
  <c r="V128" i="13" s="1"/>
  <c r="T120" i="13"/>
  <c r="T128" i="13" s="1"/>
  <c r="S120" i="13"/>
  <c r="S128" i="13" s="1"/>
  <c r="Q120" i="13"/>
  <c r="Q128" i="13" s="1"/>
  <c r="P120" i="13"/>
  <c r="P128" i="13" s="1"/>
  <c r="N120" i="13"/>
  <c r="N128" i="13" s="1"/>
  <c r="M120" i="13"/>
  <c r="M128" i="13" s="1"/>
  <c r="K120" i="13"/>
  <c r="K128" i="13" s="1"/>
  <c r="J120" i="13"/>
  <c r="J128" i="13" s="1"/>
  <c r="H120" i="13"/>
  <c r="H128" i="13" s="1"/>
  <c r="G120" i="13"/>
  <c r="G128" i="13" s="1"/>
  <c r="E120" i="13"/>
  <c r="E128" i="13" s="1"/>
  <c r="D120" i="13"/>
  <c r="D128" i="13" s="1"/>
  <c r="B120" i="13"/>
  <c r="B128" i="13" s="1"/>
  <c r="AE119" i="13"/>
  <c r="AE127" i="13" s="1"/>
  <c r="AC119" i="13"/>
  <c r="AC127" i="13" s="1"/>
  <c r="AB119" i="13"/>
  <c r="AB127" i="13" s="1"/>
  <c r="Z119" i="13"/>
  <c r="Z127" i="13" s="1"/>
  <c r="Y119" i="13"/>
  <c r="Y127" i="13" s="1"/>
  <c r="W119" i="13"/>
  <c r="W127" i="13" s="1"/>
  <c r="V119" i="13"/>
  <c r="V127" i="13" s="1"/>
  <c r="T119" i="13"/>
  <c r="T127" i="13" s="1"/>
  <c r="S119" i="13"/>
  <c r="S127" i="13" s="1"/>
  <c r="Q119" i="13"/>
  <c r="Q127" i="13" s="1"/>
  <c r="P119" i="13"/>
  <c r="P127" i="13" s="1"/>
  <c r="N119" i="13"/>
  <c r="N127" i="13" s="1"/>
  <c r="M119" i="13"/>
  <c r="M127" i="13" s="1"/>
  <c r="K119" i="13"/>
  <c r="K127" i="13" s="1"/>
  <c r="J119" i="13"/>
  <c r="J127" i="13" s="1"/>
  <c r="H119" i="13"/>
  <c r="H127" i="13" s="1"/>
  <c r="G119" i="13"/>
  <c r="G127" i="13" s="1"/>
  <c r="E119" i="13"/>
  <c r="E127" i="13" s="1"/>
  <c r="D119" i="13"/>
  <c r="D127" i="13" s="1"/>
  <c r="B119" i="13"/>
  <c r="B127" i="13" s="1"/>
  <c r="AE118" i="13"/>
  <c r="AE126" i="13" s="1"/>
  <c r="AC118" i="13"/>
  <c r="AC126" i="13" s="1"/>
  <c r="AB118" i="13"/>
  <c r="AB126" i="13" s="1"/>
  <c r="Z118" i="13"/>
  <c r="Z126" i="13" s="1"/>
  <c r="Y118" i="13"/>
  <c r="Y126" i="13" s="1"/>
  <c r="W118" i="13"/>
  <c r="W126" i="13" s="1"/>
  <c r="V118" i="13"/>
  <c r="V126" i="13" s="1"/>
  <c r="T118" i="13"/>
  <c r="T126" i="13" s="1"/>
  <c r="S118" i="13"/>
  <c r="S126" i="13" s="1"/>
  <c r="Q118" i="13"/>
  <c r="Q126" i="13" s="1"/>
  <c r="P118" i="13"/>
  <c r="P126" i="13" s="1"/>
  <c r="N118" i="13"/>
  <c r="N126" i="13" s="1"/>
  <c r="M118" i="13"/>
  <c r="M126" i="13" s="1"/>
  <c r="K118" i="13"/>
  <c r="K126" i="13" s="1"/>
  <c r="J118" i="13"/>
  <c r="J126" i="13" s="1"/>
  <c r="H118" i="13"/>
  <c r="H126" i="13" s="1"/>
  <c r="G118" i="13"/>
  <c r="G126" i="13" s="1"/>
  <c r="E118" i="13"/>
  <c r="E126" i="13" s="1"/>
  <c r="D118" i="13"/>
  <c r="D126" i="13" s="1"/>
  <c r="B118" i="13"/>
  <c r="B126" i="13" s="1"/>
  <c r="AE117" i="13"/>
  <c r="AE125" i="13" s="1"/>
  <c r="AC117" i="13"/>
  <c r="AC125" i="13" s="1"/>
  <c r="AB117" i="13"/>
  <c r="AB125" i="13" s="1"/>
  <c r="Z117" i="13"/>
  <c r="Z125" i="13" s="1"/>
  <c r="Y117" i="13"/>
  <c r="Y125" i="13" s="1"/>
  <c r="W117" i="13"/>
  <c r="W125" i="13" s="1"/>
  <c r="V117" i="13"/>
  <c r="V125" i="13" s="1"/>
  <c r="T117" i="13"/>
  <c r="T125" i="13" s="1"/>
  <c r="S117" i="13"/>
  <c r="S125" i="13" s="1"/>
  <c r="Q117" i="13"/>
  <c r="Q125" i="13" s="1"/>
  <c r="P117" i="13"/>
  <c r="P125" i="13" s="1"/>
  <c r="N117" i="13"/>
  <c r="N125" i="13" s="1"/>
  <c r="M117" i="13"/>
  <c r="M125" i="13" s="1"/>
  <c r="K117" i="13"/>
  <c r="K125" i="13" s="1"/>
  <c r="J117" i="13"/>
  <c r="J125" i="13" s="1"/>
  <c r="H117" i="13"/>
  <c r="H125" i="13" s="1"/>
  <c r="G117" i="13"/>
  <c r="G125" i="13" s="1"/>
  <c r="E117" i="13"/>
  <c r="E125" i="13" s="1"/>
  <c r="D117" i="13"/>
  <c r="D125" i="13" s="1"/>
  <c r="B117" i="13"/>
  <c r="B125" i="13" s="1"/>
  <c r="AE116" i="13"/>
  <c r="AE124" i="13" s="1"/>
  <c r="AC116" i="13"/>
  <c r="AC124" i="13" s="1"/>
  <c r="AB116" i="13"/>
  <c r="AB152" i="13" s="1"/>
  <c r="Z116" i="13"/>
  <c r="Z151" i="13" s="1"/>
  <c r="Y116" i="13"/>
  <c r="Y124" i="13" s="1"/>
  <c r="W116" i="13"/>
  <c r="W124" i="13" s="1"/>
  <c r="V116" i="13"/>
  <c r="V121" i="13" s="1"/>
  <c r="T116" i="13"/>
  <c r="T121" i="13" s="1"/>
  <c r="S116" i="13"/>
  <c r="S124" i="13" s="1"/>
  <c r="Q116" i="13"/>
  <c r="Q152" i="13" s="1"/>
  <c r="P116" i="13"/>
  <c r="P151" i="13" s="1"/>
  <c r="N116" i="13"/>
  <c r="N124" i="13" s="1"/>
  <c r="M116" i="13"/>
  <c r="M152" i="13" s="1"/>
  <c r="K116" i="13"/>
  <c r="K150" i="13" s="1"/>
  <c r="J116" i="13"/>
  <c r="J153" i="13" s="1"/>
  <c r="H116" i="13"/>
  <c r="H121" i="13" s="1"/>
  <c r="G116" i="13"/>
  <c r="G152" i="13" s="1"/>
  <c r="E116" i="13"/>
  <c r="E124" i="13" s="1"/>
  <c r="D116" i="13"/>
  <c r="D124" i="13" s="1"/>
  <c r="B116" i="13"/>
  <c r="B124" i="13" s="1"/>
  <c r="B129" i="13" s="1"/>
  <c r="AE115" i="13"/>
  <c r="AC115" i="13"/>
  <c r="AB115" i="13"/>
  <c r="Z115" i="13"/>
  <c r="Y115" i="13"/>
  <c r="W115" i="13"/>
  <c r="V115" i="13"/>
  <c r="T115" i="13"/>
  <c r="S115" i="13"/>
  <c r="Q115" i="13"/>
  <c r="P115" i="13"/>
  <c r="N115" i="13"/>
  <c r="M115" i="13"/>
  <c r="K115" i="13"/>
  <c r="J115" i="13"/>
  <c r="H115" i="13"/>
  <c r="G115" i="13"/>
  <c r="E115" i="13"/>
  <c r="D115" i="13"/>
  <c r="B115" i="13"/>
  <c r="AD114" i="13"/>
  <c r="AA114" i="13"/>
  <c r="X114" i="13"/>
  <c r="U114" i="13"/>
  <c r="R114" i="13"/>
  <c r="O114" i="13"/>
  <c r="L114" i="13"/>
  <c r="I114" i="13"/>
  <c r="F114" i="13"/>
  <c r="A114" i="13"/>
  <c r="AP113" i="13"/>
  <c r="AO113" i="13"/>
  <c r="AN113" i="13"/>
  <c r="AM113" i="13"/>
  <c r="AL113" i="13"/>
  <c r="AK113" i="13"/>
  <c r="AJ113" i="13"/>
  <c r="AI113" i="13"/>
  <c r="AH113" i="13"/>
  <c r="AG113" i="13"/>
  <c r="AQ113" i="13" s="1"/>
  <c r="W101" i="13" s="1"/>
  <c r="AF113" i="13"/>
  <c r="AD113" i="13"/>
  <c r="AA113" i="13"/>
  <c r="X113" i="13"/>
  <c r="U113" i="13"/>
  <c r="R113" i="13"/>
  <c r="O113" i="13"/>
  <c r="L113" i="13"/>
  <c r="I113" i="13"/>
  <c r="F113" i="13"/>
  <c r="A113" i="13"/>
  <c r="AP112" i="13"/>
  <c r="AO112" i="13"/>
  <c r="AN112" i="13"/>
  <c r="AM112" i="13"/>
  <c r="AL112" i="13"/>
  <c r="AK112" i="13"/>
  <c r="AJ112" i="13"/>
  <c r="AI112" i="13"/>
  <c r="AH112" i="13"/>
  <c r="AG112" i="13"/>
  <c r="AQ112" i="13" s="1"/>
  <c r="W99" i="13" s="1"/>
  <c r="AF112" i="13"/>
  <c r="AD112" i="13"/>
  <c r="AA112" i="13"/>
  <c r="X112" i="13"/>
  <c r="U112" i="13"/>
  <c r="R112" i="13"/>
  <c r="O112" i="13"/>
  <c r="L112" i="13"/>
  <c r="I112" i="13"/>
  <c r="F112" i="13"/>
  <c r="A112" i="13"/>
  <c r="AP111" i="13"/>
  <c r="AO111" i="13"/>
  <c r="AN111" i="13"/>
  <c r="AM111" i="13"/>
  <c r="AL111" i="13"/>
  <c r="AK111" i="13"/>
  <c r="AJ111" i="13"/>
  <c r="AI111" i="13"/>
  <c r="AH111" i="13"/>
  <c r="AG111" i="13"/>
  <c r="AQ111" i="13" s="1"/>
  <c r="W97" i="13" s="1"/>
  <c r="AF111" i="13"/>
  <c r="AD111" i="13"/>
  <c r="AA111" i="13"/>
  <c r="X111" i="13"/>
  <c r="U111" i="13"/>
  <c r="R111" i="13"/>
  <c r="O111" i="13"/>
  <c r="L111" i="13"/>
  <c r="I111" i="13"/>
  <c r="F111" i="13"/>
  <c r="A111" i="13"/>
  <c r="AP110" i="13"/>
  <c r="AO110" i="13"/>
  <c r="AN110" i="13"/>
  <c r="AM110" i="13"/>
  <c r="AL110" i="13"/>
  <c r="AK110" i="13"/>
  <c r="AJ110" i="13"/>
  <c r="AI110" i="13"/>
  <c r="AH110" i="13"/>
  <c r="AG110" i="13"/>
  <c r="AQ110" i="13" s="1"/>
  <c r="W95" i="13" s="1"/>
  <c r="AF110" i="13"/>
  <c r="AD110" i="13"/>
  <c r="AA110" i="13"/>
  <c r="X110" i="13"/>
  <c r="U110" i="13"/>
  <c r="R110" i="13"/>
  <c r="O110" i="13"/>
  <c r="L110" i="13"/>
  <c r="I110" i="13"/>
  <c r="F110" i="13"/>
  <c r="AP109" i="13"/>
  <c r="AO109" i="13"/>
  <c r="AN109" i="13"/>
  <c r="AM109" i="13"/>
  <c r="AL109" i="13"/>
  <c r="AK109" i="13"/>
  <c r="AJ109" i="13"/>
  <c r="AI109" i="13"/>
  <c r="AH109" i="13"/>
  <c r="AG109" i="13"/>
  <c r="AQ109" i="13" s="1"/>
  <c r="W93" i="13" s="1"/>
  <c r="AF109" i="13"/>
  <c r="AD109" i="13"/>
  <c r="AA109" i="13"/>
  <c r="X109" i="13"/>
  <c r="U109" i="13"/>
  <c r="R109" i="13"/>
  <c r="O109" i="13"/>
  <c r="L109" i="13"/>
  <c r="I109" i="13"/>
  <c r="F109" i="13"/>
  <c r="AC107" i="13"/>
  <c r="Z107" i="13"/>
  <c r="W107" i="13"/>
  <c r="T107" i="13"/>
  <c r="Q107" i="13"/>
  <c r="N107" i="13"/>
  <c r="K107" i="13"/>
  <c r="H107" i="13"/>
  <c r="E107" i="13"/>
  <c r="E102" i="13"/>
  <c r="R180" i="13" s="1"/>
  <c r="K213" i="13" s="1"/>
  <c r="E101" i="13"/>
  <c r="B168" i="13" s="1"/>
  <c r="A101" i="13"/>
  <c r="E100" i="13"/>
  <c r="E99" i="13"/>
  <c r="B167" i="13" s="1"/>
  <c r="A99" i="13"/>
  <c r="E98" i="13"/>
  <c r="AB180" i="13" s="1"/>
  <c r="AG211" i="13" s="1"/>
  <c r="E97" i="13"/>
  <c r="B166" i="13" s="1"/>
  <c r="A97" i="13"/>
  <c r="E96" i="13"/>
  <c r="AL180" i="13" s="1"/>
  <c r="AG213" i="13" s="1"/>
  <c r="E95" i="13"/>
  <c r="AF180" i="13" s="1"/>
  <c r="X213" i="13" s="1"/>
  <c r="A95" i="13"/>
  <c r="E94" i="13"/>
  <c r="H180" i="13" s="1"/>
  <c r="K211" i="13" s="1"/>
  <c r="E93" i="13"/>
  <c r="A93" i="13"/>
  <c r="R92" i="13"/>
  <c r="L92" i="13"/>
  <c r="K91" i="13"/>
  <c r="A89" i="13"/>
  <c r="AE76" i="13"/>
  <c r="AC76" i="13"/>
  <c r="AB76" i="13"/>
  <c r="Z76" i="13"/>
  <c r="W76" i="13"/>
  <c r="V76" i="13"/>
  <c r="T76" i="13"/>
  <c r="Q76" i="13"/>
  <c r="P76" i="13"/>
  <c r="N76" i="13"/>
  <c r="M76" i="13"/>
  <c r="K76" i="13"/>
  <c r="H76" i="13"/>
  <c r="G76" i="13"/>
  <c r="E76" i="13"/>
  <c r="B76" i="13"/>
  <c r="AE75" i="13"/>
  <c r="AC75" i="13"/>
  <c r="Z75" i="13"/>
  <c r="Y75" i="13"/>
  <c r="W75" i="13"/>
  <c r="V75" i="13"/>
  <c r="T75" i="13"/>
  <c r="S75" i="13"/>
  <c r="P75" i="13"/>
  <c r="N75" i="13"/>
  <c r="K75" i="13"/>
  <c r="J75" i="13"/>
  <c r="H75" i="13"/>
  <c r="E75" i="13"/>
  <c r="D75" i="13"/>
  <c r="B75" i="13"/>
  <c r="AE74" i="13"/>
  <c r="AC74" i="13"/>
  <c r="AB74" i="13"/>
  <c r="Y74" i="13"/>
  <c r="W74" i="13"/>
  <c r="T74" i="13"/>
  <c r="S74" i="13"/>
  <c r="Q74" i="13"/>
  <c r="N74" i="13"/>
  <c r="M74" i="13"/>
  <c r="K74" i="13"/>
  <c r="J74" i="13"/>
  <c r="G74" i="13"/>
  <c r="E74" i="13"/>
  <c r="D74" i="13"/>
  <c r="B74" i="13"/>
  <c r="AC73" i="13"/>
  <c r="AB73" i="13"/>
  <c r="Z73" i="13"/>
  <c r="Y73" i="13"/>
  <c r="W73" i="13"/>
  <c r="V73" i="13"/>
  <c r="S73" i="13"/>
  <c r="Q73" i="13"/>
  <c r="P73" i="13"/>
  <c r="N73" i="13"/>
  <c r="M73" i="13"/>
  <c r="J73" i="13"/>
  <c r="H73" i="13"/>
  <c r="G73" i="13"/>
  <c r="E73" i="13"/>
  <c r="D73" i="13"/>
  <c r="AE72" i="13"/>
  <c r="AB72" i="13"/>
  <c r="Z72" i="13"/>
  <c r="Y72" i="13"/>
  <c r="V72" i="13"/>
  <c r="T72" i="13"/>
  <c r="S72" i="13"/>
  <c r="Q72" i="13"/>
  <c r="P72" i="13"/>
  <c r="M72" i="13"/>
  <c r="K72" i="13"/>
  <c r="J72" i="13"/>
  <c r="H72" i="13"/>
  <c r="G72" i="13"/>
  <c r="D72" i="13"/>
  <c r="B72" i="13"/>
  <c r="AE68" i="13"/>
  <c r="AC68" i="13"/>
  <c r="AB68" i="13"/>
  <c r="Z68" i="13"/>
  <c r="W68" i="13"/>
  <c r="V68" i="13"/>
  <c r="T68" i="13"/>
  <c r="Q68" i="13"/>
  <c r="P68" i="13"/>
  <c r="N68" i="13"/>
  <c r="M68" i="13"/>
  <c r="K68" i="13"/>
  <c r="H68" i="13"/>
  <c r="G68" i="13"/>
  <c r="E68" i="13"/>
  <c r="B68" i="13"/>
  <c r="AE67" i="13"/>
  <c r="AC67" i="13"/>
  <c r="Z67" i="13"/>
  <c r="Y67" i="13"/>
  <c r="W67" i="13"/>
  <c r="V67" i="13"/>
  <c r="T67" i="13"/>
  <c r="S67" i="13"/>
  <c r="P67" i="13"/>
  <c r="N67" i="13"/>
  <c r="K67" i="13"/>
  <c r="J67" i="13"/>
  <c r="H67" i="13"/>
  <c r="E67" i="13"/>
  <c r="D67" i="13"/>
  <c r="B67" i="13"/>
  <c r="AE66" i="13"/>
  <c r="AC66" i="13"/>
  <c r="AB66" i="13"/>
  <c r="Y66" i="13"/>
  <c r="W66" i="13"/>
  <c r="T66" i="13"/>
  <c r="S66" i="13"/>
  <c r="Q66" i="13"/>
  <c r="N66" i="13"/>
  <c r="M66" i="13"/>
  <c r="K66" i="13"/>
  <c r="J66" i="13"/>
  <c r="G66" i="13"/>
  <c r="E66" i="13"/>
  <c r="D66" i="13"/>
  <c r="B66" i="13"/>
  <c r="AC65" i="13"/>
  <c r="AB65" i="13"/>
  <c r="Z65" i="13"/>
  <c r="Y65" i="13"/>
  <c r="W65" i="13"/>
  <c r="V65" i="13"/>
  <c r="S65" i="13"/>
  <c r="Q65" i="13"/>
  <c r="P65" i="13"/>
  <c r="N65" i="13"/>
  <c r="M65" i="13"/>
  <c r="J65" i="13"/>
  <c r="H65" i="13"/>
  <c r="G65" i="13"/>
  <c r="E65" i="13"/>
  <c r="D65" i="13"/>
  <c r="AE64" i="13"/>
  <c r="AB64" i="13"/>
  <c r="Z64" i="13"/>
  <c r="Y64" i="13"/>
  <c r="V64" i="13"/>
  <c r="T64" i="13"/>
  <c r="S64" i="13"/>
  <c r="Q64" i="13"/>
  <c r="P64" i="13"/>
  <c r="M64" i="13"/>
  <c r="K64" i="13"/>
  <c r="J64" i="13"/>
  <c r="H64" i="13"/>
  <c r="G64" i="13"/>
  <c r="D64" i="13"/>
  <c r="B64" i="13"/>
  <c r="AE62" i="13"/>
  <c r="AC62" i="13"/>
  <c r="AB62" i="13"/>
  <c r="Z62" i="13"/>
  <c r="W62" i="13"/>
  <c r="V62" i="13"/>
  <c r="T62" i="13"/>
  <c r="Q62" i="13"/>
  <c r="P62" i="13"/>
  <c r="N62" i="13"/>
  <c r="M62" i="13"/>
  <c r="K62" i="13"/>
  <c r="H62" i="13"/>
  <c r="G62" i="13"/>
  <c r="E62" i="13"/>
  <c r="B62" i="13"/>
  <c r="AE61" i="13"/>
  <c r="AC61" i="13"/>
  <c r="Z61" i="13"/>
  <c r="Y61" i="13"/>
  <c r="W61" i="13"/>
  <c r="V61" i="13"/>
  <c r="T61" i="13"/>
  <c r="S61" i="13"/>
  <c r="P61" i="13"/>
  <c r="N61" i="13"/>
  <c r="K61" i="13"/>
  <c r="J61" i="13"/>
  <c r="H61" i="13"/>
  <c r="E61" i="13"/>
  <c r="D61" i="13"/>
  <c r="B61" i="13"/>
  <c r="AE60" i="13"/>
  <c r="AC60" i="13"/>
  <c r="AB60" i="13"/>
  <c r="Y60" i="13"/>
  <c r="W60" i="13"/>
  <c r="T60" i="13"/>
  <c r="S60" i="13"/>
  <c r="Q60" i="13"/>
  <c r="N60" i="13"/>
  <c r="M60" i="13"/>
  <c r="K60" i="13"/>
  <c r="J60" i="13"/>
  <c r="G60" i="13"/>
  <c r="E60" i="13"/>
  <c r="D60" i="13"/>
  <c r="B60" i="13"/>
  <c r="AC59" i="13"/>
  <c r="AB59" i="13"/>
  <c r="Z59" i="13"/>
  <c r="Y59" i="13"/>
  <c r="W59" i="13"/>
  <c r="V59" i="13"/>
  <c r="S59" i="13"/>
  <c r="Q59" i="13"/>
  <c r="P59" i="13"/>
  <c r="N59" i="13"/>
  <c r="M59" i="13"/>
  <c r="J59" i="13"/>
  <c r="H59" i="13"/>
  <c r="G59" i="13"/>
  <c r="E59" i="13"/>
  <c r="D59" i="13"/>
  <c r="AE58" i="13"/>
  <c r="AB58" i="13"/>
  <c r="Z58" i="13"/>
  <c r="Y58" i="13"/>
  <c r="V58" i="13"/>
  <c r="T58" i="13"/>
  <c r="S58" i="13"/>
  <c r="Q58" i="13"/>
  <c r="P58" i="13"/>
  <c r="M58" i="13"/>
  <c r="K58" i="13"/>
  <c r="J58" i="13"/>
  <c r="H58" i="13"/>
  <c r="G58" i="13"/>
  <c r="D58" i="13"/>
  <c r="B58" i="13"/>
  <c r="AE56" i="13"/>
  <c r="AC56" i="13"/>
  <c r="AB56" i="13"/>
  <c r="Z56" i="13"/>
  <c r="W56" i="13"/>
  <c r="V56" i="13"/>
  <c r="T56" i="13"/>
  <c r="Q56" i="13"/>
  <c r="P56" i="13"/>
  <c r="N56" i="13"/>
  <c r="M56" i="13"/>
  <c r="K56" i="13"/>
  <c r="H56" i="13"/>
  <c r="G56" i="13"/>
  <c r="E56" i="13"/>
  <c r="B56" i="13"/>
  <c r="AE55" i="13"/>
  <c r="AC55" i="13"/>
  <c r="Z55" i="13"/>
  <c r="Y55" i="13"/>
  <c r="W55" i="13"/>
  <c r="V55" i="13"/>
  <c r="T55" i="13"/>
  <c r="S55" i="13"/>
  <c r="P55" i="13"/>
  <c r="N55" i="13"/>
  <c r="K55" i="13"/>
  <c r="J55" i="13"/>
  <c r="H55" i="13"/>
  <c r="E55" i="13"/>
  <c r="D55" i="13"/>
  <c r="B55" i="13"/>
  <c r="AE54" i="13"/>
  <c r="AC54" i="13"/>
  <c r="AB54" i="13"/>
  <c r="Y54" i="13"/>
  <c r="W54" i="13"/>
  <c r="T54" i="13"/>
  <c r="S54" i="13"/>
  <c r="Q54" i="13"/>
  <c r="N54" i="13"/>
  <c r="M54" i="13"/>
  <c r="K54" i="13"/>
  <c r="J54" i="13"/>
  <c r="G54" i="13"/>
  <c r="E54" i="13"/>
  <c r="D54" i="13"/>
  <c r="B54" i="13"/>
  <c r="AC53" i="13"/>
  <c r="AB53" i="13"/>
  <c r="Z53" i="13"/>
  <c r="Y53" i="13"/>
  <c r="W53" i="13"/>
  <c r="V53" i="13"/>
  <c r="S53" i="13"/>
  <c r="Q53" i="13"/>
  <c r="P53" i="13"/>
  <c r="N53" i="13"/>
  <c r="M53" i="13"/>
  <c r="J53" i="13"/>
  <c r="H53" i="13"/>
  <c r="G53" i="13"/>
  <c r="E53" i="13"/>
  <c r="D53" i="13"/>
  <c r="AE52" i="13"/>
  <c r="AB52" i="13"/>
  <c r="Z52" i="13"/>
  <c r="Y52" i="13"/>
  <c r="V52" i="13"/>
  <c r="T52" i="13"/>
  <c r="S52" i="13"/>
  <c r="Q52" i="13"/>
  <c r="P52" i="13"/>
  <c r="M52" i="13"/>
  <c r="K52" i="13"/>
  <c r="J52" i="13"/>
  <c r="H52" i="13"/>
  <c r="G52" i="13"/>
  <c r="D52" i="13"/>
  <c r="B52" i="13"/>
  <c r="AE50" i="13"/>
  <c r="AC50" i="13"/>
  <c r="AB50" i="13"/>
  <c r="Z50" i="13"/>
  <c r="W50" i="13"/>
  <c r="V50" i="13"/>
  <c r="T50" i="13"/>
  <c r="Q50" i="13"/>
  <c r="P50" i="13"/>
  <c r="N50" i="13"/>
  <c r="M50" i="13"/>
  <c r="K50" i="13"/>
  <c r="H50" i="13"/>
  <c r="G50" i="13"/>
  <c r="E50" i="13"/>
  <c r="B50" i="13"/>
  <c r="AE49" i="13"/>
  <c r="AC49" i="13"/>
  <c r="Z49" i="13"/>
  <c r="Y49" i="13"/>
  <c r="W49" i="13"/>
  <c r="V49" i="13"/>
  <c r="T49" i="13"/>
  <c r="S49" i="13"/>
  <c r="P49" i="13"/>
  <c r="N49" i="13"/>
  <c r="K49" i="13"/>
  <c r="J49" i="13"/>
  <c r="H49" i="13"/>
  <c r="E49" i="13"/>
  <c r="D49" i="13"/>
  <c r="B49" i="13"/>
  <c r="AE48" i="13"/>
  <c r="AC48" i="13"/>
  <c r="AB48" i="13"/>
  <c r="Y48" i="13"/>
  <c r="W48" i="13"/>
  <c r="T48" i="13"/>
  <c r="S48" i="13"/>
  <c r="Q48" i="13"/>
  <c r="N48" i="13"/>
  <c r="M48" i="13"/>
  <c r="K48" i="13"/>
  <c r="J48" i="13"/>
  <c r="G48" i="13"/>
  <c r="E48" i="13"/>
  <c r="D48" i="13"/>
  <c r="B48" i="13"/>
  <c r="AC47" i="13"/>
  <c r="AB47" i="13"/>
  <c r="Z47" i="13"/>
  <c r="Y47" i="13"/>
  <c r="W47" i="13"/>
  <c r="V47" i="13"/>
  <c r="S47" i="13"/>
  <c r="Q47" i="13"/>
  <c r="P47" i="13"/>
  <c r="N47" i="13"/>
  <c r="M47" i="13"/>
  <c r="J47" i="13"/>
  <c r="H47" i="13"/>
  <c r="G47" i="13"/>
  <c r="E47" i="13"/>
  <c r="D47" i="13"/>
  <c r="AE46" i="13"/>
  <c r="AB46" i="13"/>
  <c r="Z46" i="13"/>
  <c r="Y46" i="13"/>
  <c r="V46" i="13"/>
  <c r="T46" i="13"/>
  <c r="S46" i="13"/>
  <c r="Q46" i="13"/>
  <c r="P46" i="13"/>
  <c r="M46" i="13"/>
  <c r="K46" i="13"/>
  <c r="J46" i="13"/>
  <c r="H46" i="13"/>
  <c r="G46" i="13"/>
  <c r="D46" i="13"/>
  <c r="B46" i="13"/>
  <c r="Z43" i="13"/>
  <c r="V43" i="13"/>
  <c r="N43" i="13"/>
  <c r="J43" i="13"/>
  <c r="B43" i="13"/>
  <c r="AB42" i="13"/>
  <c r="T42" i="13"/>
  <c r="P42" i="13"/>
  <c r="H42" i="13"/>
  <c r="D42" i="13"/>
  <c r="Z41" i="13"/>
  <c r="V41" i="13"/>
  <c r="N41" i="13"/>
  <c r="J41" i="13"/>
  <c r="B41" i="13"/>
  <c r="AB40" i="13"/>
  <c r="T40" i="13"/>
  <c r="P40" i="13"/>
  <c r="H40" i="13"/>
  <c r="D40" i="13"/>
  <c r="V39" i="13"/>
  <c r="J39" i="13"/>
  <c r="AE35" i="13"/>
  <c r="AE43" i="13" s="1"/>
  <c r="AC35" i="13"/>
  <c r="AC43" i="13" s="1"/>
  <c r="AB35" i="13"/>
  <c r="AB43" i="13" s="1"/>
  <c r="Z35" i="13"/>
  <c r="Y35" i="13"/>
  <c r="Y43" i="13" s="1"/>
  <c r="W35" i="13"/>
  <c r="W43" i="13" s="1"/>
  <c r="V35" i="13"/>
  <c r="T35" i="13"/>
  <c r="T43" i="13" s="1"/>
  <c r="S35" i="13"/>
  <c r="S43" i="13" s="1"/>
  <c r="Q35" i="13"/>
  <c r="Q43" i="13" s="1"/>
  <c r="P35" i="13"/>
  <c r="P43" i="13" s="1"/>
  <c r="N35" i="13"/>
  <c r="M35" i="13"/>
  <c r="M43" i="13" s="1"/>
  <c r="K35" i="13"/>
  <c r="K43" i="13" s="1"/>
  <c r="J35" i="13"/>
  <c r="H35" i="13"/>
  <c r="H43" i="13" s="1"/>
  <c r="G35" i="13"/>
  <c r="G43" i="13" s="1"/>
  <c r="E35" i="13"/>
  <c r="E43" i="13" s="1"/>
  <c r="D35" i="13"/>
  <c r="D43" i="13" s="1"/>
  <c r="B35" i="13"/>
  <c r="AE34" i="13"/>
  <c r="AE42" i="13" s="1"/>
  <c r="AC34" i="13"/>
  <c r="AC42" i="13" s="1"/>
  <c r="AB34" i="13"/>
  <c r="Z34" i="13"/>
  <c r="Z42" i="13" s="1"/>
  <c r="Y34" i="13"/>
  <c r="Y42" i="13" s="1"/>
  <c r="W34" i="13"/>
  <c r="W42" i="13" s="1"/>
  <c r="V34" i="13"/>
  <c r="V42" i="13" s="1"/>
  <c r="T34" i="13"/>
  <c r="S34" i="13"/>
  <c r="S42" i="13" s="1"/>
  <c r="Q34" i="13"/>
  <c r="Q42" i="13" s="1"/>
  <c r="P34" i="13"/>
  <c r="N34" i="13"/>
  <c r="N42" i="13" s="1"/>
  <c r="M34" i="13"/>
  <c r="M42" i="13" s="1"/>
  <c r="K34" i="13"/>
  <c r="K42" i="13" s="1"/>
  <c r="J34" i="13"/>
  <c r="J42" i="13" s="1"/>
  <c r="H34" i="13"/>
  <c r="G34" i="13"/>
  <c r="G42" i="13" s="1"/>
  <c r="E34" i="13"/>
  <c r="E42" i="13" s="1"/>
  <c r="D34" i="13"/>
  <c r="B34" i="13"/>
  <c r="B42" i="13" s="1"/>
  <c r="AE33" i="13"/>
  <c r="AE41" i="13" s="1"/>
  <c r="AC33" i="13"/>
  <c r="AC41" i="13" s="1"/>
  <c r="AB33" i="13"/>
  <c r="AB41" i="13" s="1"/>
  <c r="Z33" i="13"/>
  <c r="Y33" i="13"/>
  <c r="Y41" i="13" s="1"/>
  <c r="W33" i="13"/>
  <c r="W41" i="13" s="1"/>
  <c r="V33" i="13"/>
  <c r="T33" i="13"/>
  <c r="T41" i="13" s="1"/>
  <c r="S33" i="13"/>
  <c r="S41" i="13" s="1"/>
  <c r="Q33" i="13"/>
  <c r="Q41" i="13" s="1"/>
  <c r="P33" i="13"/>
  <c r="P41" i="13" s="1"/>
  <c r="N33" i="13"/>
  <c r="M33" i="13"/>
  <c r="M41" i="13" s="1"/>
  <c r="K33" i="13"/>
  <c r="K41" i="13" s="1"/>
  <c r="J33" i="13"/>
  <c r="H33" i="13"/>
  <c r="H41" i="13" s="1"/>
  <c r="G33" i="13"/>
  <c r="G41" i="13" s="1"/>
  <c r="E33" i="13"/>
  <c r="E41" i="13" s="1"/>
  <c r="D33" i="13"/>
  <c r="D41" i="13" s="1"/>
  <c r="B33" i="13"/>
  <c r="AE32" i="13"/>
  <c r="AE40" i="13" s="1"/>
  <c r="AC32" i="13"/>
  <c r="AC40" i="13" s="1"/>
  <c r="AB32" i="13"/>
  <c r="Z32" i="13"/>
  <c r="Z40" i="13" s="1"/>
  <c r="Y32" i="13"/>
  <c r="Y40" i="13" s="1"/>
  <c r="W32" i="13"/>
  <c r="W40" i="13" s="1"/>
  <c r="V32" i="13"/>
  <c r="V36" i="13" s="1"/>
  <c r="T32" i="13"/>
  <c r="S32" i="13"/>
  <c r="S40" i="13" s="1"/>
  <c r="Q32" i="13"/>
  <c r="Q40" i="13" s="1"/>
  <c r="P32" i="13"/>
  <c r="N32" i="13"/>
  <c r="N40" i="13" s="1"/>
  <c r="M32" i="13"/>
  <c r="M40" i="13" s="1"/>
  <c r="K32" i="13"/>
  <c r="K40" i="13" s="1"/>
  <c r="J32" i="13"/>
  <c r="J36" i="13" s="1"/>
  <c r="H32" i="13"/>
  <c r="G32" i="13"/>
  <c r="G40" i="13" s="1"/>
  <c r="E32" i="13"/>
  <c r="E40" i="13" s="1"/>
  <c r="D32" i="13"/>
  <c r="B32" i="13"/>
  <c r="B40" i="13" s="1"/>
  <c r="AE31" i="13"/>
  <c r="AE39" i="13" s="1"/>
  <c r="AC31" i="13"/>
  <c r="AC39" i="13" s="1"/>
  <c r="AC44" i="13" s="1"/>
  <c r="AB31" i="13"/>
  <c r="AB67" i="13" s="1"/>
  <c r="Z31" i="13"/>
  <c r="Z36" i="13" s="1"/>
  <c r="Y31" i="13"/>
  <c r="Y68" i="13" s="1"/>
  <c r="W31" i="13"/>
  <c r="W39" i="13" s="1"/>
  <c r="V31" i="13"/>
  <c r="V66" i="13" s="1"/>
  <c r="T31" i="13"/>
  <c r="T39" i="13" s="1"/>
  <c r="S31" i="13"/>
  <c r="S39" i="13" s="1"/>
  <c r="Q31" i="13"/>
  <c r="Q67" i="13" s="1"/>
  <c r="P31" i="13"/>
  <c r="P66" i="13" s="1"/>
  <c r="N31" i="13"/>
  <c r="N64" i="13" s="1"/>
  <c r="M31" i="13"/>
  <c r="M36" i="13" s="1"/>
  <c r="K31" i="13"/>
  <c r="K39" i="13" s="1"/>
  <c r="J31" i="13"/>
  <c r="J68" i="13" s="1"/>
  <c r="H31" i="13"/>
  <c r="H66" i="13" s="1"/>
  <c r="G31" i="13"/>
  <c r="G67" i="13" s="1"/>
  <c r="E31" i="13"/>
  <c r="E39" i="13" s="1"/>
  <c r="D31" i="13"/>
  <c r="D39" i="13" s="1"/>
  <c r="B31" i="13"/>
  <c r="B36" i="13" s="1"/>
  <c r="AE30" i="13"/>
  <c r="AC30" i="13"/>
  <c r="AB30" i="13"/>
  <c r="Z30" i="13"/>
  <c r="Y30" i="13"/>
  <c r="W30" i="13"/>
  <c r="V30" i="13"/>
  <c r="T30" i="13"/>
  <c r="S30" i="13"/>
  <c r="Q30" i="13"/>
  <c r="P30" i="13"/>
  <c r="N30" i="13"/>
  <c r="M30" i="13"/>
  <c r="K30" i="13"/>
  <c r="AJ25" i="13" s="1"/>
  <c r="J30" i="13"/>
  <c r="AI26" i="13" s="1"/>
  <c r="H30" i="13"/>
  <c r="G30" i="13"/>
  <c r="E30" i="13"/>
  <c r="D30" i="13"/>
  <c r="B30" i="13"/>
  <c r="AG25" i="13" s="1"/>
  <c r="AD29" i="13"/>
  <c r="AA29" i="13"/>
  <c r="X29" i="13"/>
  <c r="U29" i="13"/>
  <c r="R29" i="13"/>
  <c r="O29" i="13"/>
  <c r="L29" i="13"/>
  <c r="I29" i="13"/>
  <c r="F29" i="13"/>
  <c r="A29" i="13"/>
  <c r="AP28" i="13"/>
  <c r="AO28" i="13"/>
  <c r="AN28" i="13"/>
  <c r="AM28" i="13"/>
  <c r="AL28" i="13"/>
  <c r="AK28" i="13"/>
  <c r="AJ28" i="13"/>
  <c r="AI28" i="13"/>
  <c r="AH28" i="13"/>
  <c r="AG28" i="13"/>
  <c r="AF28" i="13"/>
  <c r="AD28" i="13"/>
  <c r="AA28" i="13"/>
  <c r="X28" i="13"/>
  <c r="U28" i="13"/>
  <c r="R28" i="13"/>
  <c r="O28" i="13"/>
  <c r="L28" i="13"/>
  <c r="I28" i="13"/>
  <c r="F28" i="13"/>
  <c r="A28" i="13"/>
  <c r="AP27" i="13"/>
  <c r="AO27" i="13"/>
  <c r="AN27" i="13"/>
  <c r="AM27" i="13"/>
  <c r="AL27" i="13"/>
  <c r="AK27" i="13"/>
  <c r="AJ27" i="13"/>
  <c r="AI27" i="13"/>
  <c r="AH27" i="13"/>
  <c r="AG27" i="13"/>
  <c r="AQ27" i="13" s="1"/>
  <c r="W14" i="13" s="1"/>
  <c r="AF27" i="13"/>
  <c r="AD27" i="13"/>
  <c r="AA27" i="13"/>
  <c r="X27" i="13"/>
  <c r="U27" i="13"/>
  <c r="R27" i="13"/>
  <c r="O27" i="13"/>
  <c r="L27" i="13"/>
  <c r="I27" i="13"/>
  <c r="F27" i="13"/>
  <c r="A27" i="13"/>
  <c r="AP26" i="13"/>
  <c r="AO26" i="13"/>
  <c r="AN26" i="13"/>
  <c r="AM26" i="13"/>
  <c r="AL26" i="13"/>
  <c r="AK26" i="13"/>
  <c r="AJ26" i="13"/>
  <c r="AH26" i="13"/>
  <c r="AG26" i="13"/>
  <c r="AF26" i="13"/>
  <c r="AD26" i="13"/>
  <c r="AA26" i="13"/>
  <c r="X26" i="13"/>
  <c r="U26" i="13"/>
  <c r="R26" i="13"/>
  <c r="O26" i="13"/>
  <c r="L26" i="13"/>
  <c r="I26" i="13"/>
  <c r="F26" i="13"/>
  <c r="A26" i="13"/>
  <c r="AP25" i="13"/>
  <c r="AO25" i="13"/>
  <c r="AN25" i="13"/>
  <c r="AM25" i="13"/>
  <c r="AL25" i="13"/>
  <c r="AK25" i="13"/>
  <c r="AI25" i="13"/>
  <c r="AH25" i="13"/>
  <c r="AQ25" i="13" s="1"/>
  <c r="W10" i="13" s="1"/>
  <c r="AF25" i="13"/>
  <c r="AD25" i="13"/>
  <c r="AA25" i="13"/>
  <c r="X25" i="13"/>
  <c r="U25" i="13"/>
  <c r="R25" i="13"/>
  <c r="O25" i="13"/>
  <c r="L25" i="13"/>
  <c r="I25" i="13"/>
  <c r="F25" i="13"/>
  <c r="AP24" i="13"/>
  <c r="AO24" i="13"/>
  <c r="AN24" i="13"/>
  <c r="AM24" i="13"/>
  <c r="AL24" i="13"/>
  <c r="AK24" i="13"/>
  <c r="AJ24" i="13"/>
  <c r="AI24" i="13"/>
  <c r="AQ24" i="13" s="1"/>
  <c r="W8" i="13" s="1"/>
  <c r="AH24" i="13"/>
  <c r="AG24" i="13"/>
  <c r="AF24" i="13"/>
  <c r="AD24" i="13"/>
  <c r="AA24" i="13"/>
  <c r="X24" i="13"/>
  <c r="U24" i="13"/>
  <c r="R24" i="13"/>
  <c r="O24" i="13"/>
  <c r="L24" i="13"/>
  <c r="I24" i="13"/>
  <c r="F24" i="13"/>
  <c r="AC22" i="13"/>
  <c r="Z22" i="13"/>
  <c r="W22" i="13"/>
  <c r="T22" i="13"/>
  <c r="Q22" i="13"/>
  <c r="N22" i="13"/>
  <c r="K22" i="13"/>
  <c r="H22" i="13"/>
  <c r="E22" i="13"/>
  <c r="E17" i="13"/>
  <c r="E16" i="13"/>
  <c r="B83" i="13" s="1"/>
  <c r="A16" i="13"/>
  <c r="E15" i="13"/>
  <c r="AB179" i="13" s="1"/>
  <c r="AG210" i="13" s="1"/>
  <c r="E14" i="13"/>
  <c r="A14" i="13"/>
  <c r="E13" i="13"/>
  <c r="AL179" i="13" s="1"/>
  <c r="AG212" i="13" s="1"/>
  <c r="E12" i="13"/>
  <c r="A12" i="13"/>
  <c r="E11" i="13"/>
  <c r="R179" i="13" s="1"/>
  <c r="K212" i="13" s="1"/>
  <c r="E10" i="13"/>
  <c r="L179" i="13" s="1"/>
  <c r="B212" i="13" s="1"/>
  <c r="A10" i="13"/>
  <c r="E9" i="13"/>
  <c r="H179" i="13" s="1"/>
  <c r="K210" i="13" s="1"/>
  <c r="E8" i="13"/>
  <c r="A8" i="13"/>
  <c r="R7" i="13"/>
  <c r="L7" i="13"/>
  <c r="K6" i="13"/>
  <c r="D258" i="20" l="1"/>
  <c r="C259" i="20"/>
  <c r="D169" i="20"/>
  <c r="C170" i="20"/>
  <c r="D318" i="20"/>
  <c r="C319" i="20"/>
  <c r="D48" i="20"/>
  <c r="C49" i="20"/>
  <c r="D370" i="20"/>
  <c r="D371" i="20" s="1"/>
  <c r="D372" i="20" s="1"/>
  <c r="D373" i="20" s="1"/>
  <c r="D374" i="20" s="1"/>
  <c r="D375" i="20" s="1"/>
  <c r="C371" i="20"/>
  <c r="C372" i="20" s="1"/>
  <c r="C373" i="20" s="1"/>
  <c r="C374" i="20" s="1"/>
  <c r="C375" i="20" s="1"/>
  <c r="C376" i="20" s="1"/>
  <c r="D88" i="20"/>
  <c r="D89" i="20" s="1"/>
  <c r="C89" i="20"/>
  <c r="C90" i="20" s="1"/>
  <c r="D419" i="20"/>
  <c r="C420" i="20"/>
  <c r="X122" i="18"/>
  <c r="W131" i="18"/>
  <c r="Z139" i="18"/>
  <c r="AB140" i="18"/>
  <c r="AA37" i="18"/>
  <c r="M61" i="18"/>
  <c r="K59" i="18"/>
  <c r="AF59" i="18" s="1"/>
  <c r="Z10" i="18" s="1"/>
  <c r="G160" i="18"/>
  <c r="E157" i="18"/>
  <c r="E46" i="18"/>
  <c r="AF46" i="18" s="1"/>
  <c r="F37" i="18"/>
  <c r="Q55" i="18"/>
  <c r="S56" i="18"/>
  <c r="AC46" i="18"/>
  <c r="AD37" i="18"/>
  <c r="AF158" i="18"/>
  <c r="M75" i="18"/>
  <c r="K73" i="18"/>
  <c r="K37" i="18"/>
  <c r="AB61" i="18"/>
  <c r="Z60" i="18"/>
  <c r="D76" i="18"/>
  <c r="B73" i="18"/>
  <c r="B86" i="18"/>
  <c r="B87" i="18" s="1"/>
  <c r="O37" i="18"/>
  <c r="N46" i="18"/>
  <c r="Q134" i="18"/>
  <c r="AF134" i="18" s="1"/>
  <c r="R122" i="18"/>
  <c r="D168" i="18"/>
  <c r="G168" i="18" s="1"/>
  <c r="J170" i="18" s="1"/>
  <c r="AF61" i="18"/>
  <c r="Z14" i="18" s="1"/>
  <c r="H133" i="18"/>
  <c r="AF133" i="18" s="1"/>
  <c r="U37" i="18"/>
  <c r="T47" i="18"/>
  <c r="AT227" i="18"/>
  <c r="AT229" i="18"/>
  <c r="W52" i="18"/>
  <c r="Y56" i="18"/>
  <c r="B47" i="18"/>
  <c r="C37" i="18"/>
  <c r="AF72" i="18"/>
  <c r="Y161" i="18"/>
  <c r="W157" i="18"/>
  <c r="E171" i="18"/>
  <c r="E172" i="18" s="1"/>
  <c r="AF60" i="18"/>
  <c r="Z12" i="18" s="1"/>
  <c r="AF74" i="18"/>
  <c r="J161" i="18"/>
  <c r="H159" i="18"/>
  <c r="T144" i="18"/>
  <c r="AF144" i="18" s="1"/>
  <c r="Z95" i="18" s="1"/>
  <c r="V145" i="18"/>
  <c r="G82" i="18"/>
  <c r="J82" i="18" s="1"/>
  <c r="M85" i="18" s="1"/>
  <c r="AF75" i="18"/>
  <c r="E122" i="18"/>
  <c r="C122" i="18"/>
  <c r="O122" i="18"/>
  <c r="N131" i="18"/>
  <c r="K132" i="18"/>
  <c r="AF132" i="18" s="1"/>
  <c r="L122" i="18"/>
  <c r="D86" i="18"/>
  <c r="D87" i="18" s="1"/>
  <c r="I37" i="18"/>
  <c r="H48" i="18"/>
  <c r="AF48" i="18" s="1"/>
  <c r="J122" i="18"/>
  <c r="J135" i="18" s="1"/>
  <c r="AF135" i="18" s="1"/>
  <c r="AC131" i="18"/>
  <c r="AD122" i="18"/>
  <c r="T132" i="18"/>
  <c r="U122" i="18"/>
  <c r="AF143" i="18"/>
  <c r="Z93" i="18" s="1"/>
  <c r="E86" i="18"/>
  <c r="E87" i="18" s="1"/>
  <c r="G79" i="18" s="1"/>
  <c r="J79" i="18" s="1"/>
  <c r="M79" i="18" s="1"/>
  <c r="N85" i="18" s="1"/>
  <c r="H145" i="18"/>
  <c r="J147" i="18"/>
  <c r="AF147" i="18" s="1"/>
  <c r="Z101" i="18" s="1"/>
  <c r="AT233" i="18"/>
  <c r="B171" i="18"/>
  <c r="B172" i="18" s="1"/>
  <c r="D165" i="18" s="1"/>
  <c r="G165" i="18" s="1"/>
  <c r="J165" i="18" s="1"/>
  <c r="K170" i="18" s="1"/>
  <c r="W58" i="18"/>
  <c r="AF58" i="18" s="1"/>
  <c r="Z8" i="18" s="1"/>
  <c r="Y62" i="18"/>
  <c r="AF62" i="18" s="1"/>
  <c r="Z16" i="18" s="1"/>
  <c r="Z145" i="18"/>
  <c r="AB146" i="18"/>
  <c r="AF146" i="18"/>
  <c r="Z99" i="18" s="1"/>
  <c r="M37" i="15"/>
  <c r="M49" i="15" s="1"/>
  <c r="I71" i="15"/>
  <c r="J37" i="15" s="1"/>
  <c r="Z159" i="15"/>
  <c r="AB160" i="15"/>
  <c r="U190" i="15"/>
  <c r="W227" i="15"/>
  <c r="N44" i="15"/>
  <c r="L71" i="15"/>
  <c r="K37" i="15" s="1"/>
  <c r="AA71" i="15"/>
  <c r="AT83" i="15"/>
  <c r="C83" i="15"/>
  <c r="D85" i="15" s="1"/>
  <c r="V37" i="15"/>
  <c r="V48" i="15" s="1"/>
  <c r="AB193" i="15"/>
  <c r="F203" i="15"/>
  <c r="AF223" i="15"/>
  <c r="AF198" i="15" s="1"/>
  <c r="E44" i="15"/>
  <c r="AE59" i="15"/>
  <c r="AC58" i="15"/>
  <c r="W37" i="15"/>
  <c r="C81" i="15"/>
  <c r="D81" i="15" s="1"/>
  <c r="G81" i="15" s="1"/>
  <c r="H85" i="15" s="1"/>
  <c r="AT81" i="15"/>
  <c r="AQ25" i="15"/>
  <c r="W10" i="15" s="1"/>
  <c r="H48" i="15"/>
  <c r="R71" i="15"/>
  <c r="U204" i="15"/>
  <c r="W229" i="15"/>
  <c r="T193" i="15"/>
  <c r="W72" i="15"/>
  <c r="Y76" i="15"/>
  <c r="B227" i="15"/>
  <c r="A190" i="15"/>
  <c r="AL28" i="15"/>
  <c r="AQ28" i="15" s="1"/>
  <c r="W16" i="15" s="1"/>
  <c r="B36" i="15"/>
  <c r="N36" i="15"/>
  <c r="Z36" i="15"/>
  <c r="K39" i="15"/>
  <c r="K44" i="15" s="1"/>
  <c r="W39" i="15"/>
  <c r="N64" i="15"/>
  <c r="O71" i="15" s="1"/>
  <c r="H66" i="15"/>
  <c r="AF66" i="15" s="1"/>
  <c r="L12" i="15" s="1"/>
  <c r="B167" i="15"/>
  <c r="AF180" i="15"/>
  <c r="X213" i="15" s="1"/>
  <c r="AQ111" i="15"/>
  <c r="W97" i="15" s="1"/>
  <c r="L179" i="15"/>
  <c r="B212" i="15" s="1"/>
  <c r="D36" i="15"/>
  <c r="D37" i="15" s="1"/>
  <c r="D50" i="15" s="1"/>
  <c r="P36" i="15"/>
  <c r="P37" i="15" s="1"/>
  <c r="P48" i="15" s="1"/>
  <c r="AB36" i="15"/>
  <c r="AB37" i="15" s="1"/>
  <c r="AB49" i="15" s="1"/>
  <c r="M39" i="15"/>
  <c r="Y39" i="15"/>
  <c r="AE65" i="15"/>
  <c r="M67" i="15"/>
  <c r="AF67" i="15" s="1"/>
  <c r="L14" i="15" s="1"/>
  <c r="D68" i="15"/>
  <c r="C71" i="15" s="1"/>
  <c r="B79" i="15"/>
  <c r="B166" i="15"/>
  <c r="V180" i="15"/>
  <c r="X211" i="15" s="1"/>
  <c r="AB203" i="15" s="1"/>
  <c r="K121" i="15"/>
  <c r="K122" i="15" s="1"/>
  <c r="L180" i="15"/>
  <c r="B213" i="15" s="1"/>
  <c r="E36" i="15"/>
  <c r="Q36" i="15"/>
  <c r="Q37" i="15" s="1"/>
  <c r="AC36" i="15"/>
  <c r="B39" i="15"/>
  <c r="B44" i="15" s="1"/>
  <c r="Z39" i="15"/>
  <c r="E64" i="15"/>
  <c r="F71" i="15" s="1"/>
  <c r="AC64" i="15"/>
  <c r="AD71" i="15" s="1"/>
  <c r="T65" i="15"/>
  <c r="AF65" i="15" s="1"/>
  <c r="L10" i="15" s="1"/>
  <c r="B180" i="15"/>
  <c r="B211" i="15" s="1"/>
  <c r="B165" i="15"/>
  <c r="W121" i="15"/>
  <c r="W149" i="15"/>
  <c r="G36" i="15"/>
  <c r="G37" i="15" s="1"/>
  <c r="G49" i="15" s="1"/>
  <c r="S36" i="15"/>
  <c r="AE36" i="15"/>
  <c r="P39" i="15"/>
  <c r="AB39" i="15"/>
  <c r="J40" i="15"/>
  <c r="H44" i="15" s="1"/>
  <c r="V40" i="15"/>
  <c r="T44" i="15" s="1"/>
  <c r="S68" i="15"/>
  <c r="B82" i="15"/>
  <c r="AT164" i="15"/>
  <c r="C164" i="15"/>
  <c r="D164" i="15" s="1"/>
  <c r="E170" i="15" s="1"/>
  <c r="K150" i="15"/>
  <c r="AF150" i="15" s="1"/>
  <c r="L95" i="15" s="1"/>
  <c r="W129" i="15"/>
  <c r="D147" i="15"/>
  <c r="B144" i="15"/>
  <c r="K223" i="15"/>
  <c r="J198" i="15" s="1"/>
  <c r="F193" i="15"/>
  <c r="Q39" i="15"/>
  <c r="Q44" i="15" s="1"/>
  <c r="K40" i="15"/>
  <c r="W40" i="15"/>
  <c r="AH24" i="15"/>
  <c r="AQ24" i="15" s="1"/>
  <c r="W8" i="15" s="1"/>
  <c r="G39" i="15"/>
  <c r="T132" i="15"/>
  <c r="U122" i="15"/>
  <c r="AT168" i="15"/>
  <c r="C168" i="15"/>
  <c r="D170" i="15" s="1"/>
  <c r="Y36" i="15"/>
  <c r="Y37" i="15" s="1"/>
  <c r="Y50" i="15" s="1"/>
  <c r="B80" i="15"/>
  <c r="AJ110" i="15"/>
  <c r="AQ110" i="15" s="1"/>
  <c r="W95" i="15" s="1"/>
  <c r="AJ112" i="15"/>
  <c r="AQ112" i="15" s="1"/>
  <c r="W99" i="15" s="1"/>
  <c r="AN109" i="15"/>
  <c r="AQ109" i="15" s="1"/>
  <c r="W93" i="15" s="1"/>
  <c r="AN113" i="15"/>
  <c r="AQ113" i="15" s="1"/>
  <c r="W101" i="15" s="1"/>
  <c r="E124" i="15"/>
  <c r="E149" i="15"/>
  <c r="F156" i="15" s="1"/>
  <c r="E121" i="15"/>
  <c r="Q152" i="15"/>
  <c r="AF152" i="15" s="1"/>
  <c r="L99" i="15" s="1"/>
  <c r="Q124" i="15"/>
  <c r="Q129" i="15" s="1"/>
  <c r="Q121" i="15"/>
  <c r="AC124" i="15"/>
  <c r="AC129" i="15" s="1"/>
  <c r="AC149" i="15"/>
  <c r="AD156" i="15" s="1"/>
  <c r="AC121" i="15"/>
  <c r="AC122" i="15" s="1"/>
  <c r="M121" i="15"/>
  <c r="Y121" i="15"/>
  <c r="Y122" i="15" s="1"/>
  <c r="Y135" i="15" s="1"/>
  <c r="J124" i="15"/>
  <c r="H129" i="15" s="1"/>
  <c r="V124" i="15"/>
  <c r="T129" i="15" s="1"/>
  <c r="Y153" i="15"/>
  <c r="B121" i="15"/>
  <c r="N121" i="15"/>
  <c r="N122" i="15" s="1"/>
  <c r="Z121" i="15"/>
  <c r="K124" i="15"/>
  <c r="N149" i="15"/>
  <c r="O156" i="15" s="1"/>
  <c r="H151" i="15"/>
  <c r="AF151" i="15" s="1"/>
  <c r="L97" i="15" s="1"/>
  <c r="D121" i="15"/>
  <c r="D122" i="15" s="1"/>
  <c r="D135" i="15" s="1"/>
  <c r="P121" i="15"/>
  <c r="AB121" i="15"/>
  <c r="AB122" i="15" s="1"/>
  <c r="AB134" i="15" s="1"/>
  <c r="M124" i="15"/>
  <c r="AE150" i="15"/>
  <c r="V151" i="15"/>
  <c r="D153" i="15"/>
  <c r="Z124" i="15"/>
  <c r="Z129" i="15" s="1"/>
  <c r="T150" i="15"/>
  <c r="U156" i="15" s="1"/>
  <c r="G121" i="15"/>
  <c r="G122" i="15" s="1"/>
  <c r="G134" i="15" s="1"/>
  <c r="S121" i="15"/>
  <c r="AE121" i="15"/>
  <c r="P124" i="15"/>
  <c r="N129" i="15" s="1"/>
  <c r="AB124" i="15"/>
  <c r="S153" i="15"/>
  <c r="J121" i="15"/>
  <c r="G124" i="15"/>
  <c r="AQ25" i="14"/>
  <c r="W10" i="14" s="1"/>
  <c r="L179" i="14"/>
  <c r="B212" i="14" s="1"/>
  <c r="B79" i="14"/>
  <c r="AF179" i="14"/>
  <c r="X212" i="14" s="1"/>
  <c r="B81" i="14"/>
  <c r="F71" i="14"/>
  <c r="AD71" i="14"/>
  <c r="AT82" i="14"/>
  <c r="C82" i="14"/>
  <c r="D82" i="14" s="1"/>
  <c r="G85" i="14" s="1"/>
  <c r="B227" i="14"/>
  <c r="A190" i="14"/>
  <c r="AQ28" i="14"/>
  <c r="W16" i="14" s="1"/>
  <c r="U71" i="14"/>
  <c r="AQ26" i="14"/>
  <c r="W12" i="14" s="1"/>
  <c r="Q44" i="14"/>
  <c r="W44" i="14"/>
  <c r="U190" i="14"/>
  <c r="W227" i="14"/>
  <c r="E36" i="14"/>
  <c r="Q36" i="14"/>
  <c r="AC36" i="14"/>
  <c r="AC37" i="14" s="1"/>
  <c r="B39" i="14"/>
  <c r="B44" i="14" s="1"/>
  <c r="N39" i="14"/>
  <c r="N44" i="14" s="1"/>
  <c r="Z39" i="14"/>
  <c r="T65" i="14"/>
  <c r="AT166" i="14"/>
  <c r="C166" i="14"/>
  <c r="D166" i="14" s="1"/>
  <c r="G166" i="14" s="1"/>
  <c r="H170" i="14" s="1"/>
  <c r="B129" i="14"/>
  <c r="L156" i="14"/>
  <c r="AA156" i="14"/>
  <c r="G36" i="14"/>
  <c r="G37" i="14" s="1"/>
  <c r="G49" i="14" s="1"/>
  <c r="S36" i="14"/>
  <c r="AE36" i="14"/>
  <c r="D39" i="14"/>
  <c r="P39" i="14"/>
  <c r="AB39" i="14"/>
  <c r="AB67" i="14"/>
  <c r="AF67" i="14" s="1"/>
  <c r="L14" i="14" s="1"/>
  <c r="S68" i="14"/>
  <c r="R71" i="14" s="1"/>
  <c r="AQ112" i="14"/>
  <c r="W99" i="14" s="1"/>
  <c r="H36" i="14"/>
  <c r="H37" i="14" s="1"/>
  <c r="T36" i="14"/>
  <c r="T37" i="14" s="1"/>
  <c r="AF64" i="14"/>
  <c r="L8" i="14" s="1"/>
  <c r="K65" i="14"/>
  <c r="L71" i="14" s="1"/>
  <c r="Z66" i="14"/>
  <c r="AA71" i="14" s="1"/>
  <c r="W230" i="14"/>
  <c r="U195" i="14"/>
  <c r="AT168" i="14"/>
  <c r="C168" i="14"/>
  <c r="D170" i="14" s="1"/>
  <c r="AC129" i="14"/>
  <c r="AB193" i="14"/>
  <c r="J36" i="14"/>
  <c r="V36" i="14"/>
  <c r="G39" i="14"/>
  <c r="E44" i="14" s="1"/>
  <c r="AE39" i="14"/>
  <c r="AC44" i="14" s="1"/>
  <c r="P66" i="14"/>
  <c r="O71" i="14" s="1"/>
  <c r="J68" i="14"/>
  <c r="I71" i="14" s="1"/>
  <c r="AT164" i="14"/>
  <c r="C164" i="14"/>
  <c r="D164" i="14" s="1"/>
  <c r="E170" i="14" s="1"/>
  <c r="AF152" i="14"/>
  <c r="L99" i="14" s="1"/>
  <c r="W36" i="14"/>
  <c r="H39" i="14"/>
  <c r="H44" i="14" s="1"/>
  <c r="B65" i="14"/>
  <c r="AF65" i="14" s="1"/>
  <c r="L10" i="14" s="1"/>
  <c r="T122" i="14"/>
  <c r="H218" i="14"/>
  <c r="K223" i="14" s="1"/>
  <c r="J198" i="14" s="1"/>
  <c r="AE218" i="14"/>
  <c r="M36" i="14"/>
  <c r="M37" i="14" s="1"/>
  <c r="M49" i="14" s="1"/>
  <c r="Y36" i="14"/>
  <c r="Y37" i="14" s="1"/>
  <c r="Y50" i="14" s="1"/>
  <c r="V39" i="14"/>
  <c r="T44" i="14" s="1"/>
  <c r="Y68" i="14"/>
  <c r="X71" i="14" s="1"/>
  <c r="B80" i="14"/>
  <c r="C167" i="14"/>
  <c r="D167" i="14" s="1"/>
  <c r="G170" i="14" s="1"/>
  <c r="AT167" i="14"/>
  <c r="N36" i="14"/>
  <c r="P37" i="14" s="1"/>
  <c r="P48" i="14" s="1"/>
  <c r="W143" i="14"/>
  <c r="Y147" i="14"/>
  <c r="F203" i="14"/>
  <c r="AF223" i="14"/>
  <c r="AF198" i="14" s="1"/>
  <c r="D36" i="14"/>
  <c r="D37" i="14" s="1"/>
  <c r="D50" i="14" s="1"/>
  <c r="M39" i="14"/>
  <c r="K44" i="14" s="1"/>
  <c r="B83" i="14"/>
  <c r="K121" i="14"/>
  <c r="W121" i="14"/>
  <c r="H124" i="14"/>
  <c r="T124" i="14"/>
  <c r="W149" i="14"/>
  <c r="B150" i="14"/>
  <c r="L180" i="14"/>
  <c r="B213" i="14" s="1"/>
  <c r="M121" i="14"/>
  <c r="M122" i="14" s="1"/>
  <c r="M134" i="14" s="1"/>
  <c r="Y121" i="14"/>
  <c r="Y122" i="14" s="1"/>
  <c r="Y135" i="14" s="1"/>
  <c r="J124" i="14"/>
  <c r="V124" i="14"/>
  <c r="Y153" i="14"/>
  <c r="B165" i="14"/>
  <c r="AL113" i="14"/>
  <c r="AQ113" i="14" s="1"/>
  <c r="W101" i="14" s="1"/>
  <c r="B121" i="14"/>
  <c r="B122" i="14" s="1"/>
  <c r="N121" i="14"/>
  <c r="Z121" i="14"/>
  <c r="Z122" i="14" s="1"/>
  <c r="K124" i="14"/>
  <c r="K129" i="14" s="1"/>
  <c r="N149" i="14"/>
  <c r="O156" i="14" s="1"/>
  <c r="H151" i="14"/>
  <c r="AF151" i="14" s="1"/>
  <c r="L97" i="14" s="1"/>
  <c r="V180" i="14"/>
  <c r="X211" i="14" s="1"/>
  <c r="D121" i="14"/>
  <c r="P121" i="14"/>
  <c r="P122" i="14" s="1"/>
  <c r="P133" i="14" s="1"/>
  <c r="AB121" i="14"/>
  <c r="M124" i="14"/>
  <c r="AE150" i="14"/>
  <c r="V151" i="14"/>
  <c r="D153" i="14"/>
  <c r="C156" i="14" s="1"/>
  <c r="E121" i="14"/>
  <c r="Q121" i="14"/>
  <c r="AC121" i="14"/>
  <c r="AC122" i="14" s="1"/>
  <c r="Z124" i="14"/>
  <c r="E149" i="14"/>
  <c r="F156" i="14" s="1"/>
  <c r="AC149" i="14"/>
  <c r="AD156" i="14" s="1"/>
  <c r="T150" i="14"/>
  <c r="U156" i="14" s="1"/>
  <c r="G121" i="14"/>
  <c r="G122" i="14" s="1"/>
  <c r="G134" i="14" s="1"/>
  <c r="S121" i="14"/>
  <c r="AE121" i="14"/>
  <c r="P124" i="14"/>
  <c r="N129" i="14" s="1"/>
  <c r="AB124" i="14"/>
  <c r="S153" i="14"/>
  <c r="R156" i="14" s="1"/>
  <c r="Q124" i="14"/>
  <c r="Q129" i="14" s="1"/>
  <c r="B180" i="14"/>
  <c r="B211" i="14" s="1"/>
  <c r="J121" i="14"/>
  <c r="J122" i="14" s="1"/>
  <c r="J135" i="14" s="1"/>
  <c r="G124" i="14"/>
  <c r="E129" i="14" s="1"/>
  <c r="AT83" i="13"/>
  <c r="C83" i="13"/>
  <c r="D85" i="13" s="1"/>
  <c r="T44" i="13"/>
  <c r="AF179" i="13"/>
  <c r="X212" i="13" s="1"/>
  <c r="B81" i="13"/>
  <c r="V179" i="13"/>
  <c r="X210" i="13" s="1"/>
  <c r="B82" i="13"/>
  <c r="AF66" i="13"/>
  <c r="L12" i="13" s="1"/>
  <c r="AQ26" i="13"/>
  <c r="W12" i="13" s="1"/>
  <c r="I71" i="13"/>
  <c r="AQ28" i="13"/>
  <c r="W16" i="13" s="1"/>
  <c r="O71" i="13"/>
  <c r="Z37" i="13"/>
  <c r="B179" i="13"/>
  <c r="B210" i="13" s="1"/>
  <c r="B79" i="13"/>
  <c r="E44" i="13"/>
  <c r="AE59" i="13"/>
  <c r="AC58" i="13"/>
  <c r="AF67" i="13"/>
  <c r="L14" i="13" s="1"/>
  <c r="D36" i="13"/>
  <c r="D37" i="13" s="1"/>
  <c r="D50" i="13" s="1"/>
  <c r="P36" i="13"/>
  <c r="AB36" i="13"/>
  <c r="AB37" i="13" s="1"/>
  <c r="AB49" i="13" s="1"/>
  <c r="M39" i="13"/>
  <c r="K44" i="13" s="1"/>
  <c r="Y39" i="13"/>
  <c r="W44" i="13" s="1"/>
  <c r="AE65" i="13"/>
  <c r="M67" i="13"/>
  <c r="D68" i="13"/>
  <c r="AF68" i="13" s="1"/>
  <c r="L16" i="13" s="1"/>
  <c r="L156" i="13"/>
  <c r="AA156" i="13"/>
  <c r="H218" i="13"/>
  <c r="K223" i="13" s="1"/>
  <c r="J198" i="13" s="1"/>
  <c r="AE218" i="13"/>
  <c r="E36" i="13"/>
  <c r="Q36" i="13"/>
  <c r="AC36" i="13"/>
  <c r="AC37" i="13" s="1"/>
  <c r="B39" i="13"/>
  <c r="B44" i="13" s="1"/>
  <c r="N39" i="13"/>
  <c r="Z39" i="13"/>
  <c r="E64" i="13"/>
  <c r="F71" i="13" s="1"/>
  <c r="AC64" i="13"/>
  <c r="AD71" i="13" s="1"/>
  <c r="T65" i="13"/>
  <c r="U71" i="13" s="1"/>
  <c r="AT166" i="13"/>
  <c r="C166" i="13"/>
  <c r="D166" i="13" s="1"/>
  <c r="G166" i="13" s="1"/>
  <c r="H170" i="13" s="1"/>
  <c r="AC129" i="13"/>
  <c r="G36" i="13"/>
  <c r="G37" i="13" s="1"/>
  <c r="G49" i="13" s="1"/>
  <c r="S36" i="13"/>
  <c r="S37" i="13" s="1"/>
  <c r="S50" i="13" s="1"/>
  <c r="AE36" i="13"/>
  <c r="P39" i="13"/>
  <c r="AB39" i="13"/>
  <c r="J40" i="13"/>
  <c r="V40" i="13"/>
  <c r="S68" i="13"/>
  <c r="R71" i="13" s="1"/>
  <c r="AB193" i="13"/>
  <c r="B229" i="13"/>
  <c r="A204" i="13"/>
  <c r="A193" i="13"/>
  <c r="H36" i="13"/>
  <c r="H37" i="13" s="1"/>
  <c r="T36" i="13"/>
  <c r="T37" i="13" s="1"/>
  <c r="Q39" i="13"/>
  <c r="Q44" i="13" s="1"/>
  <c r="K65" i="13"/>
  <c r="L71" i="13" s="1"/>
  <c r="Z66" i="13"/>
  <c r="AA71" i="13" s="1"/>
  <c r="B180" i="13"/>
  <c r="B211" i="13" s="1"/>
  <c r="B164" i="13"/>
  <c r="H122" i="13"/>
  <c r="T122" i="13"/>
  <c r="AF151" i="13"/>
  <c r="L97" i="13" s="1"/>
  <c r="AF152" i="13"/>
  <c r="L99" i="13" s="1"/>
  <c r="G39" i="13"/>
  <c r="C167" i="13"/>
  <c r="D167" i="13" s="1"/>
  <c r="G170" i="13" s="1"/>
  <c r="AT167" i="13"/>
  <c r="K36" i="13"/>
  <c r="K37" i="13" s="1"/>
  <c r="W36" i="13"/>
  <c r="W37" i="13" s="1"/>
  <c r="H39" i="13"/>
  <c r="H44" i="13" s="1"/>
  <c r="W64" i="13"/>
  <c r="X71" i="13" s="1"/>
  <c r="B65" i="13"/>
  <c r="W129" i="13"/>
  <c r="Y36" i="13"/>
  <c r="B80" i="13"/>
  <c r="W230" i="13"/>
  <c r="U195" i="13"/>
  <c r="F203" i="13"/>
  <c r="AF223" i="13"/>
  <c r="AF198" i="13" s="1"/>
  <c r="N36" i="13"/>
  <c r="N37" i="13" s="1"/>
  <c r="AT168" i="13"/>
  <c r="C168" i="13"/>
  <c r="D170" i="13" s="1"/>
  <c r="D147" i="13"/>
  <c r="B144" i="13"/>
  <c r="K121" i="13"/>
  <c r="K122" i="13" s="1"/>
  <c r="W121" i="13"/>
  <c r="H124" i="13"/>
  <c r="T124" i="13"/>
  <c r="W149" i="13"/>
  <c r="X156" i="13" s="1"/>
  <c r="B150" i="13"/>
  <c r="L180" i="13"/>
  <c r="B213" i="13" s="1"/>
  <c r="M121" i="13"/>
  <c r="M122" i="13" s="1"/>
  <c r="M134" i="13" s="1"/>
  <c r="Y121" i="13"/>
  <c r="Y122" i="13" s="1"/>
  <c r="Y135" i="13" s="1"/>
  <c r="J124" i="13"/>
  <c r="V124" i="13"/>
  <c r="Y153" i="13"/>
  <c r="B165" i="13"/>
  <c r="B121" i="13"/>
  <c r="N121" i="13"/>
  <c r="Z121" i="13"/>
  <c r="Z122" i="13" s="1"/>
  <c r="K124" i="13"/>
  <c r="N149" i="13"/>
  <c r="O156" i="13" s="1"/>
  <c r="H151" i="13"/>
  <c r="I156" i="13" s="1"/>
  <c r="V180" i="13"/>
  <c r="X211" i="13" s="1"/>
  <c r="D121" i="13"/>
  <c r="D122" i="13" s="1"/>
  <c r="D135" i="13" s="1"/>
  <c r="P121" i="13"/>
  <c r="AB121" i="13"/>
  <c r="M124" i="13"/>
  <c r="AE150" i="13"/>
  <c r="V151" i="13"/>
  <c r="D153" i="13"/>
  <c r="AF153" i="13" s="1"/>
  <c r="L101" i="13" s="1"/>
  <c r="E121" i="13"/>
  <c r="Q121" i="13"/>
  <c r="AC121" i="13"/>
  <c r="Z124" i="13"/>
  <c r="Z129" i="13" s="1"/>
  <c r="E149" i="13"/>
  <c r="F156" i="13" s="1"/>
  <c r="AC149" i="13"/>
  <c r="AD156" i="13" s="1"/>
  <c r="T150" i="13"/>
  <c r="U156" i="13" s="1"/>
  <c r="G121" i="13"/>
  <c r="S121" i="13"/>
  <c r="S122" i="13" s="1"/>
  <c r="S135" i="13" s="1"/>
  <c r="AE121" i="13"/>
  <c r="AE122" i="13" s="1"/>
  <c r="AE132" i="13" s="1"/>
  <c r="P124" i="13"/>
  <c r="N129" i="13" s="1"/>
  <c r="AB124" i="13"/>
  <c r="S153" i="13"/>
  <c r="R156" i="13" s="1"/>
  <c r="Q124" i="13"/>
  <c r="Q129" i="13" s="1"/>
  <c r="J121" i="13"/>
  <c r="G124" i="13"/>
  <c r="E129" i="13" s="1"/>
  <c r="D49" i="20" l="1"/>
  <c r="D50" i="20" s="1"/>
  <c r="D51" i="20" s="1"/>
  <c r="D52" i="20" s="1"/>
  <c r="D53" i="20" s="1"/>
  <c r="D54" i="20" s="1"/>
  <c r="D55" i="20" s="1"/>
  <c r="D56" i="20" s="1"/>
  <c r="D57" i="20" s="1"/>
  <c r="D58" i="20" s="1"/>
  <c r="D59" i="20" s="1"/>
  <c r="D60" i="20" s="1"/>
  <c r="D61" i="20" s="1"/>
  <c r="D62" i="20" s="1"/>
  <c r="C50" i="20"/>
  <c r="C51" i="20" s="1"/>
  <c r="C52" i="20" s="1"/>
  <c r="C53" i="20" s="1"/>
  <c r="C54" i="20" s="1"/>
  <c r="C55" i="20" s="1"/>
  <c r="C56" i="20" s="1"/>
  <c r="C57" i="20" s="1"/>
  <c r="C58" i="20" s="1"/>
  <c r="C59" i="20" s="1"/>
  <c r="C60" i="20" s="1"/>
  <c r="C61" i="20" s="1"/>
  <c r="C62" i="20" s="1"/>
  <c r="D420" i="20"/>
  <c r="C421" i="20"/>
  <c r="D319" i="20"/>
  <c r="C320" i="20"/>
  <c r="C91" i="20"/>
  <c r="D90" i="20"/>
  <c r="C171" i="20"/>
  <c r="C172" i="20" s="1"/>
  <c r="D170" i="20"/>
  <c r="D171" i="20" s="1"/>
  <c r="D376" i="20"/>
  <c r="C377" i="20"/>
  <c r="D259" i="20"/>
  <c r="D260" i="20" s="1"/>
  <c r="C260" i="20"/>
  <c r="C261" i="20" s="1"/>
  <c r="AC137" i="18"/>
  <c r="AE138" i="18"/>
  <c r="P139" i="18"/>
  <c r="N137" i="18"/>
  <c r="AF159" i="18"/>
  <c r="I122" i="18"/>
  <c r="G164" i="18"/>
  <c r="J164" i="18" s="1"/>
  <c r="M164" i="18" s="1"/>
  <c r="N170" i="18" s="1"/>
  <c r="AF157" i="18"/>
  <c r="AF145" i="18"/>
  <c r="Z97" i="18" s="1"/>
  <c r="D141" i="18"/>
  <c r="B138" i="18"/>
  <c r="N52" i="18"/>
  <c r="P54" i="18"/>
  <c r="L37" i="18"/>
  <c r="K47" i="18"/>
  <c r="AF47" i="18" s="1"/>
  <c r="AF160" i="18"/>
  <c r="G167" i="18"/>
  <c r="J167" i="18" s="1"/>
  <c r="M170" i="18" s="1"/>
  <c r="K171" i="18" s="1"/>
  <c r="K172" i="18" s="1"/>
  <c r="M165" i="18" s="1"/>
  <c r="P165" i="18" s="1"/>
  <c r="S165" i="18" s="1"/>
  <c r="T170" i="18" s="1"/>
  <c r="M140" i="18"/>
  <c r="K138" i="18"/>
  <c r="E131" i="18"/>
  <c r="AF131" i="18" s="1"/>
  <c r="F122" i="18"/>
  <c r="AG67" i="18"/>
  <c r="R14" i="18" s="1"/>
  <c r="AC14" i="18"/>
  <c r="AC12" i="18"/>
  <c r="AG66" i="18"/>
  <c r="R12" i="18" s="1"/>
  <c r="AF161" i="18"/>
  <c r="AG64" i="18"/>
  <c r="R8" i="18" s="1"/>
  <c r="AC8" i="18"/>
  <c r="J171" i="18"/>
  <c r="J172" i="18" s="1"/>
  <c r="J168" i="18" s="1"/>
  <c r="M168" i="18" s="1"/>
  <c r="P168" i="18" s="1"/>
  <c r="S170" i="18" s="1"/>
  <c r="H171" i="18"/>
  <c r="H172" i="18" s="1"/>
  <c r="J166" i="18" s="1"/>
  <c r="M166" i="18" s="1"/>
  <c r="P170" i="18" s="1"/>
  <c r="D80" i="18"/>
  <c r="G80" i="18" s="1"/>
  <c r="J80" i="18" s="1"/>
  <c r="K85" i="18" s="1"/>
  <c r="M86" i="18" s="1"/>
  <c r="M87" i="18" s="1"/>
  <c r="M82" i="18" s="1"/>
  <c r="P82" i="18" s="1"/>
  <c r="Q85" i="18" s="1"/>
  <c r="AF73" i="18"/>
  <c r="G55" i="18"/>
  <c r="E52" i="18"/>
  <c r="V139" i="18"/>
  <c r="T138" i="18"/>
  <c r="T53" i="18"/>
  <c r="V54" i="18"/>
  <c r="S141" i="18"/>
  <c r="Q140" i="18"/>
  <c r="AF76" i="18"/>
  <c r="D83" i="18"/>
  <c r="G83" i="18" s="1"/>
  <c r="J85" i="18" s="1"/>
  <c r="AG150" i="18"/>
  <c r="R95" i="18" s="1"/>
  <c r="AC95" i="18"/>
  <c r="D56" i="18"/>
  <c r="B53" i="18"/>
  <c r="J56" i="18"/>
  <c r="H54" i="18"/>
  <c r="AE53" i="18"/>
  <c r="AC52" i="18"/>
  <c r="AB55" i="18"/>
  <c r="Z54" i="18"/>
  <c r="W137" i="18"/>
  <c r="Y141" i="18"/>
  <c r="D76" i="15"/>
  <c r="B73" i="15"/>
  <c r="H145" i="15"/>
  <c r="AF145" i="15" s="1"/>
  <c r="Z97" i="15" s="1"/>
  <c r="J147" i="15"/>
  <c r="L37" i="15"/>
  <c r="K47" i="15"/>
  <c r="T144" i="15"/>
  <c r="V145" i="15"/>
  <c r="H60" i="15"/>
  <c r="J62" i="15"/>
  <c r="T158" i="15"/>
  <c r="V159" i="15"/>
  <c r="J50" i="15"/>
  <c r="AF50" i="15" s="1"/>
  <c r="I37" i="15"/>
  <c r="P145" i="15"/>
  <c r="N143" i="15"/>
  <c r="V60" i="15"/>
  <c r="T59" i="15"/>
  <c r="AT79" i="15"/>
  <c r="C79" i="15"/>
  <c r="D79" i="15" s="1"/>
  <c r="E85" i="15" s="1"/>
  <c r="P159" i="15"/>
  <c r="N157" i="15"/>
  <c r="AF149" i="15"/>
  <c r="L93" i="15" s="1"/>
  <c r="AT80" i="15"/>
  <c r="C80" i="15"/>
  <c r="B85" i="15" s="1"/>
  <c r="D86" i="15" s="1"/>
  <c r="D87" i="15" s="1"/>
  <c r="Z44" i="15"/>
  <c r="B229" i="15"/>
  <c r="A204" i="15"/>
  <c r="A193" i="15"/>
  <c r="Z37" i="15"/>
  <c r="AF68" i="15"/>
  <c r="L16" i="15" s="1"/>
  <c r="Z145" i="15"/>
  <c r="AB146" i="15"/>
  <c r="V139" i="15"/>
  <c r="T138" i="15"/>
  <c r="Q146" i="15"/>
  <c r="S147" i="15"/>
  <c r="K129" i="15"/>
  <c r="M122" i="15"/>
  <c r="M134" i="15" s="1"/>
  <c r="E122" i="15"/>
  <c r="S62" i="15"/>
  <c r="Q61" i="15"/>
  <c r="L156" i="15"/>
  <c r="AE37" i="15"/>
  <c r="AE47" i="15" s="1"/>
  <c r="W122" i="15"/>
  <c r="D62" i="15"/>
  <c r="B59" i="15"/>
  <c r="N37" i="15"/>
  <c r="AF64" i="15"/>
  <c r="L8" i="15" s="1"/>
  <c r="AT230" i="15"/>
  <c r="AF153" i="15"/>
  <c r="L101" i="15" s="1"/>
  <c r="G75" i="15"/>
  <c r="E72" i="15"/>
  <c r="AE122" i="15"/>
  <c r="AE132" i="15" s="1"/>
  <c r="Z122" i="15"/>
  <c r="G160" i="15"/>
  <c r="E157" i="15"/>
  <c r="AT82" i="15"/>
  <c r="C82" i="15"/>
  <c r="D82" i="15" s="1"/>
  <c r="G85" i="15" s="1"/>
  <c r="S37" i="15"/>
  <c r="S50" i="15" s="1"/>
  <c r="AC37" i="15"/>
  <c r="I156" i="15"/>
  <c r="W230" i="15"/>
  <c r="U195" i="15"/>
  <c r="B37" i="15"/>
  <c r="U71" i="15"/>
  <c r="S122" i="15"/>
  <c r="S135" i="15" s="1"/>
  <c r="N131" i="15"/>
  <c r="AC131" i="15"/>
  <c r="AD122" i="15"/>
  <c r="K132" i="15"/>
  <c r="L122" i="15"/>
  <c r="C167" i="15"/>
  <c r="D167" i="15" s="1"/>
  <c r="G170" i="15" s="1"/>
  <c r="E171" i="15" s="1"/>
  <c r="E172" i="15" s="1"/>
  <c r="AT167" i="15"/>
  <c r="S76" i="15"/>
  <c r="Q75" i="15"/>
  <c r="G61" i="15"/>
  <c r="E58" i="15"/>
  <c r="AC143" i="15"/>
  <c r="AE144" i="15"/>
  <c r="E129" i="15"/>
  <c r="AT165" i="15"/>
  <c r="C165" i="15"/>
  <c r="B170" i="15" s="1"/>
  <c r="D171" i="15" s="1"/>
  <c r="D172" i="15" s="1"/>
  <c r="Q49" i="15"/>
  <c r="AF49" i="15" s="1"/>
  <c r="P122" i="15"/>
  <c r="P133" i="15" s="1"/>
  <c r="B122" i="15"/>
  <c r="AC157" i="15"/>
  <c r="AE158" i="15"/>
  <c r="R156" i="15"/>
  <c r="B228" i="15"/>
  <c r="A199" i="15"/>
  <c r="E37" i="15"/>
  <c r="H122" i="15"/>
  <c r="Z74" i="15"/>
  <c r="AB75" i="15"/>
  <c r="A195" i="15"/>
  <c r="B230" i="15"/>
  <c r="W228" i="15"/>
  <c r="U199" i="15"/>
  <c r="P74" i="15"/>
  <c r="N72" i="15"/>
  <c r="AT226" i="15"/>
  <c r="M75" i="15"/>
  <c r="K73" i="15"/>
  <c r="AC72" i="15"/>
  <c r="AE73" i="15"/>
  <c r="AT166" i="15"/>
  <c r="C166" i="15"/>
  <c r="D166" i="15" s="1"/>
  <c r="G166" i="15" s="1"/>
  <c r="H170" i="15" s="1"/>
  <c r="W44" i="15"/>
  <c r="AT232" i="15"/>
  <c r="C156" i="15"/>
  <c r="N58" i="15"/>
  <c r="P60" i="15"/>
  <c r="H74" i="15"/>
  <c r="J76" i="15"/>
  <c r="W143" i="15"/>
  <c r="Y147" i="15"/>
  <c r="X156" i="15"/>
  <c r="M61" i="15"/>
  <c r="K59" i="15"/>
  <c r="W46" i="15"/>
  <c r="X37" i="15"/>
  <c r="P145" i="14"/>
  <c r="N143" i="14"/>
  <c r="M61" i="14"/>
  <c r="K59" i="14"/>
  <c r="G171" i="14"/>
  <c r="G172" i="14" s="1"/>
  <c r="J76" i="14"/>
  <c r="H74" i="14"/>
  <c r="G146" i="14"/>
  <c r="E143" i="14"/>
  <c r="N72" i="14"/>
  <c r="P74" i="14"/>
  <c r="D161" i="14"/>
  <c r="B158" i="14"/>
  <c r="W72" i="14"/>
  <c r="Y76" i="14"/>
  <c r="AC58" i="14"/>
  <c r="AE59" i="14"/>
  <c r="Q75" i="14"/>
  <c r="S76" i="14"/>
  <c r="T158" i="14"/>
  <c r="V159" i="14"/>
  <c r="V122" i="14"/>
  <c r="V133" i="14" s="1"/>
  <c r="T59" i="14"/>
  <c r="V60" i="14"/>
  <c r="G61" i="14"/>
  <c r="E58" i="14"/>
  <c r="AB75" i="14"/>
  <c r="Z74" i="14"/>
  <c r="Z37" i="14"/>
  <c r="Q160" i="14"/>
  <c r="S161" i="14"/>
  <c r="M146" i="14"/>
  <c r="K144" i="14"/>
  <c r="X156" i="14"/>
  <c r="W37" i="14"/>
  <c r="E171" i="14"/>
  <c r="E172" i="14" s="1"/>
  <c r="AE37" i="14"/>
  <c r="AE47" i="14" s="1"/>
  <c r="Z44" i="14"/>
  <c r="AF68" i="14"/>
  <c r="L16" i="14" s="1"/>
  <c r="P159" i="14"/>
  <c r="N157" i="14"/>
  <c r="T129" i="14"/>
  <c r="AF153" i="14"/>
  <c r="L101" i="14" s="1"/>
  <c r="T47" i="14"/>
  <c r="S37" i="14"/>
  <c r="S50" i="14" s="1"/>
  <c r="Z159" i="14"/>
  <c r="AB160" i="14"/>
  <c r="N58" i="14"/>
  <c r="P60" i="14"/>
  <c r="AT81" i="14"/>
  <c r="C81" i="14"/>
  <c r="D81" i="14" s="1"/>
  <c r="G81" i="14" s="1"/>
  <c r="H85" i="14" s="1"/>
  <c r="Q146" i="14"/>
  <c r="S147" i="14"/>
  <c r="H48" i="14"/>
  <c r="I37" i="14"/>
  <c r="K158" i="14"/>
  <c r="M160" i="14"/>
  <c r="D62" i="14"/>
  <c r="B59" i="14"/>
  <c r="AF59" i="14" s="1"/>
  <c r="Z10" i="14" s="1"/>
  <c r="AF66" i="14"/>
  <c r="L12" i="14" s="1"/>
  <c r="AE73" i="14"/>
  <c r="AC72" i="14"/>
  <c r="U204" i="14"/>
  <c r="W229" i="14"/>
  <c r="T193" i="14"/>
  <c r="B228" i="14"/>
  <c r="A199" i="14"/>
  <c r="AA122" i="14"/>
  <c r="Z133" i="14"/>
  <c r="W122" i="14"/>
  <c r="I156" i="14"/>
  <c r="H122" i="14" s="1"/>
  <c r="AD37" i="14"/>
  <c r="AC46" i="14"/>
  <c r="W58" i="14"/>
  <c r="Y62" i="14"/>
  <c r="T73" i="14"/>
  <c r="V74" i="14"/>
  <c r="C71" i="14"/>
  <c r="G75" i="14"/>
  <c r="E72" i="14"/>
  <c r="AT79" i="14"/>
  <c r="C79" i="14"/>
  <c r="D79" i="14" s="1"/>
  <c r="E85" i="14" s="1"/>
  <c r="G86" i="14" s="1"/>
  <c r="G87" i="14" s="1"/>
  <c r="H129" i="14"/>
  <c r="G160" i="14"/>
  <c r="E157" i="14"/>
  <c r="Z129" i="14"/>
  <c r="AB122" i="14"/>
  <c r="AB134" i="14" s="1"/>
  <c r="N122" i="14"/>
  <c r="K122" i="14"/>
  <c r="AB203" i="14"/>
  <c r="T132" i="14"/>
  <c r="U122" i="14"/>
  <c r="AF149" i="14"/>
  <c r="L93" i="14" s="1"/>
  <c r="D147" i="14"/>
  <c r="B144" i="14"/>
  <c r="Q37" i="14"/>
  <c r="Q61" i="14"/>
  <c r="S62" i="14"/>
  <c r="B229" i="14"/>
  <c r="A204" i="14"/>
  <c r="A193" i="14"/>
  <c r="AC131" i="14"/>
  <c r="AD122" i="14"/>
  <c r="B132" i="14"/>
  <c r="A195" i="14"/>
  <c r="B230" i="14"/>
  <c r="F193" i="14"/>
  <c r="AT233" i="14"/>
  <c r="E37" i="14"/>
  <c r="AC157" i="14"/>
  <c r="AE158" i="14"/>
  <c r="Q122" i="14"/>
  <c r="D122" i="14"/>
  <c r="D135" i="14" s="1"/>
  <c r="AF135" i="14" s="1"/>
  <c r="AT83" i="14"/>
  <c r="C83" i="14"/>
  <c r="D85" i="14" s="1"/>
  <c r="N37" i="14"/>
  <c r="V37" i="14"/>
  <c r="V48" i="14" s="1"/>
  <c r="AT230" i="14"/>
  <c r="K37" i="14"/>
  <c r="B37" i="14"/>
  <c r="AE122" i="14"/>
  <c r="AE132" i="14" s="1"/>
  <c r="S122" i="14"/>
  <c r="S135" i="14" s="1"/>
  <c r="E122" i="14"/>
  <c r="W228" i="14"/>
  <c r="U199" i="14"/>
  <c r="AT165" i="14"/>
  <c r="C165" i="14"/>
  <c r="B170" i="14" s="1"/>
  <c r="D171" i="14" s="1"/>
  <c r="D172" i="14" s="1"/>
  <c r="AF150" i="14"/>
  <c r="L95" i="14" s="1"/>
  <c r="C80" i="14"/>
  <c r="B85" i="14" s="1"/>
  <c r="AT80" i="14"/>
  <c r="J62" i="14"/>
  <c r="H60" i="14"/>
  <c r="J37" i="14"/>
  <c r="J50" i="14" s="1"/>
  <c r="AF50" i="14" s="1"/>
  <c r="AC143" i="14"/>
  <c r="AE144" i="14"/>
  <c r="M75" i="14"/>
  <c r="K73" i="14"/>
  <c r="AT226" i="14"/>
  <c r="Q160" i="13"/>
  <c r="S161" i="13"/>
  <c r="M75" i="13"/>
  <c r="K73" i="13"/>
  <c r="S76" i="13"/>
  <c r="Q75" i="13"/>
  <c r="G146" i="13"/>
  <c r="E143" i="13"/>
  <c r="J161" i="13"/>
  <c r="H159" i="13"/>
  <c r="T158" i="13"/>
  <c r="V159" i="13"/>
  <c r="V122" i="13"/>
  <c r="V133" i="13" s="1"/>
  <c r="V74" i="13"/>
  <c r="T73" i="13"/>
  <c r="W58" i="13"/>
  <c r="Y62" i="13"/>
  <c r="M61" i="13"/>
  <c r="K59" i="13"/>
  <c r="P145" i="13"/>
  <c r="N143" i="13"/>
  <c r="AB75" i="13"/>
  <c r="Z74" i="13"/>
  <c r="G160" i="13"/>
  <c r="E157" i="13"/>
  <c r="Q122" i="13"/>
  <c r="AT165" i="13"/>
  <c r="C165" i="13"/>
  <c r="B170" i="13" s="1"/>
  <c r="D171" i="13" s="1"/>
  <c r="D172" i="13" s="1"/>
  <c r="AF150" i="13"/>
  <c r="L95" i="13" s="1"/>
  <c r="W143" i="13"/>
  <c r="Y147" i="13"/>
  <c r="T132" i="13"/>
  <c r="U122" i="13"/>
  <c r="U37" i="13"/>
  <c r="T47" i="13"/>
  <c r="AE73" i="13"/>
  <c r="AC72" i="13"/>
  <c r="AB203" i="13"/>
  <c r="Z159" i="13"/>
  <c r="AB160" i="13"/>
  <c r="P37" i="13"/>
  <c r="P48" i="13" s="1"/>
  <c r="C81" i="13"/>
  <c r="D81" i="13" s="1"/>
  <c r="G81" i="13" s="1"/>
  <c r="H85" i="13" s="1"/>
  <c r="AT81" i="13"/>
  <c r="Y161" i="13"/>
  <c r="W157" i="13"/>
  <c r="H133" i="13"/>
  <c r="K158" i="13"/>
  <c r="M160" i="13"/>
  <c r="AA37" i="13"/>
  <c r="Z48" i="13"/>
  <c r="U204" i="13"/>
  <c r="W229" i="13"/>
  <c r="T193" i="13"/>
  <c r="E122" i="13"/>
  <c r="G75" i="13"/>
  <c r="E72" i="13"/>
  <c r="G122" i="13"/>
  <c r="G134" i="13" s="1"/>
  <c r="T129" i="13"/>
  <c r="C80" i="13"/>
  <c r="B85" i="13" s="1"/>
  <c r="D86" i="13" s="1"/>
  <c r="D87" i="13" s="1"/>
  <c r="AT80" i="13"/>
  <c r="AF65" i="13"/>
  <c r="L10" i="13" s="1"/>
  <c r="AT164" i="13"/>
  <c r="C164" i="13"/>
  <c r="D164" i="13" s="1"/>
  <c r="E170" i="13" s="1"/>
  <c r="G171" i="13" s="1"/>
  <c r="G172" i="13" s="1"/>
  <c r="Z44" i="13"/>
  <c r="V37" i="13"/>
  <c r="V48" i="13" s="1"/>
  <c r="N72" i="13"/>
  <c r="P74" i="13"/>
  <c r="H74" i="13"/>
  <c r="J76" i="13"/>
  <c r="F193" i="13"/>
  <c r="P159" i="13"/>
  <c r="N157" i="13"/>
  <c r="H129" i="13"/>
  <c r="Y37" i="13"/>
  <c r="Y50" i="13" s="1"/>
  <c r="W72" i="13"/>
  <c r="Y76" i="13"/>
  <c r="AF149" i="13"/>
  <c r="L93" i="13" s="1"/>
  <c r="B228" i="13"/>
  <c r="A199" i="13"/>
  <c r="AE37" i="13"/>
  <c r="AE47" i="13" s="1"/>
  <c r="AC143" i="13"/>
  <c r="AE144" i="13"/>
  <c r="N44" i="13"/>
  <c r="C71" i="13"/>
  <c r="B37" i="13" s="1"/>
  <c r="J37" i="13"/>
  <c r="J50" i="13" s="1"/>
  <c r="AF50" i="13" s="1"/>
  <c r="W228" i="13"/>
  <c r="U199" i="13"/>
  <c r="AT233" i="13"/>
  <c r="H48" i="13"/>
  <c r="AF48" i="13" s="1"/>
  <c r="I37" i="13"/>
  <c r="J122" i="13"/>
  <c r="J135" i="13" s="1"/>
  <c r="AF135" i="13" s="1"/>
  <c r="Q146" i="13"/>
  <c r="S147" i="13"/>
  <c r="AC157" i="13"/>
  <c r="AE158" i="13"/>
  <c r="K129" i="13"/>
  <c r="W122" i="13"/>
  <c r="J62" i="13"/>
  <c r="H60" i="13"/>
  <c r="AT228" i="13"/>
  <c r="D62" i="13"/>
  <c r="B59" i="13"/>
  <c r="AF59" i="13" s="1"/>
  <c r="Z10" i="13" s="1"/>
  <c r="AT79" i="13"/>
  <c r="C79" i="13"/>
  <c r="D79" i="13" s="1"/>
  <c r="E85" i="13" s="1"/>
  <c r="N46" i="13"/>
  <c r="O37" i="13"/>
  <c r="AC46" i="13"/>
  <c r="G61" i="13"/>
  <c r="E58" i="13"/>
  <c r="B227" i="13"/>
  <c r="A190" i="13"/>
  <c r="T59" i="13"/>
  <c r="V60" i="13"/>
  <c r="K132" i="13"/>
  <c r="L122" i="13"/>
  <c r="W46" i="13"/>
  <c r="X37" i="13"/>
  <c r="Z145" i="13"/>
  <c r="AB146" i="13"/>
  <c r="AB122" i="13"/>
  <c r="AB134" i="13" s="1"/>
  <c r="N122" i="13"/>
  <c r="K47" i="13"/>
  <c r="AF64" i="13"/>
  <c r="L8" i="13" s="1"/>
  <c r="Q37" i="13"/>
  <c r="M37" i="13"/>
  <c r="M49" i="13" s="1"/>
  <c r="AT82" i="13"/>
  <c r="C82" i="13"/>
  <c r="D82" i="13" s="1"/>
  <c r="G85" i="13" s="1"/>
  <c r="Z133" i="13"/>
  <c r="A195" i="13"/>
  <c r="B230" i="13"/>
  <c r="AC122" i="13"/>
  <c r="P122" i="13"/>
  <c r="P133" i="13" s="1"/>
  <c r="B122" i="13"/>
  <c r="C156" i="13"/>
  <c r="Q61" i="13"/>
  <c r="S62" i="13"/>
  <c r="E37" i="13"/>
  <c r="U190" i="13"/>
  <c r="W227" i="13"/>
  <c r="D261" i="20" l="1"/>
  <c r="C262" i="20"/>
  <c r="D320" i="20"/>
  <c r="C321" i="20"/>
  <c r="D91" i="20"/>
  <c r="D92" i="20" s="1"/>
  <c r="C92" i="20"/>
  <c r="C93" i="20" s="1"/>
  <c r="C378" i="20"/>
  <c r="D377" i="20"/>
  <c r="C422" i="20"/>
  <c r="C423" i="20" s="1"/>
  <c r="C424" i="20" s="1"/>
  <c r="C425" i="20" s="1"/>
  <c r="C426" i="20" s="1"/>
  <c r="C427" i="20" s="1"/>
  <c r="D421" i="20"/>
  <c r="D422" i="20" s="1"/>
  <c r="D423" i="20" s="1"/>
  <c r="D424" i="20" s="1"/>
  <c r="D425" i="20" s="1"/>
  <c r="D426" i="20" s="1"/>
  <c r="D427" i="20" s="1"/>
  <c r="D172" i="20"/>
  <c r="C173" i="20"/>
  <c r="P171" i="18"/>
  <c r="P172" i="18" s="1"/>
  <c r="P166" i="18" s="1"/>
  <c r="S166" i="18" s="1"/>
  <c r="V170" i="18" s="1"/>
  <c r="AF54" i="18"/>
  <c r="AG48" i="18" s="1"/>
  <c r="AG65" i="18"/>
  <c r="R10" i="18" s="1"/>
  <c r="AC10" i="18"/>
  <c r="AG152" i="18"/>
  <c r="R99" i="18" s="1"/>
  <c r="AC99" i="18"/>
  <c r="K86" i="18"/>
  <c r="K87" i="18" s="1"/>
  <c r="M80" i="18" s="1"/>
  <c r="P80" i="18" s="1"/>
  <c r="S80" i="18" s="1"/>
  <c r="T85" i="18" s="1"/>
  <c r="AG149" i="18"/>
  <c r="R93" i="18" s="1"/>
  <c r="AC93" i="18"/>
  <c r="AG153" i="18"/>
  <c r="R101" i="18" s="1"/>
  <c r="AC101" i="18"/>
  <c r="N171" i="18"/>
  <c r="N172" i="18" s="1"/>
  <c r="P164" i="18" s="1"/>
  <c r="S164" i="18" s="1"/>
  <c r="V164" i="18" s="1"/>
  <c r="W170" i="18" s="1"/>
  <c r="AF56" i="18"/>
  <c r="AG50" i="18" s="1"/>
  <c r="G140" i="18"/>
  <c r="AF140" i="18" s="1"/>
  <c r="AG134" i="18" s="1"/>
  <c r="E137" i="18"/>
  <c r="AF137" i="18" s="1"/>
  <c r="AG131" i="18" s="1"/>
  <c r="H139" i="18"/>
  <c r="AF139" i="18" s="1"/>
  <c r="AG133" i="18" s="1"/>
  <c r="J141" i="18"/>
  <c r="AF53" i="18"/>
  <c r="AG47" i="18" s="1"/>
  <c r="M55" i="18"/>
  <c r="K53" i="18"/>
  <c r="AG151" i="18"/>
  <c r="R97" i="18" s="1"/>
  <c r="AC97" i="18"/>
  <c r="J86" i="18"/>
  <c r="J87" i="18" s="1"/>
  <c r="J83" i="18" s="1"/>
  <c r="M83" i="18" s="1"/>
  <c r="P83" i="18" s="1"/>
  <c r="S85" i="18" s="1"/>
  <c r="Q86" i="18" s="1"/>
  <c r="Q87" i="18" s="1"/>
  <c r="S82" i="18" s="1"/>
  <c r="V82" i="18" s="1"/>
  <c r="Y82" i="18" s="1"/>
  <c r="AB85" i="18" s="1"/>
  <c r="H86" i="18"/>
  <c r="H87" i="18" s="1"/>
  <c r="J81" i="18" s="1"/>
  <c r="M81" i="18" s="1"/>
  <c r="P85" i="18" s="1"/>
  <c r="AF52" i="18"/>
  <c r="AG46" i="18" s="1"/>
  <c r="AF138" i="18"/>
  <c r="AG132" i="18" s="1"/>
  <c r="AC16" i="18"/>
  <c r="AG68" i="18"/>
  <c r="R16" i="18" s="1"/>
  <c r="AF55" i="18"/>
  <c r="AG49" i="18" s="1"/>
  <c r="M171" i="18"/>
  <c r="M172" i="18" s="1"/>
  <c r="M167" i="18" s="1"/>
  <c r="P167" i="18" s="1"/>
  <c r="Q170" i="18" s="1"/>
  <c r="S171" i="18" s="1"/>
  <c r="S172" i="18" s="1"/>
  <c r="S168" i="18" s="1"/>
  <c r="V168" i="18" s="1"/>
  <c r="Y170" i="18" s="1"/>
  <c r="AF141" i="18"/>
  <c r="AG135" i="18" s="1"/>
  <c r="J161" i="15"/>
  <c r="H159" i="15"/>
  <c r="D161" i="15"/>
  <c r="B158" i="15"/>
  <c r="O122" i="15"/>
  <c r="AC46" i="15"/>
  <c r="AD37" i="15"/>
  <c r="AF72" i="15"/>
  <c r="O37" i="15"/>
  <c r="N46" i="15"/>
  <c r="E131" i="15"/>
  <c r="F122" i="15"/>
  <c r="Y161" i="15"/>
  <c r="W157" i="15"/>
  <c r="AT231" i="15"/>
  <c r="C122" i="15"/>
  <c r="B132" i="15"/>
  <c r="AF132" i="15" s="1"/>
  <c r="G146" i="15"/>
  <c r="AF146" i="15" s="1"/>
  <c r="Z99" i="15" s="1"/>
  <c r="E143" i="15"/>
  <c r="AF143" i="15" s="1"/>
  <c r="Z93" i="15" s="1"/>
  <c r="AF75" i="15"/>
  <c r="AF59" i="15"/>
  <c r="Z10" i="15" s="1"/>
  <c r="B86" i="15"/>
  <c r="B87" i="15" s="1"/>
  <c r="D80" i="15" s="1"/>
  <c r="G80" i="15" s="1"/>
  <c r="J80" i="15" s="1"/>
  <c r="K85" i="15" s="1"/>
  <c r="Q160" i="15"/>
  <c r="S161" i="15"/>
  <c r="AT229" i="15"/>
  <c r="H133" i="15"/>
  <c r="AF133" i="15" s="1"/>
  <c r="G171" i="15"/>
  <c r="G172" i="15" s="1"/>
  <c r="G167" i="15" s="1"/>
  <c r="J167" i="15" s="1"/>
  <c r="M170" i="15" s="1"/>
  <c r="G86" i="15"/>
  <c r="G87" i="15" s="1"/>
  <c r="G82" i="15" s="1"/>
  <c r="J82" i="15" s="1"/>
  <c r="M85" i="15" s="1"/>
  <c r="AF62" i="15"/>
  <c r="Z16" i="15" s="1"/>
  <c r="M146" i="15"/>
  <c r="K144" i="15"/>
  <c r="AF144" i="15" s="1"/>
  <c r="Z95" i="15" s="1"/>
  <c r="AA37" i="15"/>
  <c r="Z48" i="15"/>
  <c r="AF48" i="15" s="1"/>
  <c r="J56" i="15"/>
  <c r="H54" i="15"/>
  <c r="AC137" i="15"/>
  <c r="AE138" i="15"/>
  <c r="V74" i="15"/>
  <c r="AF74" i="15" s="1"/>
  <c r="T73" i="15"/>
  <c r="T37" i="15"/>
  <c r="Q122" i="15"/>
  <c r="M55" i="15"/>
  <c r="K53" i="15"/>
  <c r="W58" i="15"/>
  <c r="AF58" i="15" s="1"/>
  <c r="Z8" i="15" s="1"/>
  <c r="Y62" i="15"/>
  <c r="E46" i="15"/>
  <c r="AF46" i="15" s="1"/>
  <c r="F37" i="15"/>
  <c r="M140" i="15"/>
  <c r="K138" i="15"/>
  <c r="X122" i="15"/>
  <c r="W131" i="15"/>
  <c r="R37" i="15"/>
  <c r="B47" i="15"/>
  <c r="C37" i="15"/>
  <c r="G164" i="15"/>
  <c r="J164" i="15" s="1"/>
  <c r="M164" i="15" s="1"/>
  <c r="N170" i="15" s="1"/>
  <c r="AF157" i="15"/>
  <c r="J122" i="15"/>
  <c r="J135" i="15" s="1"/>
  <c r="AF135" i="15" s="1"/>
  <c r="AF147" i="15"/>
  <c r="Z101" i="15" s="1"/>
  <c r="W52" i="15"/>
  <c r="Y56" i="15"/>
  <c r="AT227" i="15"/>
  <c r="K158" i="15"/>
  <c r="M160" i="15"/>
  <c r="AF160" i="15" s="1"/>
  <c r="AT228" i="15"/>
  <c r="B171" i="15"/>
  <c r="B172" i="15" s="1"/>
  <c r="AT233" i="15"/>
  <c r="AA122" i="15"/>
  <c r="Z133" i="15"/>
  <c r="AB61" i="15"/>
  <c r="AF61" i="15" s="1"/>
  <c r="Z14" i="15" s="1"/>
  <c r="Z60" i="15"/>
  <c r="AF60" i="15" s="1"/>
  <c r="Z12" i="15" s="1"/>
  <c r="E86" i="15"/>
  <c r="E87" i="15" s="1"/>
  <c r="G79" i="15" s="1"/>
  <c r="J79" i="15" s="1"/>
  <c r="M79" i="15" s="1"/>
  <c r="N85" i="15" s="1"/>
  <c r="AF73" i="15"/>
  <c r="D83" i="15"/>
  <c r="G83" i="15" s="1"/>
  <c r="J85" i="15" s="1"/>
  <c r="AF76" i="15"/>
  <c r="I122" i="14"/>
  <c r="H133" i="14"/>
  <c r="AF133" i="14" s="1"/>
  <c r="F37" i="14"/>
  <c r="E46" i="14"/>
  <c r="E131" i="14"/>
  <c r="F122" i="14"/>
  <c r="O37" i="14"/>
  <c r="N46" i="14"/>
  <c r="AT229" i="14"/>
  <c r="AF48" i="14"/>
  <c r="AA37" i="14"/>
  <c r="Z48" i="14"/>
  <c r="AF74" i="14"/>
  <c r="B86" i="14"/>
  <c r="B87" i="14" s="1"/>
  <c r="H145" i="14"/>
  <c r="J147" i="14"/>
  <c r="T144" i="14"/>
  <c r="AF144" i="14" s="1"/>
  <c r="Z95" i="14" s="1"/>
  <c r="V145" i="14"/>
  <c r="W46" i="14"/>
  <c r="X37" i="14"/>
  <c r="D168" i="14"/>
  <c r="G168" i="14" s="1"/>
  <c r="J170" i="14" s="1"/>
  <c r="E86" i="14"/>
  <c r="E87" i="14" s="1"/>
  <c r="G79" i="14" s="1"/>
  <c r="J79" i="14" s="1"/>
  <c r="M79" i="14" s="1"/>
  <c r="N85" i="14" s="1"/>
  <c r="AT227" i="14"/>
  <c r="Y161" i="14"/>
  <c r="W157" i="14"/>
  <c r="B171" i="14"/>
  <c r="B172" i="14" s="1"/>
  <c r="D165" i="14" s="1"/>
  <c r="G165" i="14" s="1"/>
  <c r="J165" i="14" s="1"/>
  <c r="K170" i="14" s="1"/>
  <c r="Q49" i="14"/>
  <c r="AF49" i="14" s="1"/>
  <c r="R37" i="14"/>
  <c r="K132" i="14"/>
  <c r="L122" i="14"/>
  <c r="AF58" i="14"/>
  <c r="Z8" i="14" s="1"/>
  <c r="B47" i="14"/>
  <c r="C37" i="14"/>
  <c r="Q134" i="14"/>
  <c r="AF134" i="14" s="1"/>
  <c r="R122" i="14"/>
  <c r="AT232" i="14"/>
  <c r="AF132" i="14"/>
  <c r="L37" i="14"/>
  <c r="K47" i="14"/>
  <c r="C122" i="14"/>
  <c r="AC137" i="14"/>
  <c r="AE138" i="14"/>
  <c r="O122" i="14"/>
  <c r="N131" i="14"/>
  <c r="AF72" i="14"/>
  <c r="AC52" i="14"/>
  <c r="AE53" i="14"/>
  <c r="AF62" i="14"/>
  <c r="Z16" i="14" s="1"/>
  <c r="AF147" i="14"/>
  <c r="Z101" i="14" s="1"/>
  <c r="AF75" i="14"/>
  <c r="G82" i="14"/>
  <c r="J82" i="14" s="1"/>
  <c r="M85" i="14" s="1"/>
  <c r="J161" i="14"/>
  <c r="H159" i="14"/>
  <c r="U37" i="14"/>
  <c r="Z60" i="14"/>
  <c r="AF60" i="14" s="1"/>
  <c r="Z12" i="14" s="1"/>
  <c r="AB61" i="14"/>
  <c r="AF61" i="14" s="1"/>
  <c r="Z14" i="14" s="1"/>
  <c r="AT231" i="14"/>
  <c r="D76" i="14"/>
  <c r="B73" i="14"/>
  <c r="X122" i="14"/>
  <c r="W131" i="14"/>
  <c r="AF143" i="14"/>
  <c r="Z93" i="14" s="1"/>
  <c r="V139" i="14"/>
  <c r="T138" i="14"/>
  <c r="G164" i="14"/>
  <c r="J164" i="14" s="1"/>
  <c r="M164" i="14" s="1"/>
  <c r="N170" i="14" s="1"/>
  <c r="AF157" i="14"/>
  <c r="J56" i="14"/>
  <c r="H54" i="14"/>
  <c r="AF146" i="14"/>
  <c r="Z99" i="14" s="1"/>
  <c r="Z145" i="14"/>
  <c r="AB146" i="14"/>
  <c r="D86" i="14"/>
  <c r="D87" i="14" s="1"/>
  <c r="AT228" i="14"/>
  <c r="AF160" i="14"/>
  <c r="G167" i="14"/>
  <c r="J167" i="14" s="1"/>
  <c r="M170" i="14" s="1"/>
  <c r="Z139" i="14"/>
  <c r="AB140" i="14"/>
  <c r="AF158" i="14"/>
  <c r="B47" i="13"/>
  <c r="AF47" i="13" s="1"/>
  <c r="C37" i="13"/>
  <c r="AF62" i="13"/>
  <c r="Z16" i="13" s="1"/>
  <c r="AA122" i="13"/>
  <c r="H145" i="13"/>
  <c r="J147" i="13"/>
  <c r="AF147" i="13" s="1"/>
  <c r="Z101" i="13" s="1"/>
  <c r="V139" i="13"/>
  <c r="T138" i="13"/>
  <c r="AF157" i="13"/>
  <c r="D161" i="13"/>
  <c r="B158" i="13"/>
  <c r="L37" i="13"/>
  <c r="AD37" i="13"/>
  <c r="AT227" i="13"/>
  <c r="E131" i="13"/>
  <c r="AF131" i="13" s="1"/>
  <c r="F122" i="13"/>
  <c r="AF133" i="13"/>
  <c r="AF160" i="13"/>
  <c r="G167" i="13"/>
  <c r="J167" i="13" s="1"/>
  <c r="M170" i="13" s="1"/>
  <c r="AF143" i="13"/>
  <c r="Z93" i="13" s="1"/>
  <c r="C122" i="13"/>
  <c r="B132" i="13"/>
  <c r="AF132" i="13" s="1"/>
  <c r="O122" i="13"/>
  <c r="N131" i="13"/>
  <c r="N52" i="13"/>
  <c r="P54" i="13"/>
  <c r="AF74" i="13"/>
  <c r="I122" i="13"/>
  <c r="D76" i="13"/>
  <c r="B73" i="13"/>
  <c r="B86" i="13"/>
  <c r="B87" i="13" s="1"/>
  <c r="AT232" i="13"/>
  <c r="G86" i="13"/>
  <c r="G87" i="13" s="1"/>
  <c r="G82" i="13" s="1"/>
  <c r="J82" i="13" s="1"/>
  <c r="M85" i="13" s="1"/>
  <c r="J56" i="13"/>
  <c r="H54" i="13"/>
  <c r="AT230" i="13"/>
  <c r="AC131" i="13"/>
  <c r="AD122" i="13"/>
  <c r="E86" i="13"/>
  <c r="E87" i="13" s="1"/>
  <c r="G79" i="13" s="1"/>
  <c r="J79" i="13" s="1"/>
  <c r="M79" i="13" s="1"/>
  <c r="N85" i="13" s="1"/>
  <c r="X122" i="13"/>
  <c r="W131" i="13"/>
  <c r="N58" i="13"/>
  <c r="AF58" i="13" s="1"/>
  <c r="Z8" i="13" s="1"/>
  <c r="P60" i="13"/>
  <c r="AF60" i="13" s="1"/>
  <c r="Z12" i="13" s="1"/>
  <c r="T144" i="13"/>
  <c r="V145" i="13"/>
  <c r="AT229" i="13"/>
  <c r="AT226" i="13"/>
  <c r="M146" i="13"/>
  <c r="AF146" i="13" s="1"/>
  <c r="Z99" i="13" s="1"/>
  <c r="K144" i="13"/>
  <c r="AF144" i="13" s="1"/>
  <c r="Z95" i="13" s="1"/>
  <c r="AF134" i="13"/>
  <c r="B171" i="13"/>
  <c r="B172" i="13" s="1"/>
  <c r="Q49" i="13"/>
  <c r="AF49" i="13" s="1"/>
  <c r="R37" i="13"/>
  <c r="W52" i="13"/>
  <c r="Y56" i="13"/>
  <c r="AB61" i="13"/>
  <c r="AF61" i="13" s="1"/>
  <c r="Z14" i="13" s="1"/>
  <c r="Z60" i="13"/>
  <c r="AF72" i="13"/>
  <c r="Z54" i="13"/>
  <c r="AB55" i="13"/>
  <c r="E171" i="13"/>
  <c r="E172" i="13" s="1"/>
  <c r="G164" i="13" s="1"/>
  <c r="J164" i="13" s="1"/>
  <c r="M164" i="13" s="1"/>
  <c r="N170" i="13" s="1"/>
  <c r="AF75" i="13"/>
  <c r="T53" i="13"/>
  <c r="V54" i="13"/>
  <c r="Q134" i="13"/>
  <c r="R122" i="13"/>
  <c r="AF159" i="13"/>
  <c r="F37" i="13"/>
  <c r="E46" i="13"/>
  <c r="AF46" i="13" s="1"/>
  <c r="M140" i="13"/>
  <c r="K138" i="13"/>
  <c r="AT231" i="13"/>
  <c r="D93" i="20" l="1"/>
  <c r="D94" i="20" s="1"/>
  <c r="C94" i="20"/>
  <c r="C95" i="20" s="1"/>
  <c r="D378" i="20"/>
  <c r="C379" i="20"/>
  <c r="D173" i="20"/>
  <c r="C174" i="20"/>
  <c r="C322" i="20"/>
  <c r="D321" i="20"/>
  <c r="D262" i="20"/>
  <c r="D263" i="20" s="1"/>
  <c r="C263" i="20"/>
  <c r="C264" i="20" s="1"/>
  <c r="V171" i="18"/>
  <c r="V172" i="18" s="1"/>
  <c r="V166" i="18" s="1"/>
  <c r="Y166" i="18" s="1"/>
  <c r="Z170" i="18" s="1"/>
  <c r="T171" i="18"/>
  <c r="T172" i="18" s="1"/>
  <c r="V165" i="18" s="1"/>
  <c r="Y165" i="18" s="1"/>
  <c r="AB165" i="18" s="1"/>
  <c r="AE170" i="18" s="1"/>
  <c r="Y171" i="18"/>
  <c r="Y172" i="18" s="1"/>
  <c r="Y168" i="18" s="1"/>
  <c r="AB168" i="18" s="1"/>
  <c r="AE168" i="18" s="1"/>
  <c r="AU168" i="18" s="1"/>
  <c r="AX12" i="18" s="1"/>
  <c r="C230" i="18" s="1"/>
  <c r="D231" i="18" s="1"/>
  <c r="W171" i="18"/>
  <c r="W172" i="18" s="1"/>
  <c r="Y164" i="18" s="1"/>
  <c r="AB164" i="18" s="1"/>
  <c r="AC170" i="18" s="1"/>
  <c r="P86" i="18"/>
  <c r="P87" i="18" s="1"/>
  <c r="P81" i="18" s="1"/>
  <c r="S81" i="18" s="1"/>
  <c r="V85" i="18" s="1"/>
  <c r="N86" i="18"/>
  <c r="N87" i="18" s="1"/>
  <c r="P79" i="18" s="1"/>
  <c r="S79" i="18" s="1"/>
  <c r="V79" i="18" s="1"/>
  <c r="W85" i="18" s="1"/>
  <c r="Q171" i="18"/>
  <c r="Q172" i="18" s="1"/>
  <c r="S167" i="18" s="1"/>
  <c r="V167" i="18" s="1"/>
  <c r="Y167" i="18" s="1"/>
  <c r="AB170" i="18" s="1"/>
  <c r="S86" i="18"/>
  <c r="S87" i="18" s="1"/>
  <c r="S83" i="18" s="1"/>
  <c r="V83" i="18" s="1"/>
  <c r="Y85" i="18" s="1"/>
  <c r="AG152" i="15"/>
  <c r="R99" i="15" s="1"/>
  <c r="AC99" i="15"/>
  <c r="AC12" i="15"/>
  <c r="AG66" i="15"/>
  <c r="R12" i="15" s="1"/>
  <c r="M86" i="15"/>
  <c r="M87" i="15" s="1"/>
  <c r="M82" i="15" s="1"/>
  <c r="P82" i="15" s="1"/>
  <c r="Q85" i="15" s="1"/>
  <c r="I122" i="15"/>
  <c r="Q55" i="15"/>
  <c r="S56" i="15"/>
  <c r="G140" i="15"/>
  <c r="E137" i="15"/>
  <c r="P139" i="15"/>
  <c r="N137" i="15"/>
  <c r="Z139" i="15"/>
  <c r="AB140" i="15"/>
  <c r="D141" i="15"/>
  <c r="B138" i="15"/>
  <c r="AF138" i="15" s="1"/>
  <c r="AG132" i="15" s="1"/>
  <c r="AF131" i="15"/>
  <c r="AG65" i="15"/>
  <c r="R10" i="15" s="1"/>
  <c r="AC10" i="15"/>
  <c r="G55" i="15"/>
  <c r="E52" i="15"/>
  <c r="Q134" i="15"/>
  <c r="AF134" i="15" s="1"/>
  <c r="R122" i="15"/>
  <c r="D165" i="15"/>
  <c r="G165" i="15" s="1"/>
  <c r="J165" i="15" s="1"/>
  <c r="K170" i="15" s="1"/>
  <c r="AF158" i="15"/>
  <c r="AC16" i="15"/>
  <c r="AG68" i="15"/>
  <c r="R16" i="15" s="1"/>
  <c r="J86" i="15"/>
  <c r="J87" i="15" s="1"/>
  <c r="J83" i="15" s="1"/>
  <c r="M83" i="15" s="1"/>
  <c r="P83" i="15" s="1"/>
  <c r="S85" i="15" s="1"/>
  <c r="H86" i="15"/>
  <c r="H87" i="15" s="1"/>
  <c r="J81" i="15" s="1"/>
  <c r="M81" i="15" s="1"/>
  <c r="P85" i="15" s="1"/>
  <c r="N86" i="15" s="1"/>
  <c r="N87" i="15" s="1"/>
  <c r="P79" i="15" s="1"/>
  <c r="S79" i="15" s="1"/>
  <c r="V79" i="15" s="1"/>
  <c r="W85" i="15" s="1"/>
  <c r="K86" i="15"/>
  <c r="K87" i="15" s="1"/>
  <c r="M80" i="15" s="1"/>
  <c r="P80" i="15" s="1"/>
  <c r="S80" i="15" s="1"/>
  <c r="T85" i="15" s="1"/>
  <c r="N52" i="15"/>
  <c r="P54" i="15"/>
  <c r="AG149" i="15"/>
  <c r="R93" i="15" s="1"/>
  <c r="AC93" i="15"/>
  <c r="U37" i="15"/>
  <c r="T47" i="15"/>
  <c r="AF47" i="15" s="1"/>
  <c r="AG67" i="15"/>
  <c r="R14" i="15" s="1"/>
  <c r="AC14" i="15"/>
  <c r="AG64" i="15"/>
  <c r="R8" i="15" s="1"/>
  <c r="AC8" i="15"/>
  <c r="D168" i="15"/>
  <c r="G168" i="15" s="1"/>
  <c r="J170" i="15" s="1"/>
  <c r="AF161" i="15"/>
  <c r="AF159" i="15"/>
  <c r="D56" i="15"/>
  <c r="AF56" i="15" s="1"/>
  <c r="AG50" i="15" s="1"/>
  <c r="B53" i="15"/>
  <c r="AB55" i="15"/>
  <c r="Z54" i="15"/>
  <c r="AE53" i="15"/>
  <c r="AC52" i="15"/>
  <c r="W137" i="15"/>
  <c r="Y141" i="15"/>
  <c r="AF161" i="14"/>
  <c r="G140" i="14"/>
  <c r="E137" i="14"/>
  <c r="H139" i="14"/>
  <c r="J141" i="14"/>
  <c r="D80" i="14"/>
  <c r="G80" i="14" s="1"/>
  <c r="J80" i="14" s="1"/>
  <c r="K85" i="14" s="1"/>
  <c r="M86" i="14" s="1"/>
  <c r="M87" i="14" s="1"/>
  <c r="M82" i="14" s="1"/>
  <c r="P82" i="14" s="1"/>
  <c r="Q85" i="14" s="1"/>
  <c r="AF73" i="14"/>
  <c r="Q55" i="14"/>
  <c r="S56" i="14"/>
  <c r="J171" i="14"/>
  <c r="J172" i="14" s="1"/>
  <c r="J168" i="14" s="1"/>
  <c r="M168" i="14" s="1"/>
  <c r="P168" i="14" s="1"/>
  <c r="S170" i="14" s="1"/>
  <c r="H171" i="14"/>
  <c r="H172" i="14" s="1"/>
  <c r="J166" i="14" s="1"/>
  <c r="M166" i="14" s="1"/>
  <c r="P170" i="14" s="1"/>
  <c r="Z54" i="14"/>
  <c r="AF54" i="14" s="1"/>
  <c r="AG48" i="14" s="1"/>
  <c r="AB55" i="14"/>
  <c r="AF131" i="14"/>
  <c r="AF76" i="14"/>
  <c r="D83" i="14"/>
  <c r="G83" i="14" s="1"/>
  <c r="J85" i="14" s="1"/>
  <c r="AF145" i="14"/>
  <c r="Z97" i="14" s="1"/>
  <c r="K171" i="14"/>
  <c r="K172" i="14" s="1"/>
  <c r="M165" i="14" s="1"/>
  <c r="P165" i="14" s="1"/>
  <c r="S165" i="14" s="1"/>
  <c r="T170" i="14" s="1"/>
  <c r="Y56" i="14"/>
  <c r="W52" i="14"/>
  <c r="AF46" i="14"/>
  <c r="AF159" i="14"/>
  <c r="AG64" i="14"/>
  <c r="R8" i="14" s="1"/>
  <c r="AC8" i="14"/>
  <c r="D141" i="14"/>
  <c r="B138" i="14"/>
  <c r="S141" i="14"/>
  <c r="Q140" i="14"/>
  <c r="G55" i="14"/>
  <c r="AF55" i="14" s="1"/>
  <c r="AG49" i="14" s="1"/>
  <c r="E52" i="14"/>
  <c r="AF52" i="14" s="1"/>
  <c r="AG46" i="14" s="1"/>
  <c r="AG149" i="14"/>
  <c r="R93" i="14" s="1"/>
  <c r="AC93" i="14"/>
  <c r="AG66" i="14"/>
  <c r="R12" i="14" s="1"/>
  <c r="AC12" i="14"/>
  <c r="AG67" i="14"/>
  <c r="R14" i="14" s="1"/>
  <c r="AC14" i="14"/>
  <c r="K53" i="14"/>
  <c r="M55" i="14"/>
  <c r="D56" i="14"/>
  <c r="AF56" i="14" s="1"/>
  <c r="AG50" i="14" s="1"/>
  <c r="B53" i="14"/>
  <c r="M140" i="14"/>
  <c r="K138" i="14"/>
  <c r="P54" i="14"/>
  <c r="N52" i="14"/>
  <c r="AG150" i="14"/>
  <c r="R95" i="14" s="1"/>
  <c r="AC95" i="14"/>
  <c r="M171" i="14"/>
  <c r="M172" i="14" s="1"/>
  <c r="M167" i="14" s="1"/>
  <c r="P167" i="14" s="1"/>
  <c r="Q170" i="14" s="1"/>
  <c r="AG152" i="14"/>
  <c r="R99" i="14" s="1"/>
  <c r="AC99" i="14"/>
  <c r="W137" i="14"/>
  <c r="Y141" i="14"/>
  <c r="T53" i="14"/>
  <c r="V54" i="14"/>
  <c r="P139" i="14"/>
  <c r="N137" i="14"/>
  <c r="AF47" i="14"/>
  <c r="AF76" i="13"/>
  <c r="D83" i="13"/>
  <c r="G83" i="13" s="1"/>
  <c r="J85" i="13" s="1"/>
  <c r="AG152" i="13"/>
  <c r="R99" i="13" s="1"/>
  <c r="AC99" i="13"/>
  <c r="AC52" i="13"/>
  <c r="AE53" i="13"/>
  <c r="W137" i="13"/>
  <c r="Y141" i="13"/>
  <c r="M55" i="13"/>
  <c r="K53" i="13"/>
  <c r="H139" i="13"/>
  <c r="J141" i="13"/>
  <c r="P139" i="13"/>
  <c r="N137" i="13"/>
  <c r="G140" i="13"/>
  <c r="E137" i="13"/>
  <c r="AF137" i="13" s="1"/>
  <c r="AG131" i="13" s="1"/>
  <c r="D165" i="13"/>
  <c r="G165" i="13" s="1"/>
  <c r="J165" i="13" s="1"/>
  <c r="K170" i="13" s="1"/>
  <c r="M171" i="13" s="1"/>
  <c r="M172" i="13" s="1"/>
  <c r="M167" i="13" s="1"/>
  <c r="P167" i="13" s="1"/>
  <c r="Q170" i="13" s="1"/>
  <c r="AF158" i="13"/>
  <c r="Q55" i="13"/>
  <c r="S56" i="13"/>
  <c r="D168" i="13"/>
  <c r="G168" i="13" s="1"/>
  <c r="J170" i="13" s="1"/>
  <c r="AF161" i="13"/>
  <c r="AF145" i="13"/>
  <c r="Z97" i="13" s="1"/>
  <c r="G55" i="13"/>
  <c r="AF55" i="13" s="1"/>
  <c r="AG49" i="13" s="1"/>
  <c r="E52" i="13"/>
  <c r="AF52" i="13" s="1"/>
  <c r="AG46" i="13" s="1"/>
  <c r="AG67" i="13"/>
  <c r="R14" i="13" s="1"/>
  <c r="AC14" i="13"/>
  <c r="AF54" i="13"/>
  <c r="AG48" i="13" s="1"/>
  <c r="AG66" i="13"/>
  <c r="R12" i="13" s="1"/>
  <c r="AC12" i="13"/>
  <c r="AG151" i="13"/>
  <c r="R97" i="13" s="1"/>
  <c r="AC97" i="13"/>
  <c r="AC137" i="13"/>
  <c r="AE138" i="13"/>
  <c r="D141" i="13"/>
  <c r="AF141" i="13" s="1"/>
  <c r="AG135" i="13" s="1"/>
  <c r="B138" i="13"/>
  <c r="Z139" i="13"/>
  <c r="AB140" i="13"/>
  <c r="AG149" i="13"/>
  <c r="R93" i="13" s="1"/>
  <c r="AC93" i="13"/>
  <c r="D80" i="13"/>
  <c r="G80" i="13" s="1"/>
  <c r="J80" i="13" s="1"/>
  <c r="K85" i="13" s="1"/>
  <c r="M86" i="13" s="1"/>
  <c r="M87" i="13" s="1"/>
  <c r="M82" i="13" s="1"/>
  <c r="P82" i="13" s="1"/>
  <c r="Q85" i="13" s="1"/>
  <c r="AF73" i="13"/>
  <c r="D56" i="13"/>
  <c r="B53" i="13"/>
  <c r="AF53" i="13" s="1"/>
  <c r="AG47" i="13" s="1"/>
  <c r="S141" i="13"/>
  <c r="Q140" i="13"/>
  <c r="AG64" i="13"/>
  <c r="R8" i="13" s="1"/>
  <c r="AC8" i="13"/>
  <c r="D95" i="20" l="1"/>
  <c r="D96" i="20" s="1"/>
  <c r="D97" i="20" s="1"/>
  <c r="D98" i="20" s="1"/>
  <c r="D99" i="20" s="1"/>
  <c r="D100" i="20" s="1"/>
  <c r="D101" i="20" s="1"/>
  <c r="D102" i="20" s="1"/>
  <c r="D103" i="20" s="1"/>
  <c r="D104" i="20" s="1"/>
  <c r="D105" i="20" s="1"/>
  <c r="D106" i="20" s="1"/>
  <c r="D107" i="20" s="1"/>
  <c r="D108" i="20" s="1"/>
  <c r="D109" i="20" s="1"/>
  <c r="D110" i="20" s="1"/>
  <c r="D111" i="20" s="1"/>
  <c r="D112" i="20" s="1"/>
  <c r="D113" i="20" s="1"/>
  <c r="D114" i="20" s="1"/>
  <c r="D115" i="20" s="1"/>
  <c r="D116" i="20" s="1"/>
  <c r="D117" i="20" s="1"/>
  <c r="D118" i="20" s="1"/>
  <c r="D119" i="20" s="1"/>
  <c r="D120" i="20" s="1"/>
  <c r="D121" i="20" s="1"/>
  <c r="D122" i="20" s="1"/>
  <c r="D123" i="20" s="1"/>
  <c r="D124" i="20" s="1"/>
  <c r="D125" i="20" s="1"/>
  <c r="D126" i="20" s="1"/>
  <c r="D127" i="20" s="1"/>
  <c r="D128" i="20" s="1"/>
  <c r="D129" i="20" s="1"/>
  <c r="D130" i="20" s="1"/>
  <c r="D131" i="20" s="1"/>
  <c r="C96" i="20"/>
  <c r="C97" i="20" s="1"/>
  <c r="C98" i="20" s="1"/>
  <c r="C99" i="20" s="1"/>
  <c r="C100" i="20" s="1"/>
  <c r="C101" i="20" s="1"/>
  <c r="C102" i="20" s="1"/>
  <c r="C103" i="20" s="1"/>
  <c r="C104" i="20" s="1"/>
  <c r="C105" i="20" s="1"/>
  <c r="C106" i="20" s="1"/>
  <c r="C107" i="20" s="1"/>
  <c r="C108" i="20" s="1"/>
  <c r="C109" i="20" s="1"/>
  <c r="C110" i="20" s="1"/>
  <c r="C111" i="20" s="1"/>
  <c r="C112" i="20" s="1"/>
  <c r="C113" i="20" s="1"/>
  <c r="C114" i="20" s="1"/>
  <c r="C115" i="20" s="1"/>
  <c r="C116" i="20" s="1"/>
  <c r="C117" i="20" s="1"/>
  <c r="C118" i="20" s="1"/>
  <c r="C119" i="20" s="1"/>
  <c r="C120" i="20" s="1"/>
  <c r="C121" i="20" s="1"/>
  <c r="C122" i="20" s="1"/>
  <c r="C123" i="20" s="1"/>
  <c r="C124" i="20" s="1"/>
  <c r="C125" i="20" s="1"/>
  <c r="C126" i="20" s="1"/>
  <c r="C127" i="20" s="1"/>
  <c r="C128" i="20" s="1"/>
  <c r="C129" i="20" s="1"/>
  <c r="C130" i="20" s="1"/>
  <c r="C131" i="20" s="1"/>
  <c r="D322" i="20"/>
  <c r="D323" i="20" s="1"/>
  <c r="D324" i="20" s="1"/>
  <c r="D325" i="20" s="1"/>
  <c r="D326" i="20" s="1"/>
  <c r="D327" i="20" s="1"/>
  <c r="D328" i="20" s="1"/>
  <c r="D329" i="20" s="1"/>
  <c r="D330" i="20" s="1"/>
  <c r="D331" i="20" s="1"/>
  <c r="D332" i="20" s="1"/>
  <c r="D333" i="20" s="1"/>
  <c r="D334" i="20" s="1"/>
  <c r="D335" i="20" s="1"/>
  <c r="D336" i="20" s="1"/>
  <c r="D337" i="20" s="1"/>
  <c r="D338" i="20" s="1"/>
  <c r="D339" i="20" s="1"/>
  <c r="D340" i="20" s="1"/>
  <c r="D341" i="20" s="1"/>
  <c r="D342" i="20" s="1"/>
  <c r="C323" i="20"/>
  <c r="C324" i="20" s="1"/>
  <c r="C325" i="20" s="1"/>
  <c r="C326" i="20" s="1"/>
  <c r="C327" i="20" s="1"/>
  <c r="C328" i="20" s="1"/>
  <c r="C329" i="20" s="1"/>
  <c r="C330" i="20" s="1"/>
  <c r="C331" i="20" s="1"/>
  <c r="C332" i="20" s="1"/>
  <c r="C333" i="20" s="1"/>
  <c r="C334" i="20" s="1"/>
  <c r="C335" i="20" s="1"/>
  <c r="C336" i="20" s="1"/>
  <c r="C337" i="20" s="1"/>
  <c r="C338" i="20" s="1"/>
  <c r="C339" i="20" s="1"/>
  <c r="C340" i="20" s="1"/>
  <c r="C341" i="20" s="1"/>
  <c r="C342" i="20" s="1"/>
  <c r="C175" i="20"/>
  <c r="C176" i="20" s="1"/>
  <c r="D174" i="20"/>
  <c r="D175" i="20" s="1"/>
  <c r="D379" i="20"/>
  <c r="D380" i="20" s="1"/>
  <c r="D381" i="20" s="1"/>
  <c r="D382" i="20" s="1"/>
  <c r="D383" i="20" s="1"/>
  <c r="D384" i="20" s="1"/>
  <c r="D385" i="20" s="1"/>
  <c r="D386" i="20" s="1"/>
  <c r="D387" i="20" s="1"/>
  <c r="D388" i="20" s="1"/>
  <c r="D389" i="20" s="1"/>
  <c r="D390" i="20" s="1"/>
  <c r="D391" i="20" s="1"/>
  <c r="C380" i="20"/>
  <c r="C381" i="20" s="1"/>
  <c r="C382" i="20" s="1"/>
  <c r="C383" i="20" s="1"/>
  <c r="C384" i="20" s="1"/>
  <c r="C385" i="20" s="1"/>
  <c r="C386" i="20" s="1"/>
  <c r="C387" i="20" s="1"/>
  <c r="C388" i="20" s="1"/>
  <c r="C389" i="20" s="1"/>
  <c r="C390" i="20" s="1"/>
  <c r="C391" i="20" s="1"/>
  <c r="D264" i="20"/>
  <c r="D265" i="20" s="1"/>
  <c r="D266" i="20" s="1"/>
  <c r="D267" i="20" s="1"/>
  <c r="D268" i="20" s="1"/>
  <c r="D269" i="20" s="1"/>
  <c r="D270" i="20" s="1"/>
  <c r="D271" i="20" s="1"/>
  <c r="D272" i="20" s="1"/>
  <c r="D273" i="20" s="1"/>
  <c r="D274" i="20" s="1"/>
  <c r="D275" i="20" s="1"/>
  <c r="D276" i="20" s="1"/>
  <c r="D277" i="20" s="1"/>
  <c r="D278" i="20" s="1"/>
  <c r="D279" i="20" s="1"/>
  <c r="D280" i="20" s="1"/>
  <c r="D281" i="20" s="1"/>
  <c r="D282" i="20" s="1"/>
  <c r="D283" i="20" s="1"/>
  <c r="C265" i="20"/>
  <c r="C266" i="20" s="1"/>
  <c r="C267" i="20" s="1"/>
  <c r="C268" i="20" s="1"/>
  <c r="C269" i="20" s="1"/>
  <c r="C270" i="20" s="1"/>
  <c r="C271" i="20" s="1"/>
  <c r="C272" i="20" s="1"/>
  <c r="C273" i="20" s="1"/>
  <c r="C274" i="20" s="1"/>
  <c r="C275" i="20" s="1"/>
  <c r="C276" i="20" s="1"/>
  <c r="C277" i="20" s="1"/>
  <c r="C278" i="20" s="1"/>
  <c r="C279" i="20" s="1"/>
  <c r="C280" i="20" s="1"/>
  <c r="C281" i="20" s="1"/>
  <c r="C282" i="20" s="1"/>
  <c r="C283" i="20" s="1"/>
  <c r="Y86" i="18"/>
  <c r="Y87" i="18" s="1"/>
  <c r="Y83" i="18" s="1"/>
  <c r="AB83" i="18" s="1"/>
  <c r="AE83" i="18" s="1"/>
  <c r="AU83" i="18" s="1"/>
  <c r="AX11" i="18" s="1"/>
  <c r="C229" i="18" s="1"/>
  <c r="D229" i="18" s="1"/>
  <c r="G231" i="18" s="1"/>
  <c r="Z171" i="18"/>
  <c r="Z172" i="18" s="1"/>
  <c r="AB166" i="18" s="1"/>
  <c r="AE166" i="18" s="1"/>
  <c r="AU166" i="18" s="1"/>
  <c r="AX8" i="18" s="1"/>
  <c r="AY8" i="18" s="1"/>
  <c r="AB171" i="18"/>
  <c r="AB172" i="18" s="1"/>
  <c r="AB167" i="18" s="1"/>
  <c r="AE167" i="18" s="1"/>
  <c r="AU167" i="18" s="1"/>
  <c r="AX9" i="18" s="1"/>
  <c r="X230" i="18" s="1"/>
  <c r="Y231" i="18" s="1"/>
  <c r="V86" i="18"/>
  <c r="V87" i="18" s="1"/>
  <c r="V81" i="18" s="1"/>
  <c r="Y81" i="18" s="1"/>
  <c r="Z85" i="18" s="1"/>
  <c r="T86" i="18"/>
  <c r="T87" i="18" s="1"/>
  <c r="V80" i="18" s="1"/>
  <c r="Y80" i="18" s="1"/>
  <c r="AB80" i="18" s="1"/>
  <c r="AE85" i="18" s="1"/>
  <c r="AC171" i="18"/>
  <c r="AC172" i="18" s="1"/>
  <c r="AE164" i="18" s="1"/>
  <c r="AU164" i="18" s="1"/>
  <c r="AX4" i="18" s="1"/>
  <c r="C228" i="18" s="1"/>
  <c r="D228" i="18" s="1"/>
  <c r="E231" i="18" s="1"/>
  <c r="AE171" i="18"/>
  <c r="AE172" i="18" s="1"/>
  <c r="AE165" i="18" s="1"/>
  <c r="AU165" i="18" s="1"/>
  <c r="AX5" i="18" s="1"/>
  <c r="X228" i="18" s="1"/>
  <c r="Y228" i="18" s="1"/>
  <c r="Z231" i="18" s="1"/>
  <c r="W86" i="18"/>
  <c r="W87" i="18" s="1"/>
  <c r="Y79" i="18" s="1"/>
  <c r="AB79" i="18" s="1"/>
  <c r="AC85" i="18" s="1"/>
  <c r="Q86" i="15"/>
  <c r="Q87" i="15" s="1"/>
  <c r="S82" i="15" s="1"/>
  <c r="V82" i="15" s="1"/>
  <c r="Y82" i="15" s="1"/>
  <c r="AB85" i="15" s="1"/>
  <c r="S86" i="15"/>
  <c r="S87" i="15" s="1"/>
  <c r="S83" i="15" s="1"/>
  <c r="V83" i="15" s="1"/>
  <c r="Y85" i="15" s="1"/>
  <c r="J171" i="15"/>
  <c r="J172" i="15" s="1"/>
  <c r="J168" i="15" s="1"/>
  <c r="M168" i="15" s="1"/>
  <c r="P168" i="15" s="1"/>
  <c r="S170" i="15" s="1"/>
  <c r="H171" i="15"/>
  <c r="H172" i="15" s="1"/>
  <c r="J166" i="15" s="1"/>
  <c r="M166" i="15" s="1"/>
  <c r="P170" i="15" s="1"/>
  <c r="P86" i="15"/>
  <c r="P87" i="15" s="1"/>
  <c r="P81" i="15" s="1"/>
  <c r="S81" i="15" s="1"/>
  <c r="V85" i="15" s="1"/>
  <c r="AF140" i="15"/>
  <c r="AG134" i="15" s="1"/>
  <c r="AF52" i="15"/>
  <c r="AG46" i="15" s="1"/>
  <c r="S141" i="15"/>
  <c r="Q140" i="15"/>
  <c r="AG151" i="15"/>
  <c r="R97" i="15" s="1"/>
  <c r="AC97" i="15"/>
  <c r="AF55" i="15"/>
  <c r="AG49" i="15" s="1"/>
  <c r="H139" i="15"/>
  <c r="AF139" i="15" s="1"/>
  <c r="AG133" i="15" s="1"/>
  <c r="J141" i="15"/>
  <c r="AF141" i="15" s="1"/>
  <c r="AG135" i="15" s="1"/>
  <c r="AG150" i="15"/>
  <c r="R95" i="15" s="1"/>
  <c r="AC95" i="15"/>
  <c r="AF53" i="15"/>
  <c r="AG47" i="15" s="1"/>
  <c r="AG153" i="15"/>
  <c r="R101" i="15" s="1"/>
  <c r="AC101" i="15"/>
  <c r="T53" i="15"/>
  <c r="V54" i="15"/>
  <c r="AF54" i="15" s="1"/>
  <c r="AG48" i="15" s="1"/>
  <c r="K171" i="15"/>
  <c r="K172" i="15" s="1"/>
  <c r="M165" i="15" s="1"/>
  <c r="P165" i="15" s="1"/>
  <c r="S165" i="15" s="1"/>
  <c r="T170" i="15" s="1"/>
  <c r="AF137" i="15"/>
  <c r="AG131" i="15" s="1"/>
  <c r="M171" i="15"/>
  <c r="M172" i="15" s="1"/>
  <c r="M167" i="15" s="1"/>
  <c r="P167" i="15" s="1"/>
  <c r="Q170" i="15" s="1"/>
  <c r="S171" i="14"/>
  <c r="S172" i="14" s="1"/>
  <c r="S168" i="14" s="1"/>
  <c r="V168" i="14" s="1"/>
  <c r="Y170" i="14" s="1"/>
  <c r="P171" i="14"/>
  <c r="P172" i="14" s="1"/>
  <c r="P166" i="14" s="1"/>
  <c r="S166" i="14" s="1"/>
  <c r="V170" i="14" s="1"/>
  <c r="AF139" i="14"/>
  <c r="AG133" i="14" s="1"/>
  <c r="AF141" i="14"/>
  <c r="AG135" i="14" s="1"/>
  <c r="J86" i="14"/>
  <c r="J87" i="14" s="1"/>
  <c r="J83" i="14" s="1"/>
  <c r="M83" i="14" s="1"/>
  <c r="P83" i="14" s="1"/>
  <c r="S85" i="14" s="1"/>
  <c r="H86" i="14"/>
  <c r="H87" i="14" s="1"/>
  <c r="J81" i="14" s="1"/>
  <c r="M81" i="14" s="1"/>
  <c r="P85" i="14" s="1"/>
  <c r="AF137" i="14"/>
  <c r="AG131" i="14" s="1"/>
  <c r="AC16" i="14"/>
  <c r="AG68" i="14"/>
  <c r="R16" i="14" s="1"/>
  <c r="AF140" i="14"/>
  <c r="AG134" i="14" s="1"/>
  <c r="AG153" i="14"/>
  <c r="R101" i="14" s="1"/>
  <c r="AC101" i="14"/>
  <c r="Q171" i="14"/>
  <c r="Q172" i="14" s="1"/>
  <c r="S167" i="14" s="1"/>
  <c r="V167" i="14" s="1"/>
  <c r="Y167" i="14" s="1"/>
  <c r="AB170" i="14" s="1"/>
  <c r="AC10" i="14"/>
  <c r="AG65" i="14"/>
  <c r="R10" i="14" s="1"/>
  <c r="AF53" i="14"/>
  <c r="AG47" i="14" s="1"/>
  <c r="AG151" i="14"/>
  <c r="R97" i="14" s="1"/>
  <c r="AC97" i="14"/>
  <c r="K86" i="14"/>
  <c r="K87" i="14" s="1"/>
  <c r="M80" i="14" s="1"/>
  <c r="P80" i="14" s="1"/>
  <c r="S80" i="14" s="1"/>
  <c r="T85" i="14" s="1"/>
  <c r="N171" i="14"/>
  <c r="N172" i="14" s="1"/>
  <c r="P164" i="14" s="1"/>
  <c r="S164" i="14" s="1"/>
  <c r="V164" i="14" s="1"/>
  <c r="W170" i="14" s="1"/>
  <c r="AF138" i="14"/>
  <c r="AG132" i="14" s="1"/>
  <c r="K86" i="13"/>
  <c r="K87" i="13" s="1"/>
  <c r="M80" i="13" s="1"/>
  <c r="P80" i="13" s="1"/>
  <c r="S80" i="13" s="1"/>
  <c r="T85" i="13" s="1"/>
  <c r="AF139" i="13"/>
  <c r="AG133" i="13" s="1"/>
  <c r="AG150" i="13"/>
  <c r="R95" i="13" s="1"/>
  <c r="AC95" i="13"/>
  <c r="J86" i="13"/>
  <c r="J87" i="13" s="1"/>
  <c r="J83" i="13" s="1"/>
  <c r="M83" i="13" s="1"/>
  <c r="P83" i="13" s="1"/>
  <c r="S85" i="13" s="1"/>
  <c r="H86" i="13"/>
  <c r="H87" i="13" s="1"/>
  <c r="J81" i="13" s="1"/>
  <c r="M81" i="13" s="1"/>
  <c r="P85" i="13" s="1"/>
  <c r="K171" i="13"/>
  <c r="K172" i="13" s="1"/>
  <c r="M165" i="13" s="1"/>
  <c r="P165" i="13" s="1"/>
  <c r="S165" i="13" s="1"/>
  <c r="T170" i="13" s="1"/>
  <c r="AG68" i="13"/>
  <c r="R16" i="13" s="1"/>
  <c r="AC16" i="13"/>
  <c r="AF56" i="13"/>
  <c r="AG50" i="13" s="1"/>
  <c r="AF140" i="13"/>
  <c r="AG134" i="13" s="1"/>
  <c r="AF138" i="13"/>
  <c r="AG132" i="13" s="1"/>
  <c r="AG153" i="13"/>
  <c r="R101" i="13" s="1"/>
  <c r="AC101" i="13"/>
  <c r="J171" i="13"/>
  <c r="J172" i="13" s="1"/>
  <c r="J168" i="13" s="1"/>
  <c r="M168" i="13" s="1"/>
  <c r="P168" i="13" s="1"/>
  <c r="S170" i="13" s="1"/>
  <c r="H171" i="13"/>
  <c r="H172" i="13" s="1"/>
  <c r="J166" i="13" s="1"/>
  <c r="M166" i="13" s="1"/>
  <c r="P170" i="13" s="1"/>
  <c r="AG65" i="13"/>
  <c r="R10" i="13" s="1"/>
  <c r="AC10" i="13"/>
  <c r="D176" i="20" l="1"/>
  <c r="D177" i="20" s="1"/>
  <c r="D178" i="20" s="1"/>
  <c r="D179" i="20" s="1"/>
  <c r="D180" i="20" s="1"/>
  <c r="D181" i="20" s="1"/>
  <c r="D182" i="20" s="1"/>
  <c r="D183" i="20" s="1"/>
  <c r="D184" i="20" s="1"/>
  <c r="D185" i="20" s="1"/>
  <c r="D186" i="20" s="1"/>
  <c r="D187" i="20" s="1"/>
  <c r="D188" i="20" s="1"/>
  <c r="D189" i="20" s="1"/>
  <c r="D190" i="20" s="1"/>
  <c r="D191" i="20" s="1"/>
  <c r="D192" i="20" s="1"/>
  <c r="D193" i="20" s="1"/>
  <c r="D194" i="20" s="1"/>
  <c r="D195" i="20" s="1"/>
  <c r="D196" i="20" s="1"/>
  <c r="D197" i="20" s="1"/>
  <c r="D198" i="20" s="1"/>
  <c r="D199" i="20" s="1"/>
  <c r="D200" i="20" s="1"/>
  <c r="D201" i="20" s="1"/>
  <c r="D202" i="20" s="1"/>
  <c r="D203" i="20" s="1"/>
  <c r="D204" i="20" s="1"/>
  <c r="D205" i="20" s="1"/>
  <c r="D206" i="20" s="1"/>
  <c r="D207" i="20" s="1"/>
  <c r="D208" i="20" s="1"/>
  <c r="D209" i="20" s="1"/>
  <c r="D210" i="20" s="1"/>
  <c r="D211" i="20" s="1"/>
  <c r="D212" i="20" s="1"/>
  <c r="D213" i="20" s="1"/>
  <c r="C177" i="20"/>
  <c r="C178" i="20" s="1"/>
  <c r="C179" i="20" s="1"/>
  <c r="C180" i="20" s="1"/>
  <c r="C181" i="20" s="1"/>
  <c r="C182" i="20" s="1"/>
  <c r="C183" i="20" s="1"/>
  <c r="C184" i="20" s="1"/>
  <c r="C185" i="20" s="1"/>
  <c r="C186" i="20" s="1"/>
  <c r="C187" i="20" s="1"/>
  <c r="C188" i="20" s="1"/>
  <c r="C189" i="20" s="1"/>
  <c r="C190" i="20" s="1"/>
  <c r="C191" i="20" s="1"/>
  <c r="C192" i="20" s="1"/>
  <c r="C193" i="20" s="1"/>
  <c r="C194" i="20" s="1"/>
  <c r="C195" i="20" s="1"/>
  <c r="C196" i="20" s="1"/>
  <c r="C197" i="20" s="1"/>
  <c r="C198" i="20" s="1"/>
  <c r="C199" i="20" s="1"/>
  <c r="C200" i="20" s="1"/>
  <c r="C201" i="20" s="1"/>
  <c r="C202" i="20" s="1"/>
  <c r="C203" i="20" s="1"/>
  <c r="C204" i="20" s="1"/>
  <c r="C205" i="20" s="1"/>
  <c r="C206" i="20" s="1"/>
  <c r="C207" i="20" s="1"/>
  <c r="C208" i="20" s="1"/>
  <c r="C209" i="20" s="1"/>
  <c r="C210" i="20" s="1"/>
  <c r="C211" i="20" s="1"/>
  <c r="C212" i="20" s="1"/>
  <c r="C213" i="20" s="1"/>
  <c r="G232" i="18"/>
  <c r="G233" i="18" s="1"/>
  <c r="G229" i="18" s="1"/>
  <c r="J229" i="18" s="1"/>
  <c r="AU228" i="18" s="1"/>
  <c r="AY11" i="18" s="1"/>
  <c r="AC86" i="18"/>
  <c r="AC87" i="18" s="1"/>
  <c r="AE79" i="18" s="1"/>
  <c r="AU79" i="18" s="1"/>
  <c r="AX3" i="18" s="1"/>
  <c r="C227" i="18" s="1"/>
  <c r="B231" i="18" s="1"/>
  <c r="Z86" i="18"/>
  <c r="Z87" i="18" s="1"/>
  <c r="AB81" i="18" s="1"/>
  <c r="AE81" i="18" s="1"/>
  <c r="AU81" i="18" s="1"/>
  <c r="AX7" i="18" s="1"/>
  <c r="X227" i="18" s="1"/>
  <c r="W231" i="18" s="1"/>
  <c r="AB86" i="18"/>
  <c r="AB87" i="18" s="1"/>
  <c r="AB82" i="18" s="1"/>
  <c r="AE82" i="18" s="1"/>
  <c r="AU82" i="18" s="1"/>
  <c r="AX10" i="18" s="1"/>
  <c r="AY10" i="18" s="1"/>
  <c r="E232" i="18"/>
  <c r="E233" i="18" s="1"/>
  <c r="G228" i="18" s="1"/>
  <c r="J231" i="18" s="1"/>
  <c r="AE86" i="18"/>
  <c r="AE87" i="18" s="1"/>
  <c r="AE80" i="18" s="1"/>
  <c r="AU80" i="18" s="1"/>
  <c r="AX6" i="18" s="1"/>
  <c r="X229" i="18" s="1"/>
  <c r="Y229" i="18" s="1"/>
  <c r="AB231" i="18" s="1"/>
  <c r="S171" i="15"/>
  <c r="S172" i="15" s="1"/>
  <c r="S168" i="15" s="1"/>
  <c r="V168" i="15" s="1"/>
  <c r="Y170" i="15" s="1"/>
  <c r="Y86" i="15"/>
  <c r="Y87" i="15" s="1"/>
  <c r="Y83" i="15" s="1"/>
  <c r="AB83" i="15" s="1"/>
  <c r="AE83" i="15" s="1"/>
  <c r="AU83" i="15" s="1"/>
  <c r="AX11" i="15" s="1"/>
  <c r="C229" i="15" s="1"/>
  <c r="D229" i="15" s="1"/>
  <c r="G231" i="15" s="1"/>
  <c r="W86" i="15"/>
  <c r="W87" i="15" s="1"/>
  <c r="Y79" i="15" s="1"/>
  <c r="AB79" i="15" s="1"/>
  <c r="AC85" i="15" s="1"/>
  <c r="Q171" i="15"/>
  <c r="Q172" i="15" s="1"/>
  <c r="S167" i="15" s="1"/>
  <c r="V167" i="15" s="1"/>
  <c r="Y167" i="15" s="1"/>
  <c r="AB170" i="15" s="1"/>
  <c r="V86" i="15"/>
  <c r="V87" i="15" s="1"/>
  <c r="V81" i="15" s="1"/>
  <c r="Y81" i="15" s="1"/>
  <c r="Z85" i="15" s="1"/>
  <c r="T86" i="15"/>
  <c r="T87" i="15" s="1"/>
  <c r="V80" i="15" s="1"/>
  <c r="Y80" i="15" s="1"/>
  <c r="AB80" i="15" s="1"/>
  <c r="AE85" i="15" s="1"/>
  <c r="P171" i="15"/>
  <c r="P172" i="15"/>
  <c r="P166" i="15" s="1"/>
  <c r="S166" i="15" s="1"/>
  <c r="V170" i="15" s="1"/>
  <c r="N171" i="15"/>
  <c r="N172" i="15" s="1"/>
  <c r="P164" i="15" s="1"/>
  <c r="S164" i="15" s="1"/>
  <c r="V164" i="15" s="1"/>
  <c r="W170" i="15" s="1"/>
  <c r="V171" i="14"/>
  <c r="V172" i="14" s="1"/>
  <c r="V166" i="14" s="1"/>
  <c r="Y166" i="14" s="1"/>
  <c r="Z170" i="14" s="1"/>
  <c r="T171" i="14"/>
  <c r="T172" i="14" s="1"/>
  <c r="V165" i="14" s="1"/>
  <c r="Y165" i="14" s="1"/>
  <c r="AB165" i="14" s="1"/>
  <c r="AE170" i="14" s="1"/>
  <c r="Y171" i="14"/>
  <c r="Y172" i="14" s="1"/>
  <c r="Y168" i="14" s="1"/>
  <c r="AB168" i="14" s="1"/>
  <c r="AE168" i="14" s="1"/>
  <c r="AU168" i="14" s="1"/>
  <c r="AX12" i="14" s="1"/>
  <c r="AY12" i="14" s="1"/>
  <c r="S86" i="14"/>
  <c r="S87" i="14" s="1"/>
  <c r="S83" i="14" s="1"/>
  <c r="V83" i="14" s="1"/>
  <c r="Y85" i="14" s="1"/>
  <c r="Q86" i="14"/>
  <c r="Q87" i="14" s="1"/>
  <c r="S82" i="14" s="1"/>
  <c r="V82" i="14" s="1"/>
  <c r="Y82" i="14" s="1"/>
  <c r="AB85" i="14" s="1"/>
  <c r="W171" i="14"/>
  <c r="W172" i="14" s="1"/>
  <c r="Y164" i="14" s="1"/>
  <c r="AB164" i="14" s="1"/>
  <c r="AC170" i="14" s="1"/>
  <c r="P86" i="14"/>
  <c r="P87" i="14" s="1"/>
  <c r="P81" i="14" s="1"/>
  <c r="S81" i="14" s="1"/>
  <c r="V85" i="14" s="1"/>
  <c r="T86" i="14" s="1"/>
  <c r="T87" i="14" s="1"/>
  <c r="V80" i="14" s="1"/>
  <c r="Y80" i="14" s="1"/>
  <c r="AB80" i="14" s="1"/>
  <c r="AE85" i="14" s="1"/>
  <c r="N86" i="14"/>
  <c r="N87" i="14" s="1"/>
  <c r="P79" i="14" s="1"/>
  <c r="S79" i="14" s="1"/>
  <c r="V79" i="14" s="1"/>
  <c r="W85" i="14" s="1"/>
  <c r="S171" i="13"/>
  <c r="S172" i="13" s="1"/>
  <c r="S168" i="13" s="1"/>
  <c r="V168" i="13" s="1"/>
  <c r="Y170" i="13" s="1"/>
  <c r="Q171" i="13"/>
  <c r="Q172" i="13" s="1"/>
  <c r="S167" i="13" s="1"/>
  <c r="V167" i="13" s="1"/>
  <c r="Y167" i="13" s="1"/>
  <c r="AB170" i="13" s="1"/>
  <c r="S86" i="13"/>
  <c r="S87" i="13" s="1"/>
  <c r="S83" i="13" s="1"/>
  <c r="V83" i="13" s="1"/>
  <c r="Y85" i="13" s="1"/>
  <c r="Q86" i="13"/>
  <c r="Q87" i="13" s="1"/>
  <c r="S82" i="13" s="1"/>
  <c r="V82" i="13" s="1"/>
  <c r="Y82" i="13" s="1"/>
  <c r="AB85" i="13" s="1"/>
  <c r="P171" i="13"/>
  <c r="P172" i="13" s="1"/>
  <c r="P166" i="13" s="1"/>
  <c r="S166" i="13" s="1"/>
  <c r="V170" i="13" s="1"/>
  <c r="N171" i="13"/>
  <c r="N172" i="13" s="1"/>
  <c r="P164" i="13" s="1"/>
  <c r="S164" i="13" s="1"/>
  <c r="V164" i="13" s="1"/>
  <c r="W170" i="13" s="1"/>
  <c r="P86" i="13"/>
  <c r="P87" i="13" s="1"/>
  <c r="P81" i="13" s="1"/>
  <c r="S81" i="13" s="1"/>
  <c r="V85" i="13" s="1"/>
  <c r="N86" i="13"/>
  <c r="N87" i="13" s="1"/>
  <c r="P79" i="13" s="1"/>
  <c r="S79" i="13" s="1"/>
  <c r="V79" i="13" s="1"/>
  <c r="W85" i="13" s="1"/>
  <c r="W232" i="18" l="1"/>
  <c r="W233" i="18" s="1"/>
  <c r="Y227" i="18" s="1"/>
  <c r="AB227" i="18" s="1"/>
  <c r="AC231" i="18" s="1"/>
  <c r="Y232" i="18"/>
  <c r="Y233" i="18" s="1"/>
  <c r="Y230" i="18" s="1"/>
  <c r="AB230" i="18" s="1"/>
  <c r="AE230" i="18" s="1"/>
  <c r="AU233" i="18" s="1"/>
  <c r="AY9" i="18" s="1"/>
  <c r="AB232" i="18"/>
  <c r="AB233" i="18" s="1"/>
  <c r="AB229" i="18" s="1"/>
  <c r="AE229" i="18" s="1"/>
  <c r="AU232" i="18" s="1"/>
  <c r="AY6" i="18" s="1"/>
  <c r="Z232" i="18"/>
  <c r="Z233" i="18" s="1"/>
  <c r="AB228" i="18" s="1"/>
  <c r="AE231" i="18" s="1"/>
  <c r="B232" i="18"/>
  <c r="B233" i="18" s="1"/>
  <c r="D227" i="18" s="1"/>
  <c r="G227" i="18" s="1"/>
  <c r="H231" i="18" s="1"/>
  <c r="D232" i="18"/>
  <c r="D233" i="18" s="1"/>
  <c r="D230" i="18" s="1"/>
  <c r="G230" i="18" s="1"/>
  <c r="J230" i="18" s="1"/>
  <c r="AU229" i="18" s="1"/>
  <c r="AY12" i="18" s="1"/>
  <c r="Y171" i="15"/>
  <c r="Y172" i="15" s="1"/>
  <c r="Y168" i="15" s="1"/>
  <c r="AB168" i="15" s="1"/>
  <c r="AE168" i="15" s="1"/>
  <c r="AU168" i="15" s="1"/>
  <c r="AX12" i="15" s="1"/>
  <c r="AY12" i="15" s="1"/>
  <c r="Z86" i="15"/>
  <c r="Z87" i="15" s="1"/>
  <c r="AB81" i="15" s="1"/>
  <c r="AE81" i="15" s="1"/>
  <c r="AU81" i="15" s="1"/>
  <c r="AX7" i="15" s="1"/>
  <c r="AY7" i="15" s="1"/>
  <c r="AB86" i="15"/>
  <c r="AB87" i="15" s="1"/>
  <c r="AB82" i="15" s="1"/>
  <c r="AE82" i="15" s="1"/>
  <c r="AU82" i="15" s="1"/>
  <c r="AX10" i="15" s="1"/>
  <c r="X229" i="15" s="1"/>
  <c r="Y229" i="15" s="1"/>
  <c r="AB231" i="15" s="1"/>
  <c r="V171" i="15"/>
  <c r="V172" i="15" s="1"/>
  <c r="V166" i="15" s="1"/>
  <c r="Y166" i="15" s="1"/>
  <c r="Z170" i="15" s="1"/>
  <c r="AB171" i="15" s="1"/>
  <c r="AB172" i="15" s="1"/>
  <c r="AB167" i="15" s="1"/>
  <c r="AE167" i="15" s="1"/>
  <c r="AU167" i="15" s="1"/>
  <c r="AX9" i="15" s="1"/>
  <c r="X230" i="15" s="1"/>
  <c r="Y231" i="15" s="1"/>
  <c r="W171" i="15"/>
  <c r="W172" i="15" s="1"/>
  <c r="Y164" i="15" s="1"/>
  <c r="AB164" i="15" s="1"/>
  <c r="AC170" i="15" s="1"/>
  <c r="AC86" i="15"/>
  <c r="AC87" i="15" s="1"/>
  <c r="AE79" i="15" s="1"/>
  <c r="AU79" i="15" s="1"/>
  <c r="AX3" i="15" s="1"/>
  <c r="C227" i="15" s="1"/>
  <c r="B231" i="15" s="1"/>
  <c r="AE86" i="15"/>
  <c r="AE87" i="15" s="1"/>
  <c r="AE80" i="15" s="1"/>
  <c r="AU80" i="15" s="1"/>
  <c r="AX6" i="15" s="1"/>
  <c r="X227" i="15" s="1"/>
  <c r="W231" i="15" s="1"/>
  <c r="T171" i="15"/>
  <c r="T172" i="15" s="1"/>
  <c r="V165" i="15" s="1"/>
  <c r="Y165" i="15" s="1"/>
  <c r="AB165" i="15" s="1"/>
  <c r="AE170" i="15" s="1"/>
  <c r="Z171" i="14"/>
  <c r="Z172" i="14" s="1"/>
  <c r="AB166" i="14" s="1"/>
  <c r="AE166" i="14" s="1"/>
  <c r="AU166" i="14" s="1"/>
  <c r="AX8" i="14" s="1"/>
  <c r="C228" i="14" s="1"/>
  <c r="D228" i="14" s="1"/>
  <c r="E231" i="14" s="1"/>
  <c r="AB171" i="14"/>
  <c r="AB172" i="14" s="1"/>
  <c r="AB167" i="14" s="1"/>
  <c r="AE167" i="14" s="1"/>
  <c r="AU167" i="14" s="1"/>
  <c r="AX9" i="14" s="1"/>
  <c r="X228" i="14" s="1"/>
  <c r="Y228" i="14" s="1"/>
  <c r="Z231" i="14" s="1"/>
  <c r="Y86" i="14"/>
  <c r="Y87" i="14" s="1"/>
  <c r="Y83" i="14" s="1"/>
  <c r="AB83" i="14" s="1"/>
  <c r="AE83" i="14" s="1"/>
  <c r="AU83" i="14" s="1"/>
  <c r="AX11" i="14" s="1"/>
  <c r="X227" i="14" s="1"/>
  <c r="W231" i="14" s="1"/>
  <c r="AE171" i="14"/>
  <c r="AE172" i="14" s="1"/>
  <c r="AE165" i="14" s="1"/>
  <c r="AU165" i="14" s="1"/>
  <c r="AX5" i="14" s="1"/>
  <c r="X230" i="14" s="1"/>
  <c r="Y231" i="14" s="1"/>
  <c r="W86" i="14"/>
  <c r="W87" i="14" s="1"/>
  <c r="Y79" i="14" s="1"/>
  <c r="AB79" i="14" s="1"/>
  <c r="AC85" i="14" s="1"/>
  <c r="AC171" i="14"/>
  <c r="AC172" i="14" s="1"/>
  <c r="AE164" i="14" s="1"/>
  <c r="AU164" i="14" s="1"/>
  <c r="AX4" i="14" s="1"/>
  <c r="C230" i="14" s="1"/>
  <c r="D231" i="14" s="1"/>
  <c r="V86" i="14"/>
  <c r="V87" i="14" s="1"/>
  <c r="V81" i="14" s="1"/>
  <c r="Y81" i="14" s="1"/>
  <c r="Z85" i="14" s="1"/>
  <c r="Y171" i="13"/>
  <c r="Y172" i="13" s="1"/>
  <c r="Y168" i="13" s="1"/>
  <c r="AB168" i="13" s="1"/>
  <c r="AE168" i="13" s="1"/>
  <c r="AU168" i="13" s="1"/>
  <c r="AX12" i="13" s="1"/>
  <c r="C230" i="13" s="1"/>
  <c r="D231" i="13" s="1"/>
  <c r="W86" i="13"/>
  <c r="W87" i="13" s="1"/>
  <c r="Y79" i="13" s="1"/>
  <c r="AB79" i="13" s="1"/>
  <c r="AC85" i="13" s="1"/>
  <c r="W171" i="13"/>
  <c r="W172" i="13" s="1"/>
  <c r="Y164" i="13" s="1"/>
  <c r="AB164" i="13" s="1"/>
  <c r="AC170" i="13" s="1"/>
  <c r="V171" i="13"/>
  <c r="V172" i="13" s="1"/>
  <c r="V166" i="13" s="1"/>
  <c r="Y166" i="13" s="1"/>
  <c r="Z170" i="13" s="1"/>
  <c r="V86" i="13"/>
  <c r="V87" i="13" s="1"/>
  <c r="V81" i="13" s="1"/>
  <c r="Y81" i="13" s="1"/>
  <c r="Z85" i="13" s="1"/>
  <c r="Y86" i="13"/>
  <c r="Y87" i="13" s="1"/>
  <c r="Y83" i="13" s="1"/>
  <c r="AB83" i="13" s="1"/>
  <c r="AE83" i="13" s="1"/>
  <c r="AU83" i="13" s="1"/>
  <c r="AX11" i="13" s="1"/>
  <c r="AY11" i="13" s="1"/>
  <c r="T86" i="13"/>
  <c r="T87" i="13" s="1"/>
  <c r="V80" i="13" s="1"/>
  <c r="Y80" i="13" s="1"/>
  <c r="AB80" i="13" s="1"/>
  <c r="AE85" i="13" s="1"/>
  <c r="T171" i="13"/>
  <c r="T172" i="13" s="1"/>
  <c r="V165" i="13" s="1"/>
  <c r="Y165" i="13" s="1"/>
  <c r="AB165" i="13" s="1"/>
  <c r="AE170" i="13" s="1"/>
  <c r="AC232" i="18" l="1"/>
  <c r="AC233" i="18" s="1"/>
  <c r="AE227" i="18" s="1"/>
  <c r="AU230" i="18" s="1"/>
  <c r="AY7" i="18" s="1"/>
  <c r="H232" i="18"/>
  <c r="H233" i="18" s="1"/>
  <c r="J227" i="18" s="1"/>
  <c r="AU226" i="18" s="1"/>
  <c r="AY3" i="18" s="1"/>
  <c r="J232" i="18"/>
  <c r="J233" i="18" s="1"/>
  <c r="J228" i="18" s="1"/>
  <c r="AU227" i="18" s="1"/>
  <c r="AY4" i="18" s="1"/>
  <c r="AE232" i="18"/>
  <c r="AE233" i="18" s="1"/>
  <c r="AE228" i="18" s="1"/>
  <c r="AU231" i="18" s="1"/>
  <c r="AY5" i="18" s="1"/>
  <c r="AC171" i="15"/>
  <c r="AC172" i="15" s="1"/>
  <c r="AE164" i="15" s="1"/>
  <c r="AU164" i="15" s="1"/>
  <c r="AX4" i="15" s="1"/>
  <c r="C230" i="15" s="1"/>
  <c r="D231" i="15" s="1"/>
  <c r="Y232" i="15"/>
  <c r="Y233" i="15" s="1"/>
  <c r="Y230" i="15" s="1"/>
  <c r="AB230" i="15" s="1"/>
  <c r="AE230" i="15" s="1"/>
  <c r="AU233" i="15" s="1"/>
  <c r="AY9" i="15" s="1"/>
  <c r="W232" i="15"/>
  <c r="W233" i="15" s="1"/>
  <c r="Y227" i="15" s="1"/>
  <c r="AB227" i="15" s="1"/>
  <c r="AC231" i="15" s="1"/>
  <c r="AE171" i="15"/>
  <c r="AE172" i="15" s="1"/>
  <c r="AE165" i="15" s="1"/>
  <c r="AU165" i="15" s="1"/>
  <c r="AX5" i="15" s="1"/>
  <c r="C228" i="15" s="1"/>
  <c r="D228" i="15" s="1"/>
  <c r="E231" i="15" s="1"/>
  <c r="Z171" i="15"/>
  <c r="Z172" i="15" s="1"/>
  <c r="AB166" i="15" s="1"/>
  <c r="AE166" i="15" s="1"/>
  <c r="AU166" i="15" s="1"/>
  <c r="AX8" i="15" s="1"/>
  <c r="X228" i="15" s="1"/>
  <c r="Y228" i="15" s="1"/>
  <c r="Z231" i="15" s="1"/>
  <c r="W232" i="14"/>
  <c r="W233" i="14" s="1"/>
  <c r="Y227" i="14" s="1"/>
  <c r="AB227" i="14" s="1"/>
  <c r="AC231" i="14" s="1"/>
  <c r="Z86" i="14"/>
  <c r="Z87" i="14" s="1"/>
  <c r="AB81" i="14" s="1"/>
  <c r="AE81" i="14" s="1"/>
  <c r="AU81" i="14" s="1"/>
  <c r="AX7" i="14" s="1"/>
  <c r="X229" i="14" s="1"/>
  <c r="Y229" i="14" s="1"/>
  <c r="AB231" i="14" s="1"/>
  <c r="AB86" i="14"/>
  <c r="AB87" i="14" s="1"/>
  <c r="AB82" i="14" s="1"/>
  <c r="AE82" i="14" s="1"/>
  <c r="AU82" i="14" s="1"/>
  <c r="AX10" i="14" s="1"/>
  <c r="AY10" i="14" s="1"/>
  <c r="Y232" i="14"/>
  <c r="Y233" i="14" s="1"/>
  <c r="Y230" i="14" s="1"/>
  <c r="AB230" i="14" s="1"/>
  <c r="AE230" i="14" s="1"/>
  <c r="AU233" i="14" s="1"/>
  <c r="AY5" i="14" s="1"/>
  <c r="AC86" i="14"/>
  <c r="AC87" i="14" s="1"/>
  <c r="AE79" i="14" s="1"/>
  <c r="AU79" i="14" s="1"/>
  <c r="AX3" i="14" s="1"/>
  <c r="C229" i="14" s="1"/>
  <c r="D229" i="14" s="1"/>
  <c r="G231" i="14" s="1"/>
  <c r="AE86" i="14"/>
  <c r="AE87" i="14" s="1"/>
  <c r="AE80" i="14" s="1"/>
  <c r="AU80" i="14" s="1"/>
  <c r="AX6" i="14" s="1"/>
  <c r="C227" i="14" s="1"/>
  <c r="B231" i="14" s="1"/>
  <c r="D232" i="14" s="1"/>
  <c r="D233" i="14" s="1"/>
  <c r="D230" i="14" s="1"/>
  <c r="G230" i="14" s="1"/>
  <c r="H231" i="14" s="1"/>
  <c r="Z86" i="13"/>
  <c r="Z87" i="13" s="1"/>
  <c r="AB81" i="13" s="1"/>
  <c r="AE81" i="13" s="1"/>
  <c r="AU81" i="13" s="1"/>
  <c r="AX7" i="13" s="1"/>
  <c r="X229" i="13" s="1"/>
  <c r="Y229" i="13" s="1"/>
  <c r="AB231" i="13" s="1"/>
  <c r="AB86" i="13"/>
  <c r="AB87" i="13" s="1"/>
  <c r="AB82" i="13" s="1"/>
  <c r="AE82" i="13" s="1"/>
  <c r="AU82" i="13" s="1"/>
  <c r="AX10" i="13" s="1"/>
  <c r="X227" i="13" s="1"/>
  <c r="W231" i="13" s="1"/>
  <c r="AC171" i="13"/>
  <c r="AC172" i="13" s="1"/>
  <c r="AE164" i="13" s="1"/>
  <c r="AU164" i="13" s="1"/>
  <c r="AX4" i="13" s="1"/>
  <c r="C228" i="13" s="1"/>
  <c r="D228" i="13" s="1"/>
  <c r="E231" i="13" s="1"/>
  <c r="AE86" i="13"/>
  <c r="AE87" i="13" s="1"/>
  <c r="AE80" i="13" s="1"/>
  <c r="AU80" i="13" s="1"/>
  <c r="AX6" i="13" s="1"/>
  <c r="C229" i="13" s="1"/>
  <c r="D229" i="13" s="1"/>
  <c r="G231" i="13" s="1"/>
  <c r="AE171" i="13"/>
  <c r="AE172" i="13" s="1"/>
  <c r="AE165" i="13" s="1"/>
  <c r="AU165" i="13" s="1"/>
  <c r="AX5" i="13" s="1"/>
  <c r="X230" i="13" s="1"/>
  <c r="Y231" i="13" s="1"/>
  <c r="AC86" i="13"/>
  <c r="AC87" i="13" s="1"/>
  <c r="AE79" i="13" s="1"/>
  <c r="AU79" i="13" s="1"/>
  <c r="AX3" i="13" s="1"/>
  <c r="C227" i="13" s="1"/>
  <c r="B231" i="13" s="1"/>
  <c r="Z171" i="13"/>
  <c r="Z172" i="13" s="1"/>
  <c r="AB166" i="13" s="1"/>
  <c r="AE166" i="13" s="1"/>
  <c r="AU166" i="13" s="1"/>
  <c r="AX8" i="13" s="1"/>
  <c r="X228" i="13" s="1"/>
  <c r="Y228" i="13" s="1"/>
  <c r="Z231" i="13" s="1"/>
  <c r="AB171" i="13"/>
  <c r="AB172" i="13" s="1"/>
  <c r="AB167" i="13" s="1"/>
  <c r="AE167" i="13" s="1"/>
  <c r="AU167" i="13" s="1"/>
  <c r="AX9" i="13" s="1"/>
  <c r="AY9" i="13" s="1"/>
  <c r="AW9" i="11"/>
  <c r="AW8" i="11"/>
  <c r="AW7" i="11"/>
  <c r="AW6" i="11"/>
  <c r="AW5" i="11"/>
  <c r="AW4" i="11"/>
  <c r="AW3" i="11"/>
  <c r="AW9" i="10"/>
  <c r="AW8" i="10"/>
  <c r="AW7" i="10"/>
  <c r="AW6" i="10"/>
  <c r="AW5" i="10"/>
  <c r="AW4" i="10"/>
  <c r="AW3" i="10"/>
  <c r="Z231" i="12"/>
  <c r="X230" i="12"/>
  <c r="AT233" i="12" s="1"/>
  <c r="AF221" i="12"/>
  <c r="AD221" i="12"/>
  <c r="AC221" i="12"/>
  <c r="AA221" i="12"/>
  <c r="Z221" i="12"/>
  <c r="X221" i="12"/>
  <c r="J221" i="12"/>
  <c r="H221" i="12"/>
  <c r="G221" i="12"/>
  <c r="E221" i="12"/>
  <c r="D221" i="12"/>
  <c r="B221" i="12"/>
  <c r="AF220" i="12"/>
  <c r="AD220" i="12"/>
  <c r="AC220" i="12"/>
  <c r="AC222" i="12" s="1"/>
  <c r="AA220" i="12"/>
  <c r="Z220" i="12"/>
  <c r="X220" i="12"/>
  <c r="J220" i="12"/>
  <c r="H220" i="12"/>
  <c r="G220" i="12"/>
  <c r="E220" i="12"/>
  <c r="D220" i="12"/>
  <c r="D222" i="12" s="1"/>
  <c r="B220" i="12"/>
  <c r="AF219" i="12"/>
  <c r="AF222" i="12" s="1"/>
  <c r="AD219" i="12"/>
  <c r="AD222" i="12" s="1"/>
  <c r="AC219" i="12"/>
  <c r="AA219" i="12"/>
  <c r="Z219" i="12"/>
  <c r="Z222" i="12" s="1"/>
  <c r="X219" i="12"/>
  <c r="X222" i="12" s="1"/>
  <c r="J219" i="12"/>
  <c r="J222" i="12" s="1"/>
  <c r="H219" i="12"/>
  <c r="H222" i="12" s="1"/>
  <c r="G219" i="12"/>
  <c r="G222" i="12" s="1"/>
  <c r="E219" i="12"/>
  <c r="E222" i="12" s="1"/>
  <c r="D219" i="12"/>
  <c r="B219" i="12"/>
  <c r="V195" i="12"/>
  <c r="A174" i="12"/>
  <c r="AF161" i="12"/>
  <c r="AD161" i="12"/>
  <c r="AC161" i="12"/>
  <c r="AA161" i="12"/>
  <c r="X161" i="12"/>
  <c r="W161" i="12"/>
  <c r="U161" i="12"/>
  <c r="T161" i="12"/>
  <c r="R161" i="12"/>
  <c r="Q161" i="12"/>
  <c r="O161" i="12"/>
  <c r="N161" i="12"/>
  <c r="L161" i="12"/>
  <c r="J161" i="12"/>
  <c r="H161" i="12"/>
  <c r="G161" i="12"/>
  <c r="E161" i="12"/>
  <c r="D161" i="12"/>
  <c r="B161" i="12"/>
  <c r="AF160" i="12"/>
  <c r="AD160" i="12"/>
  <c r="AA160" i="12"/>
  <c r="Z160" i="12"/>
  <c r="X160" i="12"/>
  <c r="W160" i="12"/>
  <c r="U160" i="12"/>
  <c r="T160" i="12"/>
  <c r="R160" i="12"/>
  <c r="Q160" i="12"/>
  <c r="O160" i="12"/>
  <c r="N160" i="12"/>
  <c r="L160" i="12"/>
  <c r="J160" i="12"/>
  <c r="H160" i="12"/>
  <c r="G160" i="12"/>
  <c r="E160" i="12"/>
  <c r="D160" i="12"/>
  <c r="B160" i="12"/>
  <c r="AF159" i="12"/>
  <c r="AD159" i="12"/>
  <c r="AC159" i="12"/>
  <c r="Z159" i="12"/>
  <c r="X159" i="12"/>
  <c r="U159" i="12"/>
  <c r="T159" i="12"/>
  <c r="R159" i="12"/>
  <c r="O159" i="12"/>
  <c r="L159" i="12"/>
  <c r="J159" i="12"/>
  <c r="H159" i="12"/>
  <c r="E159" i="12"/>
  <c r="B159" i="12"/>
  <c r="AD158" i="12"/>
  <c r="AC158" i="12"/>
  <c r="AA158" i="12"/>
  <c r="Z158" i="12"/>
  <c r="X158" i="12"/>
  <c r="W158" i="12"/>
  <c r="R158" i="12"/>
  <c r="Q158" i="12"/>
  <c r="N158" i="12"/>
  <c r="L158" i="12"/>
  <c r="H158" i="12"/>
  <c r="G158" i="12"/>
  <c r="D158" i="12"/>
  <c r="B158" i="12"/>
  <c r="AF157" i="12"/>
  <c r="AC157" i="12"/>
  <c r="AA157" i="12"/>
  <c r="Z157" i="12"/>
  <c r="W157" i="12"/>
  <c r="U157" i="12"/>
  <c r="T157" i="12"/>
  <c r="Q157" i="12"/>
  <c r="O157" i="12"/>
  <c r="N157" i="12"/>
  <c r="J157" i="12"/>
  <c r="G157" i="12"/>
  <c r="E157" i="12"/>
  <c r="D157" i="12"/>
  <c r="AF153" i="12"/>
  <c r="AD153" i="12"/>
  <c r="AC153" i="12"/>
  <c r="AA153" i="12"/>
  <c r="X153" i="12"/>
  <c r="W153" i="12"/>
  <c r="U153" i="12"/>
  <c r="T153" i="12"/>
  <c r="R153" i="12"/>
  <c r="Q153" i="12"/>
  <c r="O153" i="12"/>
  <c r="N153" i="12"/>
  <c r="L153" i="12"/>
  <c r="J153" i="12"/>
  <c r="H153" i="12"/>
  <c r="G153" i="12"/>
  <c r="E153" i="12"/>
  <c r="D153" i="12"/>
  <c r="B153" i="12"/>
  <c r="AF152" i="12"/>
  <c r="AD152" i="12"/>
  <c r="AA152" i="12"/>
  <c r="Z152" i="12"/>
  <c r="X152" i="12"/>
  <c r="W152" i="12"/>
  <c r="U152" i="12"/>
  <c r="T152" i="12"/>
  <c r="R152" i="12"/>
  <c r="Q152" i="12"/>
  <c r="O152" i="12"/>
  <c r="N152" i="12"/>
  <c r="L152" i="12"/>
  <c r="J152" i="12"/>
  <c r="H152" i="12"/>
  <c r="G152" i="12"/>
  <c r="E152" i="12"/>
  <c r="D152" i="12"/>
  <c r="B152" i="12"/>
  <c r="AF151" i="12"/>
  <c r="AD151" i="12"/>
  <c r="AC151" i="12"/>
  <c r="Z151" i="12"/>
  <c r="X151" i="12"/>
  <c r="U151" i="12"/>
  <c r="T151" i="12"/>
  <c r="R151" i="12"/>
  <c r="O151" i="12"/>
  <c r="L151" i="12"/>
  <c r="J151" i="12"/>
  <c r="H151" i="12"/>
  <c r="E151" i="12"/>
  <c r="B151" i="12"/>
  <c r="AD150" i="12"/>
  <c r="AC150" i="12"/>
  <c r="AA150" i="12"/>
  <c r="Z150" i="12"/>
  <c r="X150" i="12"/>
  <c r="W150" i="12"/>
  <c r="R150" i="12"/>
  <c r="Q150" i="12"/>
  <c r="N150" i="12"/>
  <c r="L150" i="12"/>
  <c r="H150" i="12"/>
  <c r="G150" i="12"/>
  <c r="D150" i="12"/>
  <c r="B150" i="12"/>
  <c r="AF149" i="12"/>
  <c r="AC149" i="12"/>
  <c r="AA149" i="12"/>
  <c r="Z149" i="12"/>
  <c r="W149" i="12"/>
  <c r="U149" i="12"/>
  <c r="T149" i="12"/>
  <c r="Q149" i="12"/>
  <c r="O149" i="12"/>
  <c r="N149" i="12"/>
  <c r="J149" i="12"/>
  <c r="G149" i="12"/>
  <c r="E149" i="12"/>
  <c r="D149" i="12"/>
  <c r="AF147" i="12"/>
  <c r="AD147" i="12"/>
  <c r="AC147" i="12"/>
  <c r="AA147" i="12"/>
  <c r="X147" i="12"/>
  <c r="W147" i="12"/>
  <c r="U147" i="12"/>
  <c r="T147" i="12"/>
  <c r="R147" i="12"/>
  <c r="Q147" i="12"/>
  <c r="O147" i="12"/>
  <c r="N147" i="12"/>
  <c r="L147" i="12"/>
  <c r="J147" i="12"/>
  <c r="H147" i="12"/>
  <c r="G147" i="12"/>
  <c r="E147" i="12"/>
  <c r="D147" i="12"/>
  <c r="B147" i="12"/>
  <c r="AF146" i="12"/>
  <c r="AD146" i="12"/>
  <c r="AA146" i="12"/>
  <c r="Z146" i="12"/>
  <c r="X146" i="12"/>
  <c r="W146" i="12"/>
  <c r="U146" i="12"/>
  <c r="T146" i="12"/>
  <c r="R146" i="12"/>
  <c r="Q146" i="12"/>
  <c r="O146" i="12"/>
  <c r="N146" i="12"/>
  <c r="L146" i="12"/>
  <c r="J146" i="12"/>
  <c r="H146" i="12"/>
  <c r="G146" i="12"/>
  <c r="E146" i="12"/>
  <c r="D146" i="12"/>
  <c r="B146" i="12"/>
  <c r="AF145" i="12"/>
  <c r="AD145" i="12"/>
  <c r="AC145" i="12"/>
  <c r="Z145" i="12"/>
  <c r="X145" i="12"/>
  <c r="U145" i="12"/>
  <c r="T145" i="12"/>
  <c r="R145" i="12"/>
  <c r="O145" i="12"/>
  <c r="L145" i="12"/>
  <c r="J145" i="12"/>
  <c r="H145" i="12"/>
  <c r="E145" i="12"/>
  <c r="B145" i="12"/>
  <c r="AD144" i="12"/>
  <c r="AC144" i="12"/>
  <c r="AA144" i="12"/>
  <c r="Z144" i="12"/>
  <c r="X144" i="12"/>
  <c r="W144" i="12"/>
  <c r="R144" i="12"/>
  <c r="Q144" i="12"/>
  <c r="N144" i="12"/>
  <c r="L144" i="12"/>
  <c r="H144" i="12"/>
  <c r="G144" i="12"/>
  <c r="D144" i="12"/>
  <c r="B144" i="12"/>
  <c r="AF143" i="12"/>
  <c r="AC143" i="12"/>
  <c r="AA143" i="12"/>
  <c r="Z143" i="12"/>
  <c r="W143" i="12"/>
  <c r="U143" i="12"/>
  <c r="T143" i="12"/>
  <c r="Q143" i="12"/>
  <c r="O143" i="12"/>
  <c r="N143" i="12"/>
  <c r="J143" i="12"/>
  <c r="G143" i="12"/>
  <c r="E143" i="12"/>
  <c r="D143" i="12"/>
  <c r="AF141" i="12"/>
  <c r="AD141" i="12"/>
  <c r="AC141" i="12"/>
  <c r="AA141" i="12"/>
  <c r="X141" i="12"/>
  <c r="W141" i="12"/>
  <c r="U141" i="12"/>
  <c r="T141" i="12"/>
  <c r="R141" i="12"/>
  <c r="Q141" i="12"/>
  <c r="O141" i="12"/>
  <c r="N141" i="12"/>
  <c r="L141" i="12"/>
  <c r="J141" i="12"/>
  <c r="H141" i="12"/>
  <c r="G141" i="12"/>
  <c r="E141" i="12"/>
  <c r="D141" i="12"/>
  <c r="B141" i="12"/>
  <c r="AF140" i="12"/>
  <c r="AD140" i="12"/>
  <c r="AA140" i="12"/>
  <c r="Z140" i="12"/>
  <c r="X140" i="12"/>
  <c r="W140" i="12"/>
  <c r="U140" i="12"/>
  <c r="T140" i="12"/>
  <c r="R140" i="12"/>
  <c r="Q140" i="12"/>
  <c r="O140" i="12"/>
  <c r="N140" i="12"/>
  <c r="L140" i="12"/>
  <c r="J140" i="12"/>
  <c r="H140" i="12"/>
  <c r="G140" i="12"/>
  <c r="E140" i="12"/>
  <c r="D140" i="12"/>
  <c r="B140" i="12"/>
  <c r="AF139" i="12"/>
  <c r="AD139" i="12"/>
  <c r="AC139" i="12"/>
  <c r="Z139" i="12"/>
  <c r="X139" i="12"/>
  <c r="U139" i="12"/>
  <c r="T139" i="12"/>
  <c r="R139" i="12"/>
  <c r="O139" i="12"/>
  <c r="L139" i="12"/>
  <c r="J139" i="12"/>
  <c r="H139" i="12"/>
  <c r="E139" i="12"/>
  <c r="B139" i="12"/>
  <c r="AD138" i="12"/>
  <c r="AC138" i="12"/>
  <c r="AA138" i="12"/>
  <c r="Z138" i="12"/>
  <c r="X138" i="12"/>
  <c r="W138" i="12"/>
  <c r="R138" i="12"/>
  <c r="Q138" i="12"/>
  <c r="N138" i="12"/>
  <c r="L138" i="12"/>
  <c r="H138" i="12"/>
  <c r="G138" i="12"/>
  <c r="D138" i="12"/>
  <c r="B138" i="12"/>
  <c r="AF137" i="12"/>
  <c r="AC137" i="12"/>
  <c r="AA137" i="12"/>
  <c r="Z137" i="12"/>
  <c r="W137" i="12"/>
  <c r="U137" i="12"/>
  <c r="T137" i="12"/>
  <c r="Q137" i="12"/>
  <c r="O137" i="12"/>
  <c r="N137" i="12"/>
  <c r="J137" i="12"/>
  <c r="G137" i="12"/>
  <c r="E137" i="12"/>
  <c r="D137" i="12"/>
  <c r="AF135" i="12"/>
  <c r="AD135" i="12"/>
  <c r="AC135" i="12"/>
  <c r="AA135" i="12"/>
  <c r="X135" i="12"/>
  <c r="W135" i="12"/>
  <c r="U135" i="12"/>
  <c r="T135" i="12"/>
  <c r="R135" i="12"/>
  <c r="Q135" i="12"/>
  <c r="O135" i="12"/>
  <c r="N135" i="12"/>
  <c r="L135" i="12"/>
  <c r="J135" i="12"/>
  <c r="H135" i="12"/>
  <c r="G135" i="12"/>
  <c r="E135" i="12"/>
  <c r="D135" i="12"/>
  <c r="B135" i="12"/>
  <c r="AF134" i="12"/>
  <c r="AD134" i="12"/>
  <c r="AA134" i="12"/>
  <c r="Z134" i="12"/>
  <c r="X134" i="12"/>
  <c r="W134" i="12"/>
  <c r="U134" i="12"/>
  <c r="T134" i="12"/>
  <c r="R134" i="12"/>
  <c r="Q134" i="12"/>
  <c r="O134" i="12"/>
  <c r="N134" i="12"/>
  <c r="L134" i="12"/>
  <c r="J134" i="12"/>
  <c r="H134" i="12"/>
  <c r="G134" i="12"/>
  <c r="E134" i="12"/>
  <c r="D134" i="12"/>
  <c r="B134" i="12"/>
  <c r="AF133" i="12"/>
  <c r="AD133" i="12"/>
  <c r="AC133" i="12"/>
  <c r="Z133" i="12"/>
  <c r="X133" i="12"/>
  <c r="U133" i="12"/>
  <c r="T133" i="12"/>
  <c r="R133" i="12"/>
  <c r="O133" i="12"/>
  <c r="L133" i="12"/>
  <c r="J133" i="12"/>
  <c r="H133" i="12"/>
  <c r="E133" i="12"/>
  <c r="B133" i="12"/>
  <c r="AD132" i="12"/>
  <c r="AC132" i="12"/>
  <c r="AA132" i="12"/>
  <c r="Z132" i="12"/>
  <c r="X132" i="12"/>
  <c r="W132" i="12"/>
  <c r="R132" i="12"/>
  <c r="Q132" i="12"/>
  <c r="N132" i="12"/>
  <c r="L132" i="12"/>
  <c r="H132" i="12"/>
  <c r="G132" i="12"/>
  <c r="D132" i="12"/>
  <c r="B132" i="12"/>
  <c r="AF131" i="12"/>
  <c r="AC131" i="12"/>
  <c r="AA131" i="12"/>
  <c r="Z131" i="12"/>
  <c r="W131" i="12"/>
  <c r="U131" i="12"/>
  <c r="T131" i="12"/>
  <c r="Q131" i="12"/>
  <c r="O131" i="12"/>
  <c r="N131" i="12"/>
  <c r="J131" i="12"/>
  <c r="G131" i="12"/>
  <c r="E131" i="12"/>
  <c r="D131" i="12"/>
  <c r="AF120" i="12"/>
  <c r="AF128" i="12" s="1"/>
  <c r="AD120" i="12"/>
  <c r="AD128" i="12" s="1"/>
  <c r="AC120" i="12"/>
  <c r="AC128" i="12" s="1"/>
  <c r="AA120" i="12"/>
  <c r="AA128" i="12" s="1"/>
  <c r="Z120" i="12"/>
  <c r="Z128" i="12" s="1"/>
  <c r="X120" i="12"/>
  <c r="X128" i="12" s="1"/>
  <c r="W120" i="12"/>
  <c r="W128" i="12" s="1"/>
  <c r="U120" i="12"/>
  <c r="U128" i="12" s="1"/>
  <c r="T120" i="12"/>
  <c r="T128" i="12" s="1"/>
  <c r="R120" i="12"/>
  <c r="R128" i="12" s="1"/>
  <c r="Q120" i="12"/>
  <c r="Q128" i="12" s="1"/>
  <c r="O120" i="12"/>
  <c r="O128" i="12" s="1"/>
  <c r="N120" i="12"/>
  <c r="N128" i="12" s="1"/>
  <c r="L120" i="12"/>
  <c r="L128" i="12" s="1"/>
  <c r="J120" i="12"/>
  <c r="J128" i="12" s="1"/>
  <c r="H120" i="12"/>
  <c r="H128" i="12" s="1"/>
  <c r="G120" i="12"/>
  <c r="G128" i="12" s="1"/>
  <c r="E120" i="12"/>
  <c r="E128" i="12" s="1"/>
  <c r="D120" i="12"/>
  <c r="D128" i="12" s="1"/>
  <c r="B120" i="12"/>
  <c r="B128" i="12" s="1"/>
  <c r="AF119" i="12"/>
  <c r="AF127" i="12" s="1"/>
  <c r="AD119" i="12"/>
  <c r="AD127" i="12" s="1"/>
  <c r="AC119" i="12"/>
  <c r="AC127" i="12" s="1"/>
  <c r="AA119" i="12"/>
  <c r="AA127" i="12" s="1"/>
  <c r="Z119" i="12"/>
  <c r="Z127" i="12" s="1"/>
  <c r="X119" i="12"/>
  <c r="X127" i="12" s="1"/>
  <c r="W119" i="12"/>
  <c r="W127" i="12" s="1"/>
  <c r="U119" i="12"/>
  <c r="U127" i="12" s="1"/>
  <c r="T119" i="12"/>
  <c r="T127" i="12" s="1"/>
  <c r="R119" i="12"/>
  <c r="R127" i="12" s="1"/>
  <c r="Q119" i="12"/>
  <c r="Q127" i="12" s="1"/>
  <c r="O119" i="12"/>
  <c r="O127" i="12" s="1"/>
  <c r="N119" i="12"/>
  <c r="N127" i="12" s="1"/>
  <c r="L119" i="12"/>
  <c r="L127" i="12" s="1"/>
  <c r="J119" i="12"/>
  <c r="J127" i="12" s="1"/>
  <c r="H119" i="12"/>
  <c r="H127" i="12" s="1"/>
  <c r="G119" i="12"/>
  <c r="G127" i="12" s="1"/>
  <c r="E119" i="12"/>
  <c r="E127" i="12" s="1"/>
  <c r="D119" i="12"/>
  <c r="D127" i="12" s="1"/>
  <c r="B119" i="12"/>
  <c r="B127" i="12" s="1"/>
  <c r="AF118" i="12"/>
  <c r="AF126" i="12" s="1"/>
  <c r="AD118" i="12"/>
  <c r="AD126" i="12" s="1"/>
  <c r="AC118" i="12"/>
  <c r="AC126" i="12" s="1"/>
  <c r="AA118" i="12"/>
  <c r="AA126" i="12" s="1"/>
  <c r="Z118" i="12"/>
  <c r="Z126" i="12" s="1"/>
  <c r="X118" i="12"/>
  <c r="X126" i="12" s="1"/>
  <c r="W118" i="12"/>
  <c r="W126" i="12" s="1"/>
  <c r="U118" i="12"/>
  <c r="U126" i="12" s="1"/>
  <c r="T118" i="12"/>
  <c r="T126" i="12" s="1"/>
  <c r="R118" i="12"/>
  <c r="R126" i="12" s="1"/>
  <c r="Q118" i="12"/>
  <c r="Q126" i="12" s="1"/>
  <c r="O118" i="12"/>
  <c r="O126" i="12" s="1"/>
  <c r="N118" i="12"/>
  <c r="N126" i="12" s="1"/>
  <c r="L118" i="12"/>
  <c r="L126" i="12" s="1"/>
  <c r="J118" i="12"/>
  <c r="J126" i="12" s="1"/>
  <c r="H118" i="12"/>
  <c r="H126" i="12" s="1"/>
  <c r="G118" i="12"/>
  <c r="G126" i="12" s="1"/>
  <c r="E118" i="12"/>
  <c r="E126" i="12" s="1"/>
  <c r="D118" i="12"/>
  <c r="D126" i="12" s="1"/>
  <c r="B118" i="12"/>
  <c r="B126" i="12" s="1"/>
  <c r="AF117" i="12"/>
  <c r="AF125" i="12" s="1"/>
  <c r="AD117" i="12"/>
  <c r="AD125" i="12" s="1"/>
  <c r="AC117" i="12"/>
  <c r="AC125" i="12" s="1"/>
  <c r="AA117" i="12"/>
  <c r="AA125" i="12" s="1"/>
  <c r="Z117" i="12"/>
  <c r="Z125" i="12" s="1"/>
  <c r="X117" i="12"/>
  <c r="X125" i="12" s="1"/>
  <c r="W117" i="12"/>
  <c r="W125" i="12" s="1"/>
  <c r="U117" i="12"/>
  <c r="U125" i="12" s="1"/>
  <c r="T117" i="12"/>
  <c r="T125" i="12" s="1"/>
  <c r="R117" i="12"/>
  <c r="R125" i="12" s="1"/>
  <c r="Q117" i="12"/>
  <c r="Q125" i="12" s="1"/>
  <c r="O117" i="12"/>
  <c r="O125" i="12" s="1"/>
  <c r="N117" i="12"/>
  <c r="N125" i="12" s="1"/>
  <c r="L117" i="12"/>
  <c r="L125" i="12" s="1"/>
  <c r="J117" i="12"/>
  <c r="J125" i="12" s="1"/>
  <c r="H117" i="12"/>
  <c r="H125" i="12" s="1"/>
  <c r="G117" i="12"/>
  <c r="G125" i="12" s="1"/>
  <c r="E117" i="12"/>
  <c r="E125" i="12" s="1"/>
  <c r="D117" i="12"/>
  <c r="D125" i="12" s="1"/>
  <c r="B117" i="12"/>
  <c r="B125" i="12" s="1"/>
  <c r="AF116" i="12"/>
  <c r="AF150" i="12" s="1"/>
  <c r="AD116" i="12"/>
  <c r="AD124" i="12" s="1"/>
  <c r="AC116" i="12"/>
  <c r="AC121" i="12" s="1"/>
  <c r="AA116" i="12"/>
  <c r="AA121" i="12" s="1"/>
  <c r="Z116" i="12"/>
  <c r="Z124" i="12" s="1"/>
  <c r="X116" i="12"/>
  <c r="X124" i="12" s="1"/>
  <c r="W116" i="12"/>
  <c r="W151" i="12" s="1"/>
  <c r="U116" i="12"/>
  <c r="U124" i="12" s="1"/>
  <c r="T116" i="12"/>
  <c r="T150" i="12" s="1"/>
  <c r="R116" i="12"/>
  <c r="R124" i="12" s="1"/>
  <c r="Q116" i="12"/>
  <c r="Q121" i="12" s="1"/>
  <c r="O116" i="12"/>
  <c r="O121" i="12" s="1"/>
  <c r="N116" i="12"/>
  <c r="N124" i="12" s="1"/>
  <c r="L116" i="12"/>
  <c r="L124" i="12" s="1"/>
  <c r="J116" i="12"/>
  <c r="J124" i="12" s="1"/>
  <c r="H116" i="12"/>
  <c r="H124" i="12" s="1"/>
  <c r="G116" i="12"/>
  <c r="G151" i="12" s="1"/>
  <c r="E116" i="12"/>
  <c r="E150" i="12" s="1"/>
  <c r="D116" i="12"/>
  <c r="D121" i="12" s="1"/>
  <c r="B116" i="12"/>
  <c r="B149" i="12" s="1"/>
  <c r="AF115" i="12"/>
  <c r="AD115" i="12"/>
  <c r="AC115" i="12"/>
  <c r="AA115" i="12"/>
  <c r="Z115" i="12"/>
  <c r="X115" i="12"/>
  <c r="W115" i="12"/>
  <c r="U115" i="12"/>
  <c r="T115" i="12"/>
  <c r="R115" i="12"/>
  <c r="AM109" i="12" s="1"/>
  <c r="Q115" i="12"/>
  <c r="O115" i="12"/>
  <c r="N115" i="12"/>
  <c r="AK111" i="12" s="1"/>
  <c r="L115" i="12"/>
  <c r="J115" i="12"/>
  <c r="AJ110" i="12" s="1"/>
  <c r="AR110" i="12" s="1"/>
  <c r="X95" i="12" s="1"/>
  <c r="H115" i="12"/>
  <c r="G115" i="12"/>
  <c r="AI110" i="12" s="1"/>
  <c r="E115" i="12"/>
  <c r="D115" i="12"/>
  <c r="B115" i="12"/>
  <c r="AE114" i="12"/>
  <c r="AB114" i="12"/>
  <c r="Y114" i="12"/>
  <c r="V114" i="12"/>
  <c r="S114" i="12"/>
  <c r="P114" i="12"/>
  <c r="M114" i="12"/>
  <c r="I114" i="12"/>
  <c r="F114" i="12"/>
  <c r="A114" i="12"/>
  <c r="AQ113" i="12"/>
  <c r="AP113" i="12"/>
  <c r="AO113" i="12"/>
  <c r="AN113" i="12"/>
  <c r="AM113" i="12"/>
  <c r="AL113" i="12"/>
  <c r="AK113" i="12"/>
  <c r="AJ113" i="12"/>
  <c r="AI113" i="12"/>
  <c r="AH113" i="12"/>
  <c r="AG113" i="12"/>
  <c r="AE113" i="12"/>
  <c r="AB113" i="12"/>
  <c r="Y113" i="12"/>
  <c r="V113" i="12"/>
  <c r="S113" i="12"/>
  <c r="P113" i="12"/>
  <c r="M113" i="12"/>
  <c r="I113" i="12"/>
  <c r="F113" i="12"/>
  <c r="A113" i="12"/>
  <c r="AQ112" i="12"/>
  <c r="AP112" i="12"/>
  <c r="AO112" i="12"/>
  <c r="AN112" i="12"/>
  <c r="AM112" i="12"/>
  <c r="AL112" i="12"/>
  <c r="AK112" i="12"/>
  <c r="AJ112" i="12"/>
  <c r="AI112" i="12"/>
  <c r="AH112" i="12"/>
  <c r="AG112" i="12"/>
  <c r="AE112" i="12"/>
  <c r="AB112" i="12"/>
  <c r="Y112" i="12"/>
  <c r="V112" i="12"/>
  <c r="S112" i="12"/>
  <c r="P112" i="12"/>
  <c r="M112" i="12"/>
  <c r="I112" i="12"/>
  <c r="F112" i="12"/>
  <c r="A112" i="12"/>
  <c r="AQ111" i="12"/>
  <c r="AP111" i="12"/>
  <c r="AO111" i="12"/>
  <c r="AN111" i="12"/>
  <c r="AM111" i="12"/>
  <c r="AL111" i="12"/>
  <c r="AJ111" i="12"/>
  <c r="AH111" i="12"/>
  <c r="AG111" i="12"/>
  <c r="AE111" i="12"/>
  <c r="AB111" i="12"/>
  <c r="Y111" i="12"/>
  <c r="V111" i="12"/>
  <c r="S111" i="12"/>
  <c r="P111" i="12"/>
  <c r="M111" i="12"/>
  <c r="I111" i="12"/>
  <c r="F111" i="12"/>
  <c r="A111" i="12"/>
  <c r="AQ110" i="12"/>
  <c r="AP110" i="12"/>
  <c r="AO110" i="12"/>
  <c r="AN110" i="12"/>
  <c r="AM110" i="12"/>
  <c r="AL110" i="12"/>
  <c r="AK110" i="12"/>
  <c r="AH110" i="12"/>
  <c r="AG110" i="12"/>
  <c r="AE110" i="12"/>
  <c r="AB110" i="12"/>
  <c r="Y110" i="12"/>
  <c r="V110" i="12"/>
  <c r="S110" i="12"/>
  <c r="P110" i="12"/>
  <c r="M110" i="12"/>
  <c r="I110" i="12"/>
  <c r="F110" i="12"/>
  <c r="AQ109" i="12"/>
  <c r="AP109" i="12"/>
  <c r="AO109" i="12"/>
  <c r="AN109" i="12"/>
  <c r="AL109" i="12"/>
  <c r="AK109" i="12"/>
  <c r="AJ109" i="12"/>
  <c r="AI109" i="12"/>
  <c r="AH109" i="12"/>
  <c r="AG109" i="12"/>
  <c r="AE109" i="12"/>
  <c r="AB109" i="12"/>
  <c r="Y109" i="12"/>
  <c r="V109" i="12"/>
  <c r="S109" i="12"/>
  <c r="P109" i="12"/>
  <c r="M109" i="12"/>
  <c r="I109" i="12"/>
  <c r="F109" i="12"/>
  <c r="AD107" i="12"/>
  <c r="AA107" i="12"/>
  <c r="X107" i="12"/>
  <c r="U107" i="12"/>
  <c r="R107" i="12"/>
  <c r="O107" i="12"/>
  <c r="L107" i="12"/>
  <c r="H107" i="12"/>
  <c r="E107" i="12"/>
  <c r="E102" i="12"/>
  <c r="E101" i="12"/>
  <c r="B168" i="12" s="1"/>
  <c r="A101" i="12"/>
  <c r="E100" i="12"/>
  <c r="E99" i="12"/>
  <c r="B167" i="12" s="1"/>
  <c r="A99" i="12"/>
  <c r="A97" i="12"/>
  <c r="A95" i="12"/>
  <c r="A93" i="12"/>
  <c r="S92" i="12"/>
  <c r="M92" i="12"/>
  <c r="K91" i="12"/>
  <c r="A89" i="12"/>
  <c r="AF85" i="12"/>
  <c r="AD85" i="12"/>
  <c r="AC85" i="12"/>
  <c r="AA85" i="12"/>
  <c r="Z85" i="12"/>
  <c r="X85" i="12"/>
  <c r="W85" i="12"/>
  <c r="U85" i="12"/>
  <c r="AF76" i="12"/>
  <c r="AD76" i="12"/>
  <c r="AC76" i="12"/>
  <c r="AA76" i="12"/>
  <c r="Z76" i="12"/>
  <c r="X76" i="12"/>
  <c r="W76" i="12"/>
  <c r="U76" i="12"/>
  <c r="T76" i="12"/>
  <c r="R76" i="12"/>
  <c r="Q76" i="12"/>
  <c r="O76" i="12"/>
  <c r="N76" i="12"/>
  <c r="L76" i="12"/>
  <c r="J76" i="12"/>
  <c r="H76" i="12"/>
  <c r="G76" i="12"/>
  <c r="E76" i="12"/>
  <c r="D76" i="12"/>
  <c r="B76" i="12"/>
  <c r="AF75" i="12"/>
  <c r="AD75" i="12"/>
  <c r="AC75" i="12"/>
  <c r="AA75" i="12"/>
  <c r="Z75" i="12"/>
  <c r="X75" i="12"/>
  <c r="W75" i="12"/>
  <c r="U75" i="12"/>
  <c r="T75" i="12"/>
  <c r="R75" i="12"/>
  <c r="O75" i="12"/>
  <c r="N75" i="12"/>
  <c r="L75" i="12"/>
  <c r="H75" i="12"/>
  <c r="E75" i="12"/>
  <c r="D75" i="12"/>
  <c r="B75" i="12"/>
  <c r="AF74" i="12"/>
  <c r="AD74" i="12"/>
  <c r="AC74" i="12"/>
  <c r="AA74" i="12"/>
  <c r="Z74" i="12"/>
  <c r="X74" i="12"/>
  <c r="W74" i="12"/>
  <c r="U74" i="12"/>
  <c r="T74" i="12"/>
  <c r="R74" i="12"/>
  <c r="Q74" i="12"/>
  <c r="L74" i="12"/>
  <c r="J74" i="12"/>
  <c r="H74" i="12"/>
  <c r="G74" i="12"/>
  <c r="E74" i="12"/>
  <c r="B74" i="12"/>
  <c r="AF73" i="12"/>
  <c r="AD73" i="12"/>
  <c r="AC73" i="12"/>
  <c r="AA73" i="12"/>
  <c r="Z73" i="12"/>
  <c r="X73" i="12"/>
  <c r="W73" i="12"/>
  <c r="U73" i="12"/>
  <c r="R73" i="12"/>
  <c r="Q73" i="12"/>
  <c r="O73" i="12"/>
  <c r="N73" i="12"/>
  <c r="L73" i="12"/>
  <c r="J73" i="12"/>
  <c r="G73" i="12"/>
  <c r="E73" i="12"/>
  <c r="D73" i="12"/>
  <c r="AF72" i="12"/>
  <c r="AD72" i="12"/>
  <c r="AC72" i="12"/>
  <c r="AA72" i="12"/>
  <c r="Z72" i="12"/>
  <c r="X72" i="12"/>
  <c r="W72" i="12"/>
  <c r="U72" i="12"/>
  <c r="T72" i="12"/>
  <c r="Q72" i="12"/>
  <c r="O72" i="12"/>
  <c r="N72" i="12"/>
  <c r="J72" i="12"/>
  <c r="H72" i="12"/>
  <c r="G72" i="12"/>
  <c r="D72" i="12"/>
  <c r="B72" i="12"/>
  <c r="AF68" i="12"/>
  <c r="AD68" i="12"/>
  <c r="AC68" i="12"/>
  <c r="AA68" i="12"/>
  <c r="Z68" i="12"/>
  <c r="X68" i="12"/>
  <c r="W68" i="12"/>
  <c r="U68" i="12"/>
  <c r="T68" i="12"/>
  <c r="R68" i="12"/>
  <c r="Q68" i="12"/>
  <c r="O68" i="12"/>
  <c r="N68" i="12"/>
  <c r="L68" i="12"/>
  <c r="J68" i="12"/>
  <c r="H68" i="12"/>
  <c r="G68" i="12"/>
  <c r="E68" i="12"/>
  <c r="D68" i="12"/>
  <c r="B68" i="12"/>
  <c r="AF67" i="12"/>
  <c r="AD67" i="12"/>
  <c r="AC67" i="12"/>
  <c r="AA67" i="12"/>
  <c r="Z67" i="12"/>
  <c r="X67" i="12"/>
  <c r="W67" i="12"/>
  <c r="U67" i="12"/>
  <c r="T67" i="12"/>
  <c r="R67" i="12"/>
  <c r="O67" i="12"/>
  <c r="N67" i="12"/>
  <c r="L67" i="12"/>
  <c r="H67" i="12"/>
  <c r="E67" i="12"/>
  <c r="D67" i="12"/>
  <c r="B67" i="12"/>
  <c r="AF66" i="12"/>
  <c r="AD66" i="12"/>
  <c r="AC66" i="12"/>
  <c r="AA66" i="12"/>
  <c r="Z66" i="12"/>
  <c r="X66" i="12"/>
  <c r="W66" i="12"/>
  <c r="U66" i="12"/>
  <c r="T66" i="12"/>
  <c r="R66" i="12"/>
  <c r="Q66" i="12"/>
  <c r="L66" i="12"/>
  <c r="J66" i="12"/>
  <c r="H66" i="12"/>
  <c r="G66" i="12"/>
  <c r="E66" i="12"/>
  <c r="B66" i="12"/>
  <c r="AF65" i="12"/>
  <c r="AD65" i="12"/>
  <c r="AC65" i="12"/>
  <c r="AA65" i="12"/>
  <c r="Z65" i="12"/>
  <c r="X65" i="12"/>
  <c r="W65" i="12"/>
  <c r="U65" i="12"/>
  <c r="R65" i="12"/>
  <c r="Q65" i="12"/>
  <c r="O65" i="12"/>
  <c r="N65" i="12"/>
  <c r="L65" i="12"/>
  <c r="J65" i="12"/>
  <c r="G65" i="12"/>
  <c r="E65" i="12"/>
  <c r="D65" i="12"/>
  <c r="AF64" i="12"/>
  <c r="AD64" i="12"/>
  <c r="AE71" i="12" s="1"/>
  <c r="AC64" i="12"/>
  <c r="AA64" i="12"/>
  <c r="AB71" i="12" s="1"/>
  <c r="Z64" i="12"/>
  <c r="X64" i="12"/>
  <c r="W64" i="12"/>
  <c r="U64" i="12"/>
  <c r="V71" i="12" s="1"/>
  <c r="T64" i="12"/>
  <c r="Q64" i="12"/>
  <c r="O64" i="12"/>
  <c r="N64" i="12"/>
  <c r="J64" i="12"/>
  <c r="H64" i="12"/>
  <c r="G64" i="12"/>
  <c r="D64" i="12"/>
  <c r="B64" i="12"/>
  <c r="AF62" i="12"/>
  <c r="AD62" i="12"/>
  <c r="AC62" i="12"/>
  <c r="AA62" i="12"/>
  <c r="Z62" i="12"/>
  <c r="X62" i="12"/>
  <c r="W62" i="12"/>
  <c r="U62" i="12"/>
  <c r="T62" i="12"/>
  <c r="R62" i="12"/>
  <c r="Q62" i="12"/>
  <c r="O62" i="12"/>
  <c r="N62" i="12"/>
  <c r="L62" i="12"/>
  <c r="J62" i="12"/>
  <c r="H62" i="12"/>
  <c r="G62" i="12"/>
  <c r="E62" i="12"/>
  <c r="D62" i="12"/>
  <c r="B62" i="12"/>
  <c r="AF61" i="12"/>
  <c r="AD61" i="12"/>
  <c r="AC61" i="12"/>
  <c r="AA61" i="12"/>
  <c r="Z61" i="12"/>
  <c r="X61" i="12"/>
  <c r="W61" i="12"/>
  <c r="U61" i="12"/>
  <c r="T61" i="12"/>
  <c r="R61" i="12"/>
  <c r="O61" i="12"/>
  <c r="N61" i="12"/>
  <c r="L61" i="12"/>
  <c r="H61" i="12"/>
  <c r="E61" i="12"/>
  <c r="D61" i="12"/>
  <c r="B61" i="12"/>
  <c r="AF60" i="12"/>
  <c r="AD60" i="12"/>
  <c r="AC60" i="12"/>
  <c r="AA60" i="12"/>
  <c r="Z60" i="12"/>
  <c r="X60" i="12"/>
  <c r="W60" i="12"/>
  <c r="U60" i="12"/>
  <c r="T60" i="12"/>
  <c r="R60" i="12"/>
  <c r="Q60" i="12"/>
  <c r="L60" i="12"/>
  <c r="J60" i="12"/>
  <c r="H60" i="12"/>
  <c r="G60" i="12"/>
  <c r="E60" i="12"/>
  <c r="B60" i="12"/>
  <c r="AF59" i="12"/>
  <c r="AD59" i="12"/>
  <c r="AC59" i="12"/>
  <c r="AA59" i="12"/>
  <c r="Z59" i="12"/>
  <c r="X59" i="12"/>
  <c r="W59" i="12"/>
  <c r="U59" i="12"/>
  <c r="R59" i="12"/>
  <c r="Q59" i="12"/>
  <c r="O59" i="12"/>
  <c r="N59" i="12"/>
  <c r="L59" i="12"/>
  <c r="J59" i="12"/>
  <c r="G59" i="12"/>
  <c r="E59" i="12"/>
  <c r="D59" i="12"/>
  <c r="AF58" i="12"/>
  <c r="AD58" i="12"/>
  <c r="AC58" i="12"/>
  <c r="AA58" i="12"/>
  <c r="Z58" i="12"/>
  <c r="X58" i="12"/>
  <c r="W58" i="12"/>
  <c r="U58" i="12"/>
  <c r="T58" i="12"/>
  <c r="Q58" i="12"/>
  <c r="O58" i="12"/>
  <c r="N58" i="12"/>
  <c r="J58" i="12"/>
  <c r="H58" i="12"/>
  <c r="G58" i="12"/>
  <c r="D58" i="12"/>
  <c r="B58" i="12"/>
  <c r="AF56" i="12"/>
  <c r="AD56" i="12"/>
  <c r="AC56" i="12"/>
  <c r="AA56" i="12"/>
  <c r="Z56" i="12"/>
  <c r="X56" i="12"/>
  <c r="W56" i="12"/>
  <c r="U56" i="12"/>
  <c r="T56" i="12"/>
  <c r="R56" i="12"/>
  <c r="Q56" i="12"/>
  <c r="O56" i="12"/>
  <c r="N56" i="12"/>
  <c r="L56" i="12"/>
  <c r="J56" i="12"/>
  <c r="H56" i="12"/>
  <c r="G56" i="12"/>
  <c r="E56" i="12"/>
  <c r="D56" i="12"/>
  <c r="AG56" i="12" s="1"/>
  <c r="B56" i="12"/>
  <c r="AF55" i="12"/>
  <c r="AD55" i="12"/>
  <c r="AC55" i="12"/>
  <c r="AA55" i="12"/>
  <c r="Z55" i="12"/>
  <c r="X55" i="12"/>
  <c r="W55" i="12"/>
  <c r="U55" i="12"/>
  <c r="T55" i="12"/>
  <c r="R55" i="12"/>
  <c r="O55" i="12"/>
  <c r="N55" i="12"/>
  <c r="L55" i="12"/>
  <c r="H55" i="12"/>
  <c r="E55" i="12"/>
  <c r="D55" i="12"/>
  <c r="B55" i="12"/>
  <c r="AF54" i="12"/>
  <c r="AD54" i="12"/>
  <c r="AC54" i="12"/>
  <c r="AA54" i="12"/>
  <c r="Z54" i="12"/>
  <c r="X54" i="12"/>
  <c r="W54" i="12"/>
  <c r="U54" i="12"/>
  <c r="T54" i="12"/>
  <c r="R54" i="12"/>
  <c r="Q54" i="12"/>
  <c r="L54" i="12"/>
  <c r="J54" i="12"/>
  <c r="H54" i="12"/>
  <c r="G54" i="12"/>
  <c r="E54" i="12"/>
  <c r="B54" i="12"/>
  <c r="AF53" i="12"/>
  <c r="AD53" i="12"/>
  <c r="AC53" i="12"/>
  <c r="AA53" i="12"/>
  <c r="Z53" i="12"/>
  <c r="X53" i="12"/>
  <c r="W53" i="12"/>
  <c r="U53" i="12"/>
  <c r="R53" i="12"/>
  <c r="Q53" i="12"/>
  <c r="O53" i="12"/>
  <c r="N53" i="12"/>
  <c r="L53" i="12"/>
  <c r="J53" i="12"/>
  <c r="G53" i="12"/>
  <c r="E53" i="12"/>
  <c r="D53" i="12"/>
  <c r="AF52" i="12"/>
  <c r="AD52" i="12"/>
  <c r="AC52" i="12"/>
  <c r="AA52" i="12"/>
  <c r="Z52" i="12"/>
  <c r="X52" i="12"/>
  <c r="W52" i="12"/>
  <c r="U52" i="12"/>
  <c r="T52" i="12"/>
  <c r="Q52" i="12"/>
  <c r="O52" i="12"/>
  <c r="N52" i="12"/>
  <c r="J52" i="12"/>
  <c r="H52" i="12"/>
  <c r="G52" i="12"/>
  <c r="D52" i="12"/>
  <c r="B52" i="12"/>
  <c r="AF50" i="12"/>
  <c r="AD50" i="12"/>
  <c r="AC50" i="12"/>
  <c r="AA50" i="12"/>
  <c r="Z50" i="12"/>
  <c r="X50" i="12"/>
  <c r="W50" i="12"/>
  <c r="U50" i="12"/>
  <c r="T50" i="12"/>
  <c r="R50" i="12"/>
  <c r="Q50" i="12"/>
  <c r="O50" i="12"/>
  <c r="N50" i="12"/>
  <c r="L50" i="12"/>
  <c r="J50" i="12"/>
  <c r="H50" i="12"/>
  <c r="G50" i="12"/>
  <c r="E50" i="12"/>
  <c r="D50" i="12"/>
  <c r="B50" i="12"/>
  <c r="AF49" i="12"/>
  <c r="AD49" i="12"/>
  <c r="AC49" i="12"/>
  <c r="AA49" i="12"/>
  <c r="Z49" i="12"/>
  <c r="X49" i="12"/>
  <c r="W49" i="12"/>
  <c r="U49" i="12"/>
  <c r="T49" i="12"/>
  <c r="R49" i="12"/>
  <c r="O49" i="12"/>
  <c r="N49" i="12"/>
  <c r="L49" i="12"/>
  <c r="H49" i="12"/>
  <c r="E49" i="12"/>
  <c r="D49" i="12"/>
  <c r="B49" i="12"/>
  <c r="AF48" i="12"/>
  <c r="AD48" i="12"/>
  <c r="AC48" i="12"/>
  <c r="AA48" i="12"/>
  <c r="Z48" i="12"/>
  <c r="X48" i="12"/>
  <c r="W48" i="12"/>
  <c r="U48" i="12"/>
  <c r="T48" i="12"/>
  <c r="R48" i="12"/>
  <c r="Q48" i="12"/>
  <c r="L48" i="12"/>
  <c r="J48" i="12"/>
  <c r="H48" i="12"/>
  <c r="G48" i="12"/>
  <c r="E48" i="12"/>
  <c r="B48" i="12"/>
  <c r="AF47" i="12"/>
  <c r="AD47" i="12"/>
  <c r="AC47" i="12"/>
  <c r="AA47" i="12"/>
  <c r="Z47" i="12"/>
  <c r="X47" i="12"/>
  <c r="W47" i="12"/>
  <c r="U47" i="12"/>
  <c r="R47" i="12"/>
  <c r="Q47" i="12"/>
  <c r="O47" i="12"/>
  <c r="N47" i="12"/>
  <c r="L47" i="12"/>
  <c r="J47" i="12"/>
  <c r="G47" i="12"/>
  <c r="E47" i="12"/>
  <c r="D47" i="12"/>
  <c r="AF46" i="12"/>
  <c r="AD46" i="12"/>
  <c r="AC46" i="12"/>
  <c r="AA46" i="12"/>
  <c r="Z46" i="12"/>
  <c r="X46" i="12"/>
  <c r="W46" i="12"/>
  <c r="U46" i="12"/>
  <c r="T46" i="12"/>
  <c r="Q46" i="12"/>
  <c r="O46" i="12"/>
  <c r="N46" i="12"/>
  <c r="J46" i="12"/>
  <c r="H46" i="12"/>
  <c r="G46" i="12"/>
  <c r="D46" i="12"/>
  <c r="B46" i="12"/>
  <c r="O43" i="12"/>
  <c r="J43" i="12"/>
  <c r="W41" i="12"/>
  <c r="AF35" i="12"/>
  <c r="AF43" i="12" s="1"/>
  <c r="AD35" i="12"/>
  <c r="AD43" i="12" s="1"/>
  <c r="AC35" i="12"/>
  <c r="AC43" i="12" s="1"/>
  <c r="AA35" i="12"/>
  <c r="AA43" i="12" s="1"/>
  <c r="Z35" i="12"/>
  <c r="Z43" i="12" s="1"/>
  <c r="X35" i="12"/>
  <c r="X43" i="12" s="1"/>
  <c r="W35" i="12"/>
  <c r="W43" i="12" s="1"/>
  <c r="U35" i="12"/>
  <c r="U43" i="12" s="1"/>
  <c r="T35" i="12"/>
  <c r="T43" i="12" s="1"/>
  <c r="R35" i="12"/>
  <c r="R43" i="12" s="1"/>
  <c r="Q35" i="12"/>
  <c r="Q43" i="12" s="1"/>
  <c r="O35" i="12"/>
  <c r="N35" i="12"/>
  <c r="N43" i="12" s="1"/>
  <c r="L35" i="12"/>
  <c r="L43" i="12" s="1"/>
  <c r="J35" i="12"/>
  <c r="H35" i="12"/>
  <c r="H43" i="12" s="1"/>
  <c r="G35" i="12"/>
  <c r="G43" i="12" s="1"/>
  <c r="E35" i="12"/>
  <c r="E43" i="12" s="1"/>
  <c r="D35" i="12"/>
  <c r="D43" i="12" s="1"/>
  <c r="B35" i="12"/>
  <c r="B43" i="12" s="1"/>
  <c r="AF34" i="12"/>
  <c r="AF42" i="12" s="1"/>
  <c r="AD34" i="12"/>
  <c r="AD42" i="12" s="1"/>
  <c r="AC34" i="12"/>
  <c r="AC42" i="12" s="1"/>
  <c r="AA34" i="12"/>
  <c r="AA42" i="12" s="1"/>
  <c r="Z34" i="12"/>
  <c r="Z42" i="12" s="1"/>
  <c r="X34" i="12"/>
  <c r="X42" i="12" s="1"/>
  <c r="W34" i="12"/>
  <c r="W42" i="12" s="1"/>
  <c r="U34" i="12"/>
  <c r="U42" i="12" s="1"/>
  <c r="T34" i="12"/>
  <c r="T42" i="12" s="1"/>
  <c r="R34" i="12"/>
  <c r="R42" i="12" s="1"/>
  <c r="Q34" i="12"/>
  <c r="Q42" i="12" s="1"/>
  <c r="O34" i="12"/>
  <c r="O42" i="12" s="1"/>
  <c r="N34" i="12"/>
  <c r="N42" i="12" s="1"/>
  <c r="L34" i="12"/>
  <c r="L42" i="12" s="1"/>
  <c r="J34" i="12"/>
  <c r="J42" i="12" s="1"/>
  <c r="H34" i="12"/>
  <c r="H42" i="12" s="1"/>
  <c r="G34" i="12"/>
  <c r="G42" i="12" s="1"/>
  <c r="E34" i="12"/>
  <c r="E42" i="12" s="1"/>
  <c r="D34" i="12"/>
  <c r="D42" i="12" s="1"/>
  <c r="B34" i="12"/>
  <c r="B42" i="12" s="1"/>
  <c r="AF33" i="12"/>
  <c r="AF41" i="12" s="1"/>
  <c r="AD33" i="12"/>
  <c r="AD41" i="12" s="1"/>
  <c r="AC33" i="12"/>
  <c r="AC41" i="12" s="1"/>
  <c r="AA33" i="12"/>
  <c r="AA41" i="12" s="1"/>
  <c r="Z33" i="12"/>
  <c r="Z41" i="12" s="1"/>
  <c r="X33" i="12"/>
  <c r="X41" i="12" s="1"/>
  <c r="W33" i="12"/>
  <c r="U33" i="12"/>
  <c r="U41" i="12" s="1"/>
  <c r="T33" i="12"/>
  <c r="T41" i="12" s="1"/>
  <c r="R33" i="12"/>
  <c r="R41" i="12" s="1"/>
  <c r="Q33" i="12"/>
  <c r="Q41" i="12" s="1"/>
  <c r="O33" i="12"/>
  <c r="O41" i="12" s="1"/>
  <c r="N33" i="12"/>
  <c r="N41" i="12" s="1"/>
  <c r="L33" i="12"/>
  <c r="L41" i="12" s="1"/>
  <c r="J33" i="12"/>
  <c r="J41" i="12" s="1"/>
  <c r="H33" i="12"/>
  <c r="H41" i="12" s="1"/>
  <c r="G33" i="12"/>
  <c r="G41" i="12" s="1"/>
  <c r="E33" i="12"/>
  <c r="E41" i="12" s="1"/>
  <c r="D33" i="12"/>
  <c r="D41" i="12" s="1"/>
  <c r="B33" i="12"/>
  <c r="B41" i="12" s="1"/>
  <c r="AF32" i="12"/>
  <c r="AF40" i="12" s="1"/>
  <c r="AD32" i="12"/>
  <c r="AD40" i="12" s="1"/>
  <c r="AC32" i="12"/>
  <c r="AC40" i="12" s="1"/>
  <c r="AA32" i="12"/>
  <c r="AA36" i="12" s="1"/>
  <c r="Z32" i="12"/>
  <c r="Z40" i="12" s="1"/>
  <c r="X32" i="12"/>
  <c r="X40" i="12" s="1"/>
  <c r="W32" i="12"/>
  <c r="W36" i="12" s="1"/>
  <c r="U32" i="12"/>
  <c r="U40" i="12" s="1"/>
  <c r="T32" i="12"/>
  <c r="T40" i="12" s="1"/>
  <c r="R32" i="12"/>
  <c r="R40" i="12" s="1"/>
  <c r="Q32" i="12"/>
  <c r="Q40" i="12" s="1"/>
  <c r="O32" i="12"/>
  <c r="O36" i="12" s="1"/>
  <c r="N32" i="12"/>
  <c r="N40" i="12" s="1"/>
  <c r="L32" i="12"/>
  <c r="L40" i="12" s="1"/>
  <c r="J32" i="12"/>
  <c r="J36" i="12" s="1"/>
  <c r="H32" i="12"/>
  <c r="H40" i="12" s="1"/>
  <c r="G32" i="12"/>
  <c r="G40" i="12" s="1"/>
  <c r="E32" i="12"/>
  <c r="E40" i="12" s="1"/>
  <c r="D32" i="12"/>
  <c r="D40" i="12" s="1"/>
  <c r="B32" i="12"/>
  <c r="AF31" i="12"/>
  <c r="AF39" i="12" s="1"/>
  <c r="AD31" i="12"/>
  <c r="AD39" i="12" s="1"/>
  <c r="AC31" i="12"/>
  <c r="AC39" i="12" s="1"/>
  <c r="AA31" i="12"/>
  <c r="AA39" i="12" s="1"/>
  <c r="Z31" i="12"/>
  <c r="Z36" i="12" s="1"/>
  <c r="X31" i="12"/>
  <c r="X39" i="12" s="1"/>
  <c r="W31" i="12"/>
  <c r="W39" i="12" s="1"/>
  <c r="U31" i="12"/>
  <c r="U39" i="12" s="1"/>
  <c r="T31" i="12"/>
  <c r="T39" i="12" s="1"/>
  <c r="R31" i="12"/>
  <c r="R39" i="12" s="1"/>
  <c r="Q31" i="12"/>
  <c r="Q67" i="12" s="1"/>
  <c r="O31" i="12"/>
  <c r="O66" i="12" s="1"/>
  <c r="N31" i="12"/>
  <c r="N36" i="12" s="1"/>
  <c r="L31" i="12"/>
  <c r="L39" i="12" s="1"/>
  <c r="J31" i="12"/>
  <c r="H31" i="12"/>
  <c r="H39" i="12" s="1"/>
  <c r="G31" i="12"/>
  <c r="G67" i="12" s="1"/>
  <c r="E31" i="12"/>
  <c r="E39" i="12" s="1"/>
  <c r="D31" i="12"/>
  <c r="D66" i="12" s="1"/>
  <c r="B31" i="12"/>
  <c r="B65" i="12" s="1"/>
  <c r="AF30" i="12"/>
  <c r="AD30" i="12"/>
  <c r="AC30" i="12"/>
  <c r="AA30" i="12"/>
  <c r="Z30" i="12"/>
  <c r="X30" i="12"/>
  <c r="W30" i="12"/>
  <c r="U30" i="12"/>
  <c r="T30" i="12"/>
  <c r="R30" i="12"/>
  <c r="AM24" i="12" s="1"/>
  <c r="Q30" i="12"/>
  <c r="O30" i="12"/>
  <c r="AL27" i="12" s="1"/>
  <c r="N30" i="12"/>
  <c r="L30" i="12"/>
  <c r="AK24" i="12" s="1"/>
  <c r="J30" i="12"/>
  <c r="H30" i="12"/>
  <c r="G30" i="12"/>
  <c r="E30" i="12"/>
  <c r="AI27" i="12" s="1"/>
  <c r="D30" i="12"/>
  <c r="AH26" i="12" s="1"/>
  <c r="B30" i="12"/>
  <c r="AH25" i="12" s="1"/>
  <c r="AE29" i="12"/>
  <c r="AB29" i="12"/>
  <c r="Y29" i="12"/>
  <c r="V29" i="12"/>
  <c r="S29" i="12"/>
  <c r="P29" i="12"/>
  <c r="M29" i="12"/>
  <c r="I29" i="12"/>
  <c r="F29" i="12"/>
  <c r="A29" i="12"/>
  <c r="AQ28" i="12"/>
  <c r="AP28" i="12"/>
  <c r="AO28" i="12"/>
  <c r="AN28" i="12"/>
  <c r="AM28" i="12"/>
  <c r="AL28" i="12"/>
  <c r="AK28" i="12"/>
  <c r="AJ28" i="12"/>
  <c r="AI28" i="12"/>
  <c r="AH28" i="12"/>
  <c r="AG28" i="12"/>
  <c r="AE28" i="12"/>
  <c r="AB28" i="12"/>
  <c r="Y28" i="12"/>
  <c r="V28" i="12"/>
  <c r="S28" i="12"/>
  <c r="P28" i="12"/>
  <c r="M28" i="12"/>
  <c r="I28" i="12"/>
  <c r="F28" i="12"/>
  <c r="A28" i="12"/>
  <c r="AQ27" i="12"/>
  <c r="AP27" i="12"/>
  <c r="AO27" i="12"/>
  <c r="AN27" i="12"/>
  <c r="AM27" i="12"/>
  <c r="AK27" i="12"/>
  <c r="AJ27" i="12"/>
  <c r="AH27" i="12"/>
  <c r="AG27" i="12"/>
  <c r="AE27" i="12"/>
  <c r="AB27" i="12"/>
  <c r="Y27" i="12"/>
  <c r="V27" i="12"/>
  <c r="S27" i="12"/>
  <c r="P27" i="12"/>
  <c r="M27" i="12"/>
  <c r="I27" i="12"/>
  <c r="F27" i="12"/>
  <c r="A27" i="12"/>
  <c r="AQ26" i="12"/>
  <c r="AP26" i="12"/>
  <c r="AO26" i="12"/>
  <c r="AN26" i="12"/>
  <c r="AM26" i="12"/>
  <c r="AK26" i="12"/>
  <c r="AJ26" i="12"/>
  <c r="AI26" i="12"/>
  <c r="AG26" i="12"/>
  <c r="AE26" i="12"/>
  <c r="AB26" i="12"/>
  <c r="Y26" i="12"/>
  <c r="V26" i="12"/>
  <c r="S26" i="12"/>
  <c r="P26" i="12"/>
  <c r="M26" i="12"/>
  <c r="I26" i="12"/>
  <c r="F26" i="12"/>
  <c r="A26" i="12"/>
  <c r="AQ25" i="12"/>
  <c r="AP25" i="12"/>
  <c r="AO25" i="12"/>
  <c r="AN25" i="12"/>
  <c r="AL25" i="12"/>
  <c r="AK25" i="12"/>
  <c r="AJ25" i="12"/>
  <c r="AI25" i="12"/>
  <c r="AG25" i="12"/>
  <c r="AE25" i="12"/>
  <c r="AB25" i="12"/>
  <c r="Y25" i="12"/>
  <c r="V25" i="12"/>
  <c r="S25" i="12"/>
  <c r="P25" i="12"/>
  <c r="M25" i="12"/>
  <c r="I25" i="12"/>
  <c r="F25" i="12"/>
  <c r="AQ24" i="12"/>
  <c r="AP24" i="12"/>
  <c r="AO24" i="12"/>
  <c r="AN24" i="12"/>
  <c r="AL24" i="12"/>
  <c r="AJ24" i="12"/>
  <c r="AI24" i="12"/>
  <c r="AH24" i="12"/>
  <c r="AG24" i="12"/>
  <c r="AE24" i="12"/>
  <c r="AB24" i="12"/>
  <c r="Y24" i="12"/>
  <c r="V24" i="12"/>
  <c r="S24" i="12"/>
  <c r="P24" i="12"/>
  <c r="M24" i="12"/>
  <c r="I24" i="12"/>
  <c r="F24" i="12"/>
  <c r="AD22" i="12"/>
  <c r="AA22" i="12"/>
  <c r="X22" i="12"/>
  <c r="U22" i="12"/>
  <c r="R22" i="12"/>
  <c r="O22" i="12"/>
  <c r="L22" i="12"/>
  <c r="H22" i="12"/>
  <c r="E22" i="12"/>
  <c r="E17" i="12"/>
  <c r="E16" i="12"/>
  <c r="B83" i="12" s="1"/>
  <c r="A16" i="12"/>
  <c r="A14" i="12"/>
  <c r="A12" i="12"/>
  <c r="A10" i="12"/>
  <c r="A8" i="12"/>
  <c r="S7" i="12"/>
  <c r="M7" i="12"/>
  <c r="K6" i="12"/>
  <c r="Z231" i="11"/>
  <c r="X230" i="11"/>
  <c r="AT233" i="11" s="1"/>
  <c r="AC222" i="11"/>
  <c r="J222" i="11"/>
  <c r="D222" i="11"/>
  <c r="AF221" i="11"/>
  <c r="AD221" i="11"/>
  <c r="AC221" i="11"/>
  <c r="AA221" i="11"/>
  <c r="Z221" i="11"/>
  <c r="X221" i="11"/>
  <c r="J221" i="11"/>
  <c r="H221" i="11"/>
  <c r="G221" i="11"/>
  <c r="E221" i="11"/>
  <c r="D221" i="11"/>
  <c r="B221" i="11"/>
  <c r="AF220" i="11"/>
  <c r="AD220" i="11"/>
  <c r="AC220" i="11"/>
  <c r="AA220" i="11"/>
  <c r="Z220" i="11"/>
  <c r="Z222" i="11" s="1"/>
  <c r="X220" i="11"/>
  <c r="J220" i="11"/>
  <c r="H220" i="11"/>
  <c r="G220" i="11"/>
  <c r="E220" i="11"/>
  <c r="D220" i="11"/>
  <c r="B220" i="11"/>
  <c r="AF219" i="11"/>
  <c r="AF222" i="11" s="1"/>
  <c r="AD219" i="11"/>
  <c r="AC219" i="11"/>
  <c r="AA219" i="11"/>
  <c r="AA222" i="11" s="1"/>
  <c r="AC232" i="11" s="1"/>
  <c r="Z219" i="11"/>
  <c r="X219" i="11"/>
  <c r="X222" i="11" s="1"/>
  <c r="J219" i="11"/>
  <c r="H219" i="11"/>
  <c r="H222" i="11" s="1"/>
  <c r="J232" i="11" s="1"/>
  <c r="G219" i="11"/>
  <c r="G222" i="11" s="1"/>
  <c r="E219" i="11"/>
  <c r="D219" i="11"/>
  <c r="B219" i="11"/>
  <c r="B222" i="11" s="1"/>
  <c r="D232" i="11" s="1"/>
  <c r="V195" i="11"/>
  <c r="A174" i="11"/>
  <c r="AF161" i="11"/>
  <c r="AD161" i="11"/>
  <c r="AC161" i="11"/>
  <c r="AA161" i="11"/>
  <c r="X161" i="11"/>
  <c r="W161" i="11"/>
  <c r="U161" i="11"/>
  <c r="T161" i="11"/>
  <c r="R161" i="11"/>
  <c r="Q161" i="11"/>
  <c r="O161" i="11"/>
  <c r="N161" i="11"/>
  <c r="L161" i="11"/>
  <c r="J161" i="11"/>
  <c r="H161" i="11"/>
  <c r="G161" i="11"/>
  <c r="E161" i="11"/>
  <c r="D161" i="11"/>
  <c r="B161" i="11"/>
  <c r="AF160" i="11"/>
  <c r="AD160" i="11"/>
  <c r="AA160" i="11"/>
  <c r="Z160" i="11"/>
  <c r="X160" i="11"/>
  <c r="W160" i="11"/>
  <c r="U160" i="11"/>
  <c r="T160" i="11"/>
  <c r="R160" i="11"/>
  <c r="Q160" i="11"/>
  <c r="O160" i="11"/>
  <c r="N160" i="11"/>
  <c r="L160" i="11"/>
  <c r="J160" i="11"/>
  <c r="H160" i="11"/>
  <c r="G160" i="11"/>
  <c r="E160" i="11"/>
  <c r="D160" i="11"/>
  <c r="B160" i="11"/>
  <c r="AF159" i="11"/>
  <c r="AD159" i="11"/>
  <c r="AC159" i="11"/>
  <c r="Z159" i="11"/>
  <c r="X159" i="11"/>
  <c r="U159" i="11"/>
  <c r="T159" i="11"/>
  <c r="R159" i="11"/>
  <c r="O159" i="11"/>
  <c r="L159" i="11"/>
  <c r="J159" i="11"/>
  <c r="H159" i="11"/>
  <c r="E159" i="11"/>
  <c r="B159" i="11"/>
  <c r="AD158" i="11"/>
  <c r="AC158" i="11"/>
  <c r="AA158" i="11"/>
  <c r="Z158" i="11"/>
  <c r="X158" i="11"/>
  <c r="W158" i="11"/>
  <c r="R158" i="11"/>
  <c r="Q158" i="11"/>
  <c r="N158" i="11"/>
  <c r="L158" i="11"/>
  <c r="H158" i="11"/>
  <c r="G158" i="11"/>
  <c r="D158" i="11"/>
  <c r="B158" i="11"/>
  <c r="AF157" i="11"/>
  <c r="AC157" i="11"/>
  <c r="AA157" i="11"/>
  <c r="Z157" i="11"/>
  <c r="W157" i="11"/>
  <c r="U157" i="11"/>
  <c r="T157" i="11"/>
  <c r="Q157" i="11"/>
  <c r="O157" i="11"/>
  <c r="N157" i="11"/>
  <c r="J157" i="11"/>
  <c r="G157" i="11"/>
  <c r="E157" i="11"/>
  <c r="D157" i="11"/>
  <c r="AF153" i="11"/>
  <c r="AD153" i="11"/>
  <c r="AC153" i="11"/>
  <c r="AA153" i="11"/>
  <c r="X153" i="11"/>
  <c r="W153" i="11"/>
  <c r="U153" i="11"/>
  <c r="T153" i="11"/>
  <c r="R153" i="11"/>
  <c r="Q153" i="11"/>
  <c r="O153" i="11"/>
  <c r="N153" i="11"/>
  <c r="L153" i="11"/>
  <c r="J153" i="11"/>
  <c r="H153" i="11"/>
  <c r="G153" i="11"/>
  <c r="E153" i="11"/>
  <c r="D153" i="11"/>
  <c r="B153" i="11"/>
  <c r="AF152" i="11"/>
  <c r="AD152" i="11"/>
  <c r="AA152" i="11"/>
  <c r="Z152" i="11"/>
  <c r="X152" i="11"/>
  <c r="W152" i="11"/>
  <c r="U152" i="11"/>
  <c r="T152" i="11"/>
  <c r="R152" i="11"/>
  <c r="Q152" i="11"/>
  <c r="O152" i="11"/>
  <c r="N152" i="11"/>
  <c r="L152" i="11"/>
  <c r="J152" i="11"/>
  <c r="H152" i="11"/>
  <c r="G152" i="11"/>
  <c r="E152" i="11"/>
  <c r="D152" i="11"/>
  <c r="B152" i="11"/>
  <c r="AF151" i="11"/>
  <c r="AD151" i="11"/>
  <c r="AC151" i="11"/>
  <c r="Z151" i="11"/>
  <c r="X151" i="11"/>
  <c r="U151" i="11"/>
  <c r="T151" i="11"/>
  <c r="R151" i="11"/>
  <c r="O151" i="11"/>
  <c r="L151" i="11"/>
  <c r="J151" i="11"/>
  <c r="H151" i="11"/>
  <c r="E151" i="11"/>
  <c r="B151" i="11"/>
  <c r="AD150" i="11"/>
  <c r="AC150" i="11"/>
  <c r="AA150" i="11"/>
  <c r="Z150" i="11"/>
  <c r="X150" i="11"/>
  <c r="W150" i="11"/>
  <c r="R150" i="11"/>
  <c r="Q150" i="11"/>
  <c r="N150" i="11"/>
  <c r="L150" i="11"/>
  <c r="H150" i="11"/>
  <c r="G150" i="11"/>
  <c r="D150" i="11"/>
  <c r="B150" i="11"/>
  <c r="AF149" i="11"/>
  <c r="AC149" i="11"/>
  <c r="AA149" i="11"/>
  <c r="Z149" i="11"/>
  <c r="W149" i="11"/>
  <c r="U149" i="11"/>
  <c r="T149" i="11"/>
  <c r="Q149" i="11"/>
  <c r="O149" i="11"/>
  <c r="N149" i="11"/>
  <c r="J149" i="11"/>
  <c r="G149" i="11"/>
  <c r="E149" i="11"/>
  <c r="D149" i="11"/>
  <c r="AF147" i="11"/>
  <c r="AD147" i="11"/>
  <c r="AC147" i="11"/>
  <c r="AA147" i="11"/>
  <c r="X147" i="11"/>
  <c r="W147" i="11"/>
  <c r="U147" i="11"/>
  <c r="T147" i="11"/>
  <c r="R147" i="11"/>
  <c r="Q147" i="11"/>
  <c r="O147" i="11"/>
  <c r="N147" i="11"/>
  <c r="L147" i="11"/>
  <c r="J147" i="11"/>
  <c r="H147" i="11"/>
  <c r="G147" i="11"/>
  <c r="E147" i="11"/>
  <c r="D147" i="11"/>
  <c r="B147" i="11"/>
  <c r="AF146" i="11"/>
  <c r="AD146" i="11"/>
  <c r="AA146" i="11"/>
  <c r="Z146" i="11"/>
  <c r="X146" i="11"/>
  <c r="W146" i="11"/>
  <c r="U146" i="11"/>
  <c r="T146" i="11"/>
  <c r="R146" i="11"/>
  <c r="Q146" i="11"/>
  <c r="O146" i="11"/>
  <c r="N146" i="11"/>
  <c r="L146" i="11"/>
  <c r="J146" i="11"/>
  <c r="H146" i="11"/>
  <c r="G146" i="11"/>
  <c r="E146" i="11"/>
  <c r="D146" i="11"/>
  <c r="B146" i="11"/>
  <c r="AF145" i="11"/>
  <c r="AD145" i="11"/>
  <c r="AC145" i="11"/>
  <c r="Z145" i="11"/>
  <c r="X145" i="11"/>
  <c r="U145" i="11"/>
  <c r="T145" i="11"/>
  <c r="R145" i="11"/>
  <c r="O145" i="11"/>
  <c r="L145" i="11"/>
  <c r="J145" i="11"/>
  <c r="H145" i="11"/>
  <c r="E145" i="11"/>
  <c r="B145" i="11"/>
  <c r="AD144" i="11"/>
  <c r="AC144" i="11"/>
  <c r="AA144" i="11"/>
  <c r="Z144" i="11"/>
  <c r="X144" i="11"/>
  <c r="W144" i="11"/>
  <c r="R144" i="11"/>
  <c r="Q144" i="11"/>
  <c r="N144" i="11"/>
  <c r="L144" i="11"/>
  <c r="H144" i="11"/>
  <c r="G144" i="11"/>
  <c r="D144" i="11"/>
  <c r="B144" i="11"/>
  <c r="AF143" i="11"/>
  <c r="AC143" i="11"/>
  <c r="AA143" i="11"/>
  <c r="Z143" i="11"/>
  <c r="W143" i="11"/>
  <c r="U143" i="11"/>
  <c r="T143" i="11"/>
  <c r="Q143" i="11"/>
  <c r="O143" i="11"/>
  <c r="N143" i="11"/>
  <c r="J143" i="11"/>
  <c r="G143" i="11"/>
  <c r="E143" i="11"/>
  <c r="D143" i="11"/>
  <c r="AF141" i="11"/>
  <c r="AD141" i="11"/>
  <c r="AC141" i="11"/>
  <c r="AA141" i="11"/>
  <c r="X141" i="11"/>
  <c r="W141" i="11"/>
  <c r="U141" i="11"/>
  <c r="T141" i="11"/>
  <c r="R141" i="11"/>
  <c r="Q141" i="11"/>
  <c r="O141" i="11"/>
  <c r="N141" i="11"/>
  <c r="L141" i="11"/>
  <c r="J141" i="11"/>
  <c r="H141" i="11"/>
  <c r="G141" i="11"/>
  <c r="E141" i="11"/>
  <c r="D141" i="11"/>
  <c r="B141" i="11"/>
  <c r="AF140" i="11"/>
  <c r="AD140" i="11"/>
  <c r="AA140" i="11"/>
  <c r="Z140" i="11"/>
  <c r="X140" i="11"/>
  <c r="W140" i="11"/>
  <c r="U140" i="11"/>
  <c r="T140" i="11"/>
  <c r="R140" i="11"/>
  <c r="Q140" i="11"/>
  <c r="O140" i="11"/>
  <c r="N140" i="11"/>
  <c r="L140" i="11"/>
  <c r="J140" i="11"/>
  <c r="H140" i="11"/>
  <c r="G140" i="11"/>
  <c r="E140" i="11"/>
  <c r="D140" i="11"/>
  <c r="B140" i="11"/>
  <c r="AF139" i="11"/>
  <c r="AD139" i="11"/>
  <c r="AC139" i="11"/>
  <c r="Z139" i="11"/>
  <c r="X139" i="11"/>
  <c r="U139" i="11"/>
  <c r="T139" i="11"/>
  <c r="R139" i="11"/>
  <c r="O139" i="11"/>
  <c r="L139" i="11"/>
  <c r="J139" i="11"/>
  <c r="H139" i="11"/>
  <c r="E139" i="11"/>
  <c r="B139" i="11"/>
  <c r="AD138" i="11"/>
  <c r="AC138" i="11"/>
  <c r="AA138" i="11"/>
  <c r="Z138" i="11"/>
  <c r="X138" i="11"/>
  <c r="W138" i="11"/>
  <c r="R138" i="11"/>
  <c r="Q138" i="11"/>
  <c r="N138" i="11"/>
  <c r="L138" i="11"/>
  <c r="H138" i="11"/>
  <c r="G138" i="11"/>
  <c r="D138" i="11"/>
  <c r="B138" i="11"/>
  <c r="AF137" i="11"/>
  <c r="AC137" i="11"/>
  <c r="AA137" i="11"/>
  <c r="Z137" i="11"/>
  <c r="W137" i="11"/>
  <c r="U137" i="11"/>
  <c r="T137" i="11"/>
  <c r="Q137" i="11"/>
  <c r="O137" i="11"/>
  <c r="N137" i="11"/>
  <c r="J137" i="11"/>
  <c r="G137" i="11"/>
  <c r="E137" i="11"/>
  <c r="D137" i="11"/>
  <c r="AF135" i="11"/>
  <c r="AD135" i="11"/>
  <c r="AC135" i="11"/>
  <c r="AA135" i="11"/>
  <c r="X135" i="11"/>
  <c r="W135" i="11"/>
  <c r="U135" i="11"/>
  <c r="T135" i="11"/>
  <c r="R135" i="11"/>
  <c r="Q135" i="11"/>
  <c r="O135" i="11"/>
  <c r="N135" i="11"/>
  <c r="L135" i="11"/>
  <c r="J135" i="11"/>
  <c r="H135" i="11"/>
  <c r="G135" i="11"/>
  <c r="E135" i="11"/>
  <c r="D135" i="11"/>
  <c r="B135" i="11"/>
  <c r="AF134" i="11"/>
  <c r="AD134" i="11"/>
  <c r="AA134" i="11"/>
  <c r="Z134" i="11"/>
  <c r="X134" i="11"/>
  <c r="W134" i="11"/>
  <c r="U134" i="11"/>
  <c r="T134" i="11"/>
  <c r="R134" i="11"/>
  <c r="Q134" i="11"/>
  <c r="O134" i="11"/>
  <c r="N134" i="11"/>
  <c r="L134" i="11"/>
  <c r="J134" i="11"/>
  <c r="H134" i="11"/>
  <c r="G134" i="11"/>
  <c r="E134" i="11"/>
  <c r="D134" i="11"/>
  <c r="B134" i="11"/>
  <c r="AF133" i="11"/>
  <c r="AD133" i="11"/>
  <c r="AC133" i="11"/>
  <c r="Z133" i="11"/>
  <c r="X133" i="11"/>
  <c r="U133" i="11"/>
  <c r="T133" i="11"/>
  <c r="R133" i="11"/>
  <c r="O133" i="11"/>
  <c r="L133" i="11"/>
  <c r="J133" i="11"/>
  <c r="H133" i="11"/>
  <c r="E133" i="11"/>
  <c r="B133" i="11"/>
  <c r="AD132" i="11"/>
  <c r="AC132" i="11"/>
  <c r="AA132" i="11"/>
  <c r="Z132" i="11"/>
  <c r="X132" i="11"/>
  <c r="W132" i="11"/>
  <c r="R132" i="11"/>
  <c r="Q132" i="11"/>
  <c r="N132" i="11"/>
  <c r="L132" i="11"/>
  <c r="H132" i="11"/>
  <c r="G132" i="11"/>
  <c r="D132" i="11"/>
  <c r="B132" i="11"/>
  <c r="AF131" i="11"/>
  <c r="AC131" i="11"/>
  <c r="AA131" i="11"/>
  <c r="Z131" i="11"/>
  <c r="W131" i="11"/>
  <c r="U131" i="11"/>
  <c r="T131" i="11"/>
  <c r="Q131" i="11"/>
  <c r="O131" i="11"/>
  <c r="N131" i="11"/>
  <c r="J131" i="11"/>
  <c r="G131" i="11"/>
  <c r="E131" i="11"/>
  <c r="D131" i="11"/>
  <c r="O128" i="11"/>
  <c r="AF120" i="11"/>
  <c r="AF128" i="11" s="1"/>
  <c r="AD120" i="11"/>
  <c r="AD128" i="11" s="1"/>
  <c r="AC120" i="11"/>
  <c r="AC128" i="11" s="1"/>
  <c r="AA120" i="11"/>
  <c r="AA128" i="11" s="1"/>
  <c r="Z120" i="11"/>
  <c r="Z128" i="11" s="1"/>
  <c r="X120" i="11"/>
  <c r="X128" i="11" s="1"/>
  <c r="W120" i="11"/>
  <c r="W128" i="11" s="1"/>
  <c r="U120" i="11"/>
  <c r="U128" i="11" s="1"/>
  <c r="T120" i="11"/>
  <c r="T128" i="11" s="1"/>
  <c r="R120" i="11"/>
  <c r="R128" i="11" s="1"/>
  <c r="Q120" i="11"/>
  <c r="Q128" i="11" s="1"/>
  <c r="O120" i="11"/>
  <c r="N120" i="11"/>
  <c r="N128" i="11" s="1"/>
  <c r="L120" i="11"/>
  <c r="L128" i="11" s="1"/>
  <c r="J120" i="11"/>
  <c r="J128" i="11" s="1"/>
  <c r="H120" i="11"/>
  <c r="H128" i="11" s="1"/>
  <c r="G120" i="11"/>
  <c r="G128" i="11" s="1"/>
  <c r="E120" i="11"/>
  <c r="E128" i="11" s="1"/>
  <c r="D120" i="11"/>
  <c r="D128" i="11" s="1"/>
  <c r="B120" i="11"/>
  <c r="B128" i="11" s="1"/>
  <c r="AF119" i="11"/>
  <c r="AF127" i="11" s="1"/>
  <c r="AD119" i="11"/>
  <c r="AD127" i="11" s="1"/>
  <c r="AC119" i="11"/>
  <c r="AC127" i="11" s="1"/>
  <c r="AA119" i="11"/>
  <c r="AA127" i="11" s="1"/>
  <c r="Z119" i="11"/>
  <c r="Z127" i="11" s="1"/>
  <c r="X119" i="11"/>
  <c r="X127" i="11" s="1"/>
  <c r="W119" i="11"/>
  <c r="W127" i="11" s="1"/>
  <c r="U119" i="11"/>
  <c r="U127" i="11" s="1"/>
  <c r="T119" i="11"/>
  <c r="T127" i="11" s="1"/>
  <c r="R119" i="11"/>
  <c r="R127" i="11" s="1"/>
  <c r="Q119" i="11"/>
  <c r="Q127" i="11" s="1"/>
  <c r="O119" i="11"/>
  <c r="O127" i="11" s="1"/>
  <c r="N119" i="11"/>
  <c r="N127" i="11" s="1"/>
  <c r="L119" i="11"/>
  <c r="L127" i="11" s="1"/>
  <c r="J119" i="11"/>
  <c r="J127" i="11" s="1"/>
  <c r="H119" i="11"/>
  <c r="H127" i="11" s="1"/>
  <c r="G119" i="11"/>
  <c r="G127" i="11" s="1"/>
  <c r="E119" i="11"/>
  <c r="E127" i="11" s="1"/>
  <c r="D119" i="11"/>
  <c r="D127" i="11" s="1"/>
  <c r="B119" i="11"/>
  <c r="B127" i="11" s="1"/>
  <c r="AF118" i="11"/>
  <c r="AF126" i="11" s="1"/>
  <c r="AD118" i="11"/>
  <c r="AD126" i="11" s="1"/>
  <c r="AC118" i="11"/>
  <c r="AC126" i="11" s="1"/>
  <c r="AA118" i="11"/>
  <c r="AA126" i="11" s="1"/>
  <c r="Z118" i="11"/>
  <c r="Z126" i="11" s="1"/>
  <c r="X118" i="11"/>
  <c r="X126" i="11" s="1"/>
  <c r="W118" i="11"/>
  <c r="W126" i="11" s="1"/>
  <c r="U118" i="11"/>
  <c r="U126" i="11" s="1"/>
  <c r="T118" i="11"/>
  <c r="T126" i="11" s="1"/>
  <c r="R118" i="11"/>
  <c r="R126" i="11" s="1"/>
  <c r="Q118" i="11"/>
  <c r="Q126" i="11" s="1"/>
  <c r="O118" i="11"/>
  <c r="O126" i="11" s="1"/>
  <c r="N118" i="11"/>
  <c r="N126" i="11" s="1"/>
  <c r="L118" i="11"/>
  <c r="L126" i="11" s="1"/>
  <c r="J118" i="11"/>
  <c r="J126" i="11" s="1"/>
  <c r="H118" i="11"/>
  <c r="H126" i="11" s="1"/>
  <c r="G118" i="11"/>
  <c r="G126" i="11" s="1"/>
  <c r="E118" i="11"/>
  <c r="E126" i="11" s="1"/>
  <c r="D118" i="11"/>
  <c r="D126" i="11" s="1"/>
  <c r="B118" i="11"/>
  <c r="B126" i="11" s="1"/>
  <c r="AF117" i="11"/>
  <c r="AF125" i="11" s="1"/>
  <c r="AD117" i="11"/>
  <c r="AD125" i="11" s="1"/>
  <c r="AC117" i="11"/>
  <c r="AC125" i="11" s="1"/>
  <c r="AA117" i="11"/>
  <c r="AA125" i="11" s="1"/>
  <c r="Z117" i="11"/>
  <c r="Z125" i="11" s="1"/>
  <c r="X117" i="11"/>
  <c r="X125" i="11" s="1"/>
  <c r="W117" i="11"/>
  <c r="W125" i="11" s="1"/>
  <c r="U117" i="11"/>
  <c r="U125" i="11" s="1"/>
  <c r="T117" i="11"/>
  <c r="T125" i="11" s="1"/>
  <c r="R117" i="11"/>
  <c r="R125" i="11" s="1"/>
  <c r="Q117" i="11"/>
  <c r="Q125" i="11" s="1"/>
  <c r="O117" i="11"/>
  <c r="O125" i="11" s="1"/>
  <c r="N117" i="11"/>
  <c r="N125" i="11" s="1"/>
  <c r="L117" i="11"/>
  <c r="L125" i="11" s="1"/>
  <c r="J117" i="11"/>
  <c r="J125" i="11" s="1"/>
  <c r="H117" i="11"/>
  <c r="H125" i="11" s="1"/>
  <c r="G117" i="11"/>
  <c r="G125" i="11" s="1"/>
  <c r="E117" i="11"/>
  <c r="E125" i="11" s="1"/>
  <c r="D117" i="11"/>
  <c r="D125" i="11" s="1"/>
  <c r="B117" i="11"/>
  <c r="B125" i="11" s="1"/>
  <c r="AF116" i="11"/>
  <c r="AF124" i="11" s="1"/>
  <c r="AD129" i="11" s="1"/>
  <c r="AD116" i="11"/>
  <c r="AD124" i="11" s="1"/>
  <c r="AC116" i="11"/>
  <c r="AC124" i="11" s="1"/>
  <c r="AA116" i="11"/>
  <c r="AA124" i="11" s="1"/>
  <c r="Z116" i="11"/>
  <c r="Z153" i="11" s="1"/>
  <c r="X116" i="11"/>
  <c r="X124" i="11" s="1"/>
  <c r="W116" i="11"/>
  <c r="W121" i="11" s="1"/>
  <c r="U116" i="11"/>
  <c r="T116" i="11"/>
  <c r="T150" i="11" s="1"/>
  <c r="R116" i="11"/>
  <c r="R124" i="11" s="1"/>
  <c r="Q116" i="11"/>
  <c r="Q151" i="11" s="1"/>
  <c r="O116" i="11"/>
  <c r="N116" i="11"/>
  <c r="N124" i="11" s="1"/>
  <c r="L116" i="11"/>
  <c r="L124" i="11" s="1"/>
  <c r="J116" i="11"/>
  <c r="J121" i="11" s="1"/>
  <c r="H116" i="11"/>
  <c r="H149" i="11" s="1"/>
  <c r="G116" i="11"/>
  <c r="G121" i="11" s="1"/>
  <c r="E116" i="11"/>
  <c r="D116" i="11"/>
  <c r="D151" i="11" s="1"/>
  <c r="B116" i="11"/>
  <c r="B149" i="11" s="1"/>
  <c r="AF115" i="11"/>
  <c r="AD115" i="11"/>
  <c r="AC115" i="11"/>
  <c r="AA115" i="11"/>
  <c r="Z115" i="11"/>
  <c r="X115" i="11"/>
  <c r="W115" i="11"/>
  <c r="U115" i="11"/>
  <c r="T115" i="11"/>
  <c r="R115" i="11"/>
  <c r="Q115" i="11"/>
  <c r="O115" i="11"/>
  <c r="N115" i="11"/>
  <c r="AK111" i="11" s="1"/>
  <c r="L115" i="11"/>
  <c r="J115" i="11"/>
  <c r="H115" i="11"/>
  <c r="G115" i="11"/>
  <c r="E115" i="11"/>
  <c r="D115" i="11"/>
  <c r="B115" i="11"/>
  <c r="AE114" i="11"/>
  <c r="AB114" i="11"/>
  <c r="Y114" i="11"/>
  <c r="V114" i="11"/>
  <c r="S114" i="11"/>
  <c r="P114" i="11"/>
  <c r="M114" i="11"/>
  <c r="I114" i="11"/>
  <c r="F114" i="11"/>
  <c r="A114" i="11"/>
  <c r="AQ113" i="11"/>
  <c r="AP113" i="11"/>
  <c r="AO113" i="11"/>
  <c r="AN113" i="11"/>
  <c r="AM113" i="11"/>
  <c r="AL113" i="11"/>
  <c r="AK113" i="11"/>
  <c r="AJ113" i="11"/>
  <c r="AI113" i="11"/>
  <c r="AH113" i="11"/>
  <c r="AG113" i="11"/>
  <c r="AE113" i="11"/>
  <c r="AB113" i="11"/>
  <c r="Y113" i="11"/>
  <c r="V113" i="11"/>
  <c r="S113" i="11"/>
  <c r="P113" i="11"/>
  <c r="M113" i="11"/>
  <c r="I113" i="11"/>
  <c r="F113" i="11"/>
  <c r="A113" i="11"/>
  <c r="AQ112" i="11"/>
  <c r="AP112" i="11"/>
  <c r="AO112" i="11"/>
  <c r="AN112" i="11"/>
  <c r="AM112" i="11"/>
  <c r="AL112" i="11"/>
  <c r="AK112" i="11"/>
  <c r="AJ112" i="11"/>
  <c r="AI112" i="11"/>
  <c r="AH112" i="11"/>
  <c r="AR112" i="11" s="1"/>
  <c r="X99" i="11" s="1"/>
  <c r="AG112" i="11"/>
  <c r="AE112" i="11"/>
  <c r="AB112" i="11"/>
  <c r="Y112" i="11"/>
  <c r="V112" i="11"/>
  <c r="S112" i="11"/>
  <c r="P112" i="11"/>
  <c r="M112" i="11"/>
  <c r="I112" i="11"/>
  <c r="F112" i="11"/>
  <c r="A112" i="11"/>
  <c r="AQ111" i="11"/>
  <c r="AP111" i="11"/>
  <c r="AO111" i="11"/>
  <c r="AN111" i="11"/>
  <c r="AM111" i="11"/>
  <c r="AL111" i="11"/>
  <c r="AJ111" i="11"/>
  <c r="AH111" i="11"/>
  <c r="AG111" i="11"/>
  <c r="AE111" i="11"/>
  <c r="AB111" i="11"/>
  <c r="Y111" i="11"/>
  <c r="V111" i="11"/>
  <c r="S111" i="11"/>
  <c r="P111" i="11"/>
  <c r="M111" i="11"/>
  <c r="I111" i="11"/>
  <c r="F111" i="11"/>
  <c r="A111" i="11"/>
  <c r="AQ110" i="11"/>
  <c r="AP110" i="11"/>
  <c r="AO110" i="11"/>
  <c r="AN110" i="11"/>
  <c r="AL110" i="11"/>
  <c r="AK110" i="11"/>
  <c r="AJ110" i="11"/>
  <c r="AH110" i="11"/>
  <c r="AG110" i="11"/>
  <c r="AE110" i="11"/>
  <c r="AB110" i="11"/>
  <c r="Y110" i="11"/>
  <c r="V110" i="11"/>
  <c r="S110" i="11"/>
  <c r="P110" i="11"/>
  <c r="M110" i="11"/>
  <c r="I110" i="11"/>
  <c r="F110" i="11"/>
  <c r="AQ109" i="11"/>
  <c r="AP109" i="11"/>
  <c r="AO109" i="11"/>
  <c r="AN109" i="11"/>
  <c r="AM109" i="11"/>
  <c r="AL109" i="11"/>
  <c r="AK109" i="11"/>
  <c r="AI109" i="11"/>
  <c r="AH109" i="11"/>
  <c r="AG109" i="11"/>
  <c r="AE109" i="11"/>
  <c r="AB109" i="11"/>
  <c r="Y109" i="11"/>
  <c r="V109" i="11"/>
  <c r="S109" i="11"/>
  <c r="P109" i="11"/>
  <c r="M109" i="11"/>
  <c r="I109" i="11"/>
  <c r="F109" i="11"/>
  <c r="AD107" i="11"/>
  <c r="AA107" i="11"/>
  <c r="X107" i="11"/>
  <c r="U107" i="11"/>
  <c r="R107" i="11"/>
  <c r="O107" i="11"/>
  <c r="L107" i="11"/>
  <c r="H107" i="11"/>
  <c r="E107" i="11"/>
  <c r="E102" i="11"/>
  <c r="E101" i="11"/>
  <c r="B168" i="11" s="1"/>
  <c r="A101" i="11"/>
  <c r="E100" i="11"/>
  <c r="E99" i="11"/>
  <c r="B167" i="11" s="1"/>
  <c r="A99" i="11"/>
  <c r="E98" i="11"/>
  <c r="AB180" i="11" s="1"/>
  <c r="E97" i="11"/>
  <c r="A97" i="11"/>
  <c r="E96" i="11"/>
  <c r="R180" i="11" s="1"/>
  <c r="E95" i="11"/>
  <c r="A95" i="11"/>
  <c r="E94" i="11"/>
  <c r="H180" i="11" s="1"/>
  <c r="E93" i="11"/>
  <c r="A93" i="11"/>
  <c r="S92" i="11"/>
  <c r="M92" i="11"/>
  <c r="K91" i="11"/>
  <c r="A89" i="11"/>
  <c r="AF85" i="11"/>
  <c r="AD85" i="11"/>
  <c r="AC85" i="11"/>
  <c r="AA85" i="11"/>
  <c r="Z85" i="11"/>
  <c r="X85" i="11"/>
  <c r="W85" i="11"/>
  <c r="U85" i="11"/>
  <c r="AF76" i="11"/>
  <c r="AD76" i="11"/>
  <c r="AC76" i="11"/>
  <c r="AA76" i="11"/>
  <c r="Z76" i="11"/>
  <c r="X76" i="11"/>
  <c r="W76" i="11"/>
  <c r="U76" i="11"/>
  <c r="T76" i="11"/>
  <c r="R76" i="11"/>
  <c r="Q76" i="11"/>
  <c r="O76" i="11"/>
  <c r="N76" i="11"/>
  <c r="L76" i="11"/>
  <c r="J76" i="11"/>
  <c r="H76" i="11"/>
  <c r="G76" i="11"/>
  <c r="E76" i="11"/>
  <c r="D76" i="11"/>
  <c r="B76" i="11"/>
  <c r="AG76" i="11" s="1"/>
  <c r="AF75" i="11"/>
  <c r="AD75" i="11"/>
  <c r="AC75" i="11"/>
  <c r="AA75" i="11"/>
  <c r="Z75" i="11"/>
  <c r="X75" i="11"/>
  <c r="W75" i="11"/>
  <c r="U75" i="11"/>
  <c r="T75" i="11"/>
  <c r="R75" i="11"/>
  <c r="O75" i="11"/>
  <c r="N75" i="11"/>
  <c r="L75" i="11"/>
  <c r="H75" i="11"/>
  <c r="E75" i="11"/>
  <c r="D75" i="11"/>
  <c r="B75" i="11"/>
  <c r="AF74" i="11"/>
  <c r="AD74" i="11"/>
  <c r="AC74" i="11"/>
  <c r="AA74" i="11"/>
  <c r="Z74" i="11"/>
  <c r="X74" i="11"/>
  <c r="W74" i="11"/>
  <c r="U74" i="11"/>
  <c r="T74" i="11"/>
  <c r="R74" i="11"/>
  <c r="Q74" i="11"/>
  <c r="L74" i="11"/>
  <c r="J74" i="11"/>
  <c r="H74" i="11"/>
  <c r="G74" i="11"/>
  <c r="E74" i="11"/>
  <c r="B74" i="11"/>
  <c r="AF73" i="11"/>
  <c r="AD73" i="11"/>
  <c r="AC73" i="11"/>
  <c r="AA73" i="11"/>
  <c r="Z73" i="11"/>
  <c r="X73" i="11"/>
  <c r="W73" i="11"/>
  <c r="U73" i="11"/>
  <c r="R73" i="11"/>
  <c r="Q73" i="11"/>
  <c r="O73" i="11"/>
  <c r="N73" i="11"/>
  <c r="L73" i="11"/>
  <c r="J73" i="11"/>
  <c r="G73" i="11"/>
  <c r="E73" i="11"/>
  <c r="D73" i="11"/>
  <c r="AF72" i="11"/>
  <c r="AD72" i="11"/>
  <c r="AC72" i="11"/>
  <c r="AA72" i="11"/>
  <c r="Z72" i="11"/>
  <c r="X72" i="11"/>
  <c r="W72" i="11"/>
  <c r="U72" i="11"/>
  <c r="T72" i="11"/>
  <c r="Q72" i="11"/>
  <c r="O72" i="11"/>
  <c r="N72" i="11"/>
  <c r="J72" i="11"/>
  <c r="H72" i="11"/>
  <c r="G72" i="11"/>
  <c r="D72" i="11"/>
  <c r="B72" i="11"/>
  <c r="AF68" i="11"/>
  <c r="AD68" i="11"/>
  <c r="AC68" i="11"/>
  <c r="AA68" i="11"/>
  <c r="Z68" i="11"/>
  <c r="X68" i="11"/>
  <c r="W68" i="11"/>
  <c r="U68" i="11"/>
  <c r="T68" i="11"/>
  <c r="R68" i="11"/>
  <c r="Q68" i="11"/>
  <c r="O68" i="11"/>
  <c r="N68" i="11"/>
  <c r="L68" i="11"/>
  <c r="J68" i="11"/>
  <c r="H68" i="11"/>
  <c r="G68" i="11"/>
  <c r="E68" i="11"/>
  <c r="D68" i="11"/>
  <c r="B68" i="11"/>
  <c r="AG68" i="11" s="1"/>
  <c r="AF67" i="11"/>
  <c r="AD67" i="11"/>
  <c r="AC67" i="11"/>
  <c r="AA67" i="11"/>
  <c r="Z67" i="11"/>
  <c r="X67" i="11"/>
  <c r="W67" i="11"/>
  <c r="U67" i="11"/>
  <c r="T67" i="11"/>
  <c r="R67" i="11"/>
  <c r="O67" i="11"/>
  <c r="N67" i="11"/>
  <c r="L67" i="11"/>
  <c r="H67" i="11"/>
  <c r="E67" i="11"/>
  <c r="D67" i="11"/>
  <c r="B67" i="11"/>
  <c r="AF66" i="11"/>
  <c r="AD66" i="11"/>
  <c r="AC66" i="11"/>
  <c r="AA66" i="11"/>
  <c r="Z66" i="11"/>
  <c r="X66" i="11"/>
  <c r="W66" i="11"/>
  <c r="U66" i="11"/>
  <c r="T66" i="11"/>
  <c r="R66" i="11"/>
  <c r="Q66" i="11"/>
  <c r="L66" i="11"/>
  <c r="J66" i="11"/>
  <c r="H66" i="11"/>
  <c r="G66" i="11"/>
  <c r="E66" i="11"/>
  <c r="B66" i="11"/>
  <c r="AF65" i="11"/>
  <c r="AD65" i="11"/>
  <c r="AC65" i="11"/>
  <c r="AA65" i="11"/>
  <c r="Z65" i="11"/>
  <c r="X65" i="11"/>
  <c r="W65" i="11"/>
  <c r="U65" i="11"/>
  <c r="R65" i="11"/>
  <c r="Q65" i="11"/>
  <c r="O65" i="11"/>
  <c r="N65" i="11"/>
  <c r="L65" i="11"/>
  <c r="J65" i="11"/>
  <c r="G65" i="11"/>
  <c r="E65" i="11"/>
  <c r="D65" i="11"/>
  <c r="AF64" i="11"/>
  <c r="AD64" i="11"/>
  <c r="AC64" i="11"/>
  <c r="AA64" i="11"/>
  <c r="Z64" i="11"/>
  <c r="X64" i="11"/>
  <c r="W64" i="11"/>
  <c r="U64" i="11"/>
  <c r="T64" i="11"/>
  <c r="Q64" i="11"/>
  <c r="O64" i="11"/>
  <c r="N64" i="11"/>
  <c r="J64" i="11"/>
  <c r="H64" i="11"/>
  <c r="G64" i="11"/>
  <c r="D64" i="11"/>
  <c r="B64" i="11"/>
  <c r="AF62" i="11"/>
  <c r="AD62" i="11"/>
  <c r="AC62" i="11"/>
  <c r="AA62" i="11"/>
  <c r="Z62" i="11"/>
  <c r="X62" i="11"/>
  <c r="W62" i="11"/>
  <c r="U62" i="11"/>
  <c r="T62" i="11"/>
  <c r="R62" i="11"/>
  <c r="Q62" i="11"/>
  <c r="O62" i="11"/>
  <c r="N62" i="11"/>
  <c r="L62" i="11"/>
  <c r="J62" i="11"/>
  <c r="H62" i="11"/>
  <c r="G62" i="11"/>
  <c r="E62" i="11"/>
  <c r="D62" i="11"/>
  <c r="B62" i="11"/>
  <c r="AG62" i="11" s="1"/>
  <c r="AF61" i="11"/>
  <c r="AD61" i="11"/>
  <c r="AC61" i="11"/>
  <c r="AA61" i="11"/>
  <c r="Z61" i="11"/>
  <c r="X61" i="11"/>
  <c r="W61" i="11"/>
  <c r="U61" i="11"/>
  <c r="T61" i="11"/>
  <c r="R61" i="11"/>
  <c r="O61" i="11"/>
  <c r="N61" i="11"/>
  <c r="L61" i="11"/>
  <c r="H61" i="11"/>
  <c r="E61" i="11"/>
  <c r="D61" i="11"/>
  <c r="B61" i="11"/>
  <c r="AF60" i="11"/>
  <c r="AD60" i="11"/>
  <c r="AC60" i="11"/>
  <c r="AA60" i="11"/>
  <c r="Z60" i="11"/>
  <c r="X60" i="11"/>
  <c r="W60" i="11"/>
  <c r="U60" i="11"/>
  <c r="T60" i="11"/>
  <c r="R60" i="11"/>
  <c r="Q60" i="11"/>
  <c r="L60" i="11"/>
  <c r="J60" i="11"/>
  <c r="H60" i="11"/>
  <c r="G60" i="11"/>
  <c r="E60" i="11"/>
  <c r="B60" i="11"/>
  <c r="AF59" i="11"/>
  <c r="AD59" i="11"/>
  <c r="AC59" i="11"/>
  <c r="AA59" i="11"/>
  <c r="Z59" i="11"/>
  <c r="X59" i="11"/>
  <c r="W59" i="11"/>
  <c r="U59" i="11"/>
  <c r="R59" i="11"/>
  <c r="Q59" i="11"/>
  <c r="O59" i="11"/>
  <c r="N59" i="11"/>
  <c r="L59" i="11"/>
  <c r="J59" i="11"/>
  <c r="G59" i="11"/>
  <c r="E59" i="11"/>
  <c r="D59" i="11"/>
  <c r="AF58" i="11"/>
  <c r="AD58" i="11"/>
  <c r="AC58" i="11"/>
  <c r="AA58" i="11"/>
  <c r="Z58" i="11"/>
  <c r="X58" i="11"/>
  <c r="W58" i="11"/>
  <c r="U58" i="11"/>
  <c r="T58" i="11"/>
  <c r="Q58" i="11"/>
  <c r="O58" i="11"/>
  <c r="N58" i="11"/>
  <c r="J58" i="11"/>
  <c r="H58" i="11"/>
  <c r="G58" i="11"/>
  <c r="D58" i="11"/>
  <c r="B58" i="11"/>
  <c r="AF56" i="11"/>
  <c r="AD56" i="11"/>
  <c r="AC56" i="11"/>
  <c r="AA56" i="11"/>
  <c r="Z56" i="11"/>
  <c r="X56" i="11"/>
  <c r="W56" i="11"/>
  <c r="U56" i="11"/>
  <c r="T56" i="11"/>
  <c r="R56" i="11"/>
  <c r="Q56" i="11"/>
  <c r="O56" i="11"/>
  <c r="N56" i="11"/>
  <c r="L56" i="11"/>
  <c r="J56" i="11"/>
  <c r="H56" i="11"/>
  <c r="G56" i="11"/>
  <c r="E56" i="11"/>
  <c r="D56" i="11"/>
  <c r="B56" i="11"/>
  <c r="AG56" i="11" s="1"/>
  <c r="AF55" i="11"/>
  <c r="AD55" i="11"/>
  <c r="AC55" i="11"/>
  <c r="AA55" i="11"/>
  <c r="Z55" i="11"/>
  <c r="X55" i="11"/>
  <c r="W55" i="11"/>
  <c r="U55" i="11"/>
  <c r="T55" i="11"/>
  <c r="R55" i="11"/>
  <c r="O55" i="11"/>
  <c r="N55" i="11"/>
  <c r="L55" i="11"/>
  <c r="H55" i="11"/>
  <c r="E55" i="11"/>
  <c r="D55" i="11"/>
  <c r="B55" i="11"/>
  <c r="AF54" i="11"/>
  <c r="AD54" i="11"/>
  <c r="AC54" i="11"/>
  <c r="AA54" i="11"/>
  <c r="Z54" i="11"/>
  <c r="X54" i="11"/>
  <c r="W54" i="11"/>
  <c r="U54" i="11"/>
  <c r="T54" i="11"/>
  <c r="R54" i="11"/>
  <c r="Q54" i="11"/>
  <c r="L54" i="11"/>
  <c r="J54" i="11"/>
  <c r="H54" i="11"/>
  <c r="G54" i="11"/>
  <c r="E54" i="11"/>
  <c r="B54" i="11"/>
  <c r="AF53" i="11"/>
  <c r="AD53" i="11"/>
  <c r="AC53" i="11"/>
  <c r="AA53" i="11"/>
  <c r="Z53" i="11"/>
  <c r="X53" i="11"/>
  <c r="W53" i="11"/>
  <c r="U53" i="11"/>
  <c r="R53" i="11"/>
  <c r="Q53" i="11"/>
  <c r="O53" i="11"/>
  <c r="N53" i="11"/>
  <c r="L53" i="11"/>
  <c r="J53" i="11"/>
  <c r="G53" i="11"/>
  <c r="E53" i="11"/>
  <c r="D53" i="11"/>
  <c r="AF52" i="11"/>
  <c r="AD52" i="11"/>
  <c r="AC52" i="11"/>
  <c r="AA52" i="11"/>
  <c r="Z52" i="11"/>
  <c r="X52" i="11"/>
  <c r="W52" i="11"/>
  <c r="U52" i="11"/>
  <c r="T52" i="11"/>
  <c r="Q52" i="11"/>
  <c r="O52" i="11"/>
  <c r="N52" i="11"/>
  <c r="J52" i="11"/>
  <c r="H52" i="11"/>
  <c r="G52" i="11"/>
  <c r="D52" i="11"/>
  <c r="B52" i="11"/>
  <c r="AF50" i="11"/>
  <c r="AD50" i="11"/>
  <c r="AC50" i="11"/>
  <c r="AA50" i="11"/>
  <c r="Z50" i="11"/>
  <c r="X50" i="11"/>
  <c r="W50" i="11"/>
  <c r="U50" i="11"/>
  <c r="T50" i="11"/>
  <c r="R50" i="11"/>
  <c r="Q50" i="11"/>
  <c r="O50" i="11"/>
  <c r="N50" i="11"/>
  <c r="L50" i="11"/>
  <c r="J50" i="11"/>
  <c r="H50" i="11"/>
  <c r="G50" i="11"/>
  <c r="E50" i="11"/>
  <c r="D50" i="11"/>
  <c r="B50" i="11"/>
  <c r="AG50" i="11" s="1"/>
  <c r="AF49" i="11"/>
  <c r="AD49" i="11"/>
  <c r="AC49" i="11"/>
  <c r="AA49" i="11"/>
  <c r="Z49" i="11"/>
  <c r="X49" i="11"/>
  <c r="W49" i="11"/>
  <c r="U49" i="11"/>
  <c r="T49" i="11"/>
  <c r="R49" i="11"/>
  <c r="O49" i="11"/>
  <c r="N49" i="11"/>
  <c r="L49" i="11"/>
  <c r="H49" i="11"/>
  <c r="E49" i="11"/>
  <c r="D49" i="11"/>
  <c r="B49" i="11"/>
  <c r="AF48" i="11"/>
  <c r="AD48" i="11"/>
  <c r="AC48" i="11"/>
  <c r="AA48" i="11"/>
  <c r="Z48" i="11"/>
  <c r="X48" i="11"/>
  <c r="W48" i="11"/>
  <c r="U48" i="11"/>
  <c r="T48" i="11"/>
  <c r="R48" i="11"/>
  <c r="Q48" i="11"/>
  <c r="L48" i="11"/>
  <c r="J48" i="11"/>
  <c r="H48" i="11"/>
  <c r="G48" i="11"/>
  <c r="E48" i="11"/>
  <c r="B48" i="11"/>
  <c r="AF47" i="11"/>
  <c r="AD47" i="11"/>
  <c r="AC47" i="11"/>
  <c r="AA47" i="11"/>
  <c r="Z47" i="11"/>
  <c r="X47" i="11"/>
  <c r="W47" i="11"/>
  <c r="U47" i="11"/>
  <c r="R47" i="11"/>
  <c r="Q47" i="11"/>
  <c r="O47" i="11"/>
  <c r="N47" i="11"/>
  <c r="L47" i="11"/>
  <c r="J47" i="11"/>
  <c r="G47" i="11"/>
  <c r="E47" i="11"/>
  <c r="D47" i="11"/>
  <c r="AF46" i="11"/>
  <c r="AD46" i="11"/>
  <c r="AC46" i="11"/>
  <c r="AA46" i="11"/>
  <c r="Z46" i="11"/>
  <c r="X46" i="11"/>
  <c r="W46" i="11"/>
  <c r="U46" i="11"/>
  <c r="T46" i="11"/>
  <c r="Q46" i="11"/>
  <c r="O46" i="11"/>
  <c r="N46" i="11"/>
  <c r="J46" i="11"/>
  <c r="H46" i="11"/>
  <c r="G46" i="11"/>
  <c r="D46" i="11"/>
  <c r="B46" i="11"/>
  <c r="U43" i="11"/>
  <c r="H43" i="11"/>
  <c r="O42" i="11"/>
  <c r="U41" i="11"/>
  <c r="B40" i="11"/>
  <c r="AF35" i="11"/>
  <c r="AF43" i="11" s="1"/>
  <c r="AD35" i="11"/>
  <c r="AD43" i="11" s="1"/>
  <c r="AC35" i="11"/>
  <c r="AC43" i="11" s="1"/>
  <c r="AA35" i="11"/>
  <c r="AA43" i="11" s="1"/>
  <c r="Z35" i="11"/>
  <c r="Z43" i="11" s="1"/>
  <c r="X35" i="11"/>
  <c r="X43" i="11" s="1"/>
  <c r="W35" i="11"/>
  <c r="W43" i="11" s="1"/>
  <c r="U35" i="11"/>
  <c r="T35" i="11"/>
  <c r="T43" i="11" s="1"/>
  <c r="R35" i="11"/>
  <c r="R43" i="11" s="1"/>
  <c r="Q35" i="11"/>
  <c r="Q43" i="11" s="1"/>
  <c r="O35" i="11"/>
  <c r="O43" i="11" s="1"/>
  <c r="N35" i="11"/>
  <c r="N43" i="11" s="1"/>
  <c r="L35" i="11"/>
  <c r="L43" i="11" s="1"/>
  <c r="J35" i="11"/>
  <c r="J43" i="11" s="1"/>
  <c r="H35" i="11"/>
  <c r="G35" i="11"/>
  <c r="G43" i="11" s="1"/>
  <c r="E35" i="11"/>
  <c r="E43" i="11" s="1"/>
  <c r="D35" i="11"/>
  <c r="D43" i="11" s="1"/>
  <c r="B35" i="11"/>
  <c r="B43" i="11" s="1"/>
  <c r="AF34" i="11"/>
  <c r="AF42" i="11" s="1"/>
  <c r="AD34" i="11"/>
  <c r="AD42" i="11" s="1"/>
  <c r="AC34" i="11"/>
  <c r="AC42" i="11" s="1"/>
  <c r="AA34" i="11"/>
  <c r="AA42" i="11" s="1"/>
  <c r="Z34" i="11"/>
  <c r="Z42" i="11" s="1"/>
  <c r="X34" i="11"/>
  <c r="X42" i="11" s="1"/>
  <c r="W34" i="11"/>
  <c r="W42" i="11" s="1"/>
  <c r="U34" i="11"/>
  <c r="U42" i="11" s="1"/>
  <c r="T34" i="11"/>
  <c r="T42" i="11" s="1"/>
  <c r="R34" i="11"/>
  <c r="R42" i="11" s="1"/>
  <c r="Q34" i="11"/>
  <c r="Q42" i="11" s="1"/>
  <c r="O34" i="11"/>
  <c r="N34" i="11"/>
  <c r="N42" i="11" s="1"/>
  <c r="L34" i="11"/>
  <c r="L42" i="11" s="1"/>
  <c r="J34" i="11"/>
  <c r="J42" i="11" s="1"/>
  <c r="H34" i="11"/>
  <c r="H42" i="11" s="1"/>
  <c r="G34" i="11"/>
  <c r="G42" i="11" s="1"/>
  <c r="E34" i="11"/>
  <c r="E42" i="11" s="1"/>
  <c r="D34" i="11"/>
  <c r="D42" i="11" s="1"/>
  <c r="B34" i="11"/>
  <c r="B42" i="11" s="1"/>
  <c r="AF33" i="11"/>
  <c r="AF41" i="11" s="1"/>
  <c r="AD33" i="11"/>
  <c r="AD41" i="11" s="1"/>
  <c r="AC33" i="11"/>
  <c r="AC41" i="11" s="1"/>
  <c r="AA33" i="11"/>
  <c r="AA41" i="11" s="1"/>
  <c r="Z33" i="11"/>
  <c r="Z41" i="11" s="1"/>
  <c r="X33" i="11"/>
  <c r="X41" i="11" s="1"/>
  <c r="W33" i="11"/>
  <c r="W41" i="11" s="1"/>
  <c r="U33" i="11"/>
  <c r="T33" i="11"/>
  <c r="T41" i="11" s="1"/>
  <c r="R33" i="11"/>
  <c r="R41" i="11" s="1"/>
  <c r="Q33" i="11"/>
  <c r="Q41" i="11" s="1"/>
  <c r="O33" i="11"/>
  <c r="O41" i="11" s="1"/>
  <c r="N33" i="11"/>
  <c r="N41" i="11" s="1"/>
  <c r="L33" i="11"/>
  <c r="L41" i="11" s="1"/>
  <c r="J33" i="11"/>
  <c r="J41" i="11" s="1"/>
  <c r="H33" i="11"/>
  <c r="H41" i="11" s="1"/>
  <c r="G33" i="11"/>
  <c r="G41" i="11" s="1"/>
  <c r="E33" i="11"/>
  <c r="E41" i="11" s="1"/>
  <c r="D33" i="11"/>
  <c r="D41" i="11" s="1"/>
  <c r="B33" i="11"/>
  <c r="B41" i="11" s="1"/>
  <c r="AF32" i="11"/>
  <c r="AF40" i="11" s="1"/>
  <c r="AD32" i="11"/>
  <c r="AD40" i="11" s="1"/>
  <c r="AC32" i="11"/>
  <c r="AC40" i="11" s="1"/>
  <c r="AA32" i="11"/>
  <c r="AA40" i="11" s="1"/>
  <c r="Z32" i="11"/>
  <c r="Z40" i="11" s="1"/>
  <c r="X32" i="11"/>
  <c r="X40" i="11" s="1"/>
  <c r="W32" i="11"/>
  <c r="W40" i="11" s="1"/>
  <c r="U32" i="11"/>
  <c r="U40" i="11" s="1"/>
  <c r="T32" i="11"/>
  <c r="T40" i="11" s="1"/>
  <c r="R32" i="11"/>
  <c r="R40" i="11" s="1"/>
  <c r="Q32" i="11"/>
  <c r="Q40" i="11" s="1"/>
  <c r="O32" i="11"/>
  <c r="O40" i="11" s="1"/>
  <c r="N32" i="11"/>
  <c r="N40" i="11" s="1"/>
  <c r="L32" i="11"/>
  <c r="L40" i="11" s="1"/>
  <c r="J32" i="11"/>
  <c r="J40" i="11" s="1"/>
  <c r="H32" i="11"/>
  <c r="H40" i="11" s="1"/>
  <c r="G32" i="11"/>
  <c r="G40" i="11" s="1"/>
  <c r="E32" i="11"/>
  <c r="E40" i="11" s="1"/>
  <c r="D32" i="11"/>
  <c r="D40" i="11" s="1"/>
  <c r="B32" i="11"/>
  <c r="AF31" i="11"/>
  <c r="AF39" i="11" s="1"/>
  <c r="AD31" i="11"/>
  <c r="AD39" i="11" s="1"/>
  <c r="AC31" i="11"/>
  <c r="AC36" i="11" s="1"/>
  <c r="AC37" i="11" s="1"/>
  <c r="AA31" i="11"/>
  <c r="AA36" i="11" s="1"/>
  <c r="Z31" i="11"/>
  <c r="Z39" i="11" s="1"/>
  <c r="X31" i="11"/>
  <c r="X39" i="11" s="1"/>
  <c r="W31" i="11"/>
  <c r="W36" i="11" s="1"/>
  <c r="U31" i="11"/>
  <c r="U39" i="11" s="1"/>
  <c r="T31" i="11"/>
  <c r="T36" i="11" s="1"/>
  <c r="R31" i="11"/>
  <c r="R36" i="11" s="1"/>
  <c r="Q31" i="11"/>
  <c r="O31" i="11"/>
  <c r="O36" i="11" s="1"/>
  <c r="N31" i="11"/>
  <c r="L31" i="11"/>
  <c r="J31" i="11"/>
  <c r="H31" i="11"/>
  <c r="G31" i="11"/>
  <c r="E31" i="11"/>
  <c r="D31" i="11"/>
  <c r="B31" i="11"/>
  <c r="B36" i="11" s="1"/>
  <c r="AF30" i="11"/>
  <c r="AD30" i="11"/>
  <c r="AC30" i="11"/>
  <c r="AA30" i="11"/>
  <c r="Z30" i="11"/>
  <c r="X30" i="11"/>
  <c r="W30" i="11"/>
  <c r="U30" i="11"/>
  <c r="T30" i="11"/>
  <c r="AM24" i="11" s="1"/>
  <c r="R30" i="11"/>
  <c r="Q30" i="11"/>
  <c r="AL27" i="11" s="1"/>
  <c r="O30" i="11"/>
  <c r="AL26" i="11" s="1"/>
  <c r="N30" i="11"/>
  <c r="L30" i="11"/>
  <c r="J30" i="11"/>
  <c r="H30" i="11"/>
  <c r="G30" i="11"/>
  <c r="AI24" i="11" s="1"/>
  <c r="E30" i="11"/>
  <c r="D30" i="11"/>
  <c r="AH26" i="11" s="1"/>
  <c r="B30" i="11"/>
  <c r="AE29" i="11"/>
  <c r="AB29" i="11"/>
  <c r="Y29" i="11"/>
  <c r="V29" i="11"/>
  <c r="S29" i="11"/>
  <c r="P29" i="11"/>
  <c r="M29" i="11"/>
  <c r="I29" i="11"/>
  <c r="F29" i="11"/>
  <c r="A29" i="11"/>
  <c r="AQ28" i="11"/>
  <c r="AP28" i="11"/>
  <c r="AO28" i="11"/>
  <c r="AN28" i="11"/>
  <c r="AM28" i="11"/>
  <c r="AL28" i="11"/>
  <c r="AK28" i="11"/>
  <c r="AJ28" i="11"/>
  <c r="AI28" i="11"/>
  <c r="AH28" i="11"/>
  <c r="AG28" i="11"/>
  <c r="AE28" i="11"/>
  <c r="AB28" i="11"/>
  <c r="Y28" i="11"/>
  <c r="V28" i="11"/>
  <c r="S28" i="11"/>
  <c r="P28" i="11"/>
  <c r="M28" i="11"/>
  <c r="I28" i="11"/>
  <c r="F28" i="11"/>
  <c r="A28" i="11"/>
  <c r="AQ27" i="11"/>
  <c r="AP27" i="11"/>
  <c r="AO27" i="11"/>
  <c r="AN27" i="11"/>
  <c r="AM27" i="11"/>
  <c r="AK27" i="11"/>
  <c r="AJ27" i="11"/>
  <c r="AI27" i="11"/>
  <c r="AH27" i="11"/>
  <c r="AG27" i="11"/>
  <c r="AE27" i="11"/>
  <c r="AB27" i="11"/>
  <c r="Y27" i="11"/>
  <c r="V27" i="11"/>
  <c r="S27" i="11"/>
  <c r="P27" i="11"/>
  <c r="M27" i="11"/>
  <c r="I27" i="11"/>
  <c r="F27" i="11"/>
  <c r="A27" i="11"/>
  <c r="AQ26" i="11"/>
  <c r="AP26" i="11"/>
  <c r="AO26" i="11"/>
  <c r="AN26" i="11"/>
  <c r="AM26" i="11"/>
  <c r="AK26" i="11"/>
  <c r="AJ26" i="11"/>
  <c r="AI26" i="11"/>
  <c r="AG26" i="11"/>
  <c r="AE26" i="11"/>
  <c r="AB26" i="11"/>
  <c r="Y26" i="11"/>
  <c r="V26" i="11"/>
  <c r="S26" i="11"/>
  <c r="P26" i="11"/>
  <c r="M26" i="11"/>
  <c r="I26" i="11"/>
  <c r="F26" i="11"/>
  <c r="A26" i="11"/>
  <c r="AQ25" i="11"/>
  <c r="AP25" i="11"/>
  <c r="AO25" i="11"/>
  <c r="AN25" i="11"/>
  <c r="AL25" i="11"/>
  <c r="AK25" i="11"/>
  <c r="AJ25" i="11"/>
  <c r="AI25" i="11"/>
  <c r="AH25" i="11"/>
  <c r="AG25" i="11"/>
  <c r="AE25" i="11"/>
  <c r="AB25" i="11"/>
  <c r="Y25" i="11"/>
  <c r="V25" i="11"/>
  <c r="S25" i="11"/>
  <c r="P25" i="11"/>
  <c r="M25" i="11"/>
  <c r="I25" i="11"/>
  <c r="F25" i="11"/>
  <c r="AQ24" i="11"/>
  <c r="AP24" i="11"/>
  <c r="AO24" i="11"/>
  <c r="AN24" i="11"/>
  <c r="AL24" i="11"/>
  <c r="AK24" i="11"/>
  <c r="AJ24" i="11"/>
  <c r="AH24" i="11"/>
  <c r="AG24" i="11"/>
  <c r="AE24" i="11"/>
  <c r="AB24" i="11"/>
  <c r="Y24" i="11"/>
  <c r="V24" i="11"/>
  <c r="S24" i="11"/>
  <c r="P24" i="11"/>
  <c r="M24" i="11"/>
  <c r="I24" i="11"/>
  <c r="F24" i="11"/>
  <c r="AD22" i="11"/>
  <c r="AA22" i="11"/>
  <c r="X22" i="11"/>
  <c r="U22" i="11"/>
  <c r="R22" i="11"/>
  <c r="O22" i="11"/>
  <c r="L22" i="11"/>
  <c r="H22" i="11"/>
  <c r="E22" i="11"/>
  <c r="E17" i="11"/>
  <c r="AD16" i="11"/>
  <c r="AA16" i="11"/>
  <c r="M16" i="11"/>
  <c r="E16" i="11"/>
  <c r="B83" i="11" s="1"/>
  <c r="A16" i="11"/>
  <c r="E15" i="11"/>
  <c r="AL179" i="11" s="1"/>
  <c r="E14" i="11"/>
  <c r="A14" i="11"/>
  <c r="E13" i="11"/>
  <c r="AB179" i="11" s="1"/>
  <c r="E12" i="11"/>
  <c r="A12" i="11"/>
  <c r="E11" i="11"/>
  <c r="H179" i="11" s="1"/>
  <c r="E10" i="11"/>
  <c r="A10" i="11"/>
  <c r="E9" i="11"/>
  <c r="R179" i="11" s="1"/>
  <c r="E8" i="11"/>
  <c r="A8" i="11"/>
  <c r="S7" i="11"/>
  <c r="M7" i="11"/>
  <c r="K6" i="11"/>
  <c r="Z231" i="10"/>
  <c r="X230" i="10"/>
  <c r="AT233" i="10" s="1"/>
  <c r="AF221" i="10"/>
  <c r="AD221" i="10"/>
  <c r="AC221" i="10"/>
  <c r="AA221" i="10"/>
  <c r="Z221" i="10"/>
  <c r="X221" i="10"/>
  <c r="J221" i="10"/>
  <c r="H221" i="10"/>
  <c r="G221" i="10"/>
  <c r="E221" i="10"/>
  <c r="D221" i="10"/>
  <c r="B221" i="10"/>
  <c r="AF220" i="10"/>
  <c r="AD220" i="10"/>
  <c r="AC220" i="10"/>
  <c r="AC222" i="10" s="1"/>
  <c r="AA220" i="10"/>
  <c r="AA222" i="10" s="1"/>
  <c r="Z220" i="10"/>
  <c r="X220" i="10"/>
  <c r="J220" i="10"/>
  <c r="H220" i="10"/>
  <c r="G220" i="10"/>
  <c r="E220" i="10"/>
  <c r="D220" i="10"/>
  <c r="D222" i="10" s="1"/>
  <c r="B220" i="10"/>
  <c r="B222" i="10" s="1"/>
  <c r="AF219" i="10"/>
  <c r="AF222" i="10" s="1"/>
  <c r="AD219" i="10"/>
  <c r="AD222" i="10" s="1"/>
  <c r="AC219" i="10"/>
  <c r="AA219" i="10"/>
  <c r="Z219" i="10"/>
  <c r="Z222" i="10" s="1"/>
  <c r="X219" i="10"/>
  <c r="X222" i="10" s="1"/>
  <c r="J219" i="10"/>
  <c r="J222" i="10" s="1"/>
  <c r="H219" i="10"/>
  <c r="H222" i="10" s="1"/>
  <c r="G219" i="10"/>
  <c r="G222" i="10" s="1"/>
  <c r="E219" i="10"/>
  <c r="E222" i="10" s="1"/>
  <c r="D219" i="10"/>
  <c r="B219" i="10"/>
  <c r="V195" i="10"/>
  <c r="A174" i="10"/>
  <c r="AF161" i="10"/>
  <c r="AD161" i="10"/>
  <c r="AC161" i="10"/>
  <c r="AA161" i="10"/>
  <c r="X161" i="10"/>
  <c r="W161" i="10"/>
  <c r="U161" i="10"/>
  <c r="T161" i="10"/>
  <c r="R161" i="10"/>
  <c r="Q161" i="10"/>
  <c r="O161" i="10"/>
  <c r="N161" i="10"/>
  <c r="L161" i="10"/>
  <c r="J161" i="10"/>
  <c r="H161" i="10"/>
  <c r="G161" i="10"/>
  <c r="E161" i="10"/>
  <c r="D161" i="10"/>
  <c r="B161" i="10"/>
  <c r="AF160" i="10"/>
  <c r="AD160" i="10"/>
  <c r="AA160" i="10"/>
  <c r="Z160" i="10"/>
  <c r="X160" i="10"/>
  <c r="W160" i="10"/>
  <c r="U160" i="10"/>
  <c r="T160" i="10"/>
  <c r="R160" i="10"/>
  <c r="Q160" i="10"/>
  <c r="O160" i="10"/>
  <c r="N160" i="10"/>
  <c r="L160" i="10"/>
  <c r="J160" i="10"/>
  <c r="H160" i="10"/>
  <c r="G160" i="10"/>
  <c r="E160" i="10"/>
  <c r="D160" i="10"/>
  <c r="B160" i="10"/>
  <c r="AF159" i="10"/>
  <c r="AD159" i="10"/>
  <c r="AC159" i="10"/>
  <c r="Z159" i="10"/>
  <c r="X159" i="10"/>
  <c r="U159" i="10"/>
  <c r="T159" i="10"/>
  <c r="R159" i="10"/>
  <c r="O159" i="10"/>
  <c r="L159" i="10"/>
  <c r="J159" i="10"/>
  <c r="H159" i="10"/>
  <c r="E159" i="10"/>
  <c r="B159" i="10"/>
  <c r="AD158" i="10"/>
  <c r="AC158" i="10"/>
  <c r="AA158" i="10"/>
  <c r="Z158" i="10"/>
  <c r="X158" i="10"/>
  <c r="W158" i="10"/>
  <c r="R158" i="10"/>
  <c r="Q158" i="10"/>
  <c r="N158" i="10"/>
  <c r="L158" i="10"/>
  <c r="H158" i="10"/>
  <c r="G158" i="10"/>
  <c r="D158" i="10"/>
  <c r="B158" i="10"/>
  <c r="AF157" i="10"/>
  <c r="AC157" i="10"/>
  <c r="AA157" i="10"/>
  <c r="Z157" i="10"/>
  <c r="W157" i="10"/>
  <c r="U157" i="10"/>
  <c r="T157" i="10"/>
  <c r="Q157" i="10"/>
  <c r="O157" i="10"/>
  <c r="N157" i="10"/>
  <c r="J157" i="10"/>
  <c r="G157" i="10"/>
  <c r="E157" i="10"/>
  <c r="D157" i="10"/>
  <c r="AF153" i="10"/>
  <c r="AD153" i="10"/>
  <c r="AC153" i="10"/>
  <c r="AA153" i="10"/>
  <c r="X153" i="10"/>
  <c r="W153" i="10"/>
  <c r="U153" i="10"/>
  <c r="T153" i="10"/>
  <c r="R153" i="10"/>
  <c r="Q153" i="10"/>
  <c r="O153" i="10"/>
  <c r="N153" i="10"/>
  <c r="L153" i="10"/>
  <c r="J153" i="10"/>
  <c r="H153" i="10"/>
  <c r="G153" i="10"/>
  <c r="E153" i="10"/>
  <c r="D153" i="10"/>
  <c r="B153" i="10"/>
  <c r="AF152" i="10"/>
  <c r="AD152" i="10"/>
  <c r="AA152" i="10"/>
  <c r="Z152" i="10"/>
  <c r="X152" i="10"/>
  <c r="W152" i="10"/>
  <c r="U152" i="10"/>
  <c r="T152" i="10"/>
  <c r="R152" i="10"/>
  <c r="Q152" i="10"/>
  <c r="O152" i="10"/>
  <c r="N152" i="10"/>
  <c r="L152" i="10"/>
  <c r="J152" i="10"/>
  <c r="H152" i="10"/>
  <c r="G152" i="10"/>
  <c r="E152" i="10"/>
  <c r="D152" i="10"/>
  <c r="B152" i="10"/>
  <c r="AF151" i="10"/>
  <c r="AD151" i="10"/>
  <c r="AC151" i="10"/>
  <c r="Z151" i="10"/>
  <c r="X151" i="10"/>
  <c r="U151" i="10"/>
  <c r="T151" i="10"/>
  <c r="R151" i="10"/>
  <c r="O151" i="10"/>
  <c r="L151" i="10"/>
  <c r="J151" i="10"/>
  <c r="H151" i="10"/>
  <c r="E151" i="10"/>
  <c r="B151" i="10"/>
  <c r="AD150" i="10"/>
  <c r="AC150" i="10"/>
  <c r="AA150" i="10"/>
  <c r="Z150" i="10"/>
  <c r="X150" i="10"/>
  <c r="W150" i="10"/>
  <c r="R150" i="10"/>
  <c r="Q150" i="10"/>
  <c r="N150" i="10"/>
  <c r="L150" i="10"/>
  <c r="H150" i="10"/>
  <c r="G150" i="10"/>
  <c r="D150" i="10"/>
  <c r="B150" i="10"/>
  <c r="AF149" i="10"/>
  <c r="AC149" i="10"/>
  <c r="AA149" i="10"/>
  <c r="Z149" i="10"/>
  <c r="W149" i="10"/>
  <c r="U149" i="10"/>
  <c r="T149" i="10"/>
  <c r="Q149" i="10"/>
  <c r="O149" i="10"/>
  <c r="N149" i="10"/>
  <c r="J149" i="10"/>
  <c r="G149" i="10"/>
  <c r="E149" i="10"/>
  <c r="D149" i="10"/>
  <c r="AF147" i="10"/>
  <c r="AD147" i="10"/>
  <c r="AC147" i="10"/>
  <c r="AA147" i="10"/>
  <c r="X147" i="10"/>
  <c r="W147" i="10"/>
  <c r="U147" i="10"/>
  <c r="T147" i="10"/>
  <c r="R147" i="10"/>
  <c r="Q147" i="10"/>
  <c r="O147" i="10"/>
  <c r="N147" i="10"/>
  <c r="L147" i="10"/>
  <c r="J147" i="10"/>
  <c r="H147" i="10"/>
  <c r="G147" i="10"/>
  <c r="E147" i="10"/>
  <c r="D147" i="10"/>
  <c r="B147" i="10"/>
  <c r="AF146" i="10"/>
  <c r="AD146" i="10"/>
  <c r="AA146" i="10"/>
  <c r="Z146" i="10"/>
  <c r="X146" i="10"/>
  <c r="W146" i="10"/>
  <c r="U146" i="10"/>
  <c r="T146" i="10"/>
  <c r="R146" i="10"/>
  <c r="Q146" i="10"/>
  <c r="O146" i="10"/>
  <c r="N146" i="10"/>
  <c r="L146" i="10"/>
  <c r="J146" i="10"/>
  <c r="H146" i="10"/>
  <c r="G146" i="10"/>
  <c r="E146" i="10"/>
  <c r="D146" i="10"/>
  <c r="B146" i="10"/>
  <c r="AF145" i="10"/>
  <c r="AD145" i="10"/>
  <c r="AC145" i="10"/>
  <c r="Z145" i="10"/>
  <c r="X145" i="10"/>
  <c r="U145" i="10"/>
  <c r="T145" i="10"/>
  <c r="R145" i="10"/>
  <c r="O145" i="10"/>
  <c r="L145" i="10"/>
  <c r="J145" i="10"/>
  <c r="H145" i="10"/>
  <c r="E145" i="10"/>
  <c r="B145" i="10"/>
  <c r="AD144" i="10"/>
  <c r="AC144" i="10"/>
  <c r="AA144" i="10"/>
  <c r="Z144" i="10"/>
  <c r="X144" i="10"/>
  <c r="W144" i="10"/>
  <c r="R144" i="10"/>
  <c r="Q144" i="10"/>
  <c r="N144" i="10"/>
  <c r="L144" i="10"/>
  <c r="H144" i="10"/>
  <c r="G144" i="10"/>
  <c r="D144" i="10"/>
  <c r="B144" i="10"/>
  <c r="AF143" i="10"/>
  <c r="AC143" i="10"/>
  <c r="AA143" i="10"/>
  <c r="Z143" i="10"/>
  <c r="W143" i="10"/>
  <c r="U143" i="10"/>
  <c r="T143" i="10"/>
  <c r="Q143" i="10"/>
  <c r="O143" i="10"/>
  <c r="N143" i="10"/>
  <c r="J143" i="10"/>
  <c r="G143" i="10"/>
  <c r="E143" i="10"/>
  <c r="D143" i="10"/>
  <c r="AF141" i="10"/>
  <c r="AD141" i="10"/>
  <c r="AC141" i="10"/>
  <c r="AA141" i="10"/>
  <c r="X141" i="10"/>
  <c r="W141" i="10"/>
  <c r="U141" i="10"/>
  <c r="T141" i="10"/>
  <c r="R141" i="10"/>
  <c r="Q141" i="10"/>
  <c r="O141" i="10"/>
  <c r="N141" i="10"/>
  <c r="L141" i="10"/>
  <c r="J141" i="10"/>
  <c r="H141" i="10"/>
  <c r="G141" i="10"/>
  <c r="E141" i="10"/>
  <c r="D141" i="10"/>
  <c r="B141" i="10"/>
  <c r="AF140" i="10"/>
  <c r="AD140" i="10"/>
  <c r="AA140" i="10"/>
  <c r="Z140" i="10"/>
  <c r="X140" i="10"/>
  <c r="W140" i="10"/>
  <c r="U140" i="10"/>
  <c r="T140" i="10"/>
  <c r="R140" i="10"/>
  <c r="Q140" i="10"/>
  <c r="O140" i="10"/>
  <c r="N140" i="10"/>
  <c r="L140" i="10"/>
  <c r="J140" i="10"/>
  <c r="H140" i="10"/>
  <c r="G140" i="10"/>
  <c r="E140" i="10"/>
  <c r="D140" i="10"/>
  <c r="B140" i="10"/>
  <c r="AF139" i="10"/>
  <c r="AD139" i="10"/>
  <c r="AC139" i="10"/>
  <c r="Z139" i="10"/>
  <c r="X139" i="10"/>
  <c r="U139" i="10"/>
  <c r="T139" i="10"/>
  <c r="R139" i="10"/>
  <c r="O139" i="10"/>
  <c r="L139" i="10"/>
  <c r="J139" i="10"/>
  <c r="H139" i="10"/>
  <c r="E139" i="10"/>
  <c r="B139" i="10"/>
  <c r="AD138" i="10"/>
  <c r="AC138" i="10"/>
  <c r="AA138" i="10"/>
  <c r="Z138" i="10"/>
  <c r="X138" i="10"/>
  <c r="W138" i="10"/>
  <c r="R138" i="10"/>
  <c r="Q138" i="10"/>
  <c r="N138" i="10"/>
  <c r="L138" i="10"/>
  <c r="H138" i="10"/>
  <c r="G138" i="10"/>
  <c r="D138" i="10"/>
  <c r="B138" i="10"/>
  <c r="AF137" i="10"/>
  <c r="AC137" i="10"/>
  <c r="AA137" i="10"/>
  <c r="Z137" i="10"/>
  <c r="W137" i="10"/>
  <c r="U137" i="10"/>
  <c r="T137" i="10"/>
  <c r="Q137" i="10"/>
  <c r="O137" i="10"/>
  <c r="N137" i="10"/>
  <c r="J137" i="10"/>
  <c r="G137" i="10"/>
  <c r="E137" i="10"/>
  <c r="D137" i="10"/>
  <c r="AF135" i="10"/>
  <c r="AD135" i="10"/>
  <c r="AC135" i="10"/>
  <c r="AA135" i="10"/>
  <c r="X135" i="10"/>
  <c r="W135" i="10"/>
  <c r="U135" i="10"/>
  <c r="T135" i="10"/>
  <c r="R135" i="10"/>
  <c r="Q135" i="10"/>
  <c r="O135" i="10"/>
  <c r="N135" i="10"/>
  <c r="L135" i="10"/>
  <c r="J135" i="10"/>
  <c r="H135" i="10"/>
  <c r="G135" i="10"/>
  <c r="E135" i="10"/>
  <c r="D135" i="10"/>
  <c r="B135" i="10"/>
  <c r="AF134" i="10"/>
  <c r="AD134" i="10"/>
  <c r="AA134" i="10"/>
  <c r="Z134" i="10"/>
  <c r="X134" i="10"/>
  <c r="W134" i="10"/>
  <c r="U134" i="10"/>
  <c r="T134" i="10"/>
  <c r="R134" i="10"/>
  <c r="Q134" i="10"/>
  <c r="O134" i="10"/>
  <c r="N134" i="10"/>
  <c r="L134" i="10"/>
  <c r="J134" i="10"/>
  <c r="H134" i="10"/>
  <c r="G134" i="10"/>
  <c r="E134" i="10"/>
  <c r="D134" i="10"/>
  <c r="B134" i="10"/>
  <c r="AF133" i="10"/>
  <c r="AD133" i="10"/>
  <c r="AC133" i="10"/>
  <c r="Z133" i="10"/>
  <c r="X133" i="10"/>
  <c r="U133" i="10"/>
  <c r="T133" i="10"/>
  <c r="R133" i="10"/>
  <c r="O133" i="10"/>
  <c r="L133" i="10"/>
  <c r="J133" i="10"/>
  <c r="H133" i="10"/>
  <c r="E133" i="10"/>
  <c r="B133" i="10"/>
  <c r="AD132" i="10"/>
  <c r="AC132" i="10"/>
  <c r="AA132" i="10"/>
  <c r="Z132" i="10"/>
  <c r="X132" i="10"/>
  <c r="W132" i="10"/>
  <c r="R132" i="10"/>
  <c r="Q132" i="10"/>
  <c r="N132" i="10"/>
  <c r="L132" i="10"/>
  <c r="H132" i="10"/>
  <c r="G132" i="10"/>
  <c r="D132" i="10"/>
  <c r="B132" i="10"/>
  <c r="AF131" i="10"/>
  <c r="AC131" i="10"/>
  <c r="AA131" i="10"/>
  <c r="Z131" i="10"/>
  <c r="W131" i="10"/>
  <c r="U131" i="10"/>
  <c r="T131" i="10"/>
  <c r="Q131" i="10"/>
  <c r="O131" i="10"/>
  <c r="N131" i="10"/>
  <c r="J131" i="10"/>
  <c r="G131" i="10"/>
  <c r="E131" i="10"/>
  <c r="D131" i="10"/>
  <c r="AD128" i="10"/>
  <c r="X128" i="10"/>
  <c r="R128" i="10"/>
  <c r="E128" i="10"/>
  <c r="AD127" i="10"/>
  <c r="X127" i="10"/>
  <c r="L127" i="10"/>
  <c r="E127" i="10"/>
  <c r="AD126" i="10"/>
  <c r="L126" i="10"/>
  <c r="AD125" i="10"/>
  <c r="R125" i="10"/>
  <c r="X124" i="10"/>
  <c r="AF120" i="10"/>
  <c r="AF128" i="10" s="1"/>
  <c r="AD120" i="10"/>
  <c r="AC120" i="10"/>
  <c r="AC128" i="10" s="1"/>
  <c r="AA120" i="10"/>
  <c r="AA128" i="10" s="1"/>
  <c r="Z120" i="10"/>
  <c r="Z128" i="10" s="1"/>
  <c r="X120" i="10"/>
  <c r="W120" i="10"/>
  <c r="W128" i="10" s="1"/>
  <c r="U120" i="10"/>
  <c r="U128" i="10" s="1"/>
  <c r="T120" i="10"/>
  <c r="T128" i="10" s="1"/>
  <c r="R120" i="10"/>
  <c r="Q120" i="10"/>
  <c r="Q128" i="10" s="1"/>
  <c r="O120" i="10"/>
  <c r="O128" i="10" s="1"/>
  <c r="N120" i="10"/>
  <c r="N128" i="10" s="1"/>
  <c r="L120" i="10"/>
  <c r="L128" i="10" s="1"/>
  <c r="J120" i="10"/>
  <c r="J128" i="10" s="1"/>
  <c r="H120" i="10"/>
  <c r="H128" i="10" s="1"/>
  <c r="G120" i="10"/>
  <c r="G128" i="10" s="1"/>
  <c r="E120" i="10"/>
  <c r="D120" i="10"/>
  <c r="D128" i="10" s="1"/>
  <c r="B120" i="10"/>
  <c r="B128" i="10" s="1"/>
  <c r="AF119" i="10"/>
  <c r="AF127" i="10" s="1"/>
  <c r="AD119" i="10"/>
  <c r="AC119" i="10"/>
  <c r="AC127" i="10" s="1"/>
  <c r="AA119" i="10"/>
  <c r="AA127" i="10" s="1"/>
  <c r="Z119" i="10"/>
  <c r="Z127" i="10" s="1"/>
  <c r="X119" i="10"/>
  <c r="W119" i="10"/>
  <c r="W127" i="10" s="1"/>
  <c r="U119" i="10"/>
  <c r="U127" i="10" s="1"/>
  <c r="T119" i="10"/>
  <c r="T127" i="10" s="1"/>
  <c r="R119" i="10"/>
  <c r="R127" i="10" s="1"/>
  <c r="Q119" i="10"/>
  <c r="Q127" i="10" s="1"/>
  <c r="O119" i="10"/>
  <c r="O127" i="10" s="1"/>
  <c r="N119" i="10"/>
  <c r="N127" i="10" s="1"/>
  <c r="L119" i="10"/>
  <c r="J119" i="10"/>
  <c r="J127" i="10" s="1"/>
  <c r="H119" i="10"/>
  <c r="H127" i="10" s="1"/>
  <c r="G119" i="10"/>
  <c r="G127" i="10" s="1"/>
  <c r="E119" i="10"/>
  <c r="D119" i="10"/>
  <c r="D127" i="10" s="1"/>
  <c r="B119" i="10"/>
  <c r="B127" i="10" s="1"/>
  <c r="AF118" i="10"/>
  <c r="AF126" i="10" s="1"/>
  <c r="AD118" i="10"/>
  <c r="AC118" i="10"/>
  <c r="AC126" i="10" s="1"/>
  <c r="AA118" i="10"/>
  <c r="AA126" i="10" s="1"/>
  <c r="Z118" i="10"/>
  <c r="Z126" i="10" s="1"/>
  <c r="X118" i="10"/>
  <c r="X126" i="10" s="1"/>
  <c r="W118" i="10"/>
  <c r="W126" i="10" s="1"/>
  <c r="U118" i="10"/>
  <c r="U126" i="10" s="1"/>
  <c r="T118" i="10"/>
  <c r="T126" i="10" s="1"/>
  <c r="R118" i="10"/>
  <c r="R126" i="10" s="1"/>
  <c r="Q118" i="10"/>
  <c r="Q126" i="10" s="1"/>
  <c r="O118" i="10"/>
  <c r="O126" i="10" s="1"/>
  <c r="N118" i="10"/>
  <c r="N126" i="10" s="1"/>
  <c r="L118" i="10"/>
  <c r="J118" i="10"/>
  <c r="J126" i="10" s="1"/>
  <c r="H118" i="10"/>
  <c r="H126" i="10" s="1"/>
  <c r="G118" i="10"/>
  <c r="G126" i="10" s="1"/>
  <c r="E118" i="10"/>
  <c r="E126" i="10" s="1"/>
  <c r="D118" i="10"/>
  <c r="D126" i="10" s="1"/>
  <c r="B118" i="10"/>
  <c r="B126" i="10" s="1"/>
  <c r="AF117" i="10"/>
  <c r="AF125" i="10" s="1"/>
  <c r="AD117" i="10"/>
  <c r="AC117" i="10"/>
  <c r="AC125" i="10" s="1"/>
  <c r="AA117" i="10"/>
  <c r="AA125" i="10" s="1"/>
  <c r="Z117" i="10"/>
  <c r="Z125" i="10" s="1"/>
  <c r="X117" i="10"/>
  <c r="X125" i="10" s="1"/>
  <c r="W117" i="10"/>
  <c r="W125" i="10" s="1"/>
  <c r="U117" i="10"/>
  <c r="U125" i="10" s="1"/>
  <c r="T117" i="10"/>
  <c r="T125" i="10" s="1"/>
  <c r="R117" i="10"/>
  <c r="Q117" i="10"/>
  <c r="Q125" i="10" s="1"/>
  <c r="O117" i="10"/>
  <c r="O125" i="10" s="1"/>
  <c r="N117" i="10"/>
  <c r="N125" i="10" s="1"/>
  <c r="L117" i="10"/>
  <c r="L125" i="10" s="1"/>
  <c r="J117" i="10"/>
  <c r="J125" i="10" s="1"/>
  <c r="H117" i="10"/>
  <c r="H125" i="10" s="1"/>
  <c r="G117" i="10"/>
  <c r="G125" i="10" s="1"/>
  <c r="E117" i="10"/>
  <c r="E125" i="10" s="1"/>
  <c r="D117" i="10"/>
  <c r="D125" i="10" s="1"/>
  <c r="B117" i="10"/>
  <c r="B125" i="10" s="1"/>
  <c r="AF116" i="10"/>
  <c r="AF150" i="10" s="1"/>
  <c r="AD116" i="10"/>
  <c r="AD124" i="10" s="1"/>
  <c r="AC116" i="10"/>
  <c r="AC121" i="10" s="1"/>
  <c r="AA116" i="10"/>
  <c r="AA121" i="10" s="1"/>
  <c r="AA122" i="10" s="1"/>
  <c r="Z116" i="10"/>
  <c r="Z124" i="10" s="1"/>
  <c r="X116" i="10"/>
  <c r="X149" i="10" s="1"/>
  <c r="W116" i="10"/>
  <c r="W151" i="10" s="1"/>
  <c r="U116" i="10"/>
  <c r="U124" i="10" s="1"/>
  <c r="T116" i="10"/>
  <c r="T150" i="10" s="1"/>
  <c r="R116" i="10"/>
  <c r="R124" i="10" s="1"/>
  <c r="Q116" i="10"/>
  <c r="Q121" i="10" s="1"/>
  <c r="O116" i="10"/>
  <c r="O121" i="10" s="1"/>
  <c r="N116" i="10"/>
  <c r="N124" i="10" s="1"/>
  <c r="L116" i="10"/>
  <c r="L149" i="10" s="1"/>
  <c r="J116" i="10"/>
  <c r="J124" i="10" s="1"/>
  <c r="H116" i="10"/>
  <c r="H124" i="10" s="1"/>
  <c r="G116" i="10"/>
  <c r="G151" i="10" s="1"/>
  <c r="E116" i="10"/>
  <c r="E150" i="10" s="1"/>
  <c r="D116" i="10"/>
  <c r="D121" i="10" s="1"/>
  <c r="B116" i="10"/>
  <c r="B149" i="10" s="1"/>
  <c r="AF115" i="10"/>
  <c r="AD115" i="10"/>
  <c r="AC115" i="10"/>
  <c r="AA115" i="10"/>
  <c r="Z115" i="10"/>
  <c r="X115" i="10"/>
  <c r="W115" i="10"/>
  <c r="U115" i="10"/>
  <c r="T115" i="10"/>
  <c r="AM110" i="10" s="1"/>
  <c r="R115" i="10"/>
  <c r="Q115" i="10"/>
  <c r="AL111" i="10" s="1"/>
  <c r="O115" i="10"/>
  <c r="N115" i="10"/>
  <c r="AK111" i="10" s="1"/>
  <c r="L115" i="10"/>
  <c r="J115" i="10"/>
  <c r="H115" i="10"/>
  <c r="AJ109" i="10" s="1"/>
  <c r="G115" i="10"/>
  <c r="AI110" i="10" s="1"/>
  <c r="E115" i="10"/>
  <c r="D115" i="10"/>
  <c r="B115" i="10"/>
  <c r="AE114" i="10"/>
  <c r="AB114" i="10"/>
  <c r="Y114" i="10"/>
  <c r="V114" i="10"/>
  <c r="S114" i="10"/>
  <c r="P114" i="10"/>
  <c r="M114" i="10"/>
  <c r="I114" i="10"/>
  <c r="F114" i="10"/>
  <c r="A114" i="10"/>
  <c r="AQ113" i="10"/>
  <c r="AP113" i="10"/>
  <c r="AO113" i="10"/>
  <c r="AN113" i="10"/>
  <c r="AM113" i="10"/>
  <c r="AL113" i="10"/>
  <c r="AK113" i="10"/>
  <c r="AJ113" i="10"/>
  <c r="AI113" i="10"/>
  <c r="AH113" i="10"/>
  <c r="AR113" i="10" s="1"/>
  <c r="AG113" i="10"/>
  <c r="AE113" i="10"/>
  <c r="AB113" i="10"/>
  <c r="Y113" i="10"/>
  <c r="V113" i="10"/>
  <c r="S113" i="10"/>
  <c r="P113" i="10"/>
  <c r="M113" i="10"/>
  <c r="I113" i="10"/>
  <c r="F113" i="10"/>
  <c r="A113" i="10"/>
  <c r="AQ112" i="10"/>
  <c r="AP112" i="10"/>
  <c r="AO112" i="10"/>
  <c r="AN112" i="10"/>
  <c r="AM112" i="10"/>
  <c r="AL112" i="10"/>
  <c r="AK112" i="10"/>
  <c r="AJ112" i="10"/>
  <c r="AI112" i="10"/>
  <c r="AH112" i="10"/>
  <c r="AG112" i="10"/>
  <c r="AE112" i="10"/>
  <c r="AB112" i="10"/>
  <c r="Y112" i="10"/>
  <c r="V112" i="10"/>
  <c r="S112" i="10"/>
  <c r="P112" i="10"/>
  <c r="M112" i="10"/>
  <c r="I112" i="10"/>
  <c r="F112" i="10"/>
  <c r="A112" i="10"/>
  <c r="AQ111" i="10"/>
  <c r="AP111" i="10"/>
  <c r="AO111" i="10"/>
  <c r="AN111" i="10"/>
  <c r="AM111" i="10"/>
  <c r="AJ111" i="10"/>
  <c r="AI111" i="10"/>
  <c r="AH111" i="10"/>
  <c r="AG111" i="10"/>
  <c r="AE111" i="10"/>
  <c r="AB111" i="10"/>
  <c r="Y111" i="10"/>
  <c r="V111" i="10"/>
  <c r="S111" i="10"/>
  <c r="P111" i="10"/>
  <c r="M111" i="10"/>
  <c r="I111" i="10"/>
  <c r="F111" i="10"/>
  <c r="A111" i="10"/>
  <c r="AQ110" i="10"/>
  <c r="AP110" i="10"/>
  <c r="AO110" i="10"/>
  <c r="AN110" i="10"/>
  <c r="AL110" i="10"/>
  <c r="AK110" i="10"/>
  <c r="AJ110" i="10"/>
  <c r="AH110" i="10"/>
  <c r="AG110" i="10"/>
  <c r="AE110" i="10"/>
  <c r="AB110" i="10"/>
  <c r="Y110" i="10"/>
  <c r="V110" i="10"/>
  <c r="S110" i="10"/>
  <c r="P110" i="10"/>
  <c r="M110" i="10"/>
  <c r="I110" i="10"/>
  <c r="F110" i="10"/>
  <c r="AQ109" i="10"/>
  <c r="AP109" i="10"/>
  <c r="AO109" i="10"/>
  <c r="AN109" i="10"/>
  <c r="AM109" i="10"/>
  <c r="AL109" i="10"/>
  <c r="AK109" i="10"/>
  <c r="AI109" i="10"/>
  <c r="AH109" i="10"/>
  <c r="AG109" i="10"/>
  <c r="AE109" i="10"/>
  <c r="AB109" i="10"/>
  <c r="Y109" i="10"/>
  <c r="V109" i="10"/>
  <c r="S109" i="10"/>
  <c r="P109" i="10"/>
  <c r="M109" i="10"/>
  <c r="I109" i="10"/>
  <c r="F109" i="10"/>
  <c r="AD107" i="10"/>
  <c r="AA107" i="10"/>
  <c r="X107" i="10"/>
  <c r="U107" i="10"/>
  <c r="R107" i="10"/>
  <c r="O107" i="10"/>
  <c r="L107" i="10"/>
  <c r="H107" i="10"/>
  <c r="E107" i="10"/>
  <c r="E102" i="10"/>
  <c r="X101" i="10"/>
  <c r="E101" i="10"/>
  <c r="B168" i="10" s="1"/>
  <c r="A101" i="10"/>
  <c r="E100" i="10"/>
  <c r="E99" i="10"/>
  <c r="B167" i="10" s="1"/>
  <c r="A99" i="10"/>
  <c r="E98" i="10"/>
  <c r="AB180" i="10" s="1"/>
  <c r="AH211" i="10" s="1"/>
  <c r="E97" i="10"/>
  <c r="V180" i="10" s="1"/>
  <c r="Y211" i="10" s="1"/>
  <c r="A97" i="10"/>
  <c r="E96" i="10"/>
  <c r="H180" i="10" s="1"/>
  <c r="K211" i="10" s="1"/>
  <c r="E95" i="10"/>
  <c r="B165" i="10" s="1"/>
  <c r="A95" i="10"/>
  <c r="E94" i="10"/>
  <c r="R180" i="10" s="1"/>
  <c r="K213" i="10" s="1"/>
  <c r="E93" i="10"/>
  <c r="B164" i="10" s="1"/>
  <c r="A93" i="10"/>
  <c r="S92" i="10"/>
  <c r="M92" i="10"/>
  <c r="K91" i="10"/>
  <c r="A89" i="10"/>
  <c r="AF85" i="10"/>
  <c r="AD85" i="10"/>
  <c r="AC85" i="10"/>
  <c r="AA85" i="10"/>
  <c r="Z85" i="10"/>
  <c r="X85" i="10"/>
  <c r="W85" i="10"/>
  <c r="U85" i="10"/>
  <c r="AF76" i="10"/>
  <c r="AD76" i="10"/>
  <c r="AC76" i="10"/>
  <c r="AA76" i="10"/>
  <c r="Z76" i="10"/>
  <c r="X76" i="10"/>
  <c r="W76" i="10"/>
  <c r="U76" i="10"/>
  <c r="T76" i="10"/>
  <c r="R76" i="10"/>
  <c r="Q76" i="10"/>
  <c r="O76" i="10"/>
  <c r="N76" i="10"/>
  <c r="L76" i="10"/>
  <c r="J76" i="10"/>
  <c r="H76" i="10"/>
  <c r="G76" i="10"/>
  <c r="E76" i="10"/>
  <c r="D76" i="10"/>
  <c r="B76" i="10"/>
  <c r="AF75" i="10"/>
  <c r="AD75" i="10"/>
  <c r="AC75" i="10"/>
  <c r="AA75" i="10"/>
  <c r="Z75" i="10"/>
  <c r="X75" i="10"/>
  <c r="W75" i="10"/>
  <c r="U75" i="10"/>
  <c r="T75" i="10"/>
  <c r="R75" i="10"/>
  <c r="O75" i="10"/>
  <c r="N75" i="10"/>
  <c r="L75" i="10"/>
  <c r="H75" i="10"/>
  <c r="E75" i="10"/>
  <c r="D75" i="10"/>
  <c r="B75" i="10"/>
  <c r="AF74" i="10"/>
  <c r="AD74" i="10"/>
  <c r="AC74" i="10"/>
  <c r="AA74" i="10"/>
  <c r="Z74" i="10"/>
  <c r="X74" i="10"/>
  <c r="W74" i="10"/>
  <c r="U74" i="10"/>
  <c r="T74" i="10"/>
  <c r="R74" i="10"/>
  <c r="Q74" i="10"/>
  <c r="L74" i="10"/>
  <c r="J74" i="10"/>
  <c r="H74" i="10"/>
  <c r="G74" i="10"/>
  <c r="E74" i="10"/>
  <c r="B74" i="10"/>
  <c r="AF73" i="10"/>
  <c r="AD73" i="10"/>
  <c r="AC73" i="10"/>
  <c r="AA73" i="10"/>
  <c r="Z73" i="10"/>
  <c r="X73" i="10"/>
  <c r="W73" i="10"/>
  <c r="U73" i="10"/>
  <c r="R73" i="10"/>
  <c r="Q73" i="10"/>
  <c r="O73" i="10"/>
  <c r="N73" i="10"/>
  <c r="L73" i="10"/>
  <c r="J73" i="10"/>
  <c r="G73" i="10"/>
  <c r="E73" i="10"/>
  <c r="D73" i="10"/>
  <c r="AF72" i="10"/>
  <c r="AD72" i="10"/>
  <c r="AC72" i="10"/>
  <c r="AA72" i="10"/>
  <c r="Z72" i="10"/>
  <c r="X72" i="10"/>
  <c r="W72" i="10"/>
  <c r="U72" i="10"/>
  <c r="T72" i="10"/>
  <c r="Q72" i="10"/>
  <c r="O72" i="10"/>
  <c r="N72" i="10"/>
  <c r="J72" i="10"/>
  <c r="H72" i="10"/>
  <c r="G72" i="10"/>
  <c r="D72" i="10"/>
  <c r="B72" i="10"/>
  <c r="AF68" i="10"/>
  <c r="AD68" i="10"/>
  <c r="AC68" i="10"/>
  <c r="AA68" i="10"/>
  <c r="Z68" i="10"/>
  <c r="X68" i="10"/>
  <c r="W68" i="10"/>
  <c r="U68" i="10"/>
  <c r="T68" i="10"/>
  <c r="R68" i="10"/>
  <c r="Q68" i="10"/>
  <c r="O68" i="10"/>
  <c r="N68" i="10"/>
  <c r="L68" i="10"/>
  <c r="J68" i="10"/>
  <c r="H68" i="10"/>
  <c r="G68" i="10"/>
  <c r="E68" i="10"/>
  <c r="D68" i="10"/>
  <c r="B68" i="10"/>
  <c r="AF67" i="10"/>
  <c r="AD67" i="10"/>
  <c r="AC67" i="10"/>
  <c r="AA67" i="10"/>
  <c r="Z67" i="10"/>
  <c r="X67" i="10"/>
  <c r="W67" i="10"/>
  <c r="U67" i="10"/>
  <c r="T67" i="10"/>
  <c r="R67" i="10"/>
  <c r="O67" i="10"/>
  <c r="N67" i="10"/>
  <c r="L67" i="10"/>
  <c r="H67" i="10"/>
  <c r="E67" i="10"/>
  <c r="D67" i="10"/>
  <c r="B67" i="10"/>
  <c r="AF66" i="10"/>
  <c r="AD66" i="10"/>
  <c r="AC66" i="10"/>
  <c r="AA66" i="10"/>
  <c r="Z66" i="10"/>
  <c r="X66" i="10"/>
  <c r="W66" i="10"/>
  <c r="U66" i="10"/>
  <c r="T66" i="10"/>
  <c r="R66" i="10"/>
  <c r="Q66" i="10"/>
  <c r="L66" i="10"/>
  <c r="J66" i="10"/>
  <c r="H66" i="10"/>
  <c r="G66" i="10"/>
  <c r="E66" i="10"/>
  <c r="B66" i="10"/>
  <c r="AF65" i="10"/>
  <c r="AD65" i="10"/>
  <c r="AC65" i="10"/>
  <c r="AA65" i="10"/>
  <c r="Z65" i="10"/>
  <c r="X65" i="10"/>
  <c r="W65" i="10"/>
  <c r="U65" i="10"/>
  <c r="R65" i="10"/>
  <c r="Q65" i="10"/>
  <c r="O65" i="10"/>
  <c r="N65" i="10"/>
  <c r="L65" i="10"/>
  <c r="J65" i="10"/>
  <c r="G65" i="10"/>
  <c r="E65" i="10"/>
  <c r="D65" i="10"/>
  <c r="AF64" i="10"/>
  <c r="AD64" i="10"/>
  <c r="AC64" i="10"/>
  <c r="AA64" i="10"/>
  <c r="Z64" i="10"/>
  <c r="X64" i="10"/>
  <c r="W64" i="10"/>
  <c r="U64" i="10"/>
  <c r="T64" i="10"/>
  <c r="Q64" i="10"/>
  <c r="O64" i="10"/>
  <c r="N64" i="10"/>
  <c r="J64" i="10"/>
  <c r="H64" i="10"/>
  <c r="G64" i="10"/>
  <c r="D64" i="10"/>
  <c r="B64" i="10"/>
  <c r="AF62" i="10"/>
  <c r="AD62" i="10"/>
  <c r="AC62" i="10"/>
  <c r="AA62" i="10"/>
  <c r="Z62" i="10"/>
  <c r="X62" i="10"/>
  <c r="W62" i="10"/>
  <c r="U62" i="10"/>
  <c r="T62" i="10"/>
  <c r="R62" i="10"/>
  <c r="Q62" i="10"/>
  <c r="O62" i="10"/>
  <c r="N62" i="10"/>
  <c r="L62" i="10"/>
  <c r="J62" i="10"/>
  <c r="H62" i="10"/>
  <c r="G62" i="10"/>
  <c r="E62" i="10"/>
  <c r="D62" i="10"/>
  <c r="B62" i="10"/>
  <c r="AF61" i="10"/>
  <c r="AD61" i="10"/>
  <c r="AC61" i="10"/>
  <c r="AA61" i="10"/>
  <c r="Z61" i="10"/>
  <c r="X61" i="10"/>
  <c r="W61" i="10"/>
  <c r="U61" i="10"/>
  <c r="T61" i="10"/>
  <c r="R61" i="10"/>
  <c r="O61" i="10"/>
  <c r="N61" i="10"/>
  <c r="L61" i="10"/>
  <c r="H61" i="10"/>
  <c r="E61" i="10"/>
  <c r="D61" i="10"/>
  <c r="B61" i="10"/>
  <c r="AF60" i="10"/>
  <c r="AD60" i="10"/>
  <c r="AC60" i="10"/>
  <c r="AA60" i="10"/>
  <c r="Z60" i="10"/>
  <c r="X60" i="10"/>
  <c r="W60" i="10"/>
  <c r="U60" i="10"/>
  <c r="T60" i="10"/>
  <c r="R60" i="10"/>
  <c r="Q60" i="10"/>
  <c r="L60" i="10"/>
  <c r="J60" i="10"/>
  <c r="H60" i="10"/>
  <c r="G60" i="10"/>
  <c r="E60" i="10"/>
  <c r="B60" i="10"/>
  <c r="AF59" i="10"/>
  <c r="AD59" i="10"/>
  <c r="AC59" i="10"/>
  <c r="AA59" i="10"/>
  <c r="Z59" i="10"/>
  <c r="X59" i="10"/>
  <c r="W59" i="10"/>
  <c r="U59" i="10"/>
  <c r="R59" i="10"/>
  <c r="Q59" i="10"/>
  <c r="O59" i="10"/>
  <c r="N59" i="10"/>
  <c r="L59" i="10"/>
  <c r="J59" i="10"/>
  <c r="G59" i="10"/>
  <c r="E59" i="10"/>
  <c r="D59" i="10"/>
  <c r="AF58" i="10"/>
  <c r="AD58" i="10"/>
  <c r="AC58" i="10"/>
  <c r="AA58" i="10"/>
  <c r="Z58" i="10"/>
  <c r="X58" i="10"/>
  <c r="W58" i="10"/>
  <c r="U58" i="10"/>
  <c r="T58" i="10"/>
  <c r="Q58" i="10"/>
  <c r="O58" i="10"/>
  <c r="N58" i="10"/>
  <c r="J58" i="10"/>
  <c r="H58" i="10"/>
  <c r="G58" i="10"/>
  <c r="D58" i="10"/>
  <c r="B58" i="10"/>
  <c r="AF56" i="10"/>
  <c r="AD56" i="10"/>
  <c r="AC56" i="10"/>
  <c r="AA56" i="10"/>
  <c r="Z56" i="10"/>
  <c r="X56" i="10"/>
  <c r="W56" i="10"/>
  <c r="U56" i="10"/>
  <c r="T56" i="10"/>
  <c r="R56" i="10"/>
  <c r="Q56" i="10"/>
  <c r="O56" i="10"/>
  <c r="N56" i="10"/>
  <c r="L56" i="10"/>
  <c r="J56" i="10"/>
  <c r="H56" i="10"/>
  <c r="G56" i="10"/>
  <c r="E56" i="10"/>
  <c r="D56" i="10"/>
  <c r="B56" i="10"/>
  <c r="AG56" i="10" s="1"/>
  <c r="AF55" i="10"/>
  <c r="AD55" i="10"/>
  <c r="AC55" i="10"/>
  <c r="AA55" i="10"/>
  <c r="Z55" i="10"/>
  <c r="X55" i="10"/>
  <c r="W55" i="10"/>
  <c r="U55" i="10"/>
  <c r="T55" i="10"/>
  <c r="R55" i="10"/>
  <c r="O55" i="10"/>
  <c r="N55" i="10"/>
  <c r="L55" i="10"/>
  <c r="H55" i="10"/>
  <c r="E55" i="10"/>
  <c r="D55" i="10"/>
  <c r="B55" i="10"/>
  <c r="AF54" i="10"/>
  <c r="AD54" i="10"/>
  <c r="AC54" i="10"/>
  <c r="AA54" i="10"/>
  <c r="Z54" i="10"/>
  <c r="X54" i="10"/>
  <c r="W54" i="10"/>
  <c r="U54" i="10"/>
  <c r="T54" i="10"/>
  <c r="R54" i="10"/>
  <c r="Q54" i="10"/>
  <c r="L54" i="10"/>
  <c r="J54" i="10"/>
  <c r="H54" i="10"/>
  <c r="G54" i="10"/>
  <c r="E54" i="10"/>
  <c r="B54" i="10"/>
  <c r="AF53" i="10"/>
  <c r="AD53" i="10"/>
  <c r="AC53" i="10"/>
  <c r="AA53" i="10"/>
  <c r="Z53" i="10"/>
  <c r="X53" i="10"/>
  <c r="W53" i="10"/>
  <c r="U53" i="10"/>
  <c r="R53" i="10"/>
  <c r="Q53" i="10"/>
  <c r="O53" i="10"/>
  <c r="N53" i="10"/>
  <c r="L53" i="10"/>
  <c r="J53" i="10"/>
  <c r="G53" i="10"/>
  <c r="E53" i="10"/>
  <c r="D53" i="10"/>
  <c r="AF52" i="10"/>
  <c r="AD52" i="10"/>
  <c r="AC52" i="10"/>
  <c r="AA52" i="10"/>
  <c r="Z52" i="10"/>
  <c r="X52" i="10"/>
  <c r="W52" i="10"/>
  <c r="U52" i="10"/>
  <c r="T52" i="10"/>
  <c r="Q52" i="10"/>
  <c r="O52" i="10"/>
  <c r="N52" i="10"/>
  <c r="J52" i="10"/>
  <c r="H52" i="10"/>
  <c r="G52" i="10"/>
  <c r="D52" i="10"/>
  <c r="B52" i="10"/>
  <c r="AF50" i="10"/>
  <c r="AD50" i="10"/>
  <c r="AC50" i="10"/>
  <c r="AA50" i="10"/>
  <c r="Z50" i="10"/>
  <c r="X50" i="10"/>
  <c r="W50" i="10"/>
  <c r="U50" i="10"/>
  <c r="T50" i="10"/>
  <c r="R50" i="10"/>
  <c r="Q50" i="10"/>
  <c r="O50" i="10"/>
  <c r="N50" i="10"/>
  <c r="L50" i="10"/>
  <c r="J50" i="10"/>
  <c r="H50" i="10"/>
  <c r="G50" i="10"/>
  <c r="E50" i="10"/>
  <c r="D50" i="10"/>
  <c r="B50" i="10"/>
  <c r="AG50" i="10" s="1"/>
  <c r="M16" i="10" s="1"/>
  <c r="AF49" i="10"/>
  <c r="AD49" i="10"/>
  <c r="AC49" i="10"/>
  <c r="AA49" i="10"/>
  <c r="Z49" i="10"/>
  <c r="X49" i="10"/>
  <c r="W49" i="10"/>
  <c r="U49" i="10"/>
  <c r="T49" i="10"/>
  <c r="R49" i="10"/>
  <c r="O49" i="10"/>
  <c r="N49" i="10"/>
  <c r="L49" i="10"/>
  <c r="H49" i="10"/>
  <c r="E49" i="10"/>
  <c r="D49" i="10"/>
  <c r="B49" i="10"/>
  <c r="AF48" i="10"/>
  <c r="AD48" i="10"/>
  <c r="AC48" i="10"/>
  <c r="AA48" i="10"/>
  <c r="Z48" i="10"/>
  <c r="X48" i="10"/>
  <c r="W48" i="10"/>
  <c r="U48" i="10"/>
  <c r="T48" i="10"/>
  <c r="R48" i="10"/>
  <c r="Q48" i="10"/>
  <c r="L48" i="10"/>
  <c r="J48" i="10"/>
  <c r="H48" i="10"/>
  <c r="G48" i="10"/>
  <c r="E48" i="10"/>
  <c r="B48" i="10"/>
  <c r="AF47" i="10"/>
  <c r="AD47" i="10"/>
  <c r="AC47" i="10"/>
  <c r="AA47" i="10"/>
  <c r="Z47" i="10"/>
  <c r="X47" i="10"/>
  <c r="W47" i="10"/>
  <c r="U47" i="10"/>
  <c r="R47" i="10"/>
  <c r="Q47" i="10"/>
  <c r="O47" i="10"/>
  <c r="N47" i="10"/>
  <c r="L47" i="10"/>
  <c r="J47" i="10"/>
  <c r="G47" i="10"/>
  <c r="E47" i="10"/>
  <c r="D47" i="10"/>
  <c r="AF46" i="10"/>
  <c r="AD46" i="10"/>
  <c r="AC46" i="10"/>
  <c r="AA46" i="10"/>
  <c r="Z46" i="10"/>
  <c r="X46" i="10"/>
  <c r="W46" i="10"/>
  <c r="U46" i="10"/>
  <c r="T46" i="10"/>
  <c r="Q46" i="10"/>
  <c r="O46" i="10"/>
  <c r="N46" i="10"/>
  <c r="J46" i="10"/>
  <c r="H46" i="10"/>
  <c r="G46" i="10"/>
  <c r="D46" i="10"/>
  <c r="B46" i="10"/>
  <c r="AA43" i="10"/>
  <c r="U43" i="10"/>
  <c r="O43" i="10"/>
  <c r="N43" i="10"/>
  <c r="H43" i="10"/>
  <c r="B43" i="10"/>
  <c r="AA42" i="10"/>
  <c r="U42" i="10"/>
  <c r="T42" i="10"/>
  <c r="O42" i="10"/>
  <c r="H42" i="10"/>
  <c r="B42" i="10"/>
  <c r="AA41" i="10"/>
  <c r="U41" i="10"/>
  <c r="O41" i="10"/>
  <c r="U40" i="10"/>
  <c r="H40" i="10"/>
  <c r="AA39" i="10"/>
  <c r="O39" i="10"/>
  <c r="B39" i="10"/>
  <c r="AF35" i="10"/>
  <c r="AF43" i="10" s="1"/>
  <c r="AD35" i="10"/>
  <c r="AD43" i="10" s="1"/>
  <c r="AC35" i="10"/>
  <c r="AC43" i="10" s="1"/>
  <c r="AA35" i="10"/>
  <c r="Z35" i="10"/>
  <c r="Z43" i="10" s="1"/>
  <c r="X35" i="10"/>
  <c r="X43" i="10" s="1"/>
  <c r="W35" i="10"/>
  <c r="W43" i="10" s="1"/>
  <c r="U35" i="10"/>
  <c r="T35" i="10"/>
  <c r="T43" i="10" s="1"/>
  <c r="R35" i="10"/>
  <c r="R43" i="10" s="1"/>
  <c r="Q35" i="10"/>
  <c r="Q43" i="10" s="1"/>
  <c r="O35" i="10"/>
  <c r="N35" i="10"/>
  <c r="L35" i="10"/>
  <c r="L43" i="10" s="1"/>
  <c r="J35" i="10"/>
  <c r="J43" i="10" s="1"/>
  <c r="H35" i="10"/>
  <c r="G35" i="10"/>
  <c r="G43" i="10" s="1"/>
  <c r="E35" i="10"/>
  <c r="E43" i="10" s="1"/>
  <c r="D35" i="10"/>
  <c r="D43" i="10" s="1"/>
  <c r="B35" i="10"/>
  <c r="AF34" i="10"/>
  <c r="AF42" i="10" s="1"/>
  <c r="AD34" i="10"/>
  <c r="AD42" i="10" s="1"/>
  <c r="AC34" i="10"/>
  <c r="AC42" i="10" s="1"/>
  <c r="AA34" i="10"/>
  <c r="Z34" i="10"/>
  <c r="Z42" i="10" s="1"/>
  <c r="X34" i="10"/>
  <c r="X42" i="10" s="1"/>
  <c r="W34" i="10"/>
  <c r="W42" i="10" s="1"/>
  <c r="U34" i="10"/>
  <c r="T34" i="10"/>
  <c r="R34" i="10"/>
  <c r="R42" i="10" s="1"/>
  <c r="Q34" i="10"/>
  <c r="Q42" i="10" s="1"/>
  <c r="O34" i="10"/>
  <c r="N34" i="10"/>
  <c r="N42" i="10" s="1"/>
  <c r="L34" i="10"/>
  <c r="L42" i="10" s="1"/>
  <c r="J34" i="10"/>
  <c r="J42" i="10" s="1"/>
  <c r="H34" i="10"/>
  <c r="G34" i="10"/>
  <c r="G42" i="10" s="1"/>
  <c r="E34" i="10"/>
  <c r="E42" i="10" s="1"/>
  <c r="D34" i="10"/>
  <c r="D42" i="10" s="1"/>
  <c r="B34" i="10"/>
  <c r="AF33" i="10"/>
  <c r="AF41" i="10" s="1"/>
  <c r="AD33" i="10"/>
  <c r="AD41" i="10" s="1"/>
  <c r="AC33" i="10"/>
  <c r="AC41" i="10" s="1"/>
  <c r="AA33" i="10"/>
  <c r="Z33" i="10"/>
  <c r="Z41" i="10" s="1"/>
  <c r="X33" i="10"/>
  <c r="X41" i="10" s="1"/>
  <c r="W33" i="10"/>
  <c r="W41" i="10" s="1"/>
  <c r="U33" i="10"/>
  <c r="T33" i="10"/>
  <c r="T41" i="10" s="1"/>
  <c r="R33" i="10"/>
  <c r="R41" i="10" s="1"/>
  <c r="Q33" i="10"/>
  <c r="Q41" i="10" s="1"/>
  <c r="O33" i="10"/>
  <c r="N33" i="10"/>
  <c r="N41" i="10" s="1"/>
  <c r="L33" i="10"/>
  <c r="L41" i="10" s="1"/>
  <c r="J33" i="10"/>
  <c r="J41" i="10" s="1"/>
  <c r="H33" i="10"/>
  <c r="H41" i="10" s="1"/>
  <c r="G33" i="10"/>
  <c r="G41" i="10" s="1"/>
  <c r="E33" i="10"/>
  <c r="E41" i="10" s="1"/>
  <c r="D33" i="10"/>
  <c r="D41" i="10" s="1"/>
  <c r="B33" i="10"/>
  <c r="B41" i="10" s="1"/>
  <c r="AF32" i="10"/>
  <c r="AF40" i="10" s="1"/>
  <c r="AD32" i="10"/>
  <c r="AC32" i="10"/>
  <c r="AC40" i="10" s="1"/>
  <c r="AA32" i="10"/>
  <c r="AA40" i="10" s="1"/>
  <c r="Z32" i="10"/>
  <c r="Z40" i="10" s="1"/>
  <c r="X32" i="10"/>
  <c r="X40" i="10" s="1"/>
  <c r="W32" i="10"/>
  <c r="W40" i="10" s="1"/>
  <c r="U32" i="10"/>
  <c r="T32" i="10"/>
  <c r="T40" i="10" s="1"/>
  <c r="R32" i="10"/>
  <c r="Q32" i="10"/>
  <c r="Q40" i="10" s="1"/>
  <c r="O32" i="10"/>
  <c r="O40" i="10" s="1"/>
  <c r="N32" i="10"/>
  <c r="N40" i="10" s="1"/>
  <c r="L32" i="10"/>
  <c r="L40" i="10" s="1"/>
  <c r="J32" i="10"/>
  <c r="J40" i="10" s="1"/>
  <c r="H32" i="10"/>
  <c r="G32" i="10"/>
  <c r="G40" i="10" s="1"/>
  <c r="E32" i="10"/>
  <c r="D32" i="10"/>
  <c r="D40" i="10" s="1"/>
  <c r="B32" i="10"/>
  <c r="B40" i="10" s="1"/>
  <c r="AF31" i="10"/>
  <c r="AF39" i="10" s="1"/>
  <c r="AD31" i="10"/>
  <c r="AD39" i="10" s="1"/>
  <c r="AC31" i="10"/>
  <c r="AC39" i="10" s="1"/>
  <c r="AA31" i="10"/>
  <c r="AA36" i="10" s="1"/>
  <c r="Z31" i="10"/>
  <c r="Z39" i="10" s="1"/>
  <c r="X31" i="10"/>
  <c r="W31" i="10"/>
  <c r="U31" i="10"/>
  <c r="U39" i="10" s="1"/>
  <c r="T31" i="10"/>
  <c r="T39" i="10" s="1"/>
  <c r="R31" i="10"/>
  <c r="R39" i="10" s="1"/>
  <c r="Q31" i="10"/>
  <c r="Q67" i="10" s="1"/>
  <c r="O31" i="10"/>
  <c r="O66" i="10" s="1"/>
  <c r="N31" i="10"/>
  <c r="N39" i="10" s="1"/>
  <c r="L31" i="10"/>
  <c r="J31" i="10"/>
  <c r="H31" i="10"/>
  <c r="H39" i="10" s="1"/>
  <c r="G31" i="10"/>
  <c r="G67" i="10" s="1"/>
  <c r="E31" i="10"/>
  <c r="E39" i="10" s="1"/>
  <c r="D31" i="10"/>
  <c r="D66" i="10" s="1"/>
  <c r="B31" i="10"/>
  <c r="B65" i="10" s="1"/>
  <c r="AF30" i="10"/>
  <c r="AD30" i="10"/>
  <c r="AC30" i="10"/>
  <c r="AA30" i="10"/>
  <c r="Z30" i="10"/>
  <c r="X30" i="10"/>
  <c r="W30" i="10"/>
  <c r="U30" i="10"/>
  <c r="T30" i="10"/>
  <c r="R30" i="10"/>
  <c r="AM25" i="10" s="1"/>
  <c r="Q30" i="10"/>
  <c r="AL26" i="10" s="1"/>
  <c r="O30" i="10"/>
  <c r="N30" i="10"/>
  <c r="L30" i="10"/>
  <c r="AK24" i="10" s="1"/>
  <c r="J30" i="10"/>
  <c r="AJ25" i="10" s="1"/>
  <c r="H30" i="10"/>
  <c r="G30" i="10"/>
  <c r="E30" i="10"/>
  <c r="AI24" i="10" s="1"/>
  <c r="D30" i="10"/>
  <c r="AH26" i="10" s="1"/>
  <c r="B30" i="10"/>
  <c r="AE29" i="10"/>
  <c r="AB29" i="10"/>
  <c r="Y29" i="10"/>
  <c r="V29" i="10"/>
  <c r="S29" i="10"/>
  <c r="P29" i="10"/>
  <c r="M29" i="10"/>
  <c r="I29" i="10"/>
  <c r="F29" i="10"/>
  <c r="A29" i="10"/>
  <c r="AQ28" i="10"/>
  <c r="AP28" i="10"/>
  <c r="AO28" i="10"/>
  <c r="AN28" i="10"/>
  <c r="AM28" i="10"/>
  <c r="AL28" i="10"/>
  <c r="AK28" i="10"/>
  <c r="AJ28" i="10"/>
  <c r="AI28" i="10"/>
  <c r="AH28" i="10"/>
  <c r="AG28" i="10"/>
  <c r="AE28" i="10"/>
  <c r="AB28" i="10"/>
  <c r="Y28" i="10"/>
  <c r="V28" i="10"/>
  <c r="S28" i="10"/>
  <c r="P28" i="10"/>
  <c r="M28" i="10"/>
  <c r="I28" i="10"/>
  <c r="F28" i="10"/>
  <c r="A28" i="10"/>
  <c r="AQ27" i="10"/>
  <c r="AP27" i="10"/>
  <c r="AO27" i="10"/>
  <c r="AN27" i="10"/>
  <c r="AM27" i="10"/>
  <c r="AL27" i="10"/>
  <c r="AK27" i="10"/>
  <c r="AJ27" i="10"/>
  <c r="AH27" i="10"/>
  <c r="AG27" i="10"/>
  <c r="AE27" i="10"/>
  <c r="AB27" i="10"/>
  <c r="Y27" i="10"/>
  <c r="V27" i="10"/>
  <c r="S27" i="10"/>
  <c r="P27" i="10"/>
  <c r="M27" i="10"/>
  <c r="I27" i="10"/>
  <c r="F27" i="10"/>
  <c r="A27" i="10"/>
  <c r="AQ26" i="10"/>
  <c r="AP26" i="10"/>
  <c r="AO26" i="10"/>
  <c r="AN26" i="10"/>
  <c r="AM26" i="10"/>
  <c r="AK26" i="10"/>
  <c r="AJ26" i="10"/>
  <c r="AI26" i="10"/>
  <c r="AG26" i="10"/>
  <c r="AE26" i="10"/>
  <c r="AB26" i="10"/>
  <c r="Y26" i="10"/>
  <c r="V26" i="10"/>
  <c r="S26" i="10"/>
  <c r="P26" i="10"/>
  <c r="M26" i="10"/>
  <c r="I26" i="10"/>
  <c r="F26" i="10"/>
  <c r="A26" i="10"/>
  <c r="AQ25" i="10"/>
  <c r="AP25" i="10"/>
  <c r="AO25" i="10"/>
  <c r="AN25" i="10"/>
  <c r="AL25" i="10"/>
  <c r="AK25" i="10"/>
  <c r="AI25" i="10"/>
  <c r="AH25" i="10"/>
  <c r="AG25" i="10"/>
  <c r="AE25" i="10"/>
  <c r="AB25" i="10"/>
  <c r="Y25" i="10"/>
  <c r="V25" i="10"/>
  <c r="S25" i="10"/>
  <c r="P25" i="10"/>
  <c r="M25" i="10"/>
  <c r="I25" i="10"/>
  <c r="F25" i="10"/>
  <c r="AQ24" i="10"/>
  <c r="AP24" i="10"/>
  <c r="AO24" i="10"/>
  <c r="AN24" i="10"/>
  <c r="AM24" i="10"/>
  <c r="AL24" i="10"/>
  <c r="AJ24" i="10"/>
  <c r="AH24" i="10"/>
  <c r="AG24" i="10"/>
  <c r="AE24" i="10"/>
  <c r="AB24" i="10"/>
  <c r="Y24" i="10"/>
  <c r="V24" i="10"/>
  <c r="S24" i="10"/>
  <c r="P24" i="10"/>
  <c r="M24" i="10"/>
  <c r="I24" i="10"/>
  <c r="F24" i="10"/>
  <c r="AD22" i="10"/>
  <c r="AA22" i="10"/>
  <c r="X22" i="10"/>
  <c r="U22" i="10"/>
  <c r="R22" i="10"/>
  <c r="O22" i="10"/>
  <c r="L22" i="10"/>
  <c r="H22" i="10"/>
  <c r="E22" i="10"/>
  <c r="E17" i="10"/>
  <c r="E16" i="10"/>
  <c r="B83" i="10" s="1"/>
  <c r="A16" i="10"/>
  <c r="E15" i="10"/>
  <c r="AB179" i="10" s="1"/>
  <c r="AH210" i="10" s="1"/>
  <c r="E14" i="10"/>
  <c r="A14" i="10"/>
  <c r="E13" i="10"/>
  <c r="H179" i="10" s="1"/>
  <c r="K210" i="10" s="1"/>
  <c r="E12" i="10"/>
  <c r="A12" i="10"/>
  <c r="E11" i="10"/>
  <c r="AL179" i="10" s="1"/>
  <c r="AH212" i="10" s="1"/>
  <c r="E10" i="10"/>
  <c r="A10" i="10"/>
  <c r="E9" i="10"/>
  <c r="R179" i="10" s="1"/>
  <c r="K212" i="10" s="1"/>
  <c r="E8" i="10"/>
  <c r="L179" i="10" s="1"/>
  <c r="B212" i="10" s="1"/>
  <c r="A8" i="10"/>
  <c r="S7" i="10"/>
  <c r="M7" i="10"/>
  <c r="K6" i="10"/>
  <c r="Z231" i="9"/>
  <c r="X230" i="9"/>
  <c r="AT233" i="9" s="1"/>
  <c r="AF221" i="9"/>
  <c r="AD221" i="9"/>
  <c r="AC221" i="9"/>
  <c r="AA221" i="9"/>
  <c r="Z221" i="9"/>
  <c r="X221" i="9"/>
  <c r="J221" i="9"/>
  <c r="H221" i="9"/>
  <c r="G221" i="9"/>
  <c r="E221" i="9"/>
  <c r="D221" i="9"/>
  <c r="B221" i="9"/>
  <c r="AF220" i="9"/>
  <c r="AD220" i="9"/>
  <c r="AC220" i="9"/>
  <c r="AA220" i="9"/>
  <c r="AA222" i="9" s="1"/>
  <c r="Z220" i="9"/>
  <c r="X220" i="9"/>
  <c r="J220" i="9"/>
  <c r="H220" i="9"/>
  <c r="G220" i="9"/>
  <c r="E220" i="9"/>
  <c r="D220" i="9"/>
  <c r="B220" i="9"/>
  <c r="B222" i="9" s="1"/>
  <c r="AF219" i="9"/>
  <c r="AF222" i="9" s="1"/>
  <c r="AD219" i="9"/>
  <c r="AD222" i="9" s="1"/>
  <c r="AC219" i="9"/>
  <c r="AA219" i="9"/>
  <c r="Z219" i="9"/>
  <c r="Z222" i="9" s="1"/>
  <c r="X219" i="9"/>
  <c r="J219" i="9"/>
  <c r="J222" i="9" s="1"/>
  <c r="H219" i="9"/>
  <c r="H222" i="9" s="1"/>
  <c r="G219" i="9"/>
  <c r="E219" i="9"/>
  <c r="E222" i="9" s="1"/>
  <c r="D219" i="9"/>
  <c r="B219" i="9"/>
  <c r="V195" i="9"/>
  <c r="A174" i="9"/>
  <c r="AF161" i="9"/>
  <c r="AD161" i="9"/>
  <c r="AC161" i="9"/>
  <c r="AA161" i="9"/>
  <c r="X161" i="9"/>
  <c r="W161" i="9"/>
  <c r="U161" i="9"/>
  <c r="T161" i="9"/>
  <c r="R161" i="9"/>
  <c r="Q161" i="9"/>
  <c r="O161" i="9"/>
  <c r="N161" i="9"/>
  <c r="L161" i="9"/>
  <c r="J161" i="9"/>
  <c r="H161" i="9"/>
  <c r="G161" i="9"/>
  <c r="E161" i="9"/>
  <c r="D161" i="9"/>
  <c r="B161" i="9"/>
  <c r="AF160" i="9"/>
  <c r="AD160" i="9"/>
  <c r="AA160" i="9"/>
  <c r="Z160" i="9"/>
  <c r="X160" i="9"/>
  <c r="W160" i="9"/>
  <c r="U160" i="9"/>
  <c r="T160" i="9"/>
  <c r="R160" i="9"/>
  <c r="Q160" i="9"/>
  <c r="O160" i="9"/>
  <c r="N160" i="9"/>
  <c r="L160" i="9"/>
  <c r="J160" i="9"/>
  <c r="H160" i="9"/>
  <c r="G160" i="9"/>
  <c r="E160" i="9"/>
  <c r="D160" i="9"/>
  <c r="B160" i="9"/>
  <c r="AF159" i="9"/>
  <c r="AD159" i="9"/>
  <c r="AC159" i="9"/>
  <c r="Z159" i="9"/>
  <c r="X159" i="9"/>
  <c r="U159" i="9"/>
  <c r="T159" i="9"/>
  <c r="R159" i="9"/>
  <c r="O159" i="9"/>
  <c r="L159" i="9"/>
  <c r="J159" i="9"/>
  <c r="H159" i="9"/>
  <c r="E159" i="9"/>
  <c r="B159" i="9"/>
  <c r="AD158" i="9"/>
  <c r="AC158" i="9"/>
  <c r="AA158" i="9"/>
  <c r="Z158" i="9"/>
  <c r="X158" i="9"/>
  <c r="W158" i="9"/>
  <c r="R158" i="9"/>
  <c r="Q158" i="9"/>
  <c r="N158" i="9"/>
  <c r="L158" i="9"/>
  <c r="H158" i="9"/>
  <c r="G158" i="9"/>
  <c r="D158" i="9"/>
  <c r="B158" i="9"/>
  <c r="AF157" i="9"/>
  <c r="AC157" i="9"/>
  <c r="AA157" i="9"/>
  <c r="Z157" i="9"/>
  <c r="W157" i="9"/>
  <c r="U157" i="9"/>
  <c r="T157" i="9"/>
  <c r="Q157" i="9"/>
  <c r="O157" i="9"/>
  <c r="N157" i="9"/>
  <c r="J157" i="9"/>
  <c r="G157" i="9"/>
  <c r="E157" i="9"/>
  <c r="D157" i="9"/>
  <c r="AF153" i="9"/>
  <c r="AD153" i="9"/>
  <c r="AC153" i="9"/>
  <c r="AA153" i="9"/>
  <c r="X153" i="9"/>
  <c r="W153" i="9"/>
  <c r="U153" i="9"/>
  <c r="T153" i="9"/>
  <c r="R153" i="9"/>
  <c r="Q153" i="9"/>
  <c r="O153" i="9"/>
  <c r="N153" i="9"/>
  <c r="L153" i="9"/>
  <c r="J153" i="9"/>
  <c r="H153" i="9"/>
  <c r="G153" i="9"/>
  <c r="E153" i="9"/>
  <c r="D153" i="9"/>
  <c r="B153" i="9"/>
  <c r="AF152" i="9"/>
  <c r="AD152" i="9"/>
  <c r="AA152" i="9"/>
  <c r="Z152" i="9"/>
  <c r="X152" i="9"/>
  <c r="W152" i="9"/>
  <c r="U152" i="9"/>
  <c r="T152" i="9"/>
  <c r="R152" i="9"/>
  <c r="Q152" i="9"/>
  <c r="O152" i="9"/>
  <c r="N152" i="9"/>
  <c r="L152" i="9"/>
  <c r="J152" i="9"/>
  <c r="H152" i="9"/>
  <c r="G152" i="9"/>
  <c r="E152" i="9"/>
  <c r="D152" i="9"/>
  <c r="B152" i="9"/>
  <c r="AF151" i="9"/>
  <c r="AD151" i="9"/>
  <c r="AC151" i="9"/>
  <c r="Z151" i="9"/>
  <c r="X151" i="9"/>
  <c r="U151" i="9"/>
  <c r="T151" i="9"/>
  <c r="R151" i="9"/>
  <c r="O151" i="9"/>
  <c r="L151" i="9"/>
  <c r="J151" i="9"/>
  <c r="H151" i="9"/>
  <c r="E151" i="9"/>
  <c r="B151" i="9"/>
  <c r="AD150" i="9"/>
  <c r="AC150" i="9"/>
  <c r="AA150" i="9"/>
  <c r="Z150" i="9"/>
  <c r="X150" i="9"/>
  <c r="W150" i="9"/>
  <c r="R150" i="9"/>
  <c r="Q150" i="9"/>
  <c r="N150" i="9"/>
  <c r="L150" i="9"/>
  <c r="H150" i="9"/>
  <c r="G150" i="9"/>
  <c r="D150" i="9"/>
  <c r="B150" i="9"/>
  <c r="AF149" i="9"/>
  <c r="AC149" i="9"/>
  <c r="AA149" i="9"/>
  <c r="Z149" i="9"/>
  <c r="W149" i="9"/>
  <c r="U149" i="9"/>
  <c r="T149" i="9"/>
  <c r="Q149" i="9"/>
  <c r="O149" i="9"/>
  <c r="N149" i="9"/>
  <c r="J149" i="9"/>
  <c r="G149" i="9"/>
  <c r="E149" i="9"/>
  <c r="D149" i="9"/>
  <c r="AF147" i="9"/>
  <c r="AD147" i="9"/>
  <c r="AC147" i="9"/>
  <c r="AA147" i="9"/>
  <c r="X147" i="9"/>
  <c r="W147" i="9"/>
  <c r="U147" i="9"/>
  <c r="T147" i="9"/>
  <c r="R147" i="9"/>
  <c r="Q147" i="9"/>
  <c r="O147" i="9"/>
  <c r="N147" i="9"/>
  <c r="L147" i="9"/>
  <c r="J147" i="9"/>
  <c r="H147" i="9"/>
  <c r="G147" i="9"/>
  <c r="E147" i="9"/>
  <c r="D147" i="9"/>
  <c r="B147" i="9"/>
  <c r="AF146" i="9"/>
  <c r="AD146" i="9"/>
  <c r="AA146" i="9"/>
  <c r="Z146" i="9"/>
  <c r="X146" i="9"/>
  <c r="W146" i="9"/>
  <c r="U146" i="9"/>
  <c r="T146" i="9"/>
  <c r="R146" i="9"/>
  <c r="Q146" i="9"/>
  <c r="O146" i="9"/>
  <c r="N146" i="9"/>
  <c r="L146" i="9"/>
  <c r="J146" i="9"/>
  <c r="H146" i="9"/>
  <c r="G146" i="9"/>
  <c r="E146" i="9"/>
  <c r="D146" i="9"/>
  <c r="B146" i="9"/>
  <c r="AF145" i="9"/>
  <c r="AD145" i="9"/>
  <c r="AC145" i="9"/>
  <c r="Z145" i="9"/>
  <c r="X145" i="9"/>
  <c r="U145" i="9"/>
  <c r="T145" i="9"/>
  <c r="R145" i="9"/>
  <c r="O145" i="9"/>
  <c r="L145" i="9"/>
  <c r="J145" i="9"/>
  <c r="H145" i="9"/>
  <c r="E145" i="9"/>
  <c r="B145" i="9"/>
  <c r="AD144" i="9"/>
  <c r="AC144" i="9"/>
  <c r="AA144" i="9"/>
  <c r="Z144" i="9"/>
  <c r="X144" i="9"/>
  <c r="W144" i="9"/>
  <c r="R144" i="9"/>
  <c r="Q144" i="9"/>
  <c r="N144" i="9"/>
  <c r="L144" i="9"/>
  <c r="H144" i="9"/>
  <c r="G144" i="9"/>
  <c r="D144" i="9"/>
  <c r="B144" i="9"/>
  <c r="AF143" i="9"/>
  <c r="AC143" i="9"/>
  <c r="AA143" i="9"/>
  <c r="Z143" i="9"/>
  <c r="W143" i="9"/>
  <c r="U143" i="9"/>
  <c r="T143" i="9"/>
  <c r="Q143" i="9"/>
  <c r="O143" i="9"/>
  <c r="N143" i="9"/>
  <c r="J143" i="9"/>
  <c r="G143" i="9"/>
  <c r="E143" i="9"/>
  <c r="D143" i="9"/>
  <c r="AF141" i="9"/>
  <c r="AD141" i="9"/>
  <c r="AC141" i="9"/>
  <c r="AA141" i="9"/>
  <c r="X141" i="9"/>
  <c r="W141" i="9"/>
  <c r="U141" i="9"/>
  <c r="T141" i="9"/>
  <c r="R141" i="9"/>
  <c r="Q141" i="9"/>
  <c r="O141" i="9"/>
  <c r="N141" i="9"/>
  <c r="L141" i="9"/>
  <c r="J141" i="9"/>
  <c r="H141" i="9"/>
  <c r="G141" i="9"/>
  <c r="E141" i="9"/>
  <c r="D141" i="9"/>
  <c r="B141" i="9"/>
  <c r="AF140" i="9"/>
  <c r="AD140" i="9"/>
  <c r="AA140" i="9"/>
  <c r="Z140" i="9"/>
  <c r="X140" i="9"/>
  <c r="W140" i="9"/>
  <c r="U140" i="9"/>
  <c r="T140" i="9"/>
  <c r="R140" i="9"/>
  <c r="Q140" i="9"/>
  <c r="O140" i="9"/>
  <c r="N140" i="9"/>
  <c r="L140" i="9"/>
  <c r="J140" i="9"/>
  <c r="H140" i="9"/>
  <c r="G140" i="9"/>
  <c r="E140" i="9"/>
  <c r="D140" i="9"/>
  <c r="B140" i="9"/>
  <c r="AF139" i="9"/>
  <c r="AD139" i="9"/>
  <c r="AC139" i="9"/>
  <c r="Z139" i="9"/>
  <c r="X139" i="9"/>
  <c r="U139" i="9"/>
  <c r="T139" i="9"/>
  <c r="R139" i="9"/>
  <c r="O139" i="9"/>
  <c r="L139" i="9"/>
  <c r="J139" i="9"/>
  <c r="H139" i="9"/>
  <c r="E139" i="9"/>
  <c r="B139" i="9"/>
  <c r="AD138" i="9"/>
  <c r="AC138" i="9"/>
  <c r="AA138" i="9"/>
  <c r="Z138" i="9"/>
  <c r="X138" i="9"/>
  <c r="W138" i="9"/>
  <c r="R138" i="9"/>
  <c r="Q138" i="9"/>
  <c r="N138" i="9"/>
  <c r="L138" i="9"/>
  <c r="H138" i="9"/>
  <c r="G138" i="9"/>
  <c r="D138" i="9"/>
  <c r="B138" i="9"/>
  <c r="AF137" i="9"/>
  <c r="AC137" i="9"/>
  <c r="AA137" i="9"/>
  <c r="Z137" i="9"/>
  <c r="W137" i="9"/>
  <c r="U137" i="9"/>
  <c r="T137" i="9"/>
  <c r="Q137" i="9"/>
  <c r="O137" i="9"/>
  <c r="N137" i="9"/>
  <c r="J137" i="9"/>
  <c r="G137" i="9"/>
  <c r="E137" i="9"/>
  <c r="D137" i="9"/>
  <c r="AF135" i="9"/>
  <c r="AD135" i="9"/>
  <c r="AC135" i="9"/>
  <c r="AA135" i="9"/>
  <c r="X135" i="9"/>
  <c r="W135" i="9"/>
  <c r="U135" i="9"/>
  <c r="T135" i="9"/>
  <c r="R135" i="9"/>
  <c r="Q135" i="9"/>
  <c r="O135" i="9"/>
  <c r="N135" i="9"/>
  <c r="L135" i="9"/>
  <c r="J135" i="9"/>
  <c r="H135" i="9"/>
  <c r="G135" i="9"/>
  <c r="E135" i="9"/>
  <c r="D135" i="9"/>
  <c r="B135" i="9"/>
  <c r="AF134" i="9"/>
  <c r="AD134" i="9"/>
  <c r="AA134" i="9"/>
  <c r="Z134" i="9"/>
  <c r="X134" i="9"/>
  <c r="W134" i="9"/>
  <c r="U134" i="9"/>
  <c r="T134" i="9"/>
  <c r="R134" i="9"/>
  <c r="Q134" i="9"/>
  <c r="O134" i="9"/>
  <c r="N134" i="9"/>
  <c r="L134" i="9"/>
  <c r="J134" i="9"/>
  <c r="H134" i="9"/>
  <c r="G134" i="9"/>
  <c r="E134" i="9"/>
  <c r="D134" i="9"/>
  <c r="B134" i="9"/>
  <c r="AF133" i="9"/>
  <c r="AD133" i="9"/>
  <c r="AC133" i="9"/>
  <c r="Z133" i="9"/>
  <c r="X133" i="9"/>
  <c r="U133" i="9"/>
  <c r="T133" i="9"/>
  <c r="R133" i="9"/>
  <c r="O133" i="9"/>
  <c r="L133" i="9"/>
  <c r="J133" i="9"/>
  <c r="H133" i="9"/>
  <c r="E133" i="9"/>
  <c r="B133" i="9"/>
  <c r="AD132" i="9"/>
  <c r="AC132" i="9"/>
  <c r="AA132" i="9"/>
  <c r="Z132" i="9"/>
  <c r="X132" i="9"/>
  <c r="W132" i="9"/>
  <c r="R132" i="9"/>
  <c r="Q132" i="9"/>
  <c r="N132" i="9"/>
  <c r="L132" i="9"/>
  <c r="H132" i="9"/>
  <c r="G132" i="9"/>
  <c r="D132" i="9"/>
  <c r="B132" i="9"/>
  <c r="AF131" i="9"/>
  <c r="AC131" i="9"/>
  <c r="AA131" i="9"/>
  <c r="Z131" i="9"/>
  <c r="W131" i="9"/>
  <c r="U131" i="9"/>
  <c r="T131" i="9"/>
  <c r="Q131" i="9"/>
  <c r="O131" i="9"/>
  <c r="N131" i="9"/>
  <c r="J131" i="9"/>
  <c r="G131" i="9"/>
  <c r="E131" i="9"/>
  <c r="D131" i="9"/>
  <c r="J128" i="9"/>
  <c r="Q124" i="9"/>
  <c r="AF120" i="9"/>
  <c r="AF128" i="9" s="1"/>
  <c r="AD120" i="9"/>
  <c r="AD128" i="9" s="1"/>
  <c r="AC120" i="9"/>
  <c r="AC128" i="9" s="1"/>
  <c r="AA120" i="9"/>
  <c r="AA128" i="9" s="1"/>
  <c r="Z120" i="9"/>
  <c r="Z128" i="9" s="1"/>
  <c r="X120" i="9"/>
  <c r="X128" i="9" s="1"/>
  <c r="W120" i="9"/>
  <c r="W128" i="9" s="1"/>
  <c r="U120" i="9"/>
  <c r="U128" i="9" s="1"/>
  <c r="T120" i="9"/>
  <c r="T128" i="9" s="1"/>
  <c r="R120" i="9"/>
  <c r="R128" i="9" s="1"/>
  <c r="Q120" i="9"/>
  <c r="Q128" i="9" s="1"/>
  <c r="O120" i="9"/>
  <c r="O128" i="9" s="1"/>
  <c r="N120" i="9"/>
  <c r="N128" i="9" s="1"/>
  <c r="L120" i="9"/>
  <c r="L128" i="9" s="1"/>
  <c r="J120" i="9"/>
  <c r="H120" i="9"/>
  <c r="H128" i="9" s="1"/>
  <c r="G120" i="9"/>
  <c r="G128" i="9" s="1"/>
  <c r="E120" i="9"/>
  <c r="E128" i="9" s="1"/>
  <c r="D120" i="9"/>
  <c r="D128" i="9" s="1"/>
  <c r="B120" i="9"/>
  <c r="B128" i="9" s="1"/>
  <c r="AF119" i="9"/>
  <c r="AF127" i="9" s="1"/>
  <c r="AD119" i="9"/>
  <c r="AD127" i="9" s="1"/>
  <c r="AC119" i="9"/>
  <c r="AC127" i="9" s="1"/>
  <c r="AA119" i="9"/>
  <c r="AA127" i="9" s="1"/>
  <c r="Z119" i="9"/>
  <c r="Z127" i="9" s="1"/>
  <c r="X119" i="9"/>
  <c r="X127" i="9" s="1"/>
  <c r="W119" i="9"/>
  <c r="W127" i="9" s="1"/>
  <c r="U119" i="9"/>
  <c r="U127" i="9" s="1"/>
  <c r="T119" i="9"/>
  <c r="T127" i="9" s="1"/>
  <c r="R119" i="9"/>
  <c r="R127" i="9" s="1"/>
  <c r="Q119" i="9"/>
  <c r="Q127" i="9" s="1"/>
  <c r="O119" i="9"/>
  <c r="O127" i="9" s="1"/>
  <c r="N119" i="9"/>
  <c r="N127" i="9" s="1"/>
  <c r="L119" i="9"/>
  <c r="L127" i="9" s="1"/>
  <c r="J119" i="9"/>
  <c r="J127" i="9" s="1"/>
  <c r="H119" i="9"/>
  <c r="H127" i="9" s="1"/>
  <c r="G119" i="9"/>
  <c r="G127" i="9" s="1"/>
  <c r="E119" i="9"/>
  <c r="E127" i="9" s="1"/>
  <c r="D119" i="9"/>
  <c r="D127" i="9" s="1"/>
  <c r="B119" i="9"/>
  <c r="B127" i="9" s="1"/>
  <c r="AF118" i="9"/>
  <c r="AF126" i="9" s="1"/>
  <c r="AD118" i="9"/>
  <c r="AD126" i="9" s="1"/>
  <c r="AC118" i="9"/>
  <c r="AC126" i="9" s="1"/>
  <c r="AA118" i="9"/>
  <c r="AA126" i="9" s="1"/>
  <c r="Z118" i="9"/>
  <c r="Z126" i="9" s="1"/>
  <c r="X118" i="9"/>
  <c r="X126" i="9" s="1"/>
  <c r="W118" i="9"/>
  <c r="W126" i="9" s="1"/>
  <c r="U118" i="9"/>
  <c r="U126" i="9" s="1"/>
  <c r="T118" i="9"/>
  <c r="T126" i="9" s="1"/>
  <c r="R118" i="9"/>
  <c r="R126" i="9" s="1"/>
  <c r="Q118" i="9"/>
  <c r="Q126" i="9" s="1"/>
  <c r="O118" i="9"/>
  <c r="O126" i="9" s="1"/>
  <c r="N118" i="9"/>
  <c r="N126" i="9" s="1"/>
  <c r="L118" i="9"/>
  <c r="L126" i="9" s="1"/>
  <c r="J118" i="9"/>
  <c r="J126" i="9" s="1"/>
  <c r="H118" i="9"/>
  <c r="H126" i="9" s="1"/>
  <c r="G118" i="9"/>
  <c r="G126" i="9" s="1"/>
  <c r="E118" i="9"/>
  <c r="E126" i="9" s="1"/>
  <c r="D118" i="9"/>
  <c r="D126" i="9" s="1"/>
  <c r="B118" i="9"/>
  <c r="B126" i="9" s="1"/>
  <c r="AF117" i="9"/>
  <c r="AF125" i="9" s="1"/>
  <c r="AD117" i="9"/>
  <c r="AD125" i="9" s="1"/>
  <c r="AC117" i="9"/>
  <c r="AC125" i="9" s="1"/>
  <c r="AA117" i="9"/>
  <c r="AA125" i="9" s="1"/>
  <c r="Z117" i="9"/>
  <c r="Z125" i="9" s="1"/>
  <c r="X117" i="9"/>
  <c r="X125" i="9" s="1"/>
  <c r="W117" i="9"/>
  <c r="W125" i="9" s="1"/>
  <c r="U117" i="9"/>
  <c r="U125" i="9" s="1"/>
  <c r="T117" i="9"/>
  <c r="T125" i="9" s="1"/>
  <c r="R117" i="9"/>
  <c r="R125" i="9" s="1"/>
  <c r="Q117" i="9"/>
  <c r="Q125" i="9" s="1"/>
  <c r="O117" i="9"/>
  <c r="O125" i="9" s="1"/>
  <c r="N117" i="9"/>
  <c r="N125" i="9" s="1"/>
  <c r="L117" i="9"/>
  <c r="L125" i="9" s="1"/>
  <c r="J117" i="9"/>
  <c r="J125" i="9" s="1"/>
  <c r="H117" i="9"/>
  <c r="H125" i="9" s="1"/>
  <c r="G117" i="9"/>
  <c r="G125" i="9" s="1"/>
  <c r="E117" i="9"/>
  <c r="E125" i="9" s="1"/>
  <c r="D117" i="9"/>
  <c r="D125" i="9" s="1"/>
  <c r="B117" i="9"/>
  <c r="B125" i="9" s="1"/>
  <c r="AF116" i="9"/>
  <c r="AF150" i="9" s="1"/>
  <c r="AD116" i="9"/>
  <c r="AD124" i="9" s="1"/>
  <c r="AC116" i="9"/>
  <c r="AC124" i="9" s="1"/>
  <c r="AA116" i="9"/>
  <c r="AA124" i="9" s="1"/>
  <c r="Z116" i="9"/>
  <c r="Z121" i="9" s="1"/>
  <c r="X116" i="9"/>
  <c r="X124" i="9" s="1"/>
  <c r="W116" i="9"/>
  <c r="W124" i="9" s="1"/>
  <c r="U116" i="9"/>
  <c r="T116" i="9"/>
  <c r="T150" i="9" s="1"/>
  <c r="R116" i="9"/>
  <c r="R124" i="9" s="1"/>
  <c r="Q116" i="9"/>
  <c r="O116" i="9"/>
  <c r="O124" i="9" s="1"/>
  <c r="N116" i="9"/>
  <c r="L116" i="9"/>
  <c r="L149" i="9" s="1"/>
  <c r="J116" i="9"/>
  <c r="J124" i="9" s="1"/>
  <c r="H116" i="9"/>
  <c r="G116" i="9"/>
  <c r="G151" i="9" s="1"/>
  <c r="E116" i="9"/>
  <c r="E121" i="9" s="1"/>
  <c r="D116" i="9"/>
  <c r="D124" i="9" s="1"/>
  <c r="B116" i="9"/>
  <c r="B124" i="9" s="1"/>
  <c r="AF115" i="9"/>
  <c r="AD115" i="9"/>
  <c r="AC115" i="9"/>
  <c r="AA115" i="9"/>
  <c r="Z115" i="9"/>
  <c r="X115" i="9"/>
  <c r="W115" i="9"/>
  <c r="U115" i="9"/>
  <c r="T115" i="9"/>
  <c r="R115" i="9"/>
  <c r="AM109" i="9" s="1"/>
  <c r="Q115" i="9"/>
  <c r="O115" i="9"/>
  <c r="AL110" i="9" s="1"/>
  <c r="N115" i="9"/>
  <c r="L115" i="9"/>
  <c r="J115" i="9"/>
  <c r="H115" i="9"/>
  <c r="AJ110" i="9" s="1"/>
  <c r="G115" i="9"/>
  <c r="E115" i="9"/>
  <c r="AI111" i="9" s="1"/>
  <c r="D115" i="9"/>
  <c r="B115" i="9"/>
  <c r="AH109" i="9" s="1"/>
  <c r="AE114" i="9"/>
  <c r="AB114" i="9"/>
  <c r="Y114" i="9"/>
  <c r="V114" i="9"/>
  <c r="S114" i="9"/>
  <c r="P114" i="9"/>
  <c r="M114" i="9"/>
  <c r="I114" i="9"/>
  <c r="F114" i="9"/>
  <c r="A114" i="9"/>
  <c r="AQ113" i="9"/>
  <c r="AP113" i="9"/>
  <c r="AO113" i="9"/>
  <c r="AN113" i="9"/>
  <c r="AM113" i="9"/>
  <c r="AL113" i="9"/>
  <c r="AK113" i="9"/>
  <c r="AJ113" i="9"/>
  <c r="AI113" i="9"/>
  <c r="AH113" i="9"/>
  <c r="AR113" i="9" s="1"/>
  <c r="X101" i="9" s="1"/>
  <c r="AG113" i="9"/>
  <c r="AE113" i="9"/>
  <c r="AB113" i="9"/>
  <c r="Y113" i="9"/>
  <c r="V113" i="9"/>
  <c r="S113" i="9"/>
  <c r="P113" i="9"/>
  <c r="M113" i="9"/>
  <c r="I113" i="9"/>
  <c r="F113" i="9"/>
  <c r="A113" i="9"/>
  <c r="AQ112" i="9"/>
  <c r="AP112" i="9"/>
  <c r="AO112" i="9"/>
  <c r="AN112" i="9"/>
  <c r="AM112" i="9"/>
  <c r="AL112" i="9"/>
  <c r="AK112" i="9"/>
  <c r="AJ112" i="9"/>
  <c r="AI112" i="9"/>
  <c r="AH112" i="9"/>
  <c r="AG112" i="9"/>
  <c r="AE112" i="9"/>
  <c r="AB112" i="9"/>
  <c r="Y112" i="9"/>
  <c r="V112" i="9"/>
  <c r="S112" i="9"/>
  <c r="P112" i="9"/>
  <c r="M112" i="9"/>
  <c r="I112" i="9"/>
  <c r="F112" i="9"/>
  <c r="A112" i="9"/>
  <c r="AQ111" i="9"/>
  <c r="AP111" i="9"/>
  <c r="AO111" i="9"/>
  <c r="AN111" i="9"/>
  <c r="AM111" i="9"/>
  <c r="AL111" i="9"/>
  <c r="AK111" i="9"/>
  <c r="AJ111" i="9"/>
  <c r="AH111" i="9"/>
  <c r="AG111" i="9"/>
  <c r="AE111" i="9"/>
  <c r="AB111" i="9"/>
  <c r="Y111" i="9"/>
  <c r="V111" i="9"/>
  <c r="S111" i="9"/>
  <c r="P111" i="9"/>
  <c r="M111" i="9"/>
  <c r="I111" i="9"/>
  <c r="F111" i="9"/>
  <c r="A111" i="9"/>
  <c r="AQ110" i="9"/>
  <c r="AP110" i="9"/>
  <c r="AO110" i="9"/>
  <c r="AN110" i="9"/>
  <c r="AM110" i="9"/>
  <c r="AK110" i="9"/>
  <c r="AI110" i="9"/>
  <c r="AH110" i="9"/>
  <c r="AG110" i="9"/>
  <c r="AE110" i="9"/>
  <c r="AB110" i="9"/>
  <c r="Y110" i="9"/>
  <c r="V110" i="9"/>
  <c r="S110" i="9"/>
  <c r="P110" i="9"/>
  <c r="M110" i="9"/>
  <c r="I110" i="9"/>
  <c r="F110" i="9"/>
  <c r="AQ109" i="9"/>
  <c r="AP109" i="9"/>
  <c r="AO109" i="9"/>
  <c r="AN109" i="9"/>
  <c r="AL109" i="9"/>
  <c r="AK109" i="9"/>
  <c r="AI109" i="9"/>
  <c r="AG109" i="9"/>
  <c r="AE109" i="9"/>
  <c r="AB109" i="9"/>
  <c r="Y109" i="9"/>
  <c r="V109" i="9"/>
  <c r="S109" i="9"/>
  <c r="P109" i="9"/>
  <c r="M109" i="9"/>
  <c r="I109" i="9"/>
  <c r="F109" i="9"/>
  <c r="AD107" i="9"/>
  <c r="AA107" i="9"/>
  <c r="X107" i="9"/>
  <c r="U107" i="9"/>
  <c r="R107" i="9"/>
  <c r="O107" i="9"/>
  <c r="L107" i="9"/>
  <c r="H107" i="9"/>
  <c r="E107" i="9"/>
  <c r="E102" i="9"/>
  <c r="E101" i="9"/>
  <c r="B168" i="9" s="1"/>
  <c r="AT168" i="9" s="1"/>
  <c r="A101" i="9"/>
  <c r="E100" i="9"/>
  <c r="E99" i="9"/>
  <c r="B167" i="9" s="1"/>
  <c r="A99" i="9"/>
  <c r="A97" i="9"/>
  <c r="A95" i="9"/>
  <c r="A93" i="9"/>
  <c r="S92" i="9"/>
  <c r="M92" i="9"/>
  <c r="K91" i="9"/>
  <c r="A89" i="9"/>
  <c r="AF85" i="9"/>
  <c r="AD85" i="9"/>
  <c r="AC85" i="9"/>
  <c r="AA85" i="9"/>
  <c r="Z85" i="9"/>
  <c r="X85" i="9"/>
  <c r="W85" i="9"/>
  <c r="U85" i="9"/>
  <c r="AF76" i="9"/>
  <c r="AD76" i="9"/>
  <c r="AC76" i="9"/>
  <c r="AA76" i="9"/>
  <c r="Z76" i="9"/>
  <c r="X76" i="9"/>
  <c r="W76" i="9"/>
  <c r="U76" i="9"/>
  <c r="T76" i="9"/>
  <c r="R76" i="9"/>
  <c r="Q76" i="9"/>
  <c r="O76" i="9"/>
  <c r="N76" i="9"/>
  <c r="L76" i="9"/>
  <c r="J76" i="9"/>
  <c r="H76" i="9"/>
  <c r="G76" i="9"/>
  <c r="E76" i="9"/>
  <c r="D76" i="9"/>
  <c r="B76" i="9"/>
  <c r="AF75" i="9"/>
  <c r="AD75" i="9"/>
  <c r="AC75" i="9"/>
  <c r="AA75" i="9"/>
  <c r="Z75" i="9"/>
  <c r="X75" i="9"/>
  <c r="W75" i="9"/>
  <c r="U75" i="9"/>
  <c r="T75" i="9"/>
  <c r="R75" i="9"/>
  <c r="O75" i="9"/>
  <c r="N75" i="9"/>
  <c r="L75" i="9"/>
  <c r="H75" i="9"/>
  <c r="E75" i="9"/>
  <c r="D75" i="9"/>
  <c r="B75" i="9"/>
  <c r="AF74" i="9"/>
  <c r="AD74" i="9"/>
  <c r="AC74" i="9"/>
  <c r="AA74" i="9"/>
  <c r="Z74" i="9"/>
  <c r="X74" i="9"/>
  <c r="W74" i="9"/>
  <c r="U74" i="9"/>
  <c r="T74" i="9"/>
  <c r="R74" i="9"/>
  <c r="Q74" i="9"/>
  <c r="L74" i="9"/>
  <c r="J74" i="9"/>
  <c r="H74" i="9"/>
  <c r="G74" i="9"/>
  <c r="E74" i="9"/>
  <c r="B74" i="9"/>
  <c r="AF73" i="9"/>
  <c r="AD73" i="9"/>
  <c r="AC73" i="9"/>
  <c r="AA73" i="9"/>
  <c r="Z73" i="9"/>
  <c r="X73" i="9"/>
  <c r="W73" i="9"/>
  <c r="U73" i="9"/>
  <c r="R73" i="9"/>
  <c r="Q73" i="9"/>
  <c r="O73" i="9"/>
  <c r="N73" i="9"/>
  <c r="L73" i="9"/>
  <c r="J73" i="9"/>
  <c r="G73" i="9"/>
  <c r="E73" i="9"/>
  <c r="D73" i="9"/>
  <c r="AF72" i="9"/>
  <c r="AD72" i="9"/>
  <c r="AC72" i="9"/>
  <c r="AA72" i="9"/>
  <c r="Z72" i="9"/>
  <c r="X72" i="9"/>
  <c r="W72" i="9"/>
  <c r="U72" i="9"/>
  <c r="T72" i="9"/>
  <c r="Q72" i="9"/>
  <c r="O72" i="9"/>
  <c r="N72" i="9"/>
  <c r="J72" i="9"/>
  <c r="H72" i="9"/>
  <c r="G72" i="9"/>
  <c r="D72" i="9"/>
  <c r="B72" i="9"/>
  <c r="AF68" i="9"/>
  <c r="AD68" i="9"/>
  <c r="AC68" i="9"/>
  <c r="AA68" i="9"/>
  <c r="Z68" i="9"/>
  <c r="X68" i="9"/>
  <c r="W68" i="9"/>
  <c r="U68" i="9"/>
  <c r="T68" i="9"/>
  <c r="R68" i="9"/>
  <c r="Q68" i="9"/>
  <c r="O68" i="9"/>
  <c r="N68" i="9"/>
  <c r="L68" i="9"/>
  <c r="J68" i="9"/>
  <c r="H68" i="9"/>
  <c r="G68" i="9"/>
  <c r="E68" i="9"/>
  <c r="D68" i="9"/>
  <c r="B68" i="9"/>
  <c r="AF67" i="9"/>
  <c r="AD67" i="9"/>
  <c r="AC67" i="9"/>
  <c r="AA67" i="9"/>
  <c r="Z67" i="9"/>
  <c r="X67" i="9"/>
  <c r="W67" i="9"/>
  <c r="U67" i="9"/>
  <c r="T67" i="9"/>
  <c r="R67" i="9"/>
  <c r="O67" i="9"/>
  <c r="N67" i="9"/>
  <c r="L67" i="9"/>
  <c r="H67" i="9"/>
  <c r="E67" i="9"/>
  <c r="D67" i="9"/>
  <c r="B67" i="9"/>
  <c r="AF66" i="9"/>
  <c r="AD66" i="9"/>
  <c r="AC66" i="9"/>
  <c r="AA66" i="9"/>
  <c r="Z66" i="9"/>
  <c r="X66" i="9"/>
  <c r="W66" i="9"/>
  <c r="U66" i="9"/>
  <c r="T66" i="9"/>
  <c r="R66" i="9"/>
  <c r="Q66" i="9"/>
  <c r="L66" i="9"/>
  <c r="J66" i="9"/>
  <c r="H66" i="9"/>
  <c r="G66" i="9"/>
  <c r="E66" i="9"/>
  <c r="B66" i="9"/>
  <c r="AF65" i="9"/>
  <c r="AD65" i="9"/>
  <c r="AC65" i="9"/>
  <c r="AA65" i="9"/>
  <c r="Z65" i="9"/>
  <c r="X65" i="9"/>
  <c r="W65" i="9"/>
  <c r="U65" i="9"/>
  <c r="R65" i="9"/>
  <c r="Q65" i="9"/>
  <c r="O65" i="9"/>
  <c r="N65" i="9"/>
  <c r="L65" i="9"/>
  <c r="J65" i="9"/>
  <c r="G65" i="9"/>
  <c r="E65" i="9"/>
  <c r="D65" i="9"/>
  <c r="AF64" i="9"/>
  <c r="AD64" i="9"/>
  <c r="AC64" i="9"/>
  <c r="AA64" i="9"/>
  <c r="Z64" i="9"/>
  <c r="X64" i="9"/>
  <c r="W64" i="9"/>
  <c r="U64" i="9"/>
  <c r="T64" i="9"/>
  <c r="Q64" i="9"/>
  <c r="O64" i="9"/>
  <c r="N64" i="9"/>
  <c r="J64" i="9"/>
  <c r="H64" i="9"/>
  <c r="G64" i="9"/>
  <c r="D64" i="9"/>
  <c r="B64" i="9"/>
  <c r="AF62" i="9"/>
  <c r="AD62" i="9"/>
  <c r="AC62" i="9"/>
  <c r="AA62" i="9"/>
  <c r="Z62" i="9"/>
  <c r="X62" i="9"/>
  <c r="W62" i="9"/>
  <c r="U62" i="9"/>
  <c r="T62" i="9"/>
  <c r="R62" i="9"/>
  <c r="Q62" i="9"/>
  <c r="O62" i="9"/>
  <c r="N62" i="9"/>
  <c r="L62" i="9"/>
  <c r="J62" i="9"/>
  <c r="H62" i="9"/>
  <c r="G62" i="9"/>
  <c r="E62" i="9"/>
  <c r="D62" i="9"/>
  <c r="B62" i="9"/>
  <c r="AF61" i="9"/>
  <c r="AD61" i="9"/>
  <c r="AC61" i="9"/>
  <c r="AA61" i="9"/>
  <c r="Z61" i="9"/>
  <c r="X61" i="9"/>
  <c r="W61" i="9"/>
  <c r="U61" i="9"/>
  <c r="T61" i="9"/>
  <c r="R61" i="9"/>
  <c r="O61" i="9"/>
  <c r="N61" i="9"/>
  <c r="L61" i="9"/>
  <c r="H61" i="9"/>
  <c r="E61" i="9"/>
  <c r="D61" i="9"/>
  <c r="B61" i="9"/>
  <c r="AF60" i="9"/>
  <c r="AD60" i="9"/>
  <c r="AC60" i="9"/>
  <c r="AA60" i="9"/>
  <c r="Z60" i="9"/>
  <c r="X60" i="9"/>
  <c r="W60" i="9"/>
  <c r="U60" i="9"/>
  <c r="T60" i="9"/>
  <c r="R60" i="9"/>
  <c r="Q60" i="9"/>
  <c r="L60" i="9"/>
  <c r="J60" i="9"/>
  <c r="H60" i="9"/>
  <c r="G60" i="9"/>
  <c r="E60" i="9"/>
  <c r="B60" i="9"/>
  <c r="AF59" i="9"/>
  <c r="AD59" i="9"/>
  <c r="AC59" i="9"/>
  <c r="AA59" i="9"/>
  <c r="Z59" i="9"/>
  <c r="X59" i="9"/>
  <c r="W59" i="9"/>
  <c r="U59" i="9"/>
  <c r="R59" i="9"/>
  <c r="Q59" i="9"/>
  <c r="O59" i="9"/>
  <c r="N59" i="9"/>
  <c r="L59" i="9"/>
  <c r="J59" i="9"/>
  <c r="G59" i="9"/>
  <c r="E59" i="9"/>
  <c r="D59" i="9"/>
  <c r="AF58" i="9"/>
  <c r="AD58" i="9"/>
  <c r="AC58" i="9"/>
  <c r="AA58" i="9"/>
  <c r="Z58" i="9"/>
  <c r="X58" i="9"/>
  <c r="W58" i="9"/>
  <c r="U58" i="9"/>
  <c r="T58" i="9"/>
  <c r="Q58" i="9"/>
  <c r="O58" i="9"/>
  <c r="N58" i="9"/>
  <c r="J58" i="9"/>
  <c r="H58" i="9"/>
  <c r="G58" i="9"/>
  <c r="D58" i="9"/>
  <c r="B58" i="9"/>
  <c r="AF56" i="9"/>
  <c r="AD56" i="9"/>
  <c r="AC56" i="9"/>
  <c r="AA56" i="9"/>
  <c r="Z56" i="9"/>
  <c r="X56" i="9"/>
  <c r="W56" i="9"/>
  <c r="U56" i="9"/>
  <c r="T56" i="9"/>
  <c r="R56" i="9"/>
  <c r="Q56" i="9"/>
  <c r="O56" i="9"/>
  <c r="N56" i="9"/>
  <c r="L56" i="9"/>
  <c r="J56" i="9"/>
  <c r="H56" i="9"/>
  <c r="G56" i="9"/>
  <c r="E56" i="9"/>
  <c r="D56" i="9"/>
  <c r="B56" i="9"/>
  <c r="AF55" i="9"/>
  <c r="AD55" i="9"/>
  <c r="AC55" i="9"/>
  <c r="AA55" i="9"/>
  <c r="Z55" i="9"/>
  <c r="X55" i="9"/>
  <c r="W55" i="9"/>
  <c r="U55" i="9"/>
  <c r="T55" i="9"/>
  <c r="R55" i="9"/>
  <c r="O55" i="9"/>
  <c r="N55" i="9"/>
  <c r="L55" i="9"/>
  <c r="H55" i="9"/>
  <c r="E55" i="9"/>
  <c r="D55" i="9"/>
  <c r="B55" i="9"/>
  <c r="AF54" i="9"/>
  <c r="AD54" i="9"/>
  <c r="AC54" i="9"/>
  <c r="AA54" i="9"/>
  <c r="Z54" i="9"/>
  <c r="X54" i="9"/>
  <c r="W54" i="9"/>
  <c r="U54" i="9"/>
  <c r="T54" i="9"/>
  <c r="R54" i="9"/>
  <c r="Q54" i="9"/>
  <c r="L54" i="9"/>
  <c r="J54" i="9"/>
  <c r="H54" i="9"/>
  <c r="G54" i="9"/>
  <c r="E54" i="9"/>
  <c r="B54" i="9"/>
  <c r="AF53" i="9"/>
  <c r="AD53" i="9"/>
  <c r="AC53" i="9"/>
  <c r="AA53" i="9"/>
  <c r="Z53" i="9"/>
  <c r="X53" i="9"/>
  <c r="W53" i="9"/>
  <c r="U53" i="9"/>
  <c r="R53" i="9"/>
  <c r="Q53" i="9"/>
  <c r="O53" i="9"/>
  <c r="N53" i="9"/>
  <c r="L53" i="9"/>
  <c r="J53" i="9"/>
  <c r="G53" i="9"/>
  <c r="E53" i="9"/>
  <c r="D53" i="9"/>
  <c r="AF52" i="9"/>
  <c r="AD52" i="9"/>
  <c r="AC52" i="9"/>
  <c r="AA52" i="9"/>
  <c r="Z52" i="9"/>
  <c r="X52" i="9"/>
  <c r="W52" i="9"/>
  <c r="U52" i="9"/>
  <c r="T52" i="9"/>
  <c r="Q52" i="9"/>
  <c r="O52" i="9"/>
  <c r="N52" i="9"/>
  <c r="J52" i="9"/>
  <c r="H52" i="9"/>
  <c r="G52" i="9"/>
  <c r="D52" i="9"/>
  <c r="B52" i="9"/>
  <c r="AF50" i="9"/>
  <c r="AD50" i="9"/>
  <c r="AC50" i="9"/>
  <c r="AA50" i="9"/>
  <c r="Z50" i="9"/>
  <c r="X50" i="9"/>
  <c r="W50" i="9"/>
  <c r="U50" i="9"/>
  <c r="T50" i="9"/>
  <c r="R50" i="9"/>
  <c r="Q50" i="9"/>
  <c r="O50" i="9"/>
  <c r="N50" i="9"/>
  <c r="L50" i="9"/>
  <c r="J50" i="9"/>
  <c r="H50" i="9"/>
  <c r="G50" i="9"/>
  <c r="E50" i="9"/>
  <c r="D50" i="9"/>
  <c r="B50" i="9"/>
  <c r="AF49" i="9"/>
  <c r="AD49" i="9"/>
  <c r="AC49" i="9"/>
  <c r="AA49" i="9"/>
  <c r="Z49" i="9"/>
  <c r="X49" i="9"/>
  <c r="W49" i="9"/>
  <c r="U49" i="9"/>
  <c r="T49" i="9"/>
  <c r="R49" i="9"/>
  <c r="O49" i="9"/>
  <c r="N49" i="9"/>
  <c r="L49" i="9"/>
  <c r="H49" i="9"/>
  <c r="E49" i="9"/>
  <c r="D49" i="9"/>
  <c r="B49" i="9"/>
  <c r="AF48" i="9"/>
  <c r="AD48" i="9"/>
  <c r="AC48" i="9"/>
  <c r="AA48" i="9"/>
  <c r="Z48" i="9"/>
  <c r="X48" i="9"/>
  <c r="W48" i="9"/>
  <c r="U48" i="9"/>
  <c r="T48" i="9"/>
  <c r="R48" i="9"/>
  <c r="Q48" i="9"/>
  <c r="L48" i="9"/>
  <c r="J48" i="9"/>
  <c r="H48" i="9"/>
  <c r="G48" i="9"/>
  <c r="E48" i="9"/>
  <c r="B48" i="9"/>
  <c r="AF47" i="9"/>
  <c r="AD47" i="9"/>
  <c r="AC47" i="9"/>
  <c r="AA47" i="9"/>
  <c r="Z47" i="9"/>
  <c r="X47" i="9"/>
  <c r="W47" i="9"/>
  <c r="U47" i="9"/>
  <c r="R47" i="9"/>
  <c r="Q47" i="9"/>
  <c r="O47" i="9"/>
  <c r="N47" i="9"/>
  <c r="L47" i="9"/>
  <c r="J47" i="9"/>
  <c r="G47" i="9"/>
  <c r="E47" i="9"/>
  <c r="D47" i="9"/>
  <c r="AF46" i="9"/>
  <c r="AD46" i="9"/>
  <c r="AC46" i="9"/>
  <c r="AA46" i="9"/>
  <c r="Z46" i="9"/>
  <c r="X46" i="9"/>
  <c r="W46" i="9"/>
  <c r="U46" i="9"/>
  <c r="T46" i="9"/>
  <c r="Q46" i="9"/>
  <c r="O46" i="9"/>
  <c r="N46" i="9"/>
  <c r="J46" i="9"/>
  <c r="H46" i="9"/>
  <c r="G46" i="9"/>
  <c r="D46" i="9"/>
  <c r="B46" i="9"/>
  <c r="X43" i="9"/>
  <c r="L43" i="9"/>
  <c r="AD42" i="9"/>
  <c r="R42" i="9"/>
  <c r="X41" i="9"/>
  <c r="AD40" i="9"/>
  <c r="Z39" i="9"/>
  <c r="AF35" i="9"/>
  <c r="AF43" i="9" s="1"/>
  <c r="AD35" i="9"/>
  <c r="AD43" i="9" s="1"/>
  <c r="AC35" i="9"/>
  <c r="AC43" i="9" s="1"/>
  <c r="AA35" i="9"/>
  <c r="AA43" i="9" s="1"/>
  <c r="Z35" i="9"/>
  <c r="Z43" i="9" s="1"/>
  <c r="X35" i="9"/>
  <c r="W35" i="9"/>
  <c r="W43" i="9" s="1"/>
  <c r="U35" i="9"/>
  <c r="U43" i="9" s="1"/>
  <c r="T35" i="9"/>
  <c r="T43" i="9" s="1"/>
  <c r="R35" i="9"/>
  <c r="R43" i="9" s="1"/>
  <c r="Q35" i="9"/>
  <c r="Q43" i="9" s="1"/>
  <c r="O35" i="9"/>
  <c r="O43" i="9" s="1"/>
  <c r="N35" i="9"/>
  <c r="N43" i="9" s="1"/>
  <c r="L35" i="9"/>
  <c r="J35" i="9"/>
  <c r="J43" i="9" s="1"/>
  <c r="H35" i="9"/>
  <c r="H43" i="9" s="1"/>
  <c r="G35" i="9"/>
  <c r="G43" i="9" s="1"/>
  <c r="E35" i="9"/>
  <c r="E43" i="9" s="1"/>
  <c r="D35" i="9"/>
  <c r="D43" i="9" s="1"/>
  <c r="B35" i="9"/>
  <c r="B43" i="9" s="1"/>
  <c r="AF34" i="9"/>
  <c r="AF42" i="9" s="1"/>
  <c r="AD34" i="9"/>
  <c r="AC34" i="9"/>
  <c r="AC42" i="9" s="1"/>
  <c r="AA34" i="9"/>
  <c r="AA42" i="9" s="1"/>
  <c r="Z34" i="9"/>
  <c r="Z42" i="9" s="1"/>
  <c r="X34" i="9"/>
  <c r="X42" i="9" s="1"/>
  <c r="W34" i="9"/>
  <c r="W42" i="9" s="1"/>
  <c r="U34" i="9"/>
  <c r="U42" i="9" s="1"/>
  <c r="T34" i="9"/>
  <c r="T42" i="9" s="1"/>
  <c r="R34" i="9"/>
  <c r="Q34" i="9"/>
  <c r="Q42" i="9" s="1"/>
  <c r="O34" i="9"/>
  <c r="O42" i="9" s="1"/>
  <c r="N34" i="9"/>
  <c r="N42" i="9" s="1"/>
  <c r="L34" i="9"/>
  <c r="L42" i="9" s="1"/>
  <c r="J34" i="9"/>
  <c r="J42" i="9" s="1"/>
  <c r="H34" i="9"/>
  <c r="H42" i="9" s="1"/>
  <c r="G34" i="9"/>
  <c r="G42" i="9" s="1"/>
  <c r="E34" i="9"/>
  <c r="E42" i="9" s="1"/>
  <c r="D34" i="9"/>
  <c r="D42" i="9" s="1"/>
  <c r="B34" i="9"/>
  <c r="B42" i="9" s="1"/>
  <c r="AF33" i="9"/>
  <c r="AF41" i="9" s="1"/>
  <c r="AD33" i="9"/>
  <c r="AD41" i="9" s="1"/>
  <c r="AC33" i="9"/>
  <c r="AC41" i="9" s="1"/>
  <c r="AA33" i="9"/>
  <c r="AA41" i="9" s="1"/>
  <c r="Z33" i="9"/>
  <c r="Z41" i="9" s="1"/>
  <c r="X33" i="9"/>
  <c r="W33" i="9"/>
  <c r="W41" i="9" s="1"/>
  <c r="U33" i="9"/>
  <c r="U41" i="9" s="1"/>
  <c r="T33" i="9"/>
  <c r="T41" i="9" s="1"/>
  <c r="R33" i="9"/>
  <c r="R41" i="9" s="1"/>
  <c r="Q33" i="9"/>
  <c r="Q41" i="9" s="1"/>
  <c r="O33" i="9"/>
  <c r="O41" i="9" s="1"/>
  <c r="N33" i="9"/>
  <c r="N41" i="9" s="1"/>
  <c r="L33" i="9"/>
  <c r="L41" i="9" s="1"/>
  <c r="J33" i="9"/>
  <c r="J41" i="9" s="1"/>
  <c r="H33" i="9"/>
  <c r="H41" i="9" s="1"/>
  <c r="G33" i="9"/>
  <c r="G41" i="9" s="1"/>
  <c r="E33" i="9"/>
  <c r="E41" i="9" s="1"/>
  <c r="D33" i="9"/>
  <c r="D41" i="9" s="1"/>
  <c r="B33" i="9"/>
  <c r="B41" i="9" s="1"/>
  <c r="AF32" i="9"/>
  <c r="AF40" i="9" s="1"/>
  <c r="AD32" i="9"/>
  <c r="AC32" i="9"/>
  <c r="AC40" i="9" s="1"/>
  <c r="AA32" i="9"/>
  <c r="AA40" i="9" s="1"/>
  <c r="Z32" i="9"/>
  <c r="Z40" i="9" s="1"/>
  <c r="X32" i="9"/>
  <c r="X40" i="9" s="1"/>
  <c r="W32" i="9"/>
  <c r="W40" i="9" s="1"/>
  <c r="U32" i="9"/>
  <c r="U40" i="9" s="1"/>
  <c r="T32" i="9"/>
  <c r="R32" i="9"/>
  <c r="R40" i="9" s="1"/>
  <c r="Q32" i="9"/>
  <c r="Q40" i="9" s="1"/>
  <c r="O32" i="9"/>
  <c r="O40" i="9" s="1"/>
  <c r="N32" i="9"/>
  <c r="N40" i="9" s="1"/>
  <c r="L32" i="9"/>
  <c r="L40" i="9" s="1"/>
  <c r="J32" i="9"/>
  <c r="J40" i="9" s="1"/>
  <c r="H32" i="9"/>
  <c r="H40" i="9" s="1"/>
  <c r="G32" i="9"/>
  <c r="G40" i="9" s="1"/>
  <c r="E32" i="9"/>
  <c r="E40" i="9" s="1"/>
  <c r="D32" i="9"/>
  <c r="D40" i="9" s="1"/>
  <c r="B32" i="9"/>
  <c r="B40" i="9" s="1"/>
  <c r="AF31" i="9"/>
  <c r="AF36" i="9" s="1"/>
  <c r="AD31" i="9"/>
  <c r="AD39" i="9" s="1"/>
  <c r="AC31" i="9"/>
  <c r="AC39" i="9" s="1"/>
  <c r="AA31" i="9"/>
  <c r="AA39" i="9" s="1"/>
  <c r="Z31" i="9"/>
  <c r="Z36" i="9" s="1"/>
  <c r="Z37" i="9" s="1"/>
  <c r="X31" i="9"/>
  <c r="X36" i="9" s="1"/>
  <c r="W31" i="9"/>
  <c r="U31" i="9"/>
  <c r="U36" i="9" s="1"/>
  <c r="T31" i="9"/>
  <c r="T36" i="9" s="1"/>
  <c r="R31" i="9"/>
  <c r="R39" i="9" s="1"/>
  <c r="Q31" i="9"/>
  <c r="Q67" i="9" s="1"/>
  <c r="O31" i="9"/>
  <c r="O66" i="9" s="1"/>
  <c r="N31" i="9"/>
  <c r="N66" i="9" s="1"/>
  <c r="L31" i="9"/>
  <c r="L64" i="9" s="1"/>
  <c r="J31" i="9"/>
  <c r="H31" i="9"/>
  <c r="H36" i="9" s="1"/>
  <c r="G31" i="9"/>
  <c r="G36" i="9" s="1"/>
  <c r="E31" i="9"/>
  <c r="E39" i="9" s="1"/>
  <c r="D31" i="9"/>
  <c r="D66" i="9" s="1"/>
  <c r="B31" i="9"/>
  <c r="B65" i="9" s="1"/>
  <c r="AF30" i="9"/>
  <c r="AD30" i="9"/>
  <c r="AC30" i="9"/>
  <c r="AA30" i="9"/>
  <c r="Z30" i="9"/>
  <c r="X30" i="9"/>
  <c r="W30" i="9"/>
  <c r="U30" i="9"/>
  <c r="T30" i="9"/>
  <c r="R30" i="9"/>
  <c r="Q30" i="9"/>
  <c r="O30" i="9"/>
  <c r="N30" i="9"/>
  <c r="L30" i="9"/>
  <c r="AK24" i="9" s="1"/>
  <c r="J30" i="9"/>
  <c r="AJ27" i="9" s="1"/>
  <c r="H30" i="9"/>
  <c r="G30" i="9"/>
  <c r="E30" i="9"/>
  <c r="D30" i="9"/>
  <c r="AH26" i="9" s="1"/>
  <c r="B30" i="9"/>
  <c r="AE29" i="9"/>
  <c r="AB29" i="9"/>
  <c r="Y29" i="9"/>
  <c r="V29" i="9"/>
  <c r="S29" i="9"/>
  <c r="P29" i="9"/>
  <c r="M29" i="9"/>
  <c r="I29" i="9"/>
  <c r="F29" i="9"/>
  <c r="A29" i="9"/>
  <c r="AQ28" i="9"/>
  <c r="AP28" i="9"/>
  <c r="AO28" i="9"/>
  <c r="AN28" i="9"/>
  <c r="AM28" i="9"/>
  <c r="AL28" i="9"/>
  <c r="AK28" i="9"/>
  <c r="AJ28" i="9"/>
  <c r="AI28" i="9"/>
  <c r="AH28" i="9"/>
  <c r="AG28" i="9"/>
  <c r="AE28" i="9"/>
  <c r="AB28" i="9"/>
  <c r="Y28" i="9"/>
  <c r="V28" i="9"/>
  <c r="S28" i="9"/>
  <c r="P28" i="9"/>
  <c r="M28" i="9"/>
  <c r="I28" i="9"/>
  <c r="F28" i="9"/>
  <c r="A28" i="9"/>
  <c r="AQ27" i="9"/>
  <c r="AP27" i="9"/>
  <c r="AO27" i="9"/>
  <c r="AN27" i="9"/>
  <c r="AM27" i="9"/>
  <c r="AK27" i="9"/>
  <c r="AI27" i="9"/>
  <c r="AH27" i="9"/>
  <c r="AG27" i="9"/>
  <c r="AE27" i="9"/>
  <c r="AB27" i="9"/>
  <c r="Y27" i="9"/>
  <c r="V27" i="9"/>
  <c r="S27" i="9"/>
  <c r="P27" i="9"/>
  <c r="M27" i="9"/>
  <c r="I27" i="9"/>
  <c r="F27" i="9"/>
  <c r="A27" i="9"/>
  <c r="AQ26" i="9"/>
  <c r="AP26" i="9"/>
  <c r="AO26" i="9"/>
  <c r="AN26" i="9"/>
  <c r="AM26" i="9"/>
  <c r="AK26" i="9"/>
  <c r="AJ26" i="9"/>
  <c r="AI26" i="9"/>
  <c r="AG26" i="9"/>
  <c r="AE26" i="9"/>
  <c r="AB26" i="9"/>
  <c r="Y26" i="9"/>
  <c r="V26" i="9"/>
  <c r="S26" i="9"/>
  <c r="P26" i="9"/>
  <c r="M26" i="9"/>
  <c r="I26" i="9"/>
  <c r="F26" i="9"/>
  <c r="A26" i="9"/>
  <c r="AQ25" i="9"/>
  <c r="AP25" i="9"/>
  <c r="AO25" i="9"/>
  <c r="AN25" i="9"/>
  <c r="AM25" i="9"/>
  <c r="AL25" i="9"/>
  <c r="AK25" i="9"/>
  <c r="AI25" i="9"/>
  <c r="AG25" i="9"/>
  <c r="AE25" i="9"/>
  <c r="AB25" i="9"/>
  <c r="Y25" i="9"/>
  <c r="V25" i="9"/>
  <c r="S25" i="9"/>
  <c r="P25" i="9"/>
  <c r="M25" i="9"/>
  <c r="I25" i="9"/>
  <c r="F25" i="9"/>
  <c r="AQ24" i="9"/>
  <c r="AP24" i="9"/>
  <c r="AO24" i="9"/>
  <c r="AN24" i="9"/>
  <c r="AM24" i="9"/>
  <c r="AL24" i="9"/>
  <c r="AJ24" i="9"/>
  <c r="AI24" i="9"/>
  <c r="AH24" i="9"/>
  <c r="AG24" i="9"/>
  <c r="AE24" i="9"/>
  <c r="AB24" i="9"/>
  <c r="Y24" i="9"/>
  <c r="V24" i="9"/>
  <c r="S24" i="9"/>
  <c r="P24" i="9"/>
  <c r="M24" i="9"/>
  <c r="I24" i="9"/>
  <c r="F24" i="9"/>
  <c r="AD22" i="9"/>
  <c r="AA22" i="9"/>
  <c r="X22" i="9"/>
  <c r="U22" i="9"/>
  <c r="R22" i="9"/>
  <c r="O22" i="9"/>
  <c r="L22" i="9"/>
  <c r="H22" i="9"/>
  <c r="E22" i="9"/>
  <c r="E17" i="9"/>
  <c r="E16" i="9"/>
  <c r="B83" i="9" s="1"/>
  <c r="A16" i="9"/>
  <c r="A14" i="9"/>
  <c r="A12" i="9"/>
  <c r="A10" i="9"/>
  <c r="AV9" i="9"/>
  <c r="AU9" i="9"/>
  <c r="AV8" i="9"/>
  <c r="E98" i="9" s="1"/>
  <c r="H180" i="9" s="1"/>
  <c r="K211" i="9" s="1"/>
  <c r="A8" i="9"/>
  <c r="AV7" i="9"/>
  <c r="E13" i="9" s="1"/>
  <c r="AB179" i="9" s="1"/>
  <c r="AH210" i="9" s="1"/>
  <c r="S7" i="9"/>
  <c r="M7" i="9"/>
  <c r="AV6" i="9"/>
  <c r="E11" i="9" s="1"/>
  <c r="H179" i="9" s="1"/>
  <c r="K210" i="9" s="1"/>
  <c r="K6" i="9"/>
  <c r="AV5" i="9"/>
  <c r="E96" i="9" s="1"/>
  <c r="AB180" i="9" s="1"/>
  <c r="AH211" i="9" s="1"/>
  <c r="AU5" i="9"/>
  <c r="E95" i="9" s="1"/>
  <c r="AV3" i="9"/>
  <c r="E9" i="9" s="1"/>
  <c r="AL179" i="9" s="1"/>
  <c r="AH212" i="9" s="1"/>
  <c r="Z232" i="15" l="1"/>
  <c r="Z233" i="15" s="1"/>
  <c r="AB228" i="15" s="1"/>
  <c r="AE231" i="15" s="1"/>
  <c r="AB232" i="15"/>
  <c r="AB233" i="15" s="1"/>
  <c r="AB229" i="15" s="1"/>
  <c r="AE229" i="15" s="1"/>
  <c r="AU232" i="15" s="1"/>
  <c r="AY10" i="15" s="1"/>
  <c r="E232" i="15"/>
  <c r="E233" i="15" s="1"/>
  <c r="G228" i="15" s="1"/>
  <c r="J231" i="15" s="1"/>
  <c r="G232" i="15"/>
  <c r="G233" i="15" s="1"/>
  <c r="G229" i="15" s="1"/>
  <c r="J229" i="15" s="1"/>
  <c r="AU228" i="15" s="1"/>
  <c r="AY11" i="15" s="1"/>
  <c r="D232" i="15"/>
  <c r="D233" i="15" s="1"/>
  <c r="D230" i="15" s="1"/>
  <c r="G230" i="15" s="1"/>
  <c r="J230" i="15" s="1"/>
  <c r="AU229" i="15" s="1"/>
  <c r="AY4" i="15" s="1"/>
  <c r="B232" i="15"/>
  <c r="B233" i="15" s="1"/>
  <c r="D227" i="15" s="1"/>
  <c r="G227" i="15" s="1"/>
  <c r="H231" i="15" s="1"/>
  <c r="G232" i="14"/>
  <c r="G233" i="14" s="1"/>
  <c r="G229" i="14" s="1"/>
  <c r="J231" i="14" s="1"/>
  <c r="E232" i="14"/>
  <c r="E233" i="14" s="1"/>
  <c r="G228" i="14" s="1"/>
  <c r="J228" i="14" s="1"/>
  <c r="AU227" i="14" s="1"/>
  <c r="AY8" i="14" s="1"/>
  <c r="AB232" i="14"/>
  <c r="AB233" i="14" s="1"/>
  <c r="AB229" i="14" s="1"/>
  <c r="AE231" i="14" s="1"/>
  <c r="Z232" i="14"/>
  <c r="Z233" i="14" s="1"/>
  <c r="AB228" i="14" s="1"/>
  <c r="AE228" i="14" s="1"/>
  <c r="AU231" i="14" s="1"/>
  <c r="AY9" i="14" s="1"/>
  <c r="B232" i="14"/>
  <c r="B233" i="14" s="1"/>
  <c r="D227" i="14" s="1"/>
  <c r="G227" i="14" s="1"/>
  <c r="J227" i="14" s="1"/>
  <c r="AU226" i="14" s="1"/>
  <c r="AY6" i="14" s="1"/>
  <c r="B232" i="13"/>
  <c r="B233" i="13" s="1"/>
  <c r="D227" i="13" s="1"/>
  <c r="G227" i="13" s="1"/>
  <c r="H231" i="13" s="1"/>
  <c r="D232" i="13"/>
  <c r="D233" i="13" s="1"/>
  <c r="D230" i="13" s="1"/>
  <c r="G230" i="13" s="1"/>
  <c r="J230" i="13" s="1"/>
  <c r="AU229" i="13" s="1"/>
  <c r="AY12" i="13" s="1"/>
  <c r="G232" i="13"/>
  <c r="G233" i="13" s="1"/>
  <c r="G229" i="13" s="1"/>
  <c r="J231" i="13" s="1"/>
  <c r="Z232" i="13"/>
  <c r="Z233" i="13" s="1"/>
  <c r="AB228" i="13" s="1"/>
  <c r="AE228" i="13" s="1"/>
  <c r="AU231" i="13" s="1"/>
  <c r="AY8" i="13" s="1"/>
  <c r="AB232" i="13"/>
  <c r="AB233" i="13" s="1"/>
  <c r="AB229" i="13" s="1"/>
  <c r="AE231" i="13" s="1"/>
  <c r="E232" i="13"/>
  <c r="E233" i="13" s="1"/>
  <c r="G228" i="13" s="1"/>
  <c r="J228" i="13" s="1"/>
  <c r="AU227" i="13" s="1"/>
  <c r="AY4" i="13" s="1"/>
  <c r="W232" i="13"/>
  <c r="W233" i="13" s="1"/>
  <c r="Y227" i="13" s="1"/>
  <c r="AB227" i="13" s="1"/>
  <c r="AE227" i="13" s="1"/>
  <c r="AU230" i="13" s="1"/>
  <c r="AY10" i="13" s="1"/>
  <c r="Y232" i="13"/>
  <c r="Y233" i="13" s="1"/>
  <c r="Y230" i="13" s="1"/>
  <c r="AB230" i="13" s="1"/>
  <c r="AC231" i="13" s="1"/>
  <c r="AR26" i="11"/>
  <c r="X12" i="11" s="1"/>
  <c r="AM25" i="11"/>
  <c r="X44" i="11"/>
  <c r="O39" i="11"/>
  <c r="V71" i="11"/>
  <c r="R121" i="11"/>
  <c r="AM25" i="12"/>
  <c r="AI111" i="12"/>
  <c r="AR113" i="12"/>
  <c r="X101" i="12" s="1"/>
  <c r="O122" i="12"/>
  <c r="AA122" i="12"/>
  <c r="AR24" i="11"/>
  <c r="X8" i="11" s="1"/>
  <c r="X121" i="11"/>
  <c r="E222" i="11"/>
  <c r="J218" i="11" s="1"/>
  <c r="AD222" i="11"/>
  <c r="AA232" i="11"/>
  <c r="Y71" i="12"/>
  <c r="AR28" i="11"/>
  <c r="X16" i="11" s="1"/>
  <c r="AA39" i="11"/>
  <c r="Y71" i="11"/>
  <c r="AD121" i="11"/>
  <c r="AR24" i="12"/>
  <c r="X8" i="12" s="1"/>
  <c r="AG50" i="12"/>
  <c r="M16" i="12" s="1"/>
  <c r="AG62" i="12"/>
  <c r="AA16" i="12" s="1"/>
  <c r="AG68" i="12"/>
  <c r="AI110" i="11"/>
  <c r="AR110" i="11" s="1"/>
  <c r="X95" i="11" s="1"/>
  <c r="AM110" i="11"/>
  <c r="B222" i="12"/>
  <c r="AA222" i="12"/>
  <c r="AR25" i="11"/>
  <c r="X10" i="11" s="1"/>
  <c r="R37" i="11"/>
  <c r="AD44" i="11"/>
  <c r="AI111" i="11"/>
  <c r="AR113" i="11"/>
  <c r="X101" i="11" s="1"/>
  <c r="AJ109" i="11"/>
  <c r="AA129" i="11"/>
  <c r="AR25" i="12"/>
  <c r="X10" i="12" s="1"/>
  <c r="AL26" i="12"/>
  <c r="AB71" i="11"/>
  <c r="AR27" i="12"/>
  <c r="X14" i="12" s="1"/>
  <c r="B36" i="12"/>
  <c r="B39" i="12"/>
  <c r="AR112" i="12"/>
  <c r="X99" i="12" s="1"/>
  <c r="AR27" i="11"/>
  <c r="X14" i="11" s="1"/>
  <c r="H65" i="11"/>
  <c r="U36" i="11"/>
  <c r="W37" i="11" s="1"/>
  <c r="B39" i="11"/>
  <c r="AE71" i="11"/>
  <c r="J67" i="12"/>
  <c r="J39" i="12"/>
  <c r="AG76" i="12"/>
  <c r="AD16" i="12" s="1"/>
  <c r="H39" i="11"/>
  <c r="O39" i="12"/>
  <c r="AJ25" i="9"/>
  <c r="X39" i="9"/>
  <c r="X44" i="9" s="1"/>
  <c r="AE71" i="9"/>
  <c r="D222" i="9"/>
  <c r="AC222" i="9"/>
  <c r="AF39" i="9"/>
  <c r="AD44" i="9" s="1"/>
  <c r="V71" i="9"/>
  <c r="AJ109" i="9"/>
  <c r="AH25" i="9"/>
  <c r="AL26" i="9"/>
  <c r="G39" i="9"/>
  <c r="E44" i="9" s="1"/>
  <c r="AF232" i="9"/>
  <c r="J36" i="9"/>
  <c r="W36" i="9"/>
  <c r="U37" i="9" s="1"/>
  <c r="L39" i="9"/>
  <c r="AG50" i="9"/>
  <c r="M16" i="9" s="1"/>
  <c r="AG62" i="9"/>
  <c r="AA16" i="9" s="1"/>
  <c r="Y71" i="9"/>
  <c r="AR110" i="9"/>
  <c r="X95" i="9" s="1"/>
  <c r="U150" i="9"/>
  <c r="J121" i="9"/>
  <c r="X222" i="9"/>
  <c r="N39" i="9"/>
  <c r="AB71" i="9"/>
  <c r="AG68" i="9"/>
  <c r="AR112" i="9"/>
  <c r="X99" i="9" s="1"/>
  <c r="G222" i="9"/>
  <c r="E232" i="9" s="1"/>
  <c r="O129" i="9"/>
  <c r="T65" i="9"/>
  <c r="T39" i="9"/>
  <c r="R44" i="9" s="1"/>
  <c r="T40" i="9"/>
  <c r="AG56" i="9"/>
  <c r="AH50" i="9" s="1"/>
  <c r="S16" i="9" s="1"/>
  <c r="G67" i="9"/>
  <c r="Y71" i="10"/>
  <c r="T65" i="10"/>
  <c r="AH50" i="10"/>
  <c r="S16" i="10" s="1"/>
  <c r="H65" i="10"/>
  <c r="L124" i="10"/>
  <c r="AR112" i="10"/>
  <c r="X99" i="10" s="1"/>
  <c r="AV4" i="9"/>
  <c r="D36" i="10"/>
  <c r="AR25" i="10"/>
  <c r="X10" i="10" s="1"/>
  <c r="AR26" i="10"/>
  <c r="X12" i="10" s="1"/>
  <c r="AR111" i="10"/>
  <c r="X97" i="10" s="1"/>
  <c r="F156" i="10"/>
  <c r="AI27" i="10"/>
  <c r="N36" i="10"/>
  <c r="Z36" i="10"/>
  <c r="B79" i="10"/>
  <c r="R46" i="11"/>
  <c r="AA37" i="11"/>
  <c r="AB37" i="11" s="1"/>
  <c r="D36" i="11"/>
  <c r="D37" i="11" s="1"/>
  <c r="D48" i="11" s="1"/>
  <c r="D66" i="11"/>
  <c r="Q67" i="11"/>
  <c r="Q36" i="11"/>
  <c r="Q37" i="11" s="1"/>
  <c r="Q49" i="11" s="1"/>
  <c r="Q39" i="11"/>
  <c r="O44" i="11" s="1"/>
  <c r="L129" i="11"/>
  <c r="L179" i="11"/>
  <c r="B79" i="11"/>
  <c r="K212" i="11"/>
  <c r="AV9" i="12"/>
  <c r="E64" i="11"/>
  <c r="E39" i="11"/>
  <c r="R64" i="11"/>
  <c r="R39" i="11"/>
  <c r="X36" i="11"/>
  <c r="AH50" i="11"/>
  <c r="S16" i="11" s="1"/>
  <c r="AH68" i="11"/>
  <c r="AA86" i="11"/>
  <c r="AA87" i="11" s="1"/>
  <c r="G67" i="11"/>
  <c r="G39" i="11"/>
  <c r="T65" i="11"/>
  <c r="T39" i="11"/>
  <c r="Z36" i="11"/>
  <c r="Z37" i="11" s="1"/>
  <c r="W39" i="11"/>
  <c r="U44" i="11" s="1"/>
  <c r="AA145" i="11"/>
  <c r="AC146" i="11"/>
  <c r="AG146" i="11" s="1"/>
  <c r="AA99" i="11" s="1"/>
  <c r="AV3" i="12"/>
  <c r="K210" i="11"/>
  <c r="AV4" i="12"/>
  <c r="AH210" i="11"/>
  <c r="AV8" i="12"/>
  <c r="AH212" i="11"/>
  <c r="E36" i="11"/>
  <c r="AD36" i="11"/>
  <c r="AD37" i="11" s="1"/>
  <c r="AR109" i="11"/>
  <c r="X93" i="11" s="1"/>
  <c r="AR111" i="11"/>
  <c r="X97" i="11" s="1"/>
  <c r="J67" i="11"/>
  <c r="I71" i="11" s="1"/>
  <c r="J36" i="11"/>
  <c r="J37" i="11" s="1"/>
  <c r="J49" i="11" s="1"/>
  <c r="G36" i="11"/>
  <c r="AF36" i="11"/>
  <c r="D39" i="11"/>
  <c r="B44" i="11" s="1"/>
  <c r="AC39" i="11"/>
  <c r="AA44" i="11" s="1"/>
  <c r="B179" i="11"/>
  <c r="B80" i="11"/>
  <c r="V179" i="11"/>
  <c r="B81" i="11"/>
  <c r="AF179" i="11"/>
  <c r="B82" i="11"/>
  <c r="C83" i="11"/>
  <c r="D83" i="11" s="1"/>
  <c r="G83" i="11" s="1"/>
  <c r="J83" i="11" s="1"/>
  <c r="N83" i="11" s="1"/>
  <c r="Q83" i="11" s="1"/>
  <c r="T83" i="11" s="1"/>
  <c r="W83" i="11" s="1"/>
  <c r="Z83" i="11" s="1"/>
  <c r="AC83" i="11" s="1"/>
  <c r="AF83" i="11" s="1"/>
  <c r="AU83" i="11" s="1"/>
  <c r="AT83" i="11"/>
  <c r="L39" i="11"/>
  <c r="L64" i="11"/>
  <c r="L36" i="11"/>
  <c r="AD143" i="11"/>
  <c r="AF144" i="11"/>
  <c r="N66" i="11"/>
  <c r="N39" i="11"/>
  <c r="N36" i="11"/>
  <c r="J39" i="11"/>
  <c r="H44" i="11" s="1"/>
  <c r="H36" i="11"/>
  <c r="O66" i="11"/>
  <c r="P71" i="11" s="1"/>
  <c r="AC86" i="11"/>
  <c r="AC87" i="11" s="1"/>
  <c r="E124" i="11"/>
  <c r="E150" i="11"/>
  <c r="F156" i="11" s="1"/>
  <c r="L121" i="11"/>
  <c r="AC121" i="11"/>
  <c r="Q124" i="11"/>
  <c r="J150" i="11"/>
  <c r="I156" i="11" s="1"/>
  <c r="E232" i="11"/>
  <c r="G232" i="11"/>
  <c r="AD232" i="11"/>
  <c r="AF232" i="11"/>
  <c r="AD86" i="11"/>
  <c r="AD87" i="11" s="1"/>
  <c r="N121" i="11"/>
  <c r="B124" i="11"/>
  <c r="T124" i="11"/>
  <c r="R129" i="11" s="1"/>
  <c r="R149" i="11"/>
  <c r="S156" i="11" s="1"/>
  <c r="AD149" i="11"/>
  <c r="G151" i="11"/>
  <c r="B65" i="11"/>
  <c r="AF86" i="11"/>
  <c r="AF87" i="11" s="1"/>
  <c r="K211" i="11"/>
  <c r="AV7" i="12"/>
  <c r="AV6" i="12"/>
  <c r="K213" i="11"/>
  <c r="AH211" i="11"/>
  <c r="AV5" i="12"/>
  <c r="U121" i="11"/>
  <c r="U122" i="11" s="1"/>
  <c r="U150" i="11"/>
  <c r="B121" i="11"/>
  <c r="Q121" i="11"/>
  <c r="AF121" i="11"/>
  <c r="D124" i="11"/>
  <c r="U124" i="11"/>
  <c r="U86" i="11"/>
  <c r="U87" i="11" s="1"/>
  <c r="D121" i="11"/>
  <c r="D122" i="11" s="1"/>
  <c r="D133" i="11" s="1"/>
  <c r="G124" i="11"/>
  <c r="W124" i="11"/>
  <c r="W151" i="11"/>
  <c r="V156" i="11" s="1"/>
  <c r="AC152" i="11"/>
  <c r="AG152" i="11" s="1"/>
  <c r="B180" i="11"/>
  <c r="B164" i="11"/>
  <c r="B165" i="11"/>
  <c r="L180" i="11"/>
  <c r="B166" i="11"/>
  <c r="V180" i="11"/>
  <c r="AT167" i="11"/>
  <c r="C167" i="11"/>
  <c r="D167" i="11" s="1"/>
  <c r="G167" i="11" s="1"/>
  <c r="J167" i="11" s="1"/>
  <c r="N167" i="11" s="1"/>
  <c r="Q167" i="11" s="1"/>
  <c r="T167" i="11" s="1"/>
  <c r="W167" i="11" s="1"/>
  <c r="Z167" i="11" s="1"/>
  <c r="AC170" i="11" s="1"/>
  <c r="AT168" i="11"/>
  <c r="C168" i="11"/>
  <c r="D168" i="11" s="1"/>
  <c r="G168" i="11" s="1"/>
  <c r="J168" i="11" s="1"/>
  <c r="N168" i="11" s="1"/>
  <c r="Q168" i="11" s="1"/>
  <c r="T168" i="11" s="1"/>
  <c r="W168" i="11" s="1"/>
  <c r="Z170" i="11" s="1"/>
  <c r="E121" i="11"/>
  <c r="T121" i="11"/>
  <c r="T122" i="11" s="1"/>
  <c r="T132" i="11" s="1"/>
  <c r="H124" i="11"/>
  <c r="Z124" i="11"/>
  <c r="X129" i="11" s="1"/>
  <c r="AF150" i="11"/>
  <c r="AD218" i="11"/>
  <c r="Z232" i="11"/>
  <c r="X232" i="11"/>
  <c r="J124" i="11"/>
  <c r="L149" i="11"/>
  <c r="X149" i="11"/>
  <c r="Y156" i="11" s="1"/>
  <c r="N151" i="11"/>
  <c r="C156" i="11"/>
  <c r="O150" i="11"/>
  <c r="P156" i="11" s="1"/>
  <c r="O121" i="11"/>
  <c r="AA151" i="11"/>
  <c r="AB156" i="11" s="1"/>
  <c r="AA121" i="11"/>
  <c r="AA122" i="11" s="1"/>
  <c r="H121" i="11"/>
  <c r="H122" i="11" s="1"/>
  <c r="AG153" i="11"/>
  <c r="Z121" i="11"/>
  <c r="O124" i="11"/>
  <c r="O129" i="11" s="1"/>
  <c r="Z233" i="11"/>
  <c r="H232" i="11"/>
  <c r="AR28" i="12"/>
  <c r="X16" i="12" s="1"/>
  <c r="AG67" i="12"/>
  <c r="R44" i="12"/>
  <c r="AD44" i="12"/>
  <c r="AH50" i="12"/>
  <c r="S16" i="12" s="1"/>
  <c r="P71" i="12"/>
  <c r="AT83" i="12"/>
  <c r="B232" i="11"/>
  <c r="C71" i="12"/>
  <c r="AH68" i="12"/>
  <c r="Y230" i="11"/>
  <c r="Z230" i="11" s="1"/>
  <c r="AC230" i="11" s="1"/>
  <c r="AR26" i="12"/>
  <c r="X12" i="12" s="1"/>
  <c r="H218" i="11"/>
  <c r="AF218" i="11"/>
  <c r="D36" i="12"/>
  <c r="Q36" i="12"/>
  <c r="Q37" i="12" s="1"/>
  <c r="Q49" i="12" s="1"/>
  <c r="AC36" i="12"/>
  <c r="AC37" i="12" s="1"/>
  <c r="N39" i="12"/>
  <c r="L44" i="12" s="1"/>
  <c r="Z39" i="12"/>
  <c r="X44" i="12" s="1"/>
  <c r="T65" i="12"/>
  <c r="AC122" i="12"/>
  <c r="AC134" i="12" s="1"/>
  <c r="AG134" i="12" s="1"/>
  <c r="M99" i="12" s="1"/>
  <c r="Z232" i="12"/>
  <c r="X232" i="12"/>
  <c r="AD218" i="12"/>
  <c r="E36" i="12"/>
  <c r="R36" i="12"/>
  <c r="AD36" i="12"/>
  <c r="E64" i="12"/>
  <c r="F71" i="12" s="1"/>
  <c r="R64" i="12"/>
  <c r="S71" i="12" s="1"/>
  <c r="H65" i="12"/>
  <c r="AG65" i="12" s="1"/>
  <c r="G36" i="12"/>
  <c r="T36" i="12"/>
  <c r="T37" i="12" s="1"/>
  <c r="T47" i="12" s="1"/>
  <c r="AF36" i="12"/>
  <c r="AF37" i="12" s="1"/>
  <c r="D39" i="12"/>
  <c r="B44" i="12" s="1"/>
  <c r="Q39" i="12"/>
  <c r="J40" i="12"/>
  <c r="H44" i="12" s="1"/>
  <c r="W40" i="12"/>
  <c r="U44" i="12" s="1"/>
  <c r="N66" i="12"/>
  <c r="AG66" i="12" s="1"/>
  <c r="F156" i="12"/>
  <c r="H218" i="12"/>
  <c r="K223" i="12" s="1"/>
  <c r="J198" i="12" s="1"/>
  <c r="D232" i="12"/>
  <c r="B232" i="12"/>
  <c r="AC232" i="12"/>
  <c r="AA232" i="12"/>
  <c r="AF218" i="12"/>
  <c r="AG223" i="12" s="1"/>
  <c r="AG198" i="12" s="1"/>
  <c r="H36" i="12"/>
  <c r="J37" i="12" s="1"/>
  <c r="J49" i="12" s="1"/>
  <c r="U36" i="12"/>
  <c r="U37" i="12" s="1"/>
  <c r="AF86" i="12"/>
  <c r="AT168" i="12"/>
  <c r="H129" i="12"/>
  <c r="G39" i="12"/>
  <c r="E44" i="12" s="1"/>
  <c r="AT167" i="12"/>
  <c r="AR109" i="12"/>
  <c r="X93" i="12" s="1"/>
  <c r="G232" i="12"/>
  <c r="J218" i="12"/>
  <c r="E232" i="12"/>
  <c r="AF232" i="12"/>
  <c r="AD232" i="12"/>
  <c r="L36" i="12"/>
  <c r="L37" i="12" s="1"/>
  <c r="X36" i="12"/>
  <c r="X37" i="12" s="1"/>
  <c r="B40" i="12"/>
  <c r="O40" i="12"/>
  <c r="O44" i="12" s="1"/>
  <c r="AA40" i="12"/>
  <c r="AA44" i="12" s="1"/>
  <c r="L64" i="12"/>
  <c r="AR111" i="12"/>
  <c r="X97" i="12" s="1"/>
  <c r="L129" i="12"/>
  <c r="X129" i="12"/>
  <c r="J232" i="12"/>
  <c r="H232" i="12"/>
  <c r="C156" i="12"/>
  <c r="O132" i="12"/>
  <c r="AA133" i="12"/>
  <c r="Z233" i="12"/>
  <c r="E121" i="12"/>
  <c r="E122" i="12" s="1"/>
  <c r="R121" i="12"/>
  <c r="AD121" i="12"/>
  <c r="B124" i="12"/>
  <c r="B129" i="12" s="1"/>
  <c r="O124" i="12"/>
  <c r="AA124" i="12"/>
  <c r="R149" i="12"/>
  <c r="S156" i="12" s="1"/>
  <c r="AD149" i="12"/>
  <c r="AE156" i="12" s="1"/>
  <c r="U150" i="12"/>
  <c r="V156" i="12" s="1"/>
  <c r="G121" i="12"/>
  <c r="T121" i="12"/>
  <c r="T122" i="12" s="1"/>
  <c r="T132" i="12" s="1"/>
  <c r="AF121" i="12"/>
  <c r="D124" i="12"/>
  <c r="Q124" i="12"/>
  <c r="AC124" i="12"/>
  <c r="J150" i="12"/>
  <c r="AG150" i="12" s="1"/>
  <c r="N151" i="12"/>
  <c r="AC152" i="12"/>
  <c r="AG152" i="12" s="1"/>
  <c r="H121" i="12"/>
  <c r="U121" i="12"/>
  <c r="U122" i="12" s="1"/>
  <c r="E124" i="12"/>
  <c r="H149" i="12"/>
  <c r="AA151" i="12"/>
  <c r="AB156" i="12" s="1"/>
  <c r="J121" i="12"/>
  <c r="J122" i="12" s="1"/>
  <c r="J132" i="12" s="1"/>
  <c r="W121" i="12"/>
  <c r="G124" i="12"/>
  <c r="T124" i="12"/>
  <c r="R129" i="12" s="1"/>
  <c r="AF124" i="12"/>
  <c r="AD129" i="12" s="1"/>
  <c r="D151" i="12"/>
  <c r="Q151" i="12"/>
  <c r="L121" i="12"/>
  <c r="X121" i="12"/>
  <c r="L149" i="12"/>
  <c r="M156" i="12" s="1"/>
  <c r="X149" i="12"/>
  <c r="O150" i="12"/>
  <c r="P156" i="12" s="1"/>
  <c r="N121" i="12"/>
  <c r="Z121" i="12"/>
  <c r="W124" i="12"/>
  <c r="U129" i="12" s="1"/>
  <c r="Z153" i="12"/>
  <c r="AG153" i="12" s="1"/>
  <c r="B121" i="12"/>
  <c r="E14" i="9"/>
  <c r="AT83" i="9"/>
  <c r="AR26" i="9"/>
  <c r="X12" i="9" s="1"/>
  <c r="J37" i="9"/>
  <c r="J49" i="9" s="1"/>
  <c r="W37" i="9"/>
  <c r="L44" i="9"/>
  <c r="AR109" i="9"/>
  <c r="X93" i="9" s="1"/>
  <c r="M71" i="9"/>
  <c r="X37" i="9"/>
  <c r="Y37" i="9" s="1"/>
  <c r="P71" i="9"/>
  <c r="AR111" i="9"/>
  <c r="X97" i="9" s="1"/>
  <c r="AA44" i="9"/>
  <c r="E94" i="9"/>
  <c r="R180" i="9" s="1"/>
  <c r="K213" i="9" s="1"/>
  <c r="AR28" i="9"/>
  <c r="X16" i="9" s="1"/>
  <c r="C71" i="9"/>
  <c r="O144" i="9"/>
  <c r="Q145" i="9"/>
  <c r="B165" i="9"/>
  <c r="V180" i="9"/>
  <c r="Y211" i="9" s="1"/>
  <c r="E15" i="9"/>
  <c r="R179" i="9" s="1"/>
  <c r="K212" i="9" s="1"/>
  <c r="AG66" i="9"/>
  <c r="AR24" i="9"/>
  <c r="X8" i="9" s="1"/>
  <c r="AR25" i="9"/>
  <c r="X10" i="9" s="1"/>
  <c r="L36" i="9"/>
  <c r="H39" i="9"/>
  <c r="H44" i="9" s="1"/>
  <c r="U39" i="9"/>
  <c r="N36" i="9"/>
  <c r="N37" i="9" s="1"/>
  <c r="N48" i="9" s="1"/>
  <c r="J39" i="9"/>
  <c r="W39" i="9"/>
  <c r="J67" i="9"/>
  <c r="AG67" i="9" s="1"/>
  <c r="U86" i="9"/>
  <c r="U87" i="9" s="1"/>
  <c r="J150" i="9"/>
  <c r="W151" i="9"/>
  <c r="V156" i="9" s="1"/>
  <c r="W121" i="9"/>
  <c r="B36" i="9"/>
  <c r="O36" i="9"/>
  <c r="AA36" i="9"/>
  <c r="AG76" i="9"/>
  <c r="W86" i="9"/>
  <c r="W87" i="9" s="1"/>
  <c r="AT167" i="9"/>
  <c r="X149" i="9"/>
  <c r="X121" i="9"/>
  <c r="X122" i="9" s="1"/>
  <c r="G121" i="9"/>
  <c r="G124" i="9"/>
  <c r="AA129" i="9"/>
  <c r="Z232" i="9"/>
  <c r="Z233" i="9" s="1"/>
  <c r="X232" i="9"/>
  <c r="AT83" i="10"/>
  <c r="C83" i="10"/>
  <c r="D83" i="10" s="1"/>
  <c r="G83" i="10" s="1"/>
  <c r="J83" i="10" s="1"/>
  <c r="N83" i="10" s="1"/>
  <c r="Q83" i="10" s="1"/>
  <c r="T83" i="10" s="1"/>
  <c r="W83" i="10" s="1"/>
  <c r="Z83" i="10" s="1"/>
  <c r="AC83" i="10" s="1"/>
  <c r="AF83" i="10" s="1"/>
  <c r="AU83" i="10" s="1"/>
  <c r="D36" i="9"/>
  <c r="Q36" i="9"/>
  <c r="AC36" i="9"/>
  <c r="AC37" i="9" s="1"/>
  <c r="X86" i="9"/>
  <c r="X87" i="9" s="1"/>
  <c r="N151" i="9"/>
  <c r="M156" i="9" s="1"/>
  <c r="N124" i="9"/>
  <c r="Z153" i="9"/>
  <c r="Z124" i="9"/>
  <c r="X129" i="9" s="1"/>
  <c r="AA121" i="9"/>
  <c r="E36" i="9"/>
  <c r="E37" i="9" s="1"/>
  <c r="R36" i="9"/>
  <c r="R37" i="9" s="1"/>
  <c r="AD36" i="9"/>
  <c r="AF37" i="9" s="1"/>
  <c r="B39" i="9"/>
  <c r="O39" i="9"/>
  <c r="O44" i="9" s="1"/>
  <c r="E64" i="9"/>
  <c r="F71" i="9" s="1"/>
  <c r="R64" i="9"/>
  <c r="S71" i="9" s="1"/>
  <c r="H65" i="9"/>
  <c r="AG65" i="9" s="1"/>
  <c r="Z86" i="9"/>
  <c r="Z87" i="9" s="1"/>
  <c r="B149" i="9"/>
  <c r="O150" i="9"/>
  <c r="AA151" i="9"/>
  <c r="L121" i="9"/>
  <c r="AD121" i="9"/>
  <c r="L124" i="9"/>
  <c r="L129" i="9" s="1"/>
  <c r="AF124" i="9"/>
  <c r="AD129" i="9" s="1"/>
  <c r="AD149" i="9"/>
  <c r="AE156" i="9" s="1"/>
  <c r="AL27" i="9"/>
  <c r="AR27" i="9" s="1"/>
  <c r="X14" i="9" s="1"/>
  <c r="D39" i="9"/>
  <c r="Q39" i="9"/>
  <c r="AA86" i="9"/>
  <c r="D151" i="9"/>
  <c r="AG151" i="9" s="1"/>
  <c r="D121" i="9"/>
  <c r="Q151" i="9"/>
  <c r="Q121" i="9"/>
  <c r="AC152" i="9"/>
  <c r="AG152" i="9" s="1"/>
  <c r="AC121" i="9"/>
  <c r="AC122" i="9" s="1"/>
  <c r="AC134" i="9" s="1"/>
  <c r="AG134" i="9" s="1"/>
  <c r="M99" i="9" s="1"/>
  <c r="N121" i="9"/>
  <c r="AF121" i="9"/>
  <c r="AF122" i="9" s="1"/>
  <c r="AF132" i="9" s="1"/>
  <c r="R149" i="9"/>
  <c r="S156" i="9" s="1"/>
  <c r="J218" i="9"/>
  <c r="E150" i="9"/>
  <c r="E124" i="9"/>
  <c r="O121" i="9"/>
  <c r="R121" i="9"/>
  <c r="T124" i="9"/>
  <c r="R129" i="9" s="1"/>
  <c r="F156" i="9"/>
  <c r="AG153" i="9"/>
  <c r="H232" i="9"/>
  <c r="J232" i="9"/>
  <c r="D232" i="9"/>
  <c r="B232" i="9"/>
  <c r="H218" i="9"/>
  <c r="K223" i="9" s="1"/>
  <c r="J198" i="9" s="1"/>
  <c r="AC232" i="9"/>
  <c r="AA232" i="9"/>
  <c r="AF218" i="9"/>
  <c r="H124" i="9"/>
  <c r="H129" i="9" s="1"/>
  <c r="H149" i="9"/>
  <c r="I156" i="9" s="1"/>
  <c r="H121" i="9"/>
  <c r="H122" i="9" s="1"/>
  <c r="U124" i="9"/>
  <c r="U129" i="9" s="1"/>
  <c r="U121" i="9"/>
  <c r="B121" i="9"/>
  <c r="B122" i="9" s="1"/>
  <c r="T121" i="9"/>
  <c r="B129" i="9"/>
  <c r="B179" i="10"/>
  <c r="B81" i="10"/>
  <c r="AR28" i="10"/>
  <c r="X16" i="10" s="1"/>
  <c r="AG65" i="10"/>
  <c r="AG62" i="10"/>
  <c r="AA16" i="10" s="1"/>
  <c r="AG76" i="10"/>
  <c r="G232" i="9"/>
  <c r="AB71" i="10"/>
  <c r="AD218" i="9"/>
  <c r="AF179" i="10"/>
  <c r="B80" i="10"/>
  <c r="P71" i="10"/>
  <c r="AE71" i="10"/>
  <c r="AG68" i="10"/>
  <c r="AT79" i="10"/>
  <c r="C79" i="10"/>
  <c r="D79" i="10" s="1"/>
  <c r="E85" i="10" s="1"/>
  <c r="V179" i="10"/>
  <c r="B82" i="10"/>
  <c r="J67" i="10"/>
  <c r="AG67" i="10" s="1"/>
  <c r="J39" i="10"/>
  <c r="H44" i="10" s="1"/>
  <c r="J36" i="10"/>
  <c r="W39" i="10"/>
  <c r="U44" i="10" s="1"/>
  <c r="W36" i="10"/>
  <c r="Q36" i="10"/>
  <c r="C71" i="10"/>
  <c r="V71" i="10"/>
  <c r="X228" i="10"/>
  <c r="V199" i="10"/>
  <c r="AD232" i="9"/>
  <c r="AR24" i="10"/>
  <c r="X8" i="10" s="1"/>
  <c r="L64" i="10"/>
  <c r="L36" i="10"/>
  <c r="L37" i="10" s="1"/>
  <c r="L39" i="10"/>
  <c r="L44" i="10" s="1"/>
  <c r="X36" i="10"/>
  <c r="X39" i="10"/>
  <c r="X44" i="10" s="1"/>
  <c r="E36" i="10"/>
  <c r="E40" i="10"/>
  <c r="R36" i="10"/>
  <c r="R40" i="10"/>
  <c r="R44" i="10" s="1"/>
  <c r="AD36" i="10"/>
  <c r="AD40" i="10"/>
  <c r="AD44" i="10" s="1"/>
  <c r="AC36" i="10"/>
  <c r="AC37" i="10" s="1"/>
  <c r="U86" i="10"/>
  <c r="AR110" i="10"/>
  <c r="X95" i="10" s="1"/>
  <c r="AR27" i="10"/>
  <c r="X14" i="10" s="1"/>
  <c r="Z37" i="10"/>
  <c r="AA44" i="10"/>
  <c r="B36" i="10"/>
  <c r="B37" i="10" s="1"/>
  <c r="O36" i="10"/>
  <c r="O37" i="10" s="1"/>
  <c r="AT167" i="10"/>
  <c r="C167" i="10"/>
  <c r="D167" i="10" s="1"/>
  <c r="G167" i="10" s="1"/>
  <c r="J167" i="10" s="1"/>
  <c r="N167" i="10" s="1"/>
  <c r="Q167" i="10" s="1"/>
  <c r="T167" i="10" s="1"/>
  <c r="W167" i="10" s="1"/>
  <c r="Z167" i="10" s="1"/>
  <c r="AC170" i="10" s="1"/>
  <c r="AR109" i="10"/>
  <c r="X93" i="10" s="1"/>
  <c r="Z232" i="10"/>
  <c r="X232" i="10"/>
  <c r="AD218" i="10"/>
  <c r="E64" i="10"/>
  <c r="F71" i="10" s="1"/>
  <c r="R64" i="10"/>
  <c r="S71" i="10" s="1"/>
  <c r="C165" i="10"/>
  <c r="D165" i="10" s="1"/>
  <c r="E170" i="10" s="1"/>
  <c r="AT165" i="10"/>
  <c r="AA133" i="10"/>
  <c r="E158" i="10"/>
  <c r="G159" i="10"/>
  <c r="G36" i="10"/>
  <c r="T36" i="10"/>
  <c r="T37" i="10" s="1"/>
  <c r="T47" i="10" s="1"/>
  <c r="AF36" i="10"/>
  <c r="AF37" i="10" s="1"/>
  <c r="D39" i="10"/>
  <c r="B44" i="10" s="1"/>
  <c r="Q39" i="10"/>
  <c r="O44" i="10" s="1"/>
  <c r="N66" i="10"/>
  <c r="AG66" i="10" s="1"/>
  <c r="AT164" i="10"/>
  <c r="C164" i="10"/>
  <c r="B170" i="10" s="1"/>
  <c r="Q122" i="10"/>
  <c r="Q133" i="10" s="1"/>
  <c r="AC122" i="10"/>
  <c r="AC134" i="10" s="1"/>
  <c r="AG134" i="10" s="1"/>
  <c r="M99" i="10" s="1"/>
  <c r="H36" i="10"/>
  <c r="U36" i="10"/>
  <c r="U37" i="10" s="1"/>
  <c r="G232" i="10"/>
  <c r="J218" i="10"/>
  <c r="E232" i="10"/>
  <c r="AF232" i="10"/>
  <c r="AD232" i="10"/>
  <c r="G39" i="10"/>
  <c r="B229" i="10"/>
  <c r="A204" i="10"/>
  <c r="A193" i="10"/>
  <c r="H129" i="10"/>
  <c r="L129" i="10"/>
  <c r="J232" i="10"/>
  <c r="H232" i="10"/>
  <c r="H218" i="10"/>
  <c r="D232" i="10"/>
  <c r="B232" i="10"/>
  <c r="AC232" i="10"/>
  <c r="AA232" i="10"/>
  <c r="AF218" i="10"/>
  <c r="AT168" i="10"/>
  <c r="C168" i="10"/>
  <c r="D168" i="10" s="1"/>
  <c r="G168" i="10" s="1"/>
  <c r="J168" i="10" s="1"/>
  <c r="N168" i="10" s="1"/>
  <c r="Q168" i="10" s="1"/>
  <c r="T168" i="10" s="1"/>
  <c r="W168" i="10" s="1"/>
  <c r="Z170" i="10" s="1"/>
  <c r="X129" i="10"/>
  <c r="Z233" i="10"/>
  <c r="E121" i="10"/>
  <c r="R121" i="10"/>
  <c r="AD121" i="10"/>
  <c r="B124" i="10"/>
  <c r="O124" i="10"/>
  <c r="AA124" i="10"/>
  <c r="R149" i="10"/>
  <c r="S156" i="10" s="1"/>
  <c r="AD149" i="10"/>
  <c r="AE156" i="10" s="1"/>
  <c r="U150" i="10"/>
  <c r="V156" i="10" s="1"/>
  <c r="Y230" i="10"/>
  <c r="Z230" i="10" s="1"/>
  <c r="AC230" i="10" s="1"/>
  <c r="G121" i="10"/>
  <c r="T121" i="10"/>
  <c r="AF121" i="10"/>
  <c r="D124" i="10"/>
  <c r="Q124" i="10"/>
  <c r="AC124" i="10"/>
  <c r="J150" i="10"/>
  <c r="N151" i="10"/>
  <c r="M156" i="10" s="1"/>
  <c r="AC152" i="10"/>
  <c r="AG152" i="10" s="1"/>
  <c r="H121" i="10"/>
  <c r="U121" i="10"/>
  <c r="E124" i="10"/>
  <c r="H149" i="10"/>
  <c r="AA151" i="10"/>
  <c r="AB156" i="10" s="1"/>
  <c r="B180" i="10"/>
  <c r="J121" i="10"/>
  <c r="W121" i="10"/>
  <c r="G124" i="10"/>
  <c r="T124" i="10"/>
  <c r="R129" i="10" s="1"/>
  <c r="AF124" i="10"/>
  <c r="AD129" i="10" s="1"/>
  <c r="D151" i="10"/>
  <c r="Q151" i="10"/>
  <c r="B166" i="10"/>
  <c r="L121" i="10"/>
  <c r="X121" i="10"/>
  <c r="O150" i="10"/>
  <c r="AG150" i="10" s="1"/>
  <c r="L180" i="10"/>
  <c r="N121" i="10"/>
  <c r="Z121" i="10"/>
  <c r="Z122" i="10" s="1"/>
  <c r="Z135" i="10" s="1"/>
  <c r="AG135" i="10" s="1"/>
  <c r="M101" i="10" s="1"/>
  <c r="W124" i="10"/>
  <c r="U129" i="10" s="1"/>
  <c r="Z153" i="10"/>
  <c r="Y156" i="10" s="1"/>
  <c r="B121" i="10"/>
  <c r="D122" i="10" s="1"/>
  <c r="D133" i="10" s="1"/>
  <c r="AE221" i="8"/>
  <c r="AC221" i="8"/>
  <c r="AB221" i="8"/>
  <c r="Z221" i="8"/>
  <c r="Y221" i="8"/>
  <c r="W221" i="8"/>
  <c r="J221" i="8"/>
  <c r="H221" i="8"/>
  <c r="G221" i="8"/>
  <c r="E221" i="8"/>
  <c r="D221" i="8"/>
  <c r="B221" i="8"/>
  <c r="AE220" i="8"/>
  <c r="AC220" i="8"/>
  <c r="AB220" i="8"/>
  <c r="Z220" i="8"/>
  <c r="Y220" i="8"/>
  <c r="W220" i="8"/>
  <c r="W222" i="8" s="1"/>
  <c r="J220" i="8"/>
  <c r="H220" i="8"/>
  <c r="G220" i="8"/>
  <c r="E220" i="8"/>
  <c r="D220" i="8"/>
  <c r="B220" i="8"/>
  <c r="AE219" i="8"/>
  <c r="AE222" i="8" s="1"/>
  <c r="AC219" i="8"/>
  <c r="AC222" i="8" s="1"/>
  <c r="AB219" i="8"/>
  <c r="Z219" i="8"/>
  <c r="Z222" i="8" s="1"/>
  <c r="Y219" i="8"/>
  <c r="W219" i="8"/>
  <c r="J219" i="8"/>
  <c r="H219" i="8"/>
  <c r="G219" i="8"/>
  <c r="G222" i="8" s="1"/>
  <c r="E219" i="8"/>
  <c r="E222" i="8" s="1"/>
  <c r="J218" i="8" s="1"/>
  <c r="D219" i="8"/>
  <c r="B219" i="8"/>
  <c r="B222" i="8" s="1"/>
  <c r="A174" i="8"/>
  <c r="AE161" i="8"/>
  <c r="AC161" i="8"/>
  <c r="AB161" i="8"/>
  <c r="Z161" i="8"/>
  <c r="W161" i="8"/>
  <c r="V161" i="8"/>
  <c r="T161" i="8"/>
  <c r="Q161" i="8"/>
  <c r="P161" i="8"/>
  <c r="N161" i="8"/>
  <c r="M161" i="8"/>
  <c r="K161" i="8"/>
  <c r="H161" i="8"/>
  <c r="G161" i="8"/>
  <c r="E161" i="8"/>
  <c r="B161" i="8"/>
  <c r="AE160" i="8"/>
  <c r="AC160" i="8"/>
  <c r="Z160" i="8"/>
  <c r="Y160" i="8"/>
  <c r="W160" i="8"/>
  <c r="V160" i="8"/>
  <c r="T160" i="8"/>
  <c r="S160" i="8"/>
  <c r="P160" i="8"/>
  <c r="N160" i="8"/>
  <c r="K160" i="8"/>
  <c r="J160" i="8"/>
  <c r="H160" i="8"/>
  <c r="E160" i="8"/>
  <c r="D160" i="8"/>
  <c r="B160" i="8"/>
  <c r="AE159" i="8"/>
  <c r="AC159" i="8"/>
  <c r="AB159" i="8"/>
  <c r="Y159" i="8"/>
  <c r="W159" i="8"/>
  <c r="T159" i="8"/>
  <c r="S159" i="8"/>
  <c r="Q159" i="8"/>
  <c r="N159" i="8"/>
  <c r="M159" i="8"/>
  <c r="K159" i="8"/>
  <c r="J159" i="8"/>
  <c r="G159" i="8"/>
  <c r="E159" i="8"/>
  <c r="D159" i="8"/>
  <c r="B159" i="8"/>
  <c r="AC158" i="8"/>
  <c r="AB158" i="8"/>
  <c r="Z158" i="8"/>
  <c r="Y158" i="8"/>
  <c r="W158" i="8"/>
  <c r="V158" i="8"/>
  <c r="S158" i="8"/>
  <c r="Q158" i="8"/>
  <c r="P158" i="8"/>
  <c r="N158" i="8"/>
  <c r="M158" i="8"/>
  <c r="J158" i="8"/>
  <c r="H158" i="8"/>
  <c r="G158" i="8"/>
  <c r="E158" i="8"/>
  <c r="D158" i="8"/>
  <c r="AE157" i="8"/>
  <c r="AB157" i="8"/>
  <c r="Z157" i="8"/>
  <c r="Y157" i="8"/>
  <c r="V157" i="8"/>
  <c r="T157" i="8"/>
  <c r="S157" i="8"/>
  <c r="Q157" i="8"/>
  <c r="P157" i="8"/>
  <c r="M157" i="8"/>
  <c r="K157" i="8"/>
  <c r="J157" i="8"/>
  <c r="H157" i="8"/>
  <c r="G157" i="8"/>
  <c r="D157" i="8"/>
  <c r="B157" i="8"/>
  <c r="AE153" i="8"/>
  <c r="AC153" i="8"/>
  <c r="AB153" i="8"/>
  <c r="Z153" i="8"/>
  <c r="W153" i="8"/>
  <c r="V153" i="8"/>
  <c r="T153" i="8"/>
  <c r="Q153" i="8"/>
  <c r="P153" i="8"/>
  <c r="N153" i="8"/>
  <c r="M153" i="8"/>
  <c r="K153" i="8"/>
  <c r="H153" i="8"/>
  <c r="G153" i="8"/>
  <c r="E153" i="8"/>
  <c r="B153" i="8"/>
  <c r="AE152" i="8"/>
  <c r="AC152" i="8"/>
  <c r="Z152" i="8"/>
  <c r="Y152" i="8"/>
  <c r="W152" i="8"/>
  <c r="V152" i="8"/>
  <c r="T152" i="8"/>
  <c r="S152" i="8"/>
  <c r="P152" i="8"/>
  <c r="N152" i="8"/>
  <c r="K152" i="8"/>
  <c r="J152" i="8"/>
  <c r="H152" i="8"/>
  <c r="E152" i="8"/>
  <c r="D152" i="8"/>
  <c r="B152" i="8"/>
  <c r="AE151" i="8"/>
  <c r="AC151" i="8"/>
  <c r="AB151" i="8"/>
  <c r="Y151" i="8"/>
  <c r="W151" i="8"/>
  <c r="T151" i="8"/>
  <c r="S151" i="8"/>
  <c r="Q151" i="8"/>
  <c r="N151" i="8"/>
  <c r="M151" i="8"/>
  <c r="K151" i="8"/>
  <c r="J151" i="8"/>
  <c r="G151" i="8"/>
  <c r="E151" i="8"/>
  <c r="D151" i="8"/>
  <c r="B151" i="8"/>
  <c r="AC150" i="8"/>
  <c r="AB150" i="8"/>
  <c r="Z150" i="8"/>
  <c r="Y150" i="8"/>
  <c r="W150" i="8"/>
  <c r="V150" i="8"/>
  <c r="S150" i="8"/>
  <c r="Q150" i="8"/>
  <c r="P150" i="8"/>
  <c r="N150" i="8"/>
  <c r="M150" i="8"/>
  <c r="J150" i="8"/>
  <c r="H150" i="8"/>
  <c r="G150" i="8"/>
  <c r="E150" i="8"/>
  <c r="D150" i="8"/>
  <c r="AE149" i="8"/>
  <c r="AB149" i="8"/>
  <c r="Z149" i="8"/>
  <c r="Y149" i="8"/>
  <c r="V149" i="8"/>
  <c r="T149" i="8"/>
  <c r="S149" i="8"/>
  <c r="Q149" i="8"/>
  <c r="P149" i="8"/>
  <c r="M149" i="8"/>
  <c r="K149" i="8"/>
  <c r="J149" i="8"/>
  <c r="H149" i="8"/>
  <c r="G149" i="8"/>
  <c r="D149" i="8"/>
  <c r="B149" i="8"/>
  <c r="AE147" i="8"/>
  <c r="AC147" i="8"/>
  <c r="AB147" i="8"/>
  <c r="Z147" i="8"/>
  <c r="W147" i="8"/>
  <c r="V147" i="8"/>
  <c r="T147" i="8"/>
  <c r="Q147" i="8"/>
  <c r="P147" i="8"/>
  <c r="N147" i="8"/>
  <c r="M147" i="8"/>
  <c r="K147" i="8"/>
  <c r="H147" i="8"/>
  <c r="G147" i="8"/>
  <c r="E147" i="8"/>
  <c r="B147" i="8"/>
  <c r="AE146" i="8"/>
  <c r="AC146" i="8"/>
  <c r="Z146" i="8"/>
  <c r="Y146" i="8"/>
  <c r="W146" i="8"/>
  <c r="V146" i="8"/>
  <c r="T146" i="8"/>
  <c r="S146" i="8"/>
  <c r="P146" i="8"/>
  <c r="N146" i="8"/>
  <c r="K146" i="8"/>
  <c r="J146" i="8"/>
  <c r="H146" i="8"/>
  <c r="E146" i="8"/>
  <c r="D146" i="8"/>
  <c r="B146" i="8"/>
  <c r="AE145" i="8"/>
  <c r="AC145" i="8"/>
  <c r="AB145" i="8"/>
  <c r="Y145" i="8"/>
  <c r="W145" i="8"/>
  <c r="T145" i="8"/>
  <c r="S145" i="8"/>
  <c r="Q145" i="8"/>
  <c r="N145" i="8"/>
  <c r="M145" i="8"/>
  <c r="K145" i="8"/>
  <c r="J145" i="8"/>
  <c r="G145" i="8"/>
  <c r="E145" i="8"/>
  <c r="D145" i="8"/>
  <c r="B145" i="8"/>
  <c r="AC144" i="8"/>
  <c r="AB144" i="8"/>
  <c r="Z144" i="8"/>
  <c r="Y144" i="8"/>
  <c r="W144" i="8"/>
  <c r="V144" i="8"/>
  <c r="S144" i="8"/>
  <c r="Q144" i="8"/>
  <c r="P144" i="8"/>
  <c r="N144" i="8"/>
  <c r="M144" i="8"/>
  <c r="J144" i="8"/>
  <c r="H144" i="8"/>
  <c r="G144" i="8"/>
  <c r="E144" i="8"/>
  <c r="D144" i="8"/>
  <c r="AE143" i="8"/>
  <c r="AB143" i="8"/>
  <c r="Z143" i="8"/>
  <c r="Y143" i="8"/>
  <c r="V143" i="8"/>
  <c r="T143" i="8"/>
  <c r="S143" i="8"/>
  <c r="Q143" i="8"/>
  <c r="P143" i="8"/>
  <c r="M143" i="8"/>
  <c r="K143" i="8"/>
  <c r="J143" i="8"/>
  <c r="H143" i="8"/>
  <c r="G143" i="8"/>
  <c r="D143" i="8"/>
  <c r="B143" i="8"/>
  <c r="AE141" i="8"/>
  <c r="AC141" i="8"/>
  <c r="AB141" i="8"/>
  <c r="Z141" i="8"/>
  <c r="W141" i="8"/>
  <c r="V141" i="8"/>
  <c r="T141" i="8"/>
  <c r="Q141" i="8"/>
  <c r="P141" i="8"/>
  <c r="N141" i="8"/>
  <c r="M141" i="8"/>
  <c r="K141" i="8"/>
  <c r="H141" i="8"/>
  <c r="G141" i="8"/>
  <c r="E141" i="8"/>
  <c r="B141" i="8"/>
  <c r="AE140" i="8"/>
  <c r="AC140" i="8"/>
  <c r="Z140" i="8"/>
  <c r="Y140" i="8"/>
  <c r="W140" i="8"/>
  <c r="V140" i="8"/>
  <c r="T140" i="8"/>
  <c r="S140" i="8"/>
  <c r="P140" i="8"/>
  <c r="N140" i="8"/>
  <c r="K140" i="8"/>
  <c r="J140" i="8"/>
  <c r="H140" i="8"/>
  <c r="E140" i="8"/>
  <c r="D140" i="8"/>
  <c r="B140" i="8"/>
  <c r="AE139" i="8"/>
  <c r="AC139" i="8"/>
  <c r="AB139" i="8"/>
  <c r="Y139" i="8"/>
  <c r="W139" i="8"/>
  <c r="T139" i="8"/>
  <c r="S139" i="8"/>
  <c r="Q139" i="8"/>
  <c r="N139" i="8"/>
  <c r="M139" i="8"/>
  <c r="K139" i="8"/>
  <c r="J139" i="8"/>
  <c r="G139" i="8"/>
  <c r="E139" i="8"/>
  <c r="D139" i="8"/>
  <c r="B139" i="8"/>
  <c r="AC138" i="8"/>
  <c r="AB138" i="8"/>
  <c r="Z138" i="8"/>
  <c r="Y138" i="8"/>
  <c r="W138" i="8"/>
  <c r="V138" i="8"/>
  <c r="S138" i="8"/>
  <c r="Q138" i="8"/>
  <c r="P138" i="8"/>
  <c r="N138" i="8"/>
  <c r="M138" i="8"/>
  <c r="J138" i="8"/>
  <c r="H138" i="8"/>
  <c r="G138" i="8"/>
  <c r="E138" i="8"/>
  <c r="D138" i="8"/>
  <c r="AE137" i="8"/>
  <c r="AB137" i="8"/>
  <c r="Z137" i="8"/>
  <c r="Y137" i="8"/>
  <c r="V137" i="8"/>
  <c r="T137" i="8"/>
  <c r="S137" i="8"/>
  <c r="Q137" i="8"/>
  <c r="P137" i="8"/>
  <c r="M137" i="8"/>
  <c r="K137" i="8"/>
  <c r="J137" i="8"/>
  <c r="H137" i="8"/>
  <c r="G137" i="8"/>
  <c r="D137" i="8"/>
  <c r="B137" i="8"/>
  <c r="AE135" i="8"/>
  <c r="AC135" i="8"/>
  <c r="AB135" i="8"/>
  <c r="Z135" i="8"/>
  <c r="W135" i="8"/>
  <c r="V135" i="8"/>
  <c r="T135" i="8"/>
  <c r="Q135" i="8"/>
  <c r="P135" i="8"/>
  <c r="N135" i="8"/>
  <c r="M135" i="8"/>
  <c r="K135" i="8"/>
  <c r="H135" i="8"/>
  <c r="G135" i="8"/>
  <c r="E135" i="8"/>
  <c r="B135" i="8"/>
  <c r="AE134" i="8"/>
  <c r="AC134" i="8"/>
  <c r="Z134" i="8"/>
  <c r="Y134" i="8"/>
  <c r="W134" i="8"/>
  <c r="V134" i="8"/>
  <c r="T134" i="8"/>
  <c r="S134" i="8"/>
  <c r="P134" i="8"/>
  <c r="N134" i="8"/>
  <c r="K134" i="8"/>
  <c r="J134" i="8"/>
  <c r="H134" i="8"/>
  <c r="E134" i="8"/>
  <c r="D134" i="8"/>
  <c r="B134" i="8"/>
  <c r="AE133" i="8"/>
  <c r="AC133" i="8"/>
  <c r="AB133" i="8"/>
  <c r="Y133" i="8"/>
  <c r="W133" i="8"/>
  <c r="T133" i="8"/>
  <c r="S133" i="8"/>
  <c r="Q133" i="8"/>
  <c r="N133" i="8"/>
  <c r="M133" i="8"/>
  <c r="K133" i="8"/>
  <c r="J133" i="8"/>
  <c r="G133" i="8"/>
  <c r="E133" i="8"/>
  <c r="D133" i="8"/>
  <c r="B133" i="8"/>
  <c r="AC132" i="8"/>
  <c r="AB132" i="8"/>
  <c r="Z132" i="8"/>
  <c r="Y132" i="8"/>
  <c r="W132" i="8"/>
  <c r="V132" i="8"/>
  <c r="S132" i="8"/>
  <c r="Q132" i="8"/>
  <c r="P132" i="8"/>
  <c r="N132" i="8"/>
  <c r="M132" i="8"/>
  <c r="J132" i="8"/>
  <c r="H132" i="8"/>
  <c r="G132" i="8"/>
  <c r="E132" i="8"/>
  <c r="D132" i="8"/>
  <c r="AE131" i="8"/>
  <c r="AB131" i="8"/>
  <c r="Z131" i="8"/>
  <c r="Y131" i="8"/>
  <c r="V131" i="8"/>
  <c r="T131" i="8"/>
  <c r="S131" i="8"/>
  <c r="Q131" i="8"/>
  <c r="P131" i="8"/>
  <c r="M131" i="8"/>
  <c r="K131" i="8"/>
  <c r="J131" i="8"/>
  <c r="H131" i="8"/>
  <c r="G131" i="8"/>
  <c r="D131" i="8"/>
  <c r="B131" i="8"/>
  <c r="AE128" i="8"/>
  <c r="AE120" i="8"/>
  <c r="AC120" i="8"/>
  <c r="AC128" i="8" s="1"/>
  <c r="AB120" i="8"/>
  <c r="AB128" i="8" s="1"/>
  <c r="Z120" i="8"/>
  <c r="Z128" i="8" s="1"/>
  <c r="Y120" i="8"/>
  <c r="Y128" i="8" s="1"/>
  <c r="W120" i="8"/>
  <c r="W128" i="8" s="1"/>
  <c r="V120" i="8"/>
  <c r="V128" i="8" s="1"/>
  <c r="T120" i="8"/>
  <c r="T128" i="8" s="1"/>
  <c r="S120" i="8"/>
  <c r="S128" i="8" s="1"/>
  <c r="Q120" i="8"/>
  <c r="Q128" i="8" s="1"/>
  <c r="P120" i="8"/>
  <c r="P128" i="8" s="1"/>
  <c r="N120" i="8"/>
  <c r="N128" i="8" s="1"/>
  <c r="M120" i="8"/>
  <c r="M128" i="8" s="1"/>
  <c r="K120" i="8"/>
  <c r="K128" i="8" s="1"/>
  <c r="J120" i="8"/>
  <c r="J128" i="8" s="1"/>
  <c r="H120" i="8"/>
  <c r="H128" i="8" s="1"/>
  <c r="G120" i="8"/>
  <c r="G128" i="8" s="1"/>
  <c r="E120" i="8"/>
  <c r="E128" i="8" s="1"/>
  <c r="D120" i="8"/>
  <c r="D128" i="8" s="1"/>
  <c r="B120" i="8"/>
  <c r="B128" i="8" s="1"/>
  <c r="AE119" i="8"/>
  <c r="AE127" i="8" s="1"/>
  <c r="AC119" i="8"/>
  <c r="AC127" i="8" s="1"/>
  <c r="AB119" i="8"/>
  <c r="AB127" i="8" s="1"/>
  <c r="Z119" i="8"/>
  <c r="Z127" i="8" s="1"/>
  <c r="Y119" i="8"/>
  <c r="Y127" i="8" s="1"/>
  <c r="W119" i="8"/>
  <c r="W127" i="8" s="1"/>
  <c r="V119" i="8"/>
  <c r="V127" i="8" s="1"/>
  <c r="T119" i="8"/>
  <c r="T127" i="8" s="1"/>
  <c r="S119" i="8"/>
  <c r="S127" i="8" s="1"/>
  <c r="Q119" i="8"/>
  <c r="Q127" i="8" s="1"/>
  <c r="P119" i="8"/>
  <c r="P127" i="8" s="1"/>
  <c r="N119" i="8"/>
  <c r="N127" i="8" s="1"/>
  <c r="M119" i="8"/>
  <c r="M127" i="8" s="1"/>
  <c r="K119" i="8"/>
  <c r="K127" i="8" s="1"/>
  <c r="J119" i="8"/>
  <c r="J127" i="8" s="1"/>
  <c r="H119" i="8"/>
  <c r="H127" i="8" s="1"/>
  <c r="G119" i="8"/>
  <c r="G127" i="8" s="1"/>
  <c r="E119" i="8"/>
  <c r="E127" i="8" s="1"/>
  <c r="D119" i="8"/>
  <c r="D127" i="8" s="1"/>
  <c r="B119" i="8"/>
  <c r="B127" i="8" s="1"/>
  <c r="AE118" i="8"/>
  <c r="AE126" i="8" s="1"/>
  <c r="AC118" i="8"/>
  <c r="AC126" i="8" s="1"/>
  <c r="AB118" i="8"/>
  <c r="AB126" i="8" s="1"/>
  <c r="Z118" i="8"/>
  <c r="Z126" i="8" s="1"/>
  <c r="Y118" i="8"/>
  <c r="Y126" i="8" s="1"/>
  <c r="W118" i="8"/>
  <c r="W126" i="8" s="1"/>
  <c r="V118" i="8"/>
  <c r="V126" i="8" s="1"/>
  <c r="T118" i="8"/>
  <c r="T126" i="8" s="1"/>
  <c r="S118" i="8"/>
  <c r="S126" i="8" s="1"/>
  <c r="Q118" i="8"/>
  <c r="Q126" i="8" s="1"/>
  <c r="P118" i="8"/>
  <c r="P126" i="8" s="1"/>
  <c r="N118" i="8"/>
  <c r="N126" i="8" s="1"/>
  <c r="M118" i="8"/>
  <c r="M126" i="8" s="1"/>
  <c r="K118" i="8"/>
  <c r="K126" i="8" s="1"/>
  <c r="J118" i="8"/>
  <c r="J126" i="8" s="1"/>
  <c r="H118" i="8"/>
  <c r="H126" i="8" s="1"/>
  <c r="G118" i="8"/>
  <c r="G126" i="8" s="1"/>
  <c r="E118" i="8"/>
  <c r="E126" i="8" s="1"/>
  <c r="D118" i="8"/>
  <c r="D126" i="8" s="1"/>
  <c r="B118" i="8"/>
  <c r="B126" i="8" s="1"/>
  <c r="AE117" i="8"/>
  <c r="AE125" i="8" s="1"/>
  <c r="AC117" i="8"/>
  <c r="AC125" i="8" s="1"/>
  <c r="AB117" i="8"/>
  <c r="AB125" i="8" s="1"/>
  <c r="Z117" i="8"/>
  <c r="Z125" i="8" s="1"/>
  <c r="Y117" i="8"/>
  <c r="Y125" i="8" s="1"/>
  <c r="W117" i="8"/>
  <c r="W125" i="8" s="1"/>
  <c r="V117" i="8"/>
  <c r="V125" i="8" s="1"/>
  <c r="T117" i="8"/>
  <c r="T125" i="8" s="1"/>
  <c r="S117" i="8"/>
  <c r="S125" i="8" s="1"/>
  <c r="Q117" i="8"/>
  <c r="Q125" i="8" s="1"/>
  <c r="P117" i="8"/>
  <c r="P125" i="8" s="1"/>
  <c r="N117" i="8"/>
  <c r="N125" i="8" s="1"/>
  <c r="M117" i="8"/>
  <c r="M125" i="8" s="1"/>
  <c r="K117" i="8"/>
  <c r="K125" i="8" s="1"/>
  <c r="J117" i="8"/>
  <c r="J125" i="8" s="1"/>
  <c r="H117" i="8"/>
  <c r="H125" i="8" s="1"/>
  <c r="G117" i="8"/>
  <c r="G125" i="8" s="1"/>
  <c r="E117" i="8"/>
  <c r="E125" i="8" s="1"/>
  <c r="D117" i="8"/>
  <c r="D125" i="8" s="1"/>
  <c r="B117" i="8"/>
  <c r="B125" i="8" s="1"/>
  <c r="AE116" i="8"/>
  <c r="AE124" i="8" s="1"/>
  <c r="AC116" i="8"/>
  <c r="AC124" i="8" s="1"/>
  <c r="AB116" i="8"/>
  <c r="AB152" i="8" s="1"/>
  <c r="Z116" i="8"/>
  <c r="Z151" i="8" s="1"/>
  <c r="Y116" i="8"/>
  <c r="Y124" i="8" s="1"/>
  <c r="W116" i="8"/>
  <c r="W124" i="8" s="1"/>
  <c r="W129" i="8" s="1"/>
  <c r="V116" i="8"/>
  <c r="T116" i="8"/>
  <c r="S116" i="8"/>
  <c r="S124" i="8" s="1"/>
  <c r="Q116" i="8"/>
  <c r="Q152" i="8" s="1"/>
  <c r="P116" i="8"/>
  <c r="P151" i="8" s="1"/>
  <c r="N116" i="8"/>
  <c r="N124" i="8" s="1"/>
  <c r="M116" i="8"/>
  <c r="M152" i="8" s="1"/>
  <c r="K116" i="8"/>
  <c r="K150" i="8" s="1"/>
  <c r="J116" i="8"/>
  <c r="H116" i="8"/>
  <c r="G116" i="8"/>
  <c r="E116" i="8"/>
  <c r="E124" i="8" s="1"/>
  <c r="D116" i="8"/>
  <c r="D124" i="8" s="1"/>
  <c r="B116" i="8"/>
  <c r="B124" i="8" s="1"/>
  <c r="AE115" i="8"/>
  <c r="AC115" i="8"/>
  <c r="AP110" i="8" s="1"/>
  <c r="AB115" i="8"/>
  <c r="Z115" i="8"/>
  <c r="Y115" i="8"/>
  <c r="W115" i="8"/>
  <c r="AN113" i="8" s="1"/>
  <c r="V115" i="8"/>
  <c r="AM111" i="8" s="1"/>
  <c r="T115" i="8"/>
  <c r="S115" i="8"/>
  <c r="Q115" i="8"/>
  <c r="AL113" i="8" s="1"/>
  <c r="P115" i="8"/>
  <c r="N115" i="8"/>
  <c r="M115" i="8"/>
  <c r="K115" i="8"/>
  <c r="AJ112" i="8" s="1"/>
  <c r="J115" i="8"/>
  <c r="AI113" i="8" s="1"/>
  <c r="H115" i="8"/>
  <c r="G115" i="8"/>
  <c r="E115" i="8"/>
  <c r="AH112" i="8" s="1"/>
  <c r="D115" i="8"/>
  <c r="B115" i="8"/>
  <c r="AD114" i="8"/>
  <c r="AA114" i="8"/>
  <c r="X114" i="8"/>
  <c r="U114" i="8"/>
  <c r="R114" i="8"/>
  <c r="O114" i="8"/>
  <c r="L114" i="8"/>
  <c r="I114" i="8"/>
  <c r="F114" i="8"/>
  <c r="A114" i="8"/>
  <c r="AP113" i="8"/>
  <c r="AO113" i="8"/>
  <c r="AM113" i="8"/>
  <c r="AK113" i="8"/>
  <c r="AJ113" i="8"/>
  <c r="AH113" i="8"/>
  <c r="AF113" i="8"/>
  <c r="AD113" i="8"/>
  <c r="AA113" i="8"/>
  <c r="X113" i="8"/>
  <c r="U113" i="8"/>
  <c r="R113" i="8"/>
  <c r="O113" i="8"/>
  <c r="L113" i="8"/>
  <c r="I113" i="8"/>
  <c r="F113" i="8"/>
  <c r="A113" i="8"/>
  <c r="AP112" i="8"/>
  <c r="AO112" i="8"/>
  <c r="AN112" i="8"/>
  <c r="AM112" i="8"/>
  <c r="AL112" i="8"/>
  <c r="AK112" i="8"/>
  <c r="AI112" i="8"/>
  <c r="AG112" i="8"/>
  <c r="AF112" i="8"/>
  <c r="AD112" i="8"/>
  <c r="AA112" i="8"/>
  <c r="X112" i="8"/>
  <c r="U112" i="8"/>
  <c r="R112" i="8"/>
  <c r="O112" i="8"/>
  <c r="L112" i="8"/>
  <c r="I112" i="8"/>
  <c r="F112" i="8"/>
  <c r="A112" i="8"/>
  <c r="AP111" i="8"/>
  <c r="AO111" i="8"/>
  <c r="AN111" i="8"/>
  <c r="AL111" i="8"/>
  <c r="AK111" i="8"/>
  <c r="AJ111" i="8"/>
  <c r="AI111" i="8"/>
  <c r="AH111" i="8"/>
  <c r="AG111" i="8"/>
  <c r="AF111" i="8"/>
  <c r="AD111" i="8"/>
  <c r="AA111" i="8"/>
  <c r="X111" i="8"/>
  <c r="U111" i="8"/>
  <c r="R111" i="8"/>
  <c r="O111" i="8"/>
  <c r="L111" i="8"/>
  <c r="I111" i="8"/>
  <c r="F111" i="8"/>
  <c r="A111" i="8"/>
  <c r="AO110" i="8"/>
  <c r="AN110" i="8"/>
  <c r="AM110" i="8"/>
  <c r="AL110" i="8"/>
  <c r="AK110" i="8"/>
  <c r="AJ110" i="8"/>
  <c r="AI110" i="8"/>
  <c r="AH110" i="8"/>
  <c r="AG110" i="8"/>
  <c r="AF110" i="8"/>
  <c r="AD110" i="8"/>
  <c r="AA110" i="8"/>
  <c r="X110" i="8"/>
  <c r="U110" i="8"/>
  <c r="R110" i="8"/>
  <c r="O110" i="8"/>
  <c r="L110" i="8"/>
  <c r="I110" i="8"/>
  <c r="F110" i="8"/>
  <c r="AP109" i="8"/>
  <c r="AO109" i="8"/>
  <c r="AN109" i="8"/>
  <c r="AM109" i="8"/>
  <c r="AL109" i="8"/>
  <c r="AK109" i="8"/>
  <c r="AJ109" i="8"/>
  <c r="AI109" i="8"/>
  <c r="AH109" i="8"/>
  <c r="AG109" i="8"/>
  <c r="AQ109" i="8" s="1"/>
  <c r="W93" i="8" s="1"/>
  <c r="AF109" i="8"/>
  <c r="AD109" i="8"/>
  <c r="AA109" i="8"/>
  <c r="X109" i="8"/>
  <c r="U109" i="8"/>
  <c r="R109" i="8"/>
  <c r="O109" i="8"/>
  <c r="L109" i="8"/>
  <c r="I109" i="8"/>
  <c r="F109" i="8"/>
  <c r="AC107" i="8"/>
  <c r="Z107" i="8"/>
  <c r="W107" i="8"/>
  <c r="T107" i="8"/>
  <c r="Q107" i="8"/>
  <c r="N107" i="8"/>
  <c r="K107" i="8"/>
  <c r="H107" i="8"/>
  <c r="E107" i="8"/>
  <c r="E102" i="8"/>
  <c r="AB180" i="8" s="1"/>
  <c r="AG211" i="8" s="1"/>
  <c r="E101" i="8"/>
  <c r="A101" i="8"/>
  <c r="E100" i="8"/>
  <c r="E99" i="8"/>
  <c r="B167" i="8" s="1"/>
  <c r="A99" i="8"/>
  <c r="E98" i="8"/>
  <c r="AL180" i="8" s="1"/>
  <c r="AG213" i="8" s="1"/>
  <c r="E97" i="8"/>
  <c r="A97" i="8"/>
  <c r="E96" i="8"/>
  <c r="R180" i="8" s="1"/>
  <c r="K213" i="8" s="1"/>
  <c r="E95" i="8"/>
  <c r="A95" i="8"/>
  <c r="E94" i="8"/>
  <c r="H180" i="8" s="1"/>
  <c r="K211" i="8" s="1"/>
  <c r="E93" i="8"/>
  <c r="A93" i="8"/>
  <c r="R92" i="8"/>
  <c r="L92" i="8"/>
  <c r="K91" i="8"/>
  <c r="A89" i="8"/>
  <c r="AE76" i="8"/>
  <c r="AC76" i="8"/>
  <c r="AB76" i="8"/>
  <c r="Z76" i="8"/>
  <c r="W76" i="8"/>
  <c r="V76" i="8"/>
  <c r="T76" i="8"/>
  <c r="Q76" i="8"/>
  <c r="P76" i="8"/>
  <c r="N76" i="8"/>
  <c r="M76" i="8"/>
  <c r="K76" i="8"/>
  <c r="H76" i="8"/>
  <c r="G76" i="8"/>
  <c r="E76" i="8"/>
  <c r="B76" i="8"/>
  <c r="AE75" i="8"/>
  <c r="AC75" i="8"/>
  <c r="Z75" i="8"/>
  <c r="Y75" i="8"/>
  <c r="W75" i="8"/>
  <c r="V75" i="8"/>
  <c r="T75" i="8"/>
  <c r="S75" i="8"/>
  <c r="P75" i="8"/>
  <c r="N75" i="8"/>
  <c r="K75" i="8"/>
  <c r="J75" i="8"/>
  <c r="H75" i="8"/>
  <c r="E75" i="8"/>
  <c r="D75" i="8"/>
  <c r="B75" i="8"/>
  <c r="AE74" i="8"/>
  <c r="AC74" i="8"/>
  <c r="AB74" i="8"/>
  <c r="Y74" i="8"/>
  <c r="W74" i="8"/>
  <c r="T74" i="8"/>
  <c r="S74" i="8"/>
  <c r="Q74" i="8"/>
  <c r="N74" i="8"/>
  <c r="M74" i="8"/>
  <c r="K74" i="8"/>
  <c r="J74" i="8"/>
  <c r="G74" i="8"/>
  <c r="E74" i="8"/>
  <c r="D74" i="8"/>
  <c r="B74" i="8"/>
  <c r="AC73" i="8"/>
  <c r="AB73" i="8"/>
  <c r="Z73" i="8"/>
  <c r="Y73" i="8"/>
  <c r="W73" i="8"/>
  <c r="V73" i="8"/>
  <c r="S73" i="8"/>
  <c r="Q73" i="8"/>
  <c r="P73" i="8"/>
  <c r="N73" i="8"/>
  <c r="M73" i="8"/>
  <c r="J73" i="8"/>
  <c r="H73" i="8"/>
  <c r="G73" i="8"/>
  <c r="E73" i="8"/>
  <c r="D73" i="8"/>
  <c r="AE72" i="8"/>
  <c r="AB72" i="8"/>
  <c r="Z72" i="8"/>
  <c r="Y72" i="8"/>
  <c r="V72" i="8"/>
  <c r="T72" i="8"/>
  <c r="S72" i="8"/>
  <c r="Q72" i="8"/>
  <c r="P72" i="8"/>
  <c r="M72" i="8"/>
  <c r="K72" i="8"/>
  <c r="J72" i="8"/>
  <c r="H72" i="8"/>
  <c r="G72" i="8"/>
  <c r="D72" i="8"/>
  <c r="B72" i="8"/>
  <c r="AE68" i="8"/>
  <c r="AC68" i="8"/>
  <c r="AB68" i="8"/>
  <c r="Z68" i="8"/>
  <c r="W68" i="8"/>
  <c r="V68" i="8"/>
  <c r="T68" i="8"/>
  <c r="Q68" i="8"/>
  <c r="P68" i="8"/>
  <c r="N68" i="8"/>
  <c r="M68" i="8"/>
  <c r="K68" i="8"/>
  <c r="H68" i="8"/>
  <c r="G68" i="8"/>
  <c r="E68" i="8"/>
  <c r="B68" i="8"/>
  <c r="AE67" i="8"/>
  <c r="AC67" i="8"/>
  <c r="Z67" i="8"/>
  <c r="Y67" i="8"/>
  <c r="W67" i="8"/>
  <c r="V67" i="8"/>
  <c r="T67" i="8"/>
  <c r="S67" i="8"/>
  <c r="P67" i="8"/>
  <c r="N67" i="8"/>
  <c r="K67" i="8"/>
  <c r="J67" i="8"/>
  <c r="H67" i="8"/>
  <c r="E67" i="8"/>
  <c r="D67" i="8"/>
  <c r="B67" i="8"/>
  <c r="AE66" i="8"/>
  <c r="AC66" i="8"/>
  <c r="AB66" i="8"/>
  <c r="Y66" i="8"/>
  <c r="W66" i="8"/>
  <c r="T66" i="8"/>
  <c r="S66" i="8"/>
  <c r="Q66" i="8"/>
  <c r="N66" i="8"/>
  <c r="M66" i="8"/>
  <c r="K66" i="8"/>
  <c r="J66" i="8"/>
  <c r="G66" i="8"/>
  <c r="E66" i="8"/>
  <c r="D66" i="8"/>
  <c r="B66" i="8"/>
  <c r="AC65" i="8"/>
  <c r="AB65" i="8"/>
  <c r="Z65" i="8"/>
  <c r="Y65" i="8"/>
  <c r="W65" i="8"/>
  <c r="V65" i="8"/>
  <c r="S65" i="8"/>
  <c r="Q65" i="8"/>
  <c r="P65" i="8"/>
  <c r="N65" i="8"/>
  <c r="M65" i="8"/>
  <c r="J65" i="8"/>
  <c r="H65" i="8"/>
  <c r="G65" i="8"/>
  <c r="E65" i="8"/>
  <c r="D65" i="8"/>
  <c r="AE64" i="8"/>
  <c r="AB64" i="8"/>
  <c r="Z64" i="8"/>
  <c r="Y64" i="8"/>
  <c r="V64" i="8"/>
  <c r="T64" i="8"/>
  <c r="S64" i="8"/>
  <c r="Q64" i="8"/>
  <c r="P64" i="8"/>
  <c r="M64" i="8"/>
  <c r="K64" i="8"/>
  <c r="J64" i="8"/>
  <c r="H64" i="8"/>
  <c r="G64" i="8"/>
  <c r="D64" i="8"/>
  <c r="B64" i="8"/>
  <c r="AE62" i="8"/>
  <c r="AC62" i="8"/>
  <c r="AB62" i="8"/>
  <c r="Z62" i="8"/>
  <c r="W62" i="8"/>
  <c r="V62" i="8"/>
  <c r="T62" i="8"/>
  <c r="Q62" i="8"/>
  <c r="P62" i="8"/>
  <c r="N62" i="8"/>
  <c r="M62" i="8"/>
  <c r="K62" i="8"/>
  <c r="H62" i="8"/>
  <c r="G62" i="8"/>
  <c r="E62" i="8"/>
  <c r="B62" i="8"/>
  <c r="AE61" i="8"/>
  <c r="AC61" i="8"/>
  <c r="Z61" i="8"/>
  <c r="Y61" i="8"/>
  <c r="W61" i="8"/>
  <c r="V61" i="8"/>
  <c r="T61" i="8"/>
  <c r="S61" i="8"/>
  <c r="P61" i="8"/>
  <c r="N61" i="8"/>
  <c r="K61" i="8"/>
  <c r="J61" i="8"/>
  <c r="H61" i="8"/>
  <c r="E61" i="8"/>
  <c r="D61" i="8"/>
  <c r="B61" i="8"/>
  <c r="AE60" i="8"/>
  <c r="AC60" i="8"/>
  <c r="AB60" i="8"/>
  <c r="Y60" i="8"/>
  <c r="W60" i="8"/>
  <c r="T60" i="8"/>
  <c r="S60" i="8"/>
  <c r="Q60" i="8"/>
  <c r="N60" i="8"/>
  <c r="M60" i="8"/>
  <c r="K60" i="8"/>
  <c r="J60" i="8"/>
  <c r="G60" i="8"/>
  <c r="E60" i="8"/>
  <c r="D60" i="8"/>
  <c r="B60" i="8"/>
  <c r="AC59" i="8"/>
  <c r="AB59" i="8"/>
  <c r="Z59" i="8"/>
  <c r="Y59" i="8"/>
  <c r="W59" i="8"/>
  <c r="V59" i="8"/>
  <c r="S59" i="8"/>
  <c r="Q59" i="8"/>
  <c r="P59" i="8"/>
  <c r="N59" i="8"/>
  <c r="M59" i="8"/>
  <c r="J59" i="8"/>
  <c r="H59" i="8"/>
  <c r="G59" i="8"/>
  <c r="E59" i="8"/>
  <c r="D59" i="8"/>
  <c r="AE58" i="8"/>
  <c r="AB58" i="8"/>
  <c r="Z58" i="8"/>
  <c r="Y58" i="8"/>
  <c r="V58" i="8"/>
  <c r="T58" i="8"/>
  <c r="S58" i="8"/>
  <c r="Q58" i="8"/>
  <c r="P58" i="8"/>
  <c r="M58" i="8"/>
  <c r="K58" i="8"/>
  <c r="J58" i="8"/>
  <c r="H58" i="8"/>
  <c r="G58" i="8"/>
  <c r="D58" i="8"/>
  <c r="B58" i="8"/>
  <c r="AE56" i="8"/>
  <c r="AC56" i="8"/>
  <c r="AB56" i="8"/>
  <c r="Z56" i="8"/>
  <c r="W56" i="8"/>
  <c r="V56" i="8"/>
  <c r="T56" i="8"/>
  <c r="Q56" i="8"/>
  <c r="P56" i="8"/>
  <c r="N56" i="8"/>
  <c r="M56" i="8"/>
  <c r="K56" i="8"/>
  <c r="H56" i="8"/>
  <c r="G56" i="8"/>
  <c r="E56" i="8"/>
  <c r="B56" i="8"/>
  <c r="AE55" i="8"/>
  <c r="AC55" i="8"/>
  <c r="Z55" i="8"/>
  <c r="Y55" i="8"/>
  <c r="W55" i="8"/>
  <c r="V55" i="8"/>
  <c r="T55" i="8"/>
  <c r="S55" i="8"/>
  <c r="P55" i="8"/>
  <c r="N55" i="8"/>
  <c r="K55" i="8"/>
  <c r="J55" i="8"/>
  <c r="H55" i="8"/>
  <c r="E55" i="8"/>
  <c r="D55" i="8"/>
  <c r="B55" i="8"/>
  <c r="AE54" i="8"/>
  <c r="AC54" i="8"/>
  <c r="AB54" i="8"/>
  <c r="Y54" i="8"/>
  <c r="W54" i="8"/>
  <c r="T54" i="8"/>
  <c r="S54" i="8"/>
  <c r="Q54" i="8"/>
  <c r="N54" i="8"/>
  <c r="M54" i="8"/>
  <c r="K54" i="8"/>
  <c r="J54" i="8"/>
  <c r="G54" i="8"/>
  <c r="E54" i="8"/>
  <c r="D54" i="8"/>
  <c r="B54" i="8"/>
  <c r="AC53" i="8"/>
  <c r="AB53" i="8"/>
  <c r="Z53" i="8"/>
  <c r="Y53" i="8"/>
  <c r="W53" i="8"/>
  <c r="V53" i="8"/>
  <c r="S53" i="8"/>
  <c r="Q53" i="8"/>
  <c r="P53" i="8"/>
  <c r="N53" i="8"/>
  <c r="M53" i="8"/>
  <c r="J53" i="8"/>
  <c r="H53" i="8"/>
  <c r="G53" i="8"/>
  <c r="E53" i="8"/>
  <c r="D53" i="8"/>
  <c r="AE52" i="8"/>
  <c r="AB52" i="8"/>
  <c r="Z52" i="8"/>
  <c r="Y52" i="8"/>
  <c r="V52" i="8"/>
  <c r="T52" i="8"/>
  <c r="S52" i="8"/>
  <c r="Q52" i="8"/>
  <c r="P52" i="8"/>
  <c r="M52" i="8"/>
  <c r="K52" i="8"/>
  <c r="J52" i="8"/>
  <c r="H52" i="8"/>
  <c r="G52" i="8"/>
  <c r="D52" i="8"/>
  <c r="B52" i="8"/>
  <c r="AE50" i="8"/>
  <c r="AC50" i="8"/>
  <c r="AB50" i="8"/>
  <c r="Z50" i="8"/>
  <c r="W50" i="8"/>
  <c r="V50" i="8"/>
  <c r="T50" i="8"/>
  <c r="Q50" i="8"/>
  <c r="P50" i="8"/>
  <c r="N50" i="8"/>
  <c r="M50" i="8"/>
  <c r="K50" i="8"/>
  <c r="H50" i="8"/>
  <c r="G50" i="8"/>
  <c r="E50" i="8"/>
  <c r="B50" i="8"/>
  <c r="AE49" i="8"/>
  <c r="AC49" i="8"/>
  <c r="Z49" i="8"/>
  <c r="Y49" i="8"/>
  <c r="W49" i="8"/>
  <c r="V49" i="8"/>
  <c r="T49" i="8"/>
  <c r="S49" i="8"/>
  <c r="P49" i="8"/>
  <c r="N49" i="8"/>
  <c r="K49" i="8"/>
  <c r="J49" i="8"/>
  <c r="H49" i="8"/>
  <c r="E49" i="8"/>
  <c r="D49" i="8"/>
  <c r="B49" i="8"/>
  <c r="AE48" i="8"/>
  <c r="AC48" i="8"/>
  <c r="AB48" i="8"/>
  <c r="Y48" i="8"/>
  <c r="W48" i="8"/>
  <c r="T48" i="8"/>
  <c r="S48" i="8"/>
  <c r="Q48" i="8"/>
  <c r="N48" i="8"/>
  <c r="M48" i="8"/>
  <c r="K48" i="8"/>
  <c r="J48" i="8"/>
  <c r="G48" i="8"/>
  <c r="E48" i="8"/>
  <c r="D48" i="8"/>
  <c r="B48" i="8"/>
  <c r="AC47" i="8"/>
  <c r="AB47" i="8"/>
  <c r="Z47" i="8"/>
  <c r="Y47" i="8"/>
  <c r="W47" i="8"/>
  <c r="V47" i="8"/>
  <c r="S47" i="8"/>
  <c r="Q47" i="8"/>
  <c r="P47" i="8"/>
  <c r="N47" i="8"/>
  <c r="M47" i="8"/>
  <c r="J47" i="8"/>
  <c r="H47" i="8"/>
  <c r="G47" i="8"/>
  <c r="E47" i="8"/>
  <c r="D47" i="8"/>
  <c r="AE46" i="8"/>
  <c r="AB46" i="8"/>
  <c r="Z46" i="8"/>
  <c r="Y46" i="8"/>
  <c r="V46" i="8"/>
  <c r="T46" i="8"/>
  <c r="S46" i="8"/>
  <c r="Q46" i="8"/>
  <c r="P46" i="8"/>
  <c r="M46" i="8"/>
  <c r="K46" i="8"/>
  <c r="J46" i="8"/>
  <c r="H46" i="8"/>
  <c r="G46" i="8"/>
  <c r="D46" i="8"/>
  <c r="B46" i="8"/>
  <c r="W43" i="8"/>
  <c r="D43" i="8"/>
  <c r="J42" i="8"/>
  <c r="P41" i="8"/>
  <c r="V40" i="8"/>
  <c r="AE35" i="8"/>
  <c r="AE43" i="8" s="1"/>
  <c r="AC35" i="8"/>
  <c r="AC43" i="8" s="1"/>
  <c r="AB35" i="8"/>
  <c r="AB43" i="8" s="1"/>
  <c r="Z35" i="8"/>
  <c r="Z43" i="8" s="1"/>
  <c r="Y35" i="8"/>
  <c r="Y43" i="8" s="1"/>
  <c r="W35" i="8"/>
  <c r="V35" i="8"/>
  <c r="V43" i="8" s="1"/>
  <c r="T35" i="8"/>
  <c r="T43" i="8" s="1"/>
  <c r="S35" i="8"/>
  <c r="S43" i="8" s="1"/>
  <c r="Q35" i="8"/>
  <c r="Q43" i="8" s="1"/>
  <c r="P35" i="8"/>
  <c r="P43" i="8" s="1"/>
  <c r="N35" i="8"/>
  <c r="N43" i="8" s="1"/>
  <c r="M35" i="8"/>
  <c r="M43" i="8" s="1"/>
  <c r="K35" i="8"/>
  <c r="K43" i="8" s="1"/>
  <c r="J35" i="8"/>
  <c r="J43" i="8" s="1"/>
  <c r="H35" i="8"/>
  <c r="H43" i="8" s="1"/>
  <c r="G35" i="8"/>
  <c r="G43" i="8" s="1"/>
  <c r="E35" i="8"/>
  <c r="E43" i="8" s="1"/>
  <c r="D35" i="8"/>
  <c r="B35" i="8"/>
  <c r="B43" i="8" s="1"/>
  <c r="AE34" i="8"/>
  <c r="AE42" i="8" s="1"/>
  <c r="AC34" i="8"/>
  <c r="AC42" i="8" s="1"/>
  <c r="AB34" i="8"/>
  <c r="AB42" i="8" s="1"/>
  <c r="Z34" i="8"/>
  <c r="Z42" i="8" s="1"/>
  <c r="Y34" i="8"/>
  <c r="Y42" i="8" s="1"/>
  <c r="W34" i="8"/>
  <c r="W42" i="8" s="1"/>
  <c r="V34" i="8"/>
  <c r="V42" i="8" s="1"/>
  <c r="T34" i="8"/>
  <c r="T42" i="8" s="1"/>
  <c r="S34" i="8"/>
  <c r="S42" i="8" s="1"/>
  <c r="Q34" i="8"/>
  <c r="Q42" i="8" s="1"/>
  <c r="P34" i="8"/>
  <c r="P42" i="8" s="1"/>
  <c r="N34" i="8"/>
  <c r="N42" i="8" s="1"/>
  <c r="M34" i="8"/>
  <c r="M42" i="8" s="1"/>
  <c r="K34" i="8"/>
  <c r="K42" i="8" s="1"/>
  <c r="J34" i="8"/>
  <c r="H34" i="8"/>
  <c r="H42" i="8" s="1"/>
  <c r="G34" i="8"/>
  <c r="G42" i="8" s="1"/>
  <c r="E34" i="8"/>
  <c r="E42" i="8" s="1"/>
  <c r="D34" i="8"/>
  <c r="D42" i="8" s="1"/>
  <c r="B34" i="8"/>
  <c r="B42" i="8" s="1"/>
  <c r="AE33" i="8"/>
  <c r="AE41" i="8" s="1"/>
  <c r="AC33" i="8"/>
  <c r="AC41" i="8" s="1"/>
  <c r="AB33" i="8"/>
  <c r="AB41" i="8" s="1"/>
  <c r="Z33" i="8"/>
  <c r="Z41" i="8" s="1"/>
  <c r="Y33" i="8"/>
  <c r="Y41" i="8" s="1"/>
  <c r="W33" i="8"/>
  <c r="W41" i="8" s="1"/>
  <c r="V33" i="8"/>
  <c r="V41" i="8" s="1"/>
  <c r="T33" i="8"/>
  <c r="T41" i="8" s="1"/>
  <c r="S33" i="8"/>
  <c r="S41" i="8" s="1"/>
  <c r="Q33" i="8"/>
  <c r="Q41" i="8" s="1"/>
  <c r="P33" i="8"/>
  <c r="N33" i="8"/>
  <c r="N41" i="8" s="1"/>
  <c r="M33" i="8"/>
  <c r="M41" i="8" s="1"/>
  <c r="K33" i="8"/>
  <c r="K41" i="8" s="1"/>
  <c r="J33" i="8"/>
  <c r="J41" i="8" s="1"/>
  <c r="H33" i="8"/>
  <c r="H41" i="8" s="1"/>
  <c r="G33" i="8"/>
  <c r="G41" i="8" s="1"/>
  <c r="E33" i="8"/>
  <c r="E41" i="8" s="1"/>
  <c r="D33" i="8"/>
  <c r="D41" i="8" s="1"/>
  <c r="B33" i="8"/>
  <c r="B41" i="8" s="1"/>
  <c r="AE32" i="8"/>
  <c r="AE40" i="8" s="1"/>
  <c r="AC32" i="8"/>
  <c r="AC40" i="8" s="1"/>
  <c r="AB32" i="8"/>
  <c r="Z32" i="8"/>
  <c r="Z40" i="8" s="1"/>
  <c r="Y32" i="8"/>
  <c r="Y40" i="8" s="1"/>
  <c r="W32" i="8"/>
  <c r="W40" i="8" s="1"/>
  <c r="V32" i="8"/>
  <c r="T32" i="8"/>
  <c r="T40" i="8" s="1"/>
  <c r="S32" i="8"/>
  <c r="S40" i="8" s="1"/>
  <c r="Q32" i="8"/>
  <c r="Q40" i="8" s="1"/>
  <c r="P32" i="8"/>
  <c r="N32" i="8"/>
  <c r="N40" i="8" s="1"/>
  <c r="M32" i="8"/>
  <c r="M40" i="8" s="1"/>
  <c r="K32" i="8"/>
  <c r="K40" i="8" s="1"/>
  <c r="J32" i="8"/>
  <c r="J40" i="8" s="1"/>
  <c r="H32" i="8"/>
  <c r="H40" i="8" s="1"/>
  <c r="G32" i="8"/>
  <c r="G40" i="8" s="1"/>
  <c r="E32" i="8"/>
  <c r="E40" i="8" s="1"/>
  <c r="D32" i="8"/>
  <c r="B32" i="8"/>
  <c r="B40" i="8" s="1"/>
  <c r="AE31" i="8"/>
  <c r="AE36" i="8" s="1"/>
  <c r="AC31" i="8"/>
  <c r="AC39" i="8" s="1"/>
  <c r="AB31" i="8"/>
  <c r="AB67" i="8" s="1"/>
  <c r="Z31" i="8"/>
  <c r="Z66" i="8" s="1"/>
  <c r="Y31" i="8"/>
  <c r="Y39" i="8" s="1"/>
  <c r="W31" i="8"/>
  <c r="W39" i="8" s="1"/>
  <c r="V31" i="8"/>
  <c r="V66" i="8" s="1"/>
  <c r="T31" i="8"/>
  <c r="T36" i="8" s="1"/>
  <c r="S31" i="8"/>
  <c r="S68" i="8" s="1"/>
  <c r="Q31" i="8"/>
  <c r="Q67" i="8" s="1"/>
  <c r="P31" i="8"/>
  <c r="P66" i="8" s="1"/>
  <c r="N31" i="8"/>
  <c r="N39" i="8" s="1"/>
  <c r="M31" i="8"/>
  <c r="K31" i="8"/>
  <c r="K65" i="8" s="1"/>
  <c r="J31" i="8"/>
  <c r="J39" i="8" s="1"/>
  <c r="H31" i="8"/>
  <c r="H36" i="8" s="1"/>
  <c r="G31" i="8"/>
  <c r="G36" i="8" s="1"/>
  <c r="E31" i="8"/>
  <c r="E39" i="8" s="1"/>
  <c r="D31" i="8"/>
  <c r="D68" i="8" s="1"/>
  <c r="B31" i="8"/>
  <c r="B39" i="8" s="1"/>
  <c r="AE30" i="8"/>
  <c r="AC30" i="8"/>
  <c r="AB30" i="8"/>
  <c r="Z30" i="8"/>
  <c r="Y30" i="8"/>
  <c r="W30" i="8"/>
  <c r="V30" i="8"/>
  <c r="T30" i="8"/>
  <c r="AM26" i="8" s="1"/>
  <c r="S30" i="8"/>
  <c r="Q30" i="8"/>
  <c r="P30" i="8"/>
  <c r="N30" i="8"/>
  <c r="M30" i="8"/>
  <c r="K30" i="8"/>
  <c r="J30" i="8"/>
  <c r="H30" i="8"/>
  <c r="AI28" i="8" s="1"/>
  <c r="G30" i="8"/>
  <c r="E30" i="8"/>
  <c r="AH24" i="8" s="1"/>
  <c r="D30" i="8"/>
  <c r="B30" i="8"/>
  <c r="AG28" i="8" s="1"/>
  <c r="AD29" i="8"/>
  <c r="AA29" i="8"/>
  <c r="X29" i="8"/>
  <c r="U29" i="8"/>
  <c r="R29" i="8"/>
  <c r="O29" i="8"/>
  <c r="L29" i="8"/>
  <c r="I29" i="8"/>
  <c r="F29" i="8"/>
  <c r="A29" i="8"/>
  <c r="AP28" i="8"/>
  <c r="AO28" i="8"/>
  <c r="AM28" i="8"/>
  <c r="AL28" i="8"/>
  <c r="AK28" i="8"/>
  <c r="AJ28" i="8"/>
  <c r="AH28" i="8"/>
  <c r="AF28" i="8"/>
  <c r="AD28" i="8"/>
  <c r="AA28" i="8"/>
  <c r="X28" i="8"/>
  <c r="U28" i="8"/>
  <c r="R28" i="8"/>
  <c r="O28" i="8"/>
  <c r="L28" i="8"/>
  <c r="I28" i="8"/>
  <c r="F28" i="8"/>
  <c r="A28" i="8"/>
  <c r="AP27" i="8"/>
  <c r="AN27" i="8"/>
  <c r="AM27" i="8"/>
  <c r="AL27" i="8"/>
  <c r="AK27" i="8"/>
  <c r="AI27" i="8"/>
  <c r="AH27" i="8"/>
  <c r="AG27" i="8"/>
  <c r="AF27" i="8"/>
  <c r="AD27" i="8"/>
  <c r="AA27" i="8"/>
  <c r="X27" i="8"/>
  <c r="U27" i="8"/>
  <c r="R27" i="8"/>
  <c r="O27" i="8"/>
  <c r="L27" i="8"/>
  <c r="I27" i="8"/>
  <c r="F27" i="8"/>
  <c r="A27" i="8"/>
  <c r="AP26" i="8"/>
  <c r="AO26" i="8"/>
  <c r="AN26" i="8"/>
  <c r="AL26" i="8"/>
  <c r="AK26" i="8"/>
  <c r="AJ26" i="8"/>
  <c r="AH26" i="8"/>
  <c r="AG26" i="8"/>
  <c r="AF26" i="8"/>
  <c r="AD26" i="8"/>
  <c r="AA26" i="8"/>
  <c r="X26" i="8"/>
  <c r="U26" i="8"/>
  <c r="R26" i="8"/>
  <c r="O26" i="8"/>
  <c r="L26" i="8"/>
  <c r="I26" i="8"/>
  <c r="F26" i="8"/>
  <c r="A26" i="8"/>
  <c r="AP25" i="8"/>
  <c r="AO25" i="8"/>
  <c r="AN25" i="8"/>
  <c r="AM25" i="8"/>
  <c r="AL25" i="8"/>
  <c r="AK25" i="8"/>
  <c r="AI25" i="8"/>
  <c r="AH25" i="8"/>
  <c r="AG25" i="8"/>
  <c r="AF25" i="8"/>
  <c r="AD25" i="8"/>
  <c r="AA25" i="8"/>
  <c r="X25" i="8"/>
  <c r="U25" i="8"/>
  <c r="R25" i="8"/>
  <c r="O25" i="8"/>
  <c r="L25" i="8"/>
  <c r="I25" i="8"/>
  <c r="F25" i="8"/>
  <c r="AO24" i="8"/>
  <c r="AM24" i="8"/>
  <c r="AL24" i="8"/>
  <c r="AK24" i="8"/>
  <c r="AJ24" i="8"/>
  <c r="AI24" i="8"/>
  <c r="AG24" i="8"/>
  <c r="AF24" i="8"/>
  <c r="AD24" i="8"/>
  <c r="AA24" i="8"/>
  <c r="X24" i="8"/>
  <c r="U24" i="8"/>
  <c r="R24" i="8"/>
  <c r="O24" i="8"/>
  <c r="L24" i="8"/>
  <c r="I24" i="8"/>
  <c r="F24" i="8"/>
  <c r="AC22" i="8"/>
  <c r="Z22" i="8"/>
  <c r="W22" i="8"/>
  <c r="T22" i="8"/>
  <c r="Q22" i="8"/>
  <c r="N22" i="8"/>
  <c r="K22" i="8"/>
  <c r="H22" i="8"/>
  <c r="E22" i="8"/>
  <c r="E17" i="8"/>
  <c r="E16" i="8"/>
  <c r="B83" i="8" s="1"/>
  <c r="A16" i="8"/>
  <c r="E15" i="8"/>
  <c r="AB179" i="8" s="1"/>
  <c r="AG210" i="8" s="1"/>
  <c r="E14" i="8"/>
  <c r="V179" i="8" s="1"/>
  <c r="X210" i="8" s="1"/>
  <c r="A14" i="8"/>
  <c r="E13" i="8"/>
  <c r="R179" i="8" s="1"/>
  <c r="K212" i="8" s="1"/>
  <c r="E12" i="8"/>
  <c r="L179" i="8" s="1"/>
  <c r="B212" i="8" s="1"/>
  <c r="A12" i="8"/>
  <c r="E11" i="8"/>
  <c r="AL179" i="8" s="1"/>
  <c r="AG212" i="8" s="1"/>
  <c r="E10" i="8"/>
  <c r="AF179" i="8" s="1"/>
  <c r="X212" i="8" s="1"/>
  <c r="A10" i="8"/>
  <c r="E9" i="8"/>
  <c r="H179" i="8" s="1"/>
  <c r="K210" i="8" s="1"/>
  <c r="E8" i="8"/>
  <c r="B179" i="8" s="1"/>
  <c r="B210" i="8" s="1"/>
  <c r="A8" i="8"/>
  <c r="R7" i="8"/>
  <c r="L7" i="8"/>
  <c r="K6" i="8"/>
  <c r="K6" i="7"/>
  <c r="L7" i="7"/>
  <c r="R7" i="7"/>
  <c r="A8" i="7"/>
  <c r="E8" i="7"/>
  <c r="E9" i="7"/>
  <c r="A10" i="7"/>
  <c r="E10" i="7"/>
  <c r="E11" i="7"/>
  <c r="A12" i="7"/>
  <c r="E12" i="7"/>
  <c r="E13" i="7"/>
  <c r="A14" i="7"/>
  <c r="E14" i="7"/>
  <c r="E15" i="7"/>
  <c r="A16" i="7"/>
  <c r="E16" i="7"/>
  <c r="E17" i="7"/>
  <c r="E22" i="7"/>
  <c r="H22" i="7"/>
  <c r="K22" i="7"/>
  <c r="N22" i="7"/>
  <c r="Q22" i="7"/>
  <c r="T22" i="7"/>
  <c r="W22" i="7"/>
  <c r="Z22" i="7"/>
  <c r="AC22" i="7"/>
  <c r="F24" i="7"/>
  <c r="I24" i="7"/>
  <c r="L24" i="7"/>
  <c r="O24" i="7"/>
  <c r="R24" i="7"/>
  <c r="U24" i="7"/>
  <c r="X24" i="7"/>
  <c r="AA24" i="7"/>
  <c r="AD24" i="7"/>
  <c r="AF24" i="7"/>
  <c r="AG24" i="7"/>
  <c r="AI24" i="7"/>
  <c r="AK24" i="7"/>
  <c r="AM24" i="7"/>
  <c r="AN24" i="7"/>
  <c r="AO24" i="7"/>
  <c r="AP24" i="7"/>
  <c r="F25" i="7"/>
  <c r="I25" i="7"/>
  <c r="L25" i="7"/>
  <c r="O25" i="7"/>
  <c r="R25" i="7"/>
  <c r="U25" i="7"/>
  <c r="X25" i="7"/>
  <c r="AA25" i="7"/>
  <c r="AD25" i="7"/>
  <c r="AF25" i="7"/>
  <c r="AH25" i="7"/>
  <c r="AJ25" i="7"/>
  <c r="AK25" i="7"/>
  <c r="AM25" i="7"/>
  <c r="AN25" i="7"/>
  <c r="AO25" i="7"/>
  <c r="AP25" i="7"/>
  <c r="A26" i="7"/>
  <c r="F26" i="7"/>
  <c r="I26" i="7"/>
  <c r="L26" i="7"/>
  <c r="O26" i="7"/>
  <c r="R26" i="7"/>
  <c r="U26" i="7"/>
  <c r="X26" i="7"/>
  <c r="AA26" i="7"/>
  <c r="AD26" i="7"/>
  <c r="AF26" i="7"/>
  <c r="AH26" i="7"/>
  <c r="AI26" i="7"/>
  <c r="AL26" i="7"/>
  <c r="AM26" i="7"/>
  <c r="AN26" i="7"/>
  <c r="AO26" i="7"/>
  <c r="AP26" i="7"/>
  <c r="A27" i="7"/>
  <c r="F27" i="7"/>
  <c r="I27" i="7"/>
  <c r="L27" i="7"/>
  <c r="O27" i="7"/>
  <c r="R27" i="7"/>
  <c r="U27" i="7"/>
  <c r="X27" i="7"/>
  <c r="AA27" i="7"/>
  <c r="AD27" i="7"/>
  <c r="AF27" i="7"/>
  <c r="AG27" i="7"/>
  <c r="AJ27" i="7"/>
  <c r="AL27" i="7"/>
  <c r="AM27" i="7"/>
  <c r="AN27" i="7"/>
  <c r="AO27" i="7"/>
  <c r="AP27" i="7"/>
  <c r="A28" i="7"/>
  <c r="F28" i="7"/>
  <c r="I28" i="7"/>
  <c r="L28" i="7"/>
  <c r="O28" i="7"/>
  <c r="R28" i="7"/>
  <c r="U28" i="7"/>
  <c r="X28" i="7"/>
  <c r="AA28" i="7"/>
  <c r="AD28" i="7"/>
  <c r="AF28" i="7"/>
  <c r="AG28" i="7"/>
  <c r="AH28" i="7"/>
  <c r="AI28" i="7"/>
  <c r="AJ28" i="7"/>
  <c r="AK28" i="7"/>
  <c r="AL28" i="7"/>
  <c r="AM28" i="7"/>
  <c r="AN28" i="7"/>
  <c r="AO28" i="7"/>
  <c r="AP28" i="7"/>
  <c r="A29" i="7"/>
  <c r="F29" i="7"/>
  <c r="I29" i="7"/>
  <c r="L29" i="7"/>
  <c r="O29" i="7"/>
  <c r="R29" i="7"/>
  <c r="U29" i="7"/>
  <c r="X29" i="7"/>
  <c r="AA29" i="7"/>
  <c r="AD29" i="7"/>
  <c r="B30" i="7"/>
  <c r="D30" i="7"/>
  <c r="AG26" i="7" s="1"/>
  <c r="E30" i="7"/>
  <c r="AH24" i="7" s="1"/>
  <c r="G30" i="7"/>
  <c r="AH27" i="7" s="1"/>
  <c r="H30" i="7"/>
  <c r="AI25" i="7" s="1"/>
  <c r="J30" i="7"/>
  <c r="AI27" i="7" s="1"/>
  <c r="K30" i="7"/>
  <c r="AJ24" i="7" s="1"/>
  <c r="M30" i="7"/>
  <c r="N30" i="7"/>
  <c r="AK26" i="7" s="1"/>
  <c r="P30" i="7"/>
  <c r="AK27" i="7" s="1"/>
  <c r="Q30" i="7"/>
  <c r="AL24" i="7" s="1"/>
  <c r="S30" i="7"/>
  <c r="AL25" i="7" s="1"/>
  <c r="T30" i="7"/>
  <c r="V30" i="7"/>
  <c r="W30" i="7"/>
  <c r="Y30" i="7"/>
  <c r="Z30" i="7"/>
  <c r="AB30" i="7"/>
  <c r="AC30" i="7"/>
  <c r="AE30" i="7"/>
  <c r="B31" i="7"/>
  <c r="D31" i="7"/>
  <c r="E31" i="7"/>
  <c r="E36" i="7" s="1"/>
  <c r="G31" i="7"/>
  <c r="H31" i="7"/>
  <c r="J31" i="7"/>
  <c r="J36" i="7" s="1"/>
  <c r="J37" i="7" s="1"/>
  <c r="J49" i="7" s="1"/>
  <c r="K31" i="7"/>
  <c r="M31" i="7"/>
  <c r="N31" i="7"/>
  <c r="P31" i="7"/>
  <c r="Q31" i="7"/>
  <c r="Q36" i="7" s="1"/>
  <c r="Q37" i="7" s="1"/>
  <c r="S31" i="7"/>
  <c r="T31" i="7"/>
  <c r="V31" i="7"/>
  <c r="V36" i="7" s="1"/>
  <c r="V37" i="7" s="1"/>
  <c r="V48" i="7" s="1"/>
  <c r="W31" i="7"/>
  <c r="Y31" i="7"/>
  <c r="Z31" i="7"/>
  <c r="AB31" i="7"/>
  <c r="AC31" i="7"/>
  <c r="AC39" i="7" s="1"/>
  <c r="AE31" i="7"/>
  <c r="B32" i="7"/>
  <c r="D32" i="7"/>
  <c r="D66" i="7" s="1"/>
  <c r="E32" i="7"/>
  <c r="G32" i="7"/>
  <c r="H32" i="7"/>
  <c r="J32" i="7"/>
  <c r="K32" i="7"/>
  <c r="K40" i="7" s="1"/>
  <c r="M32" i="7"/>
  <c r="N32" i="7"/>
  <c r="P32" i="7"/>
  <c r="Q32" i="7"/>
  <c r="S32" i="7"/>
  <c r="T32" i="7"/>
  <c r="V32" i="7"/>
  <c r="W32" i="7"/>
  <c r="W40" i="7" s="1"/>
  <c r="Y32" i="7"/>
  <c r="Z32" i="7"/>
  <c r="AB32" i="7"/>
  <c r="AB36" i="7" s="1"/>
  <c r="AC32" i="7"/>
  <c r="AE32" i="7"/>
  <c r="B33" i="7"/>
  <c r="D33" i="7"/>
  <c r="E33" i="7"/>
  <c r="E41" i="7" s="1"/>
  <c r="G33" i="7"/>
  <c r="H33" i="7"/>
  <c r="J33" i="7"/>
  <c r="K33" i="7"/>
  <c r="M33" i="7"/>
  <c r="N33" i="7"/>
  <c r="P33" i="7"/>
  <c r="Q33" i="7"/>
  <c r="Q41" i="7" s="1"/>
  <c r="S33" i="7"/>
  <c r="T33" i="7"/>
  <c r="V33" i="7"/>
  <c r="W33" i="7"/>
  <c r="Y33" i="7"/>
  <c r="Z33" i="7"/>
  <c r="AB33" i="7"/>
  <c r="AC33" i="7"/>
  <c r="AC41" i="7" s="1"/>
  <c r="AE33" i="7"/>
  <c r="AE41" i="7" s="1"/>
  <c r="B34" i="7"/>
  <c r="D34" i="7"/>
  <c r="D42" i="7" s="1"/>
  <c r="B44" i="7" s="1"/>
  <c r="E34" i="7"/>
  <c r="G34" i="7"/>
  <c r="G42" i="7" s="1"/>
  <c r="H34" i="7"/>
  <c r="H42" i="7" s="1"/>
  <c r="J34" i="7"/>
  <c r="K34" i="7"/>
  <c r="K42" i="7" s="1"/>
  <c r="M34" i="7"/>
  <c r="M42" i="7" s="1"/>
  <c r="N34" i="7"/>
  <c r="P34" i="7"/>
  <c r="P42" i="7" s="1"/>
  <c r="Q34" i="7"/>
  <c r="Q42" i="7" s="1"/>
  <c r="S34" i="7"/>
  <c r="S42" i="7" s="1"/>
  <c r="T34" i="7"/>
  <c r="T42" i="7" s="1"/>
  <c r="V34" i="7"/>
  <c r="W34" i="7"/>
  <c r="W42" i="7" s="1"/>
  <c r="Y34" i="7"/>
  <c r="Y42" i="7" s="1"/>
  <c r="Z34" i="7"/>
  <c r="Z42" i="7" s="1"/>
  <c r="AB34" i="7"/>
  <c r="AC34" i="7"/>
  <c r="AC42" i="7" s="1"/>
  <c r="AE34" i="7"/>
  <c r="AE42" i="7" s="1"/>
  <c r="B35" i="7"/>
  <c r="B43" i="7" s="1"/>
  <c r="D35" i="7"/>
  <c r="E35" i="7"/>
  <c r="E43" i="7" s="1"/>
  <c r="G35" i="7"/>
  <c r="G43" i="7" s="1"/>
  <c r="H35" i="7"/>
  <c r="J35" i="7"/>
  <c r="J43" i="7" s="1"/>
  <c r="K35" i="7"/>
  <c r="K43" i="7" s="1"/>
  <c r="M35" i="7"/>
  <c r="M43" i="7" s="1"/>
  <c r="N35" i="7"/>
  <c r="N43" i="7" s="1"/>
  <c r="P35" i="7"/>
  <c r="Q35" i="7"/>
  <c r="Q43" i="7" s="1"/>
  <c r="S35" i="7"/>
  <c r="S43" i="7" s="1"/>
  <c r="T35" i="7"/>
  <c r="T43" i="7" s="1"/>
  <c r="V35" i="7"/>
  <c r="W35" i="7"/>
  <c r="W43" i="7" s="1"/>
  <c r="Y35" i="7"/>
  <c r="Y43" i="7" s="1"/>
  <c r="Z35" i="7"/>
  <c r="Z36" i="7" s="1"/>
  <c r="AB35" i="7"/>
  <c r="AC35" i="7"/>
  <c r="AC36" i="7" s="1"/>
  <c r="AC37" i="7" s="1"/>
  <c r="AE35" i="7"/>
  <c r="AE36" i="7" s="1"/>
  <c r="B36" i="7"/>
  <c r="D36" i="7"/>
  <c r="G36" i="7"/>
  <c r="H36" i="7"/>
  <c r="K36" i="7"/>
  <c r="K37" i="7" s="1"/>
  <c r="M36" i="7"/>
  <c r="N36" i="7"/>
  <c r="P36" i="7"/>
  <c r="P37" i="7" s="1"/>
  <c r="P49" i="7" s="1"/>
  <c r="S36" i="7"/>
  <c r="T36" i="7"/>
  <c r="T37" i="7" s="1"/>
  <c r="W36" i="7"/>
  <c r="W37" i="7" s="1"/>
  <c r="Y36" i="7"/>
  <c r="B37" i="7"/>
  <c r="B47" i="7" s="1"/>
  <c r="B39" i="7"/>
  <c r="D39" i="7"/>
  <c r="G39" i="7"/>
  <c r="H39" i="7"/>
  <c r="J39" i="7"/>
  <c r="K39" i="7"/>
  <c r="M39" i="7"/>
  <c r="N39" i="7"/>
  <c r="P39" i="7"/>
  <c r="S39" i="7"/>
  <c r="T39" i="7"/>
  <c r="V39" i="7"/>
  <c r="W39" i="7"/>
  <c r="Y39" i="7"/>
  <c r="Z39" i="7"/>
  <c r="AB39" i="7"/>
  <c r="AE39" i="7"/>
  <c r="B40" i="7"/>
  <c r="D40" i="7"/>
  <c r="E40" i="7"/>
  <c r="G40" i="7"/>
  <c r="H40" i="7"/>
  <c r="J40" i="7"/>
  <c r="M40" i="7"/>
  <c r="N40" i="7"/>
  <c r="P40" i="7"/>
  <c r="Q40" i="7"/>
  <c r="S40" i="7"/>
  <c r="T40" i="7"/>
  <c r="V40" i="7"/>
  <c r="Y40" i="7"/>
  <c r="Z40" i="7"/>
  <c r="AB40" i="7"/>
  <c r="AC40" i="7"/>
  <c r="AE40" i="7"/>
  <c r="B41" i="7"/>
  <c r="D41" i="7"/>
  <c r="G41" i="7"/>
  <c r="H41" i="7"/>
  <c r="J41" i="7"/>
  <c r="K41" i="7"/>
  <c r="M41" i="7"/>
  <c r="N41" i="7"/>
  <c r="P41" i="7"/>
  <c r="S41" i="7"/>
  <c r="T41" i="7"/>
  <c r="V41" i="7"/>
  <c r="W41" i="7"/>
  <c r="Y41" i="7"/>
  <c r="Z41" i="7"/>
  <c r="AB41" i="7"/>
  <c r="B42" i="7"/>
  <c r="E42" i="7"/>
  <c r="J42" i="7"/>
  <c r="N42" i="7"/>
  <c r="V42" i="7"/>
  <c r="AB42" i="7"/>
  <c r="D43" i="7"/>
  <c r="H43" i="7"/>
  <c r="P43" i="7"/>
  <c r="V43" i="7"/>
  <c r="AB43" i="7"/>
  <c r="B46" i="7"/>
  <c r="D46" i="7"/>
  <c r="G46" i="7"/>
  <c r="H46" i="7"/>
  <c r="J46" i="7"/>
  <c r="M46" i="7"/>
  <c r="N46" i="7"/>
  <c r="P46" i="7"/>
  <c r="S46" i="7"/>
  <c r="T46" i="7"/>
  <c r="V46" i="7"/>
  <c r="Y46" i="7"/>
  <c r="Z46" i="7"/>
  <c r="AB46" i="7"/>
  <c r="AE46" i="7"/>
  <c r="D47" i="7"/>
  <c r="E47" i="7"/>
  <c r="G47" i="7"/>
  <c r="J47" i="7"/>
  <c r="K47" i="7"/>
  <c r="M47" i="7"/>
  <c r="N47" i="7"/>
  <c r="P47" i="7"/>
  <c r="Q47" i="7"/>
  <c r="V47" i="7"/>
  <c r="W47" i="7"/>
  <c r="Y47" i="7"/>
  <c r="Z47" i="7"/>
  <c r="AB47" i="7"/>
  <c r="AC47" i="7"/>
  <c r="B48" i="7"/>
  <c r="E48" i="7"/>
  <c r="G48" i="7"/>
  <c r="H48" i="7"/>
  <c r="J48" i="7"/>
  <c r="K48" i="7"/>
  <c r="P48" i="7"/>
  <c r="Q48" i="7"/>
  <c r="S48" i="7"/>
  <c r="T48" i="7"/>
  <c r="W48" i="7"/>
  <c r="Y48" i="7"/>
  <c r="AB48" i="7"/>
  <c r="AC48" i="7"/>
  <c r="AE48" i="7"/>
  <c r="B49" i="7"/>
  <c r="D49" i="7"/>
  <c r="E49" i="7"/>
  <c r="H49" i="7"/>
  <c r="K49" i="7"/>
  <c r="M49" i="7"/>
  <c r="N49" i="7"/>
  <c r="Q49" i="7"/>
  <c r="S49" i="7"/>
  <c r="T49" i="7"/>
  <c r="V49" i="7"/>
  <c r="W49" i="7"/>
  <c r="Y49" i="7"/>
  <c r="Z49" i="7"/>
  <c r="AC49" i="7"/>
  <c r="AE49" i="7"/>
  <c r="B50" i="7"/>
  <c r="D50" i="7"/>
  <c r="E50" i="7"/>
  <c r="G50" i="7"/>
  <c r="H50" i="7"/>
  <c r="J50" i="7"/>
  <c r="K50" i="7"/>
  <c r="M50" i="7"/>
  <c r="N50" i="7"/>
  <c r="P50" i="7"/>
  <c r="Q50" i="7"/>
  <c r="S50" i="7"/>
  <c r="T50" i="7"/>
  <c r="V50" i="7"/>
  <c r="W50" i="7"/>
  <c r="Z50" i="7"/>
  <c r="AB50" i="7"/>
  <c r="AC50" i="7"/>
  <c r="AE50" i="7"/>
  <c r="B52" i="7"/>
  <c r="D52" i="7"/>
  <c r="G52" i="7"/>
  <c r="H52" i="7"/>
  <c r="J52" i="7"/>
  <c r="M52" i="7"/>
  <c r="N52" i="7"/>
  <c r="P52" i="7"/>
  <c r="S52" i="7"/>
  <c r="T52" i="7"/>
  <c r="V52" i="7"/>
  <c r="Y52" i="7"/>
  <c r="Z52" i="7"/>
  <c r="AB52" i="7"/>
  <c r="AE52" i="7"/>
  <c r="D53" i="7"/>
  <c r="E53" i="7"/>
  <c r="G53" i="7"/>
  <c r="J53" i="7"/>
  <c r="K53" i="7"/>
  <c r="M53" i="7"/>
  <c r="N53" i="7"/>
  <c r="P53" i="7"/>
  <c r="Q53" i="7"/>
  <c r="V53" i="7"/>
  <c r="W53" i="7"/>
  <c r="Y53" i="7"/>
  <c r="Z53" i="7"/>
  <c r="AB53" i="7"/>
  <c r="AC53" i="7"/>
  <c r="B54" i="7"/>
  <c r="E54" i="7"/>
  <c r="G54" i="7"/>
  <c r="H54" i="7"/>
  <c r="J54" i="7"/>
  <c r="K54" i="7"/>
  <c r="P54" i="7"/>
  <c r="Q54" i="7"/>
  <c r="S54" i="7"/>
  <c r="T54" i="7"/>
  <c r="W54" i="7"/>
  <c r="Y54" i="7"/>
  <c r="AB54" i="7"/>
  <c r="AC54" i="7"/>
  <c r="AE54" i="7"/>
  <c r="B55" i="7"/>
  <c r="D55" i="7"/>
  <c r="E55" i="7"/>
  <c r="H55" i="7"/>
  <c r="K55" i="7"/>
  <c r="M55" i="7"/>
  <c r="N55" i="7"/>
  <c r="Q55" i="7"/>
  <c r="S55" i="7"/>
  <c r="T55" i="7"/>
  <c r="V55" i="7"/>
  <c r="W55" i="7"/>
  <c r="Y55" i="7"/>
  <c r="Z55" i="7"/>
  <c r="AC55" i="7"/>
  <c r="AE55" i="7"/>
  <c r="B56" i="7"/>
  <c r="D56" i="7"/>
  <c r="E56" i="7"/>
  <c r="G56" i="7"/>
  <c r="H56" i="7"/>
  <c r="J56" i="7"/>
  <c r="K56" i="7"/>
  <c r="M56" i="7"/>
  <c r="N56" i="7"/>
  <c r="P56" i="7"/>
  <c r="Q56" i="7"/>
  <c r="S56" i="7"/>
  <c r="T56" i="7"/>
  <c r="V56" i="7"/>
  <c r="W56" i="7"/>
  <c r="Z56" i="7"/>
  <c r="AB56" i="7"/>
  <c r="AC56" i="7"/>
  <c r="AE56" i="7"/>
  <c r="B58" i="7"/>
  <c r="D58" i="7"/>
  <c r="G58" i="7"/>
  <c r="H58" i="7"/>
  <c r="J58" i="7"/>
  <c r="M58" i="7"/>
  <c r="N58" i="7"/>
  <c r="P58" i="7"/>
  <c r="S58" i="7"/>
  <c r="T58" i="7"/>
  <c r="V58" i="7"/>
  <c r="Y58" i="7"/>
  <c r="Z58" i="7"/>
  <c r="AB58" i="7"/>
  <c r="AE58" i="7"/>
  <c r="D59" i="7"/>
  <c r="E59" i="7"/>
  <c r="G59" i="7"/>
  <c r="J59" i="7"/>
  <c r="K59" i="7"/>
  <c r="M59" i="7"/>
  <c r="N59" i="7"/>
  <c r="P59" i="7"/>
  <c r="Q59" i="7"/>
  <c r="V59" i="7"/>
  <c r="W59" i="7"/>
  <c r="Y59" i="7"/>
  <c r="Z59" i="7"/>
  <c r="AB59" i="7"/>
  <c r="AC59" i="7"/>
  <c r="B60" i="7"/>
  <c r="E60" i="7"/>
  <c r="G60" i="7"/>
  <c r="H60" i="7"/>
  <c r="J60" i="7"/>
  <c r="K60" i="7"/>
  <c r="P60" i="7"/>
  <c r="Q60" i="7"/>
  <c r="S60" i="7"/>
  <c r="T60" i="7"/>
  <c r="W60" i="7"/>
  <c r="Y60" i="7"/>
  <c r="AB60" i="7"/>
  <c r="AC60" i="7"/>
  <c r="AE60" i="7"/>
  <c r="B61" i="7"/>
  <c r="D61" i="7"/>
  <c r="E61" i="7"/>
  <c r="H61" i="7"/>
  <c r="K61" i="7"/>
  <c r="M61" i="7"/>
  <c r="N61" i="7"/>
  <c r="Q61" i="7"/>
  <c r="S61" i="7"/>
  <c r="T61" i="7"/>
  <c r="V61" i="7"/>
  <c r="W61" i="7"/>
  <c r="Y61" i="7"/>
  <c r="Z61" i="7"/>
  <c r="AC61" i="7"/>
  <c r="AE61" i="7"/>
  <c r="B62" i="7"/>
  <c r="D62" i="7"/>
  <c r="E62" i="7"/>
  <c r="G62" i="7"/>
  <c r="H62" i="7"/>
  <c r="J62" i="7"/>
  <c r="K62" i="7"/>
  <c r="M62" i="7"/>
  <c r="N62" i="7"/>
  <c r="P62" i="7"/>
  <c r="Q62" i="7"/>
  <c r="S62" i="7"/>
  <c r="T62" i="7"/>
  <c r="V62" i="7"/>
  <c r="W62" i="7"/>
  <c r="Z62" i="7"/>
  <c r="AB62" i="7"/>
  <c r="AC62" i="7"/>
  <c r="AE62" i="7"/>
  <c r="B64" i="7"/>
  <c r="D64" i="7"/>
  <c r="G64" i="7"/>
  <c r="H64" i="7"/>
  <c r="J64" i="7"/>
  <c r="K64" i="7"/>
  <c r="L71" i="7" s="1"/>
  <c r="M64" i="7"/>
  <c r="N64" i="7"/>
  <c r="P64" i="7"/>
  <c r="S64" i="7"/>
  <c r="T64" i="7"/>
  <c r="V64" i="7"/>
  <c r="W64" i="7"/>
  <c r="X71" i="7" s="1"/>
  <c r="Y64" i="7"/>
  <c r="Z64" i="7"/>
  <c r="AB64" i="7"/>
  <c r="AE64" i="7"/>
  <c r="B65" i="7"/>
  <c r="D65" i="7"/>
  <c r="AF65" i="7" s="1"/>
  <c r="E65" i="7"/>
  <c r="G65" i="7"/>
  <c r="H65" i="7"/>
  <c r="J65" i="7"/>
  <c r="K65" i="7"/>
  <c r="M65" i="7"/>
  <c r="N65" i="7"/>
  <c r="P65" i="7"/>
  <c r="Q65" i="7"/>
  <c r="S65" i="7"/>
  <c r="T65" i="7"/>
  <c r="V65" i="7"/>
  <c r="W65" i="7"/>
  <c r="Y65" i="7"/>
  <c r="Z65" i="7"/>
  <c r="AB65" i="7"/>
  <c r="AC65" i="7"/>
  <c r="AE65" i="7"/>
  <c r="B66" i="7"/>
  <c r="E66" i="7"/>
  <c r="G66" i="7"/>
  <c r="H66" i="7"/>
  <c r="J66" i="7"/>
  <c r="K66" i="7"/>
  <c r="M66" i="7"/>
  <c r="N66" i="7"/>
  <c r="P66" i="7"/>
  <c r="Q66" i="7"/>
  <c r="S66" i="7"/>
  <c r="T66" i="7"/>
  <c r="V66" i="7"/>
  <c r="W66" i="7"/>
  <c r="Y66" i="7"/>
  <c r="Z66" i="7"/>
  <c r="AA71" i="7" s="1"/>
  <c r="AB66" i="7"/>
  <c r="AC66" i="7"/>
  <c r="AE66" i="7"/>
  <c r="B67" i="7"/>
  <c r="D67" i="7"/>
  <c r="E67" i="7"/>
  <c r="G67" i="7"/>
  <c r="H67" i="7"/>
  <c r="K67" i="7"/>
  <c r="M67" i="7"/>
  <c r="N67" i="7"/>
  <c r="P67" i="7"/>
  <c r="Q67" i="7"/>
  <c r="S67" i="7"/>
  <c r="T67" i="7"/>
  <c r="V67" i="7"/>
  <c r="W67" i="7"/>
  <c r="Y67" i="7"/>
  <c r="Z67" i="7"/>
  <c r="AB67" i="7"/>
  <c r="AC67" i="7"/>
  <c r="AE67" i="7"/>
  <c r="B68" i="7"/>
  <c r="D68" i="7"/>
  <c r="E68" i="7"/>
  <c r="G68" i="7"/>
  <c r="H68" i="7"/>
  <c r="J68" i="7"/>
  <c r="K68" i="7"/>
  <c r="M68" i="7"/>
  <c r="N68" i="7"/>
  <c r="P68" i="7"/>
  <c r="Q68" i="7"/>
  <c r="S68" i="7"/>
  <c r="T68" i="7"/>
  <c r="V68" i="7"/>
  <c r="W68" i="7"/>
  <c r="Y68" i="7"/>
  <c r="Z68" i="7"/>
  <c r="AB68" i="7"/>
  <c r="AC68" i="7"/>
  <c r="AE68" i="7"/>
  <c r="O71" i="7"/>
  <c r="N37" i="7" s="1"/>
  <c r="B72" i="7"/>
  <c r="D72" i="7"/>
  <c r="G72" i="7"/>
  <c r="H72" i="7"/>
  <c r="J72" i="7"/>
  <c r="M72" i="7"/>
  <c r="N72" i="7"/>
  <c r="P72" i="7"/>
  <c r="S72" i="7"/>
  <c r="T72" i="7"/>
  <c r="V72" i="7"/>
  <c r="Y72" i="7"/>
  <c r="Z72" i="7"/>
  <c r="AB72" i="7"/>
  <c r="AE72" i="7"/>
  <c r="D73" i="7"/>
  <c r="E73" i="7"/>
  <c r="G73" i="7"/>
  <c r="J73" i="7"/>
  <c r="K73" i="7"/>
  <c r="M73" i="7"/>
  <c r="N73" i="7"/>
  <c r="P73" i="7"/>
  <c r="Q73" i="7"/>
  <c r="V73" i="7"/>
  <c r="W73" i="7"/>
  <c r="Y73" i="7"/>
  <c r="Z73" i="7"/>
  <c r="AB73" i="7"/>
  <c r="AC73" i="7"/>
  <c r="B74" i="7"/>
  <c r="E74" i="7"/>
  <c r="G74" i="7"/>
  <c r="H74" i="7"/>
  <c r="J74" i="7"/>
  <c r="K74" i="7"/>
  <c r="P74" i="7"/>
  <c r="Q74" i="7"/>
  <c r="S74" i="7"/>
  <c r="T74" i="7"/>
  <c r="W74" i="7"/>
  <c r="Y74" i="7"/>
  <c r="AB74" i="7"/>
  <c r="AC74" i="7"/>
  <c r="AE74" i="7"/>
  <c r="B75" i="7"/>
  <c r="D75" i="7"/>
  <c r="E75" i="7"/>
  <c r="H75" i="7"/>
  <c r="K75" i="7"/>
  <c r="M75" i="7"/>
  <c r="N75" i="7"/>
  <c r="Q75" i="7"/>
  <c r="S75" i="7"/>
  <c r="T75" i="7"/>
  <c r="V75" i="7"/>
  <c r="W75" i="7"/>
  <c r="Y75" i="7"/>
  <c r="Z75" i="7"/>
  <c r="AC75" i="7"/>
  <c r="AE75" i="7"/>
  <c r="B76" i="7"/>
  <c r="D76" i="7"/>
  <c r="E76" i="7"/>
  <c r="G76" i="7"/>
  <c r="H76" i="7"/>
  <c r="J76" i="7"/>
  <c r="K76" i="7"/>
  <c r="M76" i="7"/>
  <c r="N76" i="7"/>
  <c r="P76" i="7"/>
  <c r="Q76" i="7"/>
  <c r="S76" i="7"/>
  <c r="T76" i="7"/>
  <c r="V76" i="7"/>
  <c r="W76" i="7"/>
  <c r="Z76" i="7"/>
  <c r="AB76" i="7"/>
  <c r="AC76" i="7"/>
  <c r="AE76" i="7"/>
  <c r="B79" i="7"/>
  <c r="AT79" i="7" s="1"/>
  <c r="B80" i="7"/>
  <c r="B81" i="7"/>
  <c r="AT81" i="7"/>
  <c r="B82" i="7"/>
  <c r="AT82" i="7"/>
  <c r="B83" i="7"/>
  <c r="AT83" i="7" s="1"/>
  <c r="C83" i="7"/>
  <c r="A89" i="7"/>
  <c r="K91" i="7"/>
  <c r="L92" i="7"/>
  <c r="R92" i="7"/>
  <c r="A93" i="7"/>
  <c r="E93" i="7"/>
  <c r="E94" i="7"/>
  <c r="A95" i="7"/>
  <c r="E95" i="7"/>
  <c r="E96" i="7"/>
  <c r="A97" i="7"/>
  <c r="E97" i="7"/>
  <c r="E98" i="7"/>
  <c r="A99" i="7"/>
  <c r="E99" i="7"/>
  <c r="E100" i="7"/>
  <c r="A101" i="7"/>
  <c r="E101" i="7"/>
  <c r="E102" i="7"/>
  <c r="E107" i="7"/>
  <c r="H107" i="7"/>
  <c r="K107" i="7"/>
  <c r="N107" i="7"/>
  <c r="Q107" i="7"/>
  <c r="T107" i="7"/>
  <c r="W107" i="7"/>
  <c r="Z107" i="7"/>
  <c r="AC107" i="7"/>
  <c r="F109" i="7"/>
  <c r="I109" i="7"/>
  <c r="L109" i="7"/>
  <c r="O109" i="7"/>
  <c r="R109" i="7"/>
  <c r="U109" i="7"/>
  <c r="X109" i="7"/>
  <c r="AA109" i="7"/>
  <c r="AD109" i="7"/>
  <c r="AF109" i="7"/>
  <c r="AG109" i="7"/>
  <c r="AI109" i="7"/>
  <c r="AK109" i="7"/>
  <c r="AM109" i="7"/>
  <c r="AN109" i="7"/>
  <c r="AO109" i="7"/>
  <c r="AP109" i="7"/>
  <c r="F110" i="7"/>
  <c r="I110" i="7"/>
  <c r="L110" i="7"/>
  <c r="O110" i="7"/>
  <c r="R110" i="7"/>
  <c r="U110" i="7"/>
  <c r="X110" i="7"/>
  <c r="AA110" i="7"/>
  <c r="AD110" i="7"/>
  <c r="AF110" i="7"/>
  <c r="AH110" i="7"/>
  <c r="AJ110" i="7"/>
  <c r="AK110" i="7"/>
  <c r="AM110" i="7"/>
  <c r="AN110" i="7"/>
  <c r="AO110" i="7"/>
  <c r="AP110" i="7"/>
  <c r="A111" i="7"/>
  <c r="F111" i="7"/>
  <c r="I111" i="7"/>
  <c r="L111" i="7"/>
  <c r="O111" i="7"/>
  <c r="R111" i="7"/>
  <c r="U111" i="7"/>
  <c r="X111" i="7"/>
  <c r="AA111" i="7"/>
  <c r="AD111" i="7"/>
  <c r="AF111" i="7"/>
  <c r="AH111" i="7"/>
  <c r="AI111" i="7"/>
  <c r="AL111" i="7"/>
  <c r="AM111" i="7"/>
  <c r="AN111" i="7"/>
  <c r="AO111" i="7"/>
  <c r="AP111" i="7"/>
  <c r="A112" i="7"/>
  <c r="F112" i="7"/>
  <c r="I112" i="7"/>
  <c r="L112" i="7"/>
  <c r="O112" i="7"/>
  <c r="R112" i="7"/>
  <c r="U112" i="7"/>
  <c r="X112" i="7"/>
  <c r="AA112" i="7"/>
  <c r="AD112" i="7"/>
  <c r="AF112" i="7"/>
  <c r="AG112" i="7"/>
  <c r="AJ112" i="7"/>
  <c r="AL112" i="7"/>
  <c r="AM112" i="7"/>
  <c r="AN112" i="7"/>
  <c r="AO112" i="7"/>
  <c r="AP112" i="7"/>
  <c r="A113" i="7"/>
  <c r="F113" i="7"/>
  <c r="I113" i="7"/>
  <c r="L113" i="7"/>
  <c r="O113" i="7"/>
  <c r="R113" i="7"/>
  <c r="U113" i="7"/>
  <c r="X113" i="7"/>
  <c r="AA113" i="7"/>
  <c r="AD113" i="7"/>
  <c r="AF113" i="7"/>
  <c r="AG113" i="7"/>
  <c r="AH113" i="7"/>
  <c r="AI113" i="7"/>
  <c r="AJ113" i="7"/>
  <c r="AK113" i="7"/>
  <c r="AL113" i="7"/>
  <c r="AM113" i="7"/>
  <c r="AN113" i="7"/>
  <c r="AO113" i="7"/>
  <c r="AP113" i="7"/>
  <c r="A114" i="7"/>
  <c r="F114" i="7"/>
  <c r="I114" i="7"/>
  <c r="L114" i="7"/>
  <c r="O114" i="7"/>
  <c r="R114" i="7"/>
  <c r="U114" i="7"/>
  <c r="X114" i="7"/>
  <c r="AA114" i="7"/>
  <c r="AD114" i="7"/>
  <c r="B115" i="7"/>
  <c r="AG110" i="7" s="1"/>
  <c r="D115" i="7"/>
  <c r="E115" i="7"/>
  <c r="AH109" i="7" s="1"/>
  <c r="G115" i="7"/>
  <c r="H115" i="7"/>
  <c r="J115" i="7"/>
  <c r="AI112" i="7" s="1"/>
  <c r="K115" i="7"/>
  <c r="AJ109" i="7" s="1"/>
  <c r="M115" i="7"/>
  <c r="AJ111" i="7" s="1"/>
  <c r="N115" i="7"/>
  <c r="AK111" i="7" s="1"/>
  <c r="P115" i="7"/>
  <c r="Q115" i="7"/>
  <c r="AL109" i="7" s="1"/>
  <c r="S115" i="7"/>
  <c r="T115" i="7"/>
  <c r="V115" i="7"/>
  <c r="W115" i="7"/>
  <c r="Y115" i="7"/>
  <c r="Z115" i="7"/>
  <c r="AB115" i="7"/>
  <c r="AC115" i="7"/>
  <c r="AE115" i="7"/>
  <c r="B116" i="7"/>
  <c r="B124" i="7" s="1"/>
  <c r="D116" i="7"/>
  <c r="D124" i="7" s="1"/>
  <c r="E116" i="7"/>
  <c r="G116" i="7"/>
  <c r="H116" i="7"/>
  <c r="J116" i="7"/>
  <c r="K116" i="7"/>
  <c r="K149" i="7" s="1"/>
  <c r="L156" i="7" s="1"/>
  <c r="M116" i="7"/>
  <c r="N116" i="7"/>
  <c r="N124" i="7" s="1"/>
  <c r="P116" i="7"/>
  <c r="P152" i="7" s="1"/>
  <c r="Q116" i="7"/>
  <c r="S116" i="7"/>
  <c r="T116" i="7"/>
  <c r="V116" i="7"/>
  <c r="W116" i="7"/>
  <c r="W149" i="7" s="1"/>
  <c r="Y116" i="7"/>
  <c r="Z116" i="7"/>
  <c r="Z124" i="7" s="1"/>
  <c r="AB116" i="7"/>
  <c r="AB152" i="7" s="1"/>
  <c r="AC116" i="7"/>
  <c r="AE116" i="7"/>
  <c r="B117" i="7"/>
  <c r="D117" i="7"/>
  <c r="E117" i="7"/>
  <c r="E125" i="7" s="1"/>
  <c r="G117" i="7"/>
  <c r="H117" i="7"/>
  <c r="H125" i="7" s="1"/>
  <c r="J117" i="7"/>
  <c r="J121" i="7" s="1"/>
  <c r="K117" i="7"/>
  <c r="M117" i="7"/>
  <c r="N117" i="7"/>
  <c r="N125" i="7" s="1"/>
  <c r="P117" i="7"/>
  <c r="P125" i="7" s="1"/>
  <c r="Q117" i="7"/>
  <c r="Q125" i="7" s="1"/>
  <c r="S117" i="7"/>
  <c r="T117" i="7"/>
  <c r="T125" i="7" s="1"/>
  <c r="V117" i="7"/>
  <c r="V125" i="7" s="1"/>
  <c r="W117" i="7"/>
  <c r="Y117" i="7"/>
  <c r="Z117" i="7"/>
  <c r="Z125" i="7" s="1"/>
  <c r="AB117" i="7"/>
  <c r="AB125" i="7" s="1"/>
  <c r="AC117" i="7"/>
  <c r="AC125" i="7" s="1"/>
  <c r="AE117" i="7"/>
  <c r="B118" i="7"/>
  <c r="B126" i="7" s="1"/>
  <c r="D118" i="7"/>
  <c r="D126" i="7" s="1"/>
  <c r="E118" i="7"/>
  <c r="G118" i="7"/>
  <c r="H118" i="7"/>
  <c r="H126" i="7" s="1"/>
  <c r="J118" i="7"/>
  <c r="J126" i="7" s="1"/>
  <c r="K118" i="7"/>
  <c r="M118" i="7"/>
  <c r="N118" i="7"/>
  <c r="N126" i="7" s="1"/>
  <c r="P118" i="7"/>
  <c r="P126" i="7" s="1"/>
  <c r="Q118" i="7"/>
  <c r="S118" i="7"/>
  <c r="T118" i="7"/>
  <c r="T126" i="7" s="1"/>
  <c r="V118" i="7"/>
  <c r="V126" i="7" s="1"/>
  <c r="W118" i="7"/>
  <c r="W126" i="7" s="1"/>
  <c r="Y118" i="7"/>
  <c r="Z118" i="7"/>
  <c r="Z126" i="7" s="1"/>
  <c r="AB118" i="7"/>
  <c r="AB126" i="7" s="1"/>
  <c r="AC118" i="7"/>
  <c r="AE118" i="7"/>
  <c r="B119" i="7"/>
  <c r="B127" i="7" s="1"/>
  <c r="D119" i="7"/>
  <c r="D127" i="7" s="1"/>
  <c r="E119" i="7"/>
  <c r="G119" i="7"/>
  <c r="H119" i="7"/>
  <c r="H127" i="7" s="1"/>
  <c r="J119" i="7"/>
  <c r="J127" i="7" s="1"/>
  <c r="K119" i="7"/>
  <c r="M119" i="7"/>
  <c r="N119" i="7"/>
  <c r="N127" i="7" s="1"/>
  <c r="P119" i="7"/>
  <c r="P127" i="7" s="1"/>
  <c r="Q119" i="7"/>
  <c r="Q127" i="7" s="1"/>
  <c r="S119" i="7"/>
  <c r="T119" i="7"/>
  <c r="T127" i="7" s="1"/>
  <c r="V119" i="7"/>
  <c r="V127" i="7" s="1"/>
  <c r="W119" i="7"/>
  <c r="Y119" i="7"/>
  <c r="Z119" i="7"/>
  <c r="Z127" i="7" s="1"/>
  <c r="AB119" i="7"/>
  <c r="AB127" i="7" s="1"/>
  <c r="AC119" i="7"/>
  <c r="AE119" i="7"/>
  <c r="B120" i="7"/>
  <c r="B128" i="7" s="1"/>
  <c r="D120" i="7"/>
  <c r="D128" i="7" s="1"/>
  <c r="E120" i="7"/>
  <c r="G120" i="7"/>
  <c r="H120" i="7"/>
  <c r="H128" i="7" s="1"/>
  <c r="J120" i="7"/>
  <c r="J128" i="7" s="1"/>
  <c r="K120" i="7"/>
  <c r="K128" i="7" s="1"/>
  <c r="M120" i="7"/>
  <c r="N120" i="7"/>
  <c r="N128" i="7" s="1"/>
  <c r="P120" i="7"/>
  <c r="P128" i="7" s="1"/>
  <c r="Q120" i="7"/>
  <c r="S120" i="7"/>
  <c r="T120" i="7"/>
  <c r="T128" i="7" s="1"/>
  <c r="V120" i="7"/>
  <c r="W120" i="7"/>
  <c r="Y120" i="7"/>
  <c r="Z120" i="7"/>
  <c r="Z121" i="7" s="1"/>
  <c r="AB120" i="7"/>
  <c r="AB128" i="7" s="1"/>
  <c r="AC120" i="7"/>
  <c r="AE120" i="7"/>
  <c r="B121" i="7"/>
  <c r="G121" i="7"/>
  <c r="K121" i="7"/>
  <c r="K122" i="7" s="1"/>
  <c r="M121" i="7"/>
  <c r="S121" i="7"/>
  <c r="T121" i="7"/>
  <c r="Y121" i="7"/>
  <c r="AB121" i="7"/>
  <c r="AE121" i="7"/>
  <c r="E124" i="7"/>
  <c r="G124" i="7"/>
  <c r="H124" i="7"/>
  <c r="J124" i="7"/>
  <c r="M124" i="7"/>
  <c r="Q124" i="7"/>
  <c r="S124" i="7"/>
  <c r="T124" i="7"/>
  <c r="V124" i="7"/>
  <c r="Y124" i="7"/>
  <c r="AC124" i="7"/>
  <c r="AE124" i="7"/>
  <c r="B125" i="7"/>
  <c r="D125" i="7"/>
  <c r="G125" i="7"/>
  <c r="K125" i="7"/>
  <c r="M125" i="7"/>
  <c r="S125" i="7"/>
  <c r="W125" i="7"/>
  <c r="Y125" i="7"/>
  <c r="AE125" i="7"/>
  <c r="E126" i="7"/>
  <c r="G126" i="7"/>
  <c r="K126" i="7"/>
  <c r="M126" i="7"/>
  <c r="Q126" i="7"/>
  <c r="S126" i="7"/>
  <c r="Y126" i="7"/>
  <c r="AC126" i="7"/>
  <c r="AE126" i="7"/>
  <c r="E127" i="7"/>
  <c r="G127" i="7"/>
  <c r="K127" i="7"/>
  <c r="M127" i="7"/>
  <c r="S127" i="7"/>
  <c r="W127" i="7"/>
  <c r="Y127" i="7"/>
  <c r="AC127" i="7"/>
  <c r="AE127" i="7"/>
  <c r="E128" i="7"/>
  <c r="G128" i="7"/>
  <c r="M128" i="7"/>
  <c r="Q128" i="7"/>
  <c r="S128" i="7"/>
  <c r="W128" i="7"/>
  <c r="Y128" i="7"/>
  <c r="AC128" i="7"/>
  <c r="AE128" i="7"/>
  <c r="B131" i="7"/>
  <c r="D131" i="7"/>
  <c r="G131" i="7"/>
  <c r="H131" i="7"/>
  <c r="J131" i="7"/>
  <c r="M131" i="7"/>
  <c r="N131" i="7"/>
  <c r="P131" i="7"/>
  <c r="S131" i="7"/>
  <c r="T131" i="7"/>
  <c r="V131" i="7"/>
  <c r="Y131" i="7"/>
  <c r="Z131" i="7"/>
  <c r="AB131" i="7"/>
  <c r="AE131" i="7"/>
  <c r="D132" i="7"/>
  <c r="E132" i="7"/>
  <c r="G132" i="7"/>
  <c r="J132" i="7"/>
  <c r="K132" i="7"/>
  <c r="M132" i="7"/>
  <c r="N132" i="7"/>
  <c r="P132" i="7"/>
  <c r="Q132" i="7"/>
  <c r="V132" i="7"/>
  <c r="W132" i="7"/>
  <c r="Y132" i="7"/>
  <c r="Z132" i="7"/>
  <c r="AB132" i="7"/>
  <c r="AC132" i="7"/>
  <c r="B133" i="7"/>
  <c r="E133" i="7"/>
  <c r="G133" i="7"/>
  <c r="H133" i="7"/>
  <c r="J133" i="7"/>
  <c r="K133" i="7"/>
  <c r="P133" i="7"/>
  <c r="Q133" i="7"/>
  <c r="S133" i="7"/>
  <c r="T133" i="7"/>
  <c r="W133" i="7"/>
  <c r="Y133" i="7"/>
  <c r="AB133" i="7"/>
  <c r="AC133" i="7"/>
  <c r="AE133" i="7"/>
  <c r="B134" i="7"/>
  <c r="D134" i="7"/>
  <c r="E134" i="7"/>
  <c r="H134" i="7"/>
  <c r="K134" i="7"/>
  <c r="M134" i="7"/>
  <c r="N134" i="7"/>
  <c r="Q134" i="7"/>
  <c r="S134" i="7"/>
  <c r="T134" i="7"/>
  <c r="V134" i="7"/>
  <c r="W134" i="7"/>
  <c r="Y134" i="7"/>
  <c r="Z134" i="7"/>
  <c r="AC134" i="7"/>
  <c r="AE134" i="7"/>
  <c r="B135" i="7"/>
  <c r="D135" i="7"/>
  <c r="E135" i="7"/>
  <c r="G135" i="7"/>
  <c r="H135" i="7"/>
  <c r="J135" i="7"/>
  <c r="K135" i="7"/>
  <c r="M135" i="7"/>
  <c r="N135" i="7"/>
  <c r="P135" i="7"/>
  <c r="Q135" i="7"/>
  <c r="S135" i="7"/>
  <c r="T135" i="7"/>
  <c r="V135" i="7"/>
  <c r="W135" i="7"/>
  <c r="Z135" i="7"/>
  <c r="AB135" i="7"/>
  <c r="AC135" i="7"/>
  <c r="AE135" i="7"/>
  <c r="B137" i="7"/>
  <c r="D137" i="7"/>
  <c r="G137" i="7"/>
  <c r="H137" i="7"/>
  <c r="J137" i="7"/>
  <c r="M137" i="7"/>
  <c r="N137" i="7"/>
  <c r="P137" i="7"/>
  <c r="S137" i="7"/>
  <c r="T137" i="7"/>
  <c r="V137" i="7"/>
  <c r="Y137" i="7"/>
  <c r="Z137" i="7"/>
  <c r="AB137" i="7"/>
  <c r="AE137" i="7"/>
  <c r="D138" i="7"/>
  <c r="E138" i="7"/>
  <c r="G138" i="7"/>
  <c r="J138" i="7"/>
  <c r="K138" i="7"/>
  <c r="M138" i="7"/>
  <c r="N138" i="7"/>
  <c r="P138" i="7"/>
  <c r="Q138" i="7"/>
  <c r="V138" i="7"/>
  <c r="W138" i="7"/>
  <c r="Y138" i="7"/>
  <c r="Z138" i="7"/>
  <c r="AB138" i="7"/>
  <c r="AC138" i="7"/>
  <c r="B139" i="7"/>
  <c r="E139" i="7"/>
  <c r="G139" i="7"/>
  <c r="H139" i="7"/>
  <c r="J139" i="7"/>
  <c r="K139" i="7"/>
  <c r="P139" i="7"/>
  <c r="Q139" i="7"/>
  <c r="S139" i="7"/>
  <c r="T139" i="7"/>
  <c r="W139" i="7"/>
  <c r="Y139" i="7"/>
  <c r="AB139" i="7"/>
  <c r="AC139" i="7"/>
  <c r="AE139" i="7"/>
  <c r="B140" i="7"/>
  <c r="D140" i="7"/>
  <c r="E140" i="7"/>
  <c r="H140" i="7"/>
  <c r="K140" i="7"/>
  <c r="M140" i="7"/>
  <c r="N140" i="7"/>
  <c r="Q140" i="7"/>
  <c r="S140" i="7"/>
  <c r="T140" i="7"/>
  <c r="V140" i="7"/>
  <c r="W140" i="7"/>
  <c r="Y140" i="7"/>
  <c r="Z140" i="7"/>
  <c r="AC140" i="7"/>
  <c r="AE140" i="7"/>
  <c r="B141" i="7"/>
  <c r="D141" i="7"/>
  <c r="E141" i="7"/>
  <c r="G141" i="7"/>
  <c r="H141" i="7"/>
  <c r="J141" i="7"/>
  <c r="K141" i="7"/>
  <c r="M141" i="7"/>
  <c r="N141" i="7"/>
  <c r="P141" i="7"/>
  <c r="Q141" i="7"/>
  <c r="S141" i="7"/>
  <c r="T141" i="7"/>
  <c r="V141" i="7"/>
  <c r="W141" i="7"/>
  <c r="Z141" i="7"/>
  <c r="AB141" i="7"/>
  <c r="AC141" i="7"/>
  <c r="AE141" i="7"/>
  <c r="B143" i="7"/>
  <c r="D143" i="7"/>
  <c r="G143" i="7"/>
  <c r="H143" i="7"/>
  <c r="J143" i="7"/>
  <c r="M143" i="7"/>
  <c r="N143" i="7"/>
  <c r="P143" i="7"/>
  <c r="S143" i="7"/>
  <c r="T143" i="7"/>
  <c r="V143" i="7"/>
  <c r="Y143" i="7"/>
  <c r="Z143" i="7"/>
  <c r="AB143" i="7"/>
  <c r="AE143" i="7"/>
  <c r="D144" i="7"/>
  <c r="E144" i="7"/>
  <c r="G144" i="7"/>
  <c r="J144" i="7"/>
  <c r="K144" i="7"/>
  <c r="M144" i="7"/>
  <c r="N144" i="7"/>
  <c r="P144" i="7"/>
  <c r="Q144" i="7"/>
  <c r="V144" i="7"/>
  <c r="W144" i="7"/>
  <c r="Y144" i="7"/>
  <c r="Z144" i="7"/>
  <c r="AB144" i="7"/>
  <c r="AC144" i="7"/>
  <c r="B145" i="7"/>
  <c r="E145" i="7"/>
  <c r="G145" i="7"/>
  <c r="H145" i="7"/>
  <c r="J145" i="7"/>
  <c r="K145" i="7"/>
  <c r="P145" i="7"/>
  <c r="Q145" i="7"/>
  <c r="S145" i="7"/>
  <c r="T145" i="7"/>
  <c r="W145" i="7"/>
  <c r="Y145" i="7"/>
  <c r="AB145" i="7"/>
  <c r="AC145" i="7"/>
  <c r="AE145" i="7"/>
  <c r="B146" i="7"/>
  <c r="D146" i="7"/>
  <c r="E146" i="7"/>
  <c r="H146" i="7"/>
  <c r="K146" i="7"/>
  <c r="M146" i="7"/>
  <c r="N146" i="7"/>
  <c r="Q146" i="7"/>
  <c r="S146" i="7"/>
  <c r="T146" i="7"/>
  <c r="V146" i="7"/>
  <c r="W146" i="7"/>
  <c r="Y146" i="7"/>
  <c r="Z146" i="7"/>
  <c r="AC146" i="7"/>
  <c r="AE146" i="7"/>
  <c r="B147" i="7"/>
  <c r="D147" i="7"/>
  <c r="E147" i="7"/>
  <c r="G147" i="7"/>
  <c r="H147" i="7"/>
  <c r="J147" i="7"/>
  <c r="K147" i="7"/>
  <c r="M147" i="7"/>
  <c r="N147" i="7"/>
  <c r="P147" i="7"/>
  <c r="Q147" i="7"/>
  <c r="S147" i="7"/>
  <c r="T147" i="7"/>
  <c r="V147" i="7"/>
  <c r="W147" i="7"/>
  <c r="Z147" i="7"/>
  <c r="AB147" i="7"/>
  <c r="AC147" i="7"/>
  <c r="AE147" i="7"/>
  <c r="B149" i="7"/>
  <c r="D149" i="7"/>
  <c r="G149" i="7"/>
  <c r="H149" i="7"/>
  <c r="J149" i="7"/>
  <c r="M149" i="7"/>
  <c r="N149" i="7"/>
  <c r="P149" i="7"/>
  <c r="S149" i="7"/>
  <c r="T149" i="7"/>
  <c r="V149" i="7"/>
  <c r="Y149" i="7"/>
  <c r="Z149" i="7"/>
  <c r="AB149" i="7"/>
  <c r="AE149" i="7"/>
  <c r="B150" i="7"/>
  <c r="D150" i="7"/>
  <c r="E150" i="7"/>
  <c r="G150" i="7"/>
  <c r="H150" i="7"/>
  <c r="J150" i="7"/>
  <c r="K150" i="7"/>
  <c r="M150" i="7"/>
  <c r="N150" i="7"/>
  <c r="P150" i="7"/>
  <c r="Q150" i="7"/>
  <c r="S150" i="7"/>
  <c r="T150" i="7"/>
  <c r="V150" i="7"/>
  <c r="W150" i="7"/>
  <c r="Y150" i="7"/>
  <c r="Z150" i="7"/>
  <c r="AB150" i="7"/>
  <c r="AC150" i="7"/>
  <c r="AE150" i="7"/>
  <c r="B151" i="7"/>
  <c r="D151" i="7"/>
  <c r="E151" i="7"/>
  <c r="G151" i="7"/>
  <c r="H151" i="7"/>
  <c r="J151" i="7"/>
  <c r="K151" i="7"/>
  <c r="M151" i="7"/>
  <c r="N151" i="7"/>
  <c r="P151" i="7"/>
  <c r="Q151" i="7"/>
  <c r="S151" i="7"/>
  <c r="T151" i="7"/>
  <c r="W151" i="7"/>
  <c r="Y151" i="7"/>
  <c r="Z151" i="7"/>
  <c r="AB151" i="7"/>
  <c r="AC151" i="7"/>
  <c r="AE151" i="7"/>
  <c r="B152" i="7"/>
  <c r="D152" i="7"/>
  <c r="E152" i="7"/>
  <c r="G152" i="7"/>
  <c r="H152" i="7"/>
  <c r="J152" i="7"/>
  <c r="K152" i="7"/>
  <c r="M152" i="7"/>
  <c r="N152" i="7"/>
  <c r="Q152" i="7"/>
  <c r="S152" i="7"/>
  <c r="T152" i="7"/>
  <c r="V152" i="7"/>
  <c r="W152" i="7"/>
  <c r="Y152" i="7"/>
  <c r="Z152" i="7"/>
  <c r="AC152" i="7"/>
  <c r="AE152" i="7"/>
  <c r="B153" i="7"/>
  <c r="D153" i="7"/>
  <c r="E153" i="7"/>
  <c r="G153" i="7"/>
  <c r="H153" i="7"/>
  <c r="I156" i="7" s="1"/>
  <c r="J153" i="7"/>
  <c r="K153" i="7"/>
  <c r="M153" i="7"/>
  <c r="N153" i="7"/>
  <c r="P153" i="7"/>
  <c r="Q153" i="7"/>
  <c r="S153" i="7"/>
  <c r="T153" i="7"/>
  <c r="V153" i="7"/>
  <c r="W153" i="7"/>
  <c r="Y153" i="7"/>
  <c r="Z153" i="7"/>
  <c r="AB153" i="7"/>
  <c r="AC153" i="7"/>
  <c r="AE153" i="7"/>
  <c r="AF153" i="7"/>
  <c r="B157" i="7"/>
  <c r="D157" i="7"/>
  <c r="G157" i="7"/>
  <c r="H157" i="7"/>
  <c r="J157" i="7"/>
  <c r="M157" i="7"/>
  <c r="N157" i="7"/>
  <c r="P157" i="7"/>
  <c r="S157" i="7"/>
  <c r="T157" i="7"/>
  <c r="V157" i="7"/>
  <c r="Y157" i="7"/>
  <c r="Z157" i="7"/>
  <c r="AB157" i="7"/>
  <c r="AE157" i="7"/>
  <c r="D158" i="7"/>
  <c r="E158" i="7"/>
  <c r="G158" i="7"/>
  <c r="J158" i="7"/>
  <c r="K158" i="7"/>
  <c r="M158" i="7"/>
  <c r="N158" i="7"/>
  <c r="P158" i="7"/>
  <c r="Q158" i="7"/>
  <c r="V158" i="7"/>
  <c r="W158" i="7"/>
  <c r="Y158" i="7"/>
  <c r="Z158" i="7"/>
  <c r="AB158" i="7"/>
  <c r="AC158" i="7"/>
  <c r="B159" i="7"/>
  <c r="E159" i="7"/>
  <c r="G159" i="7"/>
  <c r="H159" i="7"/>
  <c r="J159" i="7"/>
  <c r="K159" i="7"/>
  <c r="P159" i="7"/>
  <c r="Q159" i="7"/>
  <c r="S159" i="7"/>
  <c r="T159" i="7"/>
  <c r="W159" i="7"/>
  <c r="Y159" i="7"/>
  <c r="AB159" i="7"/>
  <c r="AC159" i="7"/>
  <c r="AE159" i="7"/>
  <c r="B160" i="7"/>
  <c r="D160" i="7"/>
  <c r="E160" i="7"/>
  <c r="H160" i="7"/>
  <c r="K160" i="7"/>
  <c r="M160" i="7"/>
  <c r="N160" i="7"/>
  <c r="Q160" i="7"/>
  <c r="S160" i="7"/>
  <c r="T160" i="7"/>
  <c r="V160" i="7"/>
  <c r="W160" i="7"/>
  <c r="Y160" i="7"/>
  <c r="Z160" i="7"/>
  <c r="AC160" i="7"/>
  <c r="AE160" i="7"/>
  <c r="B161" i="7"/>
  <c r="D161" i="7"/>
  <c r="E161" i="7"/>
  <c r="G161" i="7"/>
  <c r="H161" i="7"/>
  <c r="J161" i="7"/>
  <c r="K161" i="7"/>
  <c r="M161" i="7"/>
  <c r="N161" i="7"/>
  <c r="P161" i="7"/>
  <c r="Q161" i="7"/>
  <c r="S161" i="7"/>
  <c r="T161" i="7"/>
  <c r="V161" i="7"/>
  <c r="W161" i="7"/>
  <c r="Z161" i="7"/>
  <c r="AB161" i="7"/>
  <c r="AC161" i="7"/>
  <c r="AE161" i="7"/>
  <c r="B164" i="7"/>
  <c r="AT164" i="7"/>
  <c r="B165" i="7"/>
  <c r="AT165" i="7"/>
  <c r="B166" i="7"/>
  <c r="AT166" i="7" s="1"/>
  <c r="B167" i="7"/>
  <c r="B168" i="7"/>
  <c r="C168" i="7" s="1"/>
  <c r="D168" i="7" s="1"/>
  <c r="AT168" i="7"/>
  <c r="A174" i="7"/>
  <c r="B179" i="7"/>
  <c r="H179" i="7"/>
  <c r="K210" i="7" s="1"/>
  <c r="L179" i="7"/>
  <c r="B212" i="7" s="1"/>
  <c r="R179" i="7"/>
  <c r="V179" i="7"/>
  <c r="X210" i="7" s="1"/>
  <c r="W227" i="7" s="1"/>
  <c r="AB179" i="7"/>
  <c r="AF179" i="7"/>
  <c r="X212" i="7" s="1"/>
  <c r="AL179" i="7"/>
  <c r="AG212" i="7" s="1"/>
  <c r="B180" i="7"/>
  <c r="H180" i="7"/>
  <c r="K211" i="7" s="1"/>
  <c r="L180" i="7"/>
  <c r="B213" i="7" s="1"/>
  <c r="R180" i="7"/>
  <c r="K213" i="7" s="1"/>
  <c r="V180" i="7"/>
  <c r="X211" i="7" s="1"/>
  <c r="AB180" i="7"/>
  <c r="AF180" i="7"/>
  <c r="X213" i="7" s="1"/>
  <c r="AL180" i="7"/>
  <c r="A199" i="7"/>
  <c r="B210" i="7"/>
  <c r="A190" i="7" s="1"/>
  <c r="AG210" i="7"/>
  <c r="B211" i="7"/>
  <c r="AG211" i="7"/>
  <c r="K212" i="7"/>
  <c r="AG213" i="7"/>
  <c r="B219" i="7"/>
  <c r="D219" i="7"/>
  <c r="E219" i="7"/>
  <c r="G219" i="7"/>
  <c r="H219" i="7"/>
  <c r="J219" i="7"/>
  <c r="W219" i="7"/>
  <c r="Y219" i="7"/>
  <c r="Z219" i="7"/>
  <c r="AB219" i="7"/>
  <c r="AC219" i="7"/>
  <c r="AE219" i="7"/>
  <c r="B220" i="7"/>
  <c r="D220" i="7"/>
  <c r="E220" i="7"/>
  <c r="E222" i="7" s="1"/>
  <c r="G220" i="7"/>
  <c r="H220" i="7"/>
  <c r="H222" i="7" s="1"/>
  <c r="J220" i="7"/>
  <c r="W220" i="7"/>
  <c r="Y220" i="7"/>
  <c r="Y222" i="7" s="1"/>
  <c r="Z220" i="7"/>
  <c r="AB220" i="7"/>
  <c r="AC220" i="7"/>
  <c r="AC222" i="7" s="1"/>
  <c r="AE220" i="7"/>
  <c r="B221" i="7"/>
  <c r="D221" i="7"/>
  <c r="E221" i="7"/>
  <c r="G221" i="7"/>
  <c r="H221" i="7"/>
  <c r="J221" i="7"/>
  <c r="W221" i="7"/>
  <c r="Y221" i="7"/>
  <c r="Z221" i="7"/>
  <c r="AB221" i="7"/>
  <c r="AC221" i="7"/>
  <c r="AE221" i="7"/>
  <c r="D222" i="7"/>
  <c r="AB222" i="7"/>
  <c r="B227" i="7"/>
  <c r="AT226" i="7" s="1"/>
  <c r="B228" i="7"/>
  <c r="AT227" i="7" s="1"/>
  <c r="K6" i="6"/>
  <c r="L7" i="6"/>
  <c r="R7" i="6"/>
  <c r="A8" i="6"/>
  <c r="E8" i="6"/>
  <c r="E9" i="6"/>
  <c r="A10" i="6"/>
  <c r="E10" i="6"/>
  <c r="E11" i="6"/>
  <c r="A12" i="6"/>
  <c r="E12" i="6"/>
  <c r="E13" i="6"/>
  <c r="A14" i="6"/>
  <c r="E14" i="6"/>
  <c r="E15" i="6"/>
  <c r="A16" i="6"/>
  <c r="E16" i="6"/>
  <c r="E17" i="6"/>
  <c r="E22" i="6"/>
  <c r="H22" i="6"/>
  <c r="K22" i="6"/>
  <c r="N22" i="6"/>
  <c r="Q22" i="6"/>
  <c r="T22" i="6"/>
  <c r="W22" i="6"/>
  <c r="Z22" i="6"/>
  <c r="AC22" i="6"/>
  <c r="F24" i="6"/>
  <c r="I24" i="6"/>
  <c r="L24" i="6"/>
  <c r="O24" i="6"/>
  <c r="R24" i="6"/>
  <c r="U24" i="6"/>
  <c r="X24" i="6"/>
  <c r="AA24" i="6"/>
  <c r="AD24" i="6"/>
  <c r="AF24" i="6"/>
  <c r="AG24" i="6"/>
  <c r="AI24" i="6"/>
  <c r="AJ24" i="6"/>
  <c r="AL24" i="6"/>
  <c r="AM24" i="6"/>
  <c r="AO24" i="6"/>
  <c r="F25" i="6"/>
  <c r="I25" i="6"/>
  <c r="L25" i="6"/>
  <c r="O25" i="6"/>
  <c r="R25" i="6"/>
  <c r="U25" i="6"/>
  <c r="X25" i="6"/>
  <c r="AA25" i="6"/>
  <c r="AD25" i="6"/>
  <c r="AF25" i="6"/>
  <c r="AH25" i="6"/>
  <c r="AI25" i="6"/>
  <c r="AK25" i="6"/>
  <c r="AL25" i="6"/>
  <c r="AN25" i="6"/>
  <c r="AO25" i="6"/>
  <c r="A26" i="6"/>
  <c r="F26" i="6"/>
  <c r="I26" i="6"/>
  <c r="L26" i="6"/>
  <c r="O26" i="6"/>
  <c r="R26" i="6"/>
  <c r="U26" i="6"/>
  <c r="X26" i="6"/>
  <c r="AA26" i="6"/>
  <c r="AD26" i="6"/>
  <c r="AF26" i="6"/>
  <c r="AG26" i="6"/>
  <c r="AH26" i="6"/>
  <c r="AJ26" i="6"/>
  <c r="AL26" i="6"/>
  <c r="AN26" i="6"/>
  <c r="AP26" i="6"/>
  <c r="A27" i="6"/>
  <c r="F27" i="6"/>
  <c r="I27" i="6"/>
  <c r="L27" i="6"/>
  <c r="O27" i="6"/>
  <c r="R27" i="6"/>
  <c r="U27" i="6"/>
  <c r="X27" i="6"/>
  <c r="AA27" i="6"/>
  <c r="AD27" i="6"/>
  <c r="AF27" i="6"/>
  <c r="AG27" i="6"/>
  <c r="AI27" i="6"/>
  <c r="AK27" i="6"/>
  <c r="AM27" i="6"/>
  <c r="AN27" i="6"/>
  <c r="AP27" i="6"/>
  <c r="A28" i="6"/>
  <c r="F28" i="6"/>
  <c r="I28" i="6"/>
  <c r="L28" i="6"/>
  <c r="O28" i="6"/>
  <c r="R28" i="6"/>
  <c r="U28" i="6"/>
  <c r="X28" i="6"/>
  <c r="AA28" i="6"/>
  <c r="AD28" i="6"/>
  <c r="AF28" i="6"/>
  <c r="AH28" i="6"/>
  <c r="AJ28" i="6"/>
  <c r="AK28" i="6"/>
  <c r="AM28" i="6"/>
  <c r="AO28" i="6"/>
  <c r="AP28" i="6"/>
  <c r="A29" i="6"/>
  <c r="F29" i="6"/>
  <c r="I29" i="6"/>
  <c r="L29" i="6"/>
  <c r="O29" i="6"/>
  <c r="R29" i="6"/>
  <c r="U29" i="6"/>
  <c r="X29" i="6"/>
  <c r="AA29" i="6"/>
  <c r="AD29" i="6"/>
  <c r="B30" i="6"/>
  <c r="D30" i="6"/>
  <c r="E30" i="6"/>
  <c r="G30" i="6"/>
  <c r="AH27" i="6" s="1"/>
  <c r="H30" i="6"/>
  <c r="AI26" i="6" s="1"/>
  <c r="J30" i="6"/>
  <c r="AI28" i="6" s="1"/>
  <c r="K30" i="6"/>
  <c r="M30" i="6"/>
  <c r="AJ27" i="6" s="1"/>
  <c r="N30" i="6"/>
  <c r="AK24" i="6" s="1"/>
  <c r="P30" i="6"/>
  <c r="Q30" i="6"/>
  <c r="S30" i="6"/>
  <c r="AL28" i="6" s="1"/>
  <c r="T30" i="6"/>
  <c r="AM25" i="6" s="1"/>
  <c r="V30" i="6"/>
  <c r="AM26" i="6" s="1"/>
  <c r="W30" i="6"/>
  <c r="Y30" i="6"/>
  <c r="AN28" i="6" s="1"/>
  <c r="Z30" i="6"/>
  <c r="AO26" i="6" s="1"/>
  <c r="AB30" i="6"/>
  <c r="AC30" i="6"/>
  <c r="AE30" i="6"/>
  <c r="AP25" i="6" s="1"/>
  <c r="B31" i="6"/>
  <c r="D31" i="6"/>
  <c r="D36" i="6" s="1"/>
  <c r="D37" i="6" s="1"/>
  <c r="D50" i="6" s="1"/>
  <c r="E31" i="6"/>
  <c r="E39" i="6" s="1"/>
  <c r="G31" i="6"/>
  <c r="G39" i="6" s="1"/>
  <c r="H31" i="6"/>
  <c r="H36" i="6" s="1"/>
  <c r="J31" i="6"/>
  <c r="K31" i="6"/>
  <c r="K39" i="6" s="1"/>
  <c r="M31" i="6"/>
  <c r="N31" i="6"/>
  <c r="P31" i="6"/>
  <c r="P39" i="6" s="1"/>
  <c r="Q31" i="6"/>
  <c r="Q39" i="6" s="1"/>
  <c r="S31" i="6"/>
  <c r="S39" i="6" s="1"/>
  <c r="T31" i="6"/>
  <c r="T36" i="6" s="1"/>
  <c r="V31" i="6"/>
  <c r="W31" i="6"/>
  <c r="W39" i="6" s="1"/>
  <c r="Y31" i="6"/>
  <c r="Z31" i="6"/>
  <c r="AB31" i="6"/>
  <c r="AB39" i="6" s="1"/>
  <c r="AC31" i="6"/>
  <c r="AC39" i="6" s="1"/>
  <c r="AE31" i="6"/>
  <c r="AE39" i="6" s="1"/>
  <c r="B32" i="6"/>
  <c r="B65" i="6" s="1"/>
  <c r="D32" i="6"/>
  <c r="E32" i="6"/>
  <c r="E40" i="6" s="1"/>
  <c r="G32" i="6"/>
  <c r="H32" i="6"/>
  <c r="J32" i="6"/>
  <c r="J40" i="6" s="1"/>
  <c r="K32" i="6"/>
  <c r="K40" i="6" s="1"/>
  <c r="M32" i="6"/>
  <c r="M40" i="6" s="1"/>
  <c r="N32" i="6"/>
  <c r="N36" i="6" s="1"/>
  <c r="P32" i="6"/>
  <c r="Q32" i="6"/>
  <c r="Q40" i="6" s="1"/>
  <c r="S32" i="6"/>
  <c r="T32" i="6"/>
  <c r="V32" i="6"/>
  <c r="V40" i="6" s="1"/>
  <c r="W32" i="6"/>
  <c r="W40" i="6" s="1"/>
  <c r="Y32" i="6"/>
  <c r="Y40" i="6" s="1"/>
  <c r="Z32" i="6"/>
  <c r="Z66" i="6" s="1"/>
  <c r="AB32" i="6"/>
  <c r="AC32" i="6"/>
  <c r="AC40" i="6" s="1"/>
  <c r="AE32" i="6"/>
  <c r="B33" i="6"/>
  <c r="D33" i="6"/>
  <c r="D41" i="6" s="1"/>
  <c r="E33" i="6"/>
  <c r="E41" i="6" s="1"/>
  <c r="G33" i="6"/>
  <c r="G41" i="6" s="1"/>
  <c r="H33" i="6"/>
  <c r="H41" i="6" s="1"/>
  <c r="J33" i="6"/>
  <c r="K33" i="6"/>
  <c r="K41" i="6" s="1"/>
  <c r="M33" i="6"/>
  <c r="N33" i="6"/>
  <c r="P33" i="6"/>
  <c r="P41" i="6" s="1"/>
  <c r="Q33" i="6"/>
  <c r="Q41" i="6" s="1"/>
  <c r="S33" i="6"/>
  <c r="S41" i="6" s="1"/>
  <c r="T33" i="6"/>
  <c r="T41" i="6" s="1"/>
  <c r="V33" i="6"/>
  <c r="W33" i="6"/>
  <c r="W41" i="6" s="1"/>
  <c r="Y33" i="6"/>
  <c r="Z33" i="6"/>
  <c r="AB33" i="6"/>
  <c r="AC33" i="6"/>
  <c r="AC41" i="6" s="1"/>
  <c r="AE33" i="6"/>
  <c r="AE41" i="6" s="1"/>
  <c r="B34" i="6"/>
  <c r="B42" i="6" s="1"/>
  <c r="D34" i="6"/>
  <c r="E34" i="6"/>
  <c r="E42" i="6" s="1"/>
  <c r="G34" i="6"/>
  <c r="H34" i="6"/>
  <c r="J34" i="6"/>
  <c r="K34" i="6"/>
  <c r="K42" i="6" s="1"/>
  <c r="M34" i="6"/>
  <c r="M42" i="6" s="1"/>
  <c r="N34" i="6"/>
  <c r="N42" i="6" s="1"/>
  <c r="P34" i="6"/>
  <c r="Q34" i="6"/>
  <c r="Q42" i="6" s="1"/>
  <c r="S34" i="6"/>
  <c r="S42" i="6" s="1"/>
  <c r="T34" i="6"/>
  <c r="V34" i="6"/>
  <c r="V42" i="6" s="1"/>
  <c r="W34" i="6"/>
  <c r="W42" i="6" s="1"/>
  <c r="Y34" i="6"/>
  <c r="Y42" i="6" s="1"/>
  <c r="Z34" i="6"/>
  <c r="Z42" i="6" s="1"/>
  <c r="AB34" i="6"/>
  <c r="AB42" i="6" s="1"/>
  <c r="AC34" i="6"/>
  <c r="AC42" i="6" s="1"/>
  <c r="AE34" i="6"/>
  <c r="B35" i="6"/>
  <c r="D35" i="6"/>
  <c r="E35" i="6"/>
  <c r="E43" i="6" s="1"/>
  <c r="G35" i="6"/>
  <c r="G43" i="6" s="1"/>
  <c r="H35" i="6"/>
  <c r="H43" i="6" s="1"/>
  <c r="J35" i="6"/>
  <c r="K35" i="6"/>
  <c r="K43" i="6" s="1"/>
  <c r="M35" i="6"/>
  <c r="N35" i="6"/>
  <c r="P35" i="6"/>
  <c r="P43" i="6" s="1"/>
  <c r="Q35" i="6"/>
  <c r="Q43" i="6" s="1"/>
  <c r="S35" i="6"/>
  <c r="S43" i="6" s="1"/>
  <c r="T35" i="6"/>
  <c r="T43" i="6" s="1"/>
  <c r="V35" i="6"/>
  <c r="V43" i="6" s="1"/>
  <c r="W35" i="6"/>
  <c r="W43" i="6" s="1"/>
  <c r="Y35" i="6"/>
  <c r="Z35" i="6"/>
  <c r="AB35" i="6"/>
  <c r="AB43" i="6" s="1"/>
  <c r="AC35" i="6"/>
  <c r="AC43" i="6" s="1"/>
  <c r="AE35" i="6"/>
  <c r="AE43" i="6" s="1"/>
  <c r="B36" i="6"/>
  <c r="E36" i="6"/>
  <c r="P36" i="6"/>
  <c r="Q36" i="6"/>
  <c r="Z36" i="6"/>
  <c r="B39" i="6"/>
  <c r="D39" i="6"/>
  <c r="J39" i="6"/>
  <c r="M39" i="6"/>
  <c r="N39" i="6"/>
  <c r="V39" i="6"/>
  <c r="Y39" i="6"/>
  <c r="Z39" i="6"/>
  <c r="B40" i="6"/>
  <c r="D40" i="6"/>
  <c r="G40" i="6"/>
  <c r="H40" i="6"/>
  <c r="P40" i="6"/>
  <c r="S40" i="6"/>
  <c r="T40" i="6"/>
  <c r="AB40" i="6"/>
  <c r="AE40" i="6"/>
  <c r="B41" i="6"/>
  <c r="J41" i="6"/>
  <c r="M41" i="6"/>
  <c r="N41" i="6"/>
  <c r="V41" i="6"/>
  <c r="Y41" i="6"/>
  <c r="Z41" i="6"/>
  <c r="AB41" i="6"/>
  <c r="D42" i="6"/>
  <c r="G42" i="6"/>
  <c r="H42" i="6"/>
  <c r="J42" i="6"/>
  <c r="P42" i="6"/>
  <c r="T42" i="6"/>
  <c r="AE42" i="6"/>
  <c r="B43" i="6"/>
  <c r="D43" i="6"/>
  <c r="J43" i="6"/>
  <c r="M43" i="6"/>
  <c r="N43" i="6"/>
  <c r="Y43" i="6"/>
  <c r="Z43" i="6"/>
  <c r="B46" i="6"/>
  <c r="D46" i="6"/>
  <c r="G46" i="6"/>
  <c r="H46" i="6"/>
  <c r="J46" i="6"/>
  <c r="K46" i="6"/>
  <c r="M46" i="6"/>
  <c r="P46" i="6"/>
  <c r="Q46" i="6"/>
  <c r="S46" i="6"/>
  <c r="T46" i="6"/>
  <c r="V46" i="6"/>
  <c r="Y46" i="6"/>
  <c r="Z46" i="6"/>
  <c r="AB46" i="6"/>
  <c r="AE46" i="6"/>
  <c r="D47" i="6"/>
  <c r="E47" i="6"/>
  <c r="G47" i="6"/>
  <c r="H47" i="6"/>
  <c r="J47" i="6"/>
  <c r="M47" i="6"/>
  <c r="N47" i="6"/>
  <c r="P47" i="6"/>
  <c r="Q47" i="6"/>
  <c r="S47" i="6"/>
  <c r="V47" i="6"/>
  <c r="W47" i="6"/>
  <c r="Y47" i="6"/>
  <c r="Z47" i="6"/>
  <c r="AB47" i="6"/>
  <c r="AC47" i="6"/>
  <c r="B48" i="6"/>
  <c r="D48" i="6"/>
  <c r="E48" i="6"/>
  <c r="G48" i="6"/>
  <c r="J48" i="6"/>
  <c r="K48" i="6"/>
  <c r="M48" i="6"/>
  <c r="N48" i="6"/>
  <c r="Q48" i="6"/>
  <c r="S48" i="6"/>
  <c r="T48" i="6"/>
  <c r="W48" i="6"/>
  <c r="Y48" i="6"/>
  <c r="AB48" i="6"/>
  <c r="AC48" i="6"/>
  <c r="AE48" i="6"/>
  <c r="B49" i="6"/>
  <c r="D49" i="6"/>
  <c r="E49" i="6"/>
  <c r="H49" i="6"/>
  <c r="J49" i="6"/>
  <c r="K49" i="6"/>
  <c r="N49" i="6"/>
  <c r="P49" i="6"/>
  <c r="S49" i="6"/>
  <c r="T49" i="6"/>
  <c r="V49" i="6"/>
  <c r="W49" i="6"/>
  <c r="Y49" i="6"/>
  <c r="Z49" i="6"/>
  <c r="AC49" i="6"/>
  <c r="AE49" i="6"/>
  <c r="B50" i="6"/>
  <c r="E50" i="6"/>
  <c r="G50" i="6"/>
  <c r="H50" i="6"/>
  <c r="K50" i="6"/>
  <c r="M50" i="6"/>
  <c r="N50" i="6"/>
  <c r="P50" i="6"/>
  <c r="Q50" i="6"/>
  <c r="T50" i="6"/>
  <c r="V50" i="6"/>
  <c r="W50" i="6"/>
  <c r="Z50" i="6"/>
  <c r="AB50" i="6"/>
  <c r="AC50" i="6"/>
  <c r="AE50" i="6"/>
  <c r="B52" i="6"/>
  <c r="D52" i="6"/>
  <c r="G52" i="6"/>
  <c r="H52" i="6"/>
  <c r="J52" i="6"/>
  <c r="K52" i="6"/>
  <c r="M52" i="6"/>
  <c r="P52" i="6"/>
  <c r="Q52" i="6"/>
  <c r="S52" i="6"/>
  <c r="T52" i="6"/>
  <c r="V52" i="6"/>
  <c r="Y52" i="6"/>
  <c r="Z52" i="6"/>
  <c r="AB52" i="6"/>
  <c r="AE52" i="6"/>
  <c r="D53" i="6"/>
  <c r="E53" i="6"/>
  <c r="G53" i="6"/>
  <c r="H53" i="6"/>
  <c r="J53" i="6"/>
  <c r="M53" i="6"/>
  <c r="N53" i="6"/>
  <c r="P53" i="6"/>
  <c r="Q53" i="6"/>
  <c r="S53" i="6"/>
  <c r="V53" i="6"/>
  <c r="W53" i="6"/>
  <c r="Y53" i="6"/>
  <c r="Z53" i="6"/>
  <c r="AB53" i="6"/>
  <c r="AC53" i="6"/>
  <c r="B54" i="6"/>
  <c r="D54" i="6"/>
  <c r="E54" i="6"/>
  <c r="G54" i="6"/>
  <c r="J54" i="6"/>
  <c r="K54" i="6"/>
  <c r="M54" i="6"/>
  <c r="N54" i="6"/>
  <c r="Q54" i="6"/>
  <c r="S54" i="6"/>
  <c r="T54" i="6"/>
  <c r="W54" i="6"/>
  <c r="Y54" i="6"/>
  <c r="AB54" i="6"/>
  <c r="AC54" i="6"/>
  <c r="AE54" i="6"/>
  <c r="B55" i="6"/>
  <c r="D55" i="6"/>
  <c r="E55" i="6"/>
  <c r="H55" i="6"/>
  <c r="J55" i="6"/>
  <c r="K55" i="6"/>
  <c r="N55" i="6"/>
  <c r="P55" i="6"/>
  <c r="S55" i="6"/>
  <c r="T55" i="6"/>
  <c r="V55" i="6"/>
  <c r="W55" i="6"/>
  <c r="Y55" i="6"/>
  <c r="Z55" i="6"/>
  <c r="AC55" i="6"/>
  <c r="AE55" i="6"/>
  <c r="B56" i="6"/>
  <c r="E56" i="6"/>
  <c r="G56" i="6"/>
  <c r="H56" i="6"/>
  <c r="K56" i="6"/>
  <c r="M56" i="6"/>
  <c r="N56" i="6"/>
  <c r="P56" i="6"/>
  <c r="Q56" i="6"/>
  <c r="T56" i="6"/>
  <c r="V56" i="6"/>
  <c r="W56" i="6"/>
  <c r="Z56" i="6"/>
  <c r="AB56" i="6"/>
  <c r="AC56" i="6"/>
  <c r="AE56" i="6"/>
  <c r="B58" i="6"/>
  <c r="D58" i="6"/>
  <c r="G58" i="6"/>
  <c r="H58" i="6"/>
  <c r="J58" i="6"/>
  <c r="K58" i="6"/>
  <c r="M58" i="6"/>
  <c r="P58" i="6"/>
  <c r="Q58" i="6"/>
  <c r="S58" i="6"/>
  <c r="T58" i="6"/>
  <c r="V58" i="6"/>
  <c r="Y58" i="6"/>
  <c r="Z58" i="6"/>
  <c r="AB58" i="6"/>
  <c r="AE58" i="6"/>
  <c r="D59" i="6"/>
  <c r="E59" i="6"/>
  <c r="G59" i="6"/>
  <c r="H59" i="6"/>
  <c r="J59" i="6"/>
  <c r="M59" i="6"/>
  <c r="N59" i="6"/>
  <c r="P59" i="6"/>
  <c r="Q59" i="6"/>
  <c r="S59" i="6"/>
  <c r="V59" i="6"/>
  <c r="W59" i="6"/>
  <c r="Y59" i="6"/>
  <c r="Z59" i="6"/>
  <c r="AB59" i="6"/>
  <c r="AC59" i="6"/>
  <c r="B60" i="6"/>
  <c r="D60" i="6"/>
  <c r="E60" i="6"/>
  <c r="G60" i="6"/>
  <c r="J60" i="6"/>
  <c r="K60" i="6"/>
  <c r="M60" i="6"/>
  <c r="N60" i="6"/>
  <c r="Q60" i="6"/>
  <c r="S60" i="6"/>
  <c r="T60" i="6"/>
  <c r="W60" i="6"/>
  <c r="Y60" i="6"/>
  <c r="AB60" i="6"/>
  <c r="AC60" i="6"/>
  <c r="AE60" i="6"/>
  <c r="B61" i="6"/>
  <c r="D61" i="6"/>
  <c r="E61" i="6"/>
  <c r="H61" i="6"/>
  <c r="J61" i="6"/>
  <c r="K61" i="6"/>
  <c r="N61" i="6"/>
  <c r="P61" i="6"/>
  <c r="S61" i="6"/>
  <c r="T61" i="6"/>
  <c r="V61" i="6"/>
  <c r="W61" i="6"/>
  <c r="Y61" i="6"/>
  <c r="Z61" i="6"/>
  <c r="AC61" i="6"/>
  <c r="AE61" i="6"/>
  <c r="B62" i="6"/>
  <c r="E62" i="6"/>
  <c r="G62" i="6"/>
  <c r="H62" i="6"/>
  <c r="K62" i="6"/>
  <c r="M62" i="6"/>
  <c r="N62" i="6"/>
  <c r="P62" i="6"/>
  <c r="Q62" i="6"/>
  <c r="T62" i="6"/>
  <c r="V62" i="6"/>
  <c r="W62" i="6"/>
  <c r="Z62" i="6"/>
  <c r="AB62" i="6"/>
  <c r="AC62" i="6"/>
  <c r="AE62" i="6"/>
  <c r="B64" i="6"/>
  <c r="D64" i="6"/>
  <c r="E64" i="6"/>
  <c r="G64" i="6"/>
  <c r="H64" i="6"/>
  <c r="J64" i="6"/>
  <c r="K64" i="6"/>
  <c r="M64" i="6"/>
  <c r="N64" i="6"/>
  <c r="P64" i="6"/>
  <c r="Q64" i="6"/>
  <c r="S64" i="6"/>
  <c r="T64" i="6"/>
  <c r="V64" i="6"/>
  <c r="W64" i="6"/>
  <c r="Y64" i="6"/>
  <c r="Z64" i="6"/>
  <c r="AB64" i="6"/>
  <c r="AC64" i="6"/>
  <c r="AE64" i="6"/>
  <c r="D65" i="6"/>
  <c r="E65" i="6"/>
  <c r="G65" i="6"/>
  <c r="H65" i="6"/>
  <c r="J65" i="6"/>
  <c r="M65" i="6"/>
  <c r="N65" i="6"/>
  <c r="P65" i="6"/>
  <c r="Q65" i="6"/>
  <c r="S65" i="6"/>
  <c r="V65" i="6"/>
  <c r="W65" i="6"/>
  <c r="Y65" i="6"/>
  <c r="Z65" i="6"/>
  <c r="AB65" i="6"/>
  <c r="AC65" i="6"/>
  <c r="AE65" i="6"/>
  <c r="B66" i="6"/>
  <c r="D66" i="6"/>
  <c r="E66" i="6"/>
  <c r="G66" i="6"/>
  <c r="J66" i="6"/>
  <c r="K66" i="6"/>
  <c r="M66" i="6"/>
  <c r="N66" i="6"/>
  <c r="P66" i="6"/>
  <c r="O71" i="6" s="1"/>
  <c r="Q66" i="6"/>
  <c r="S66" i="6"/>
  <c r="T66" i="6"/>
  <c r="W66" i="6"/>
  <c r="Y66" i="6"/>
  <c r="AB66" i="6"/>
  <c r="AC66" i="6"/>
  <c r="AE66" i="6"/>
  <c r="B67" i="6"/>
  <c r="D67" i="6"/>
  <c r="E67" i="6"/>
  <c r="G67" i="6"/>
  <c r="H67" i="6"/>
  <c r="J67" i="6"/>
  <c r="K67" i="6"/>
  <c r="M67" i="6"/>
  <c r="N67" i="6"/>
  <c r="P67" i="6"/>
  <c r="S67" i="6"/>
  <c r="T67" i="6"/>
  <c r="V67" i="6"/>
  <c r="W67" i="6"/>
  <c r="Y67" i="6"/>
  <c r="Z67" i="6"/>
  <c r="AC67" i="6"/>
  <c r="AE67" i="6"/>
  <c r="B68" i="6"/>
  <c r="D68" i="6"/>
  <c r="E68" i="6"/>
  <c r="G68" i="6"/>
  <c r="H68" i="6"/>
  <c r="K68" i="6"/>
  <c r="M68" i="6"/>
  <c r="N68" i="6"/>
  <c r="P68" i="6"/>
  <c r="Q68" i="6"/>
  <c r="S68" i="6"/>
  <c r="T68" i="6"/>
  <c r="V68" i="6"/>
  <c r="W68" i="6"/>
  <c r="Y68" i="6"/>
  <c r="Z68" i="6"/>
  <c r="AB68" i="6"/>
  <c r="AC68" i="6"/>
  <c r="AE68" i="6"/>
  <c r="B72" i="6"/>
  <c r="D72" i="6"/>
  <c r="G72" i="6"/>
  <c r="H72" i="6"/>
  <c r="J72" i="6"/>
  <c r="K72" i="6"/>
  <c r="M72" i="6"/>
  <c r="P72" i="6"/>
  <c r="Q72" i="6"/>
  <c r="S72" i="6"/>
  <c r="T72" i="6"/>
  <c r="V72" i="6"/>
  <c r="Y72" i="6"/>
  <c r="Z72" i="6"/>
  <c r="AB72" i="6"/>
  <c r="AE72" i="6"/>
  <c r="D73" i="6"/>
  <c r="E73" i="6"/>
  <c r="G73" i="6"/>
  <c r="H73" i="6"/>
  <c r="J73" i="6"/>
  <c r="M73" i="6"/>
  <c r="N73" i="6"/>
  <c r="P73" i="6"/>
  <c r="Q73" i="6"/>
  <c r="S73" i="6"/>
  <c r="V73" i="6"/>
  <c r="W73" i="6"/>
  <c r="Y73" i="6"/>
  <c r="Z73" i="6"/>
  <c r="AB73" i="6"/>
  <c r="AC73" i="6"/>
  <c r="B74" i="6"/>
  <c r="D74" i="6"/>
  <c r="E74" i="6"/>
  <c r="G74" i="6"/>
  <c r="J74" i="6"/>
  <c r="K74" i="6"/>
  <c r="M74" i="6"/>
  <c r="N74" i="6"/>
  <c r="Q74" i="6"/>
  <c r="S74" i="6"/>
  <c r="T74" i="6"/>
  <c r="W74" i="6"/>
  <c r="Y74" i="6"/>
  <c r="AB74" i="6"/>
  <c r="AC74" i="6"/>
  <c r="AE74" i="6"/>
  <c r="B75" i="6"/>
  <c r="D75" i="6"/>
  <c r="E75" i="6"/>
  <c r="H75" i="6"/>
  <c r="J75" i="6"/>
  <c r="K75" i="6"/>
  <c r="N75" i="6"/>
  <c r="P75" i="6"/>
  <c r="S75" i="6"/>
  <c r="T75" i="6"/>
  <c r="V75" i="6"/>
  <c r="W75" i="6"/>
  <c r="Y75" i="6"/>
  <c r="Z75" i="6"/>
  <c r="AC75" i="6"/>
  <c r="AE75" i="6"/>
  <c r="B76" i="6"/>
  <c r="E76" i="6"/>
  <c r="G76" i="6"/>
  <c r="H76" i="6"/>
  <c r="K76" i="6"/>
  <c r="M76" i="6"/>
  <c r="N76" i="6"/>
  <c r="P76" i="6"/>
  <c r="Q76" i="6"/>
  <c r="T76" i="6"/>
  <c r="V76" i="6"/>
  <c r="W76" i="6"/>
  <c r="Z76" i="6"/>
  <c r="AB76" i="6"/>
  <c r="AC76" i="6"/>
  <c r="AE76" i="6"/>
  <c r="B79" i="6"/>
  <c r="B80" i="6"/>
  <c r="AT80" i="6" s="1"/>
  <c r="B81" i="6"/>
  <c r="AT81" i="6" s="1"/>
  <c r="B82" i="6"/>
  <c r="B83" i="6"/>
  <c r="A89" i="6"/>
  <c r="K91" i="6"/>
  <c r="L92" i="6"/>
  <c r="R92" i="6"/>
  <c r="A93" i="6"/>
  <c r="E93" i="6"/>
  <c r="E94" i="6"/>
  <c r="A95" i="6"/>
  <c r="E95" i="6"/>
  <c r="E96" i="6"/>
  <c r="A97" i="6"/>
  <c r="E97" i="6"/>
  <c r="E98" i="6"/>
  <c r="A99" i="6"/>
  <c r="E99" i="6"/>
  <c r="E100" i="6"/>
  <c r="A101" i="6"/>
  <c r="E101" i="6"/>
  <c r="E102" i="6"/>
  <c r="E107" i="6"/>
  <c r="H107" i="6"/>
  <c r="K107" i="6"/>
  <c r="N107" i="6"/>
  <c r="Q107" i="6"/>
  <c r="T107" i="6"/>
  <c r="W107" i="6"/>
  <c r="Z107" i="6"/>
  <c r="AC107" i="6"/>
  <c r="F109" i="6"/>
  <c r="I109" i="6"/>
  <c r="L109" i="6"/>
  <c r="O109" i="6"/>
  <c r="R109" i="6"/>
  <c r="U109" i="6"/>
  <c r="X109" i="6"/>
  <c r="AA109" i="6"/>
  <c r="AD109" i="6"/>
  <c r="AF109" i="6"/>
  <c r="AG109" i="6"/>
  <c r="AI109" i="6"/>
  <c r="AJ109" i="6"/>
  <c r="AL109" i="6"/>
  <c r="AM109" i="6"/>
  <c r="AO109" i="6"/>
  <c r="F110" i="6"/>
  <c r="I110" i="6"/>
  <c r="L110" i="6"/>
  <c r="O110" i="6"/>
  <c r="R110" i="6"/>
  <c r="U110" i="6"/>
  <c r="X110" i="6"/>
  <c r="AA110" i="6"/>
  <c r="AD110" i="6"/>
  <c r="AF110" i="6"/>
  <c r="AH110" i="6"/>
  <c r="AI110" i="6"/>
  <c r="AK110" i="6"/>
  <c r="AL110" i="6"/>
  <c r="AN110" i="6"/>
  <c r="AO110" i="6"/>
  <c r="A111" i="6"/>
  <c r="F111" i="6"/>
  <c r="I111" i="6"/>
  <c r="L111" i="6"/>
  <c r="O111" i="6"/>
  <c r="R111" i="6"/>
  <c r="U111" i="6"/>
  <c r="X111" i="6"/>
  <c r="AA111" i="6"/>
  <c r="AD111" i="6"/>
  <c r="AF111" i="6"/>
  <c r="AG111" i="6"/>
  <c r="AH111" i="6"/>
  <c r="AJ111" i="6"/>
  <c r="AL111" i="6"/>
  <c r="AN111" i="6"/>
  <c r="AP111" i="6"/>
  <c r="A112" i="6"/>
  <c r="F112" i="6"/>
  <c r="I112" i="6"/>
  <c r="L112" i="6"/>
  <c r="O112" i="6"/>
  <c r="R112" i="6"/>
  <c r="U112" i="6"/>
  <c r="X112" i="6"/>
  <c r="AA112" i="6"/>
  <c r="AD112" i="6"/>
  <c r="AF112" i="6"/>
  <c r="AG112" i="6"/>
  <c r="AI112" i="6"/>
  <c r="AK112" i="6"/>
  <c r="AM112" i="6"/>
  <c r="AN112" i="6"/>
  <c r="AP112" i="6"/>
  <c r="A113" i="6"/>
  <c r="F113" i="6"/>
  <c r="I113" i="6"/>
  <c r="L113" i="6"/>
  <c r="O113" i="6"/>
  <c r="R113" i="6"/>
  <c r="U113" i="6"/>
  <c r="X113" i="6"/>
  <c r="AA113" i="6"/>
  <c r="AD113" i="6"/>
  <c r="AF113" i="6"/>
  <c r="AH113" i="6"/>
  <c r="AJ113" i="6"/>
  <c r="AK113" i="6"/>
  <c r="AM113" i="6"/>
  <c r="AO113" i="6"/>
  <c r="AP113" i="6"/>
  <c r="A114" i="6"/>
  <c r="F114" i="6"/>
  <c r="I114" i="6"/>
  <c r="L114" i="6"/>
  <c r="O114" i="6"/>
  <c r="R114" i="6"/>
  <c r="U114" i="6"/>
  <c r="X114" i="6"/>
  <c r="AA114" i="6"/>
  <c r="AD114" i="6"/>
  <c r="B115" i="6"/>
  <c r="AG113" i="6" s="1"/>
  <c r="D115" i="6"/>
  <c r="E115" i="6"/>
  <c r="G115" i="6"/>
  <c r="AH112" i="6" s="1"/>
  <c r="H115" i="6"/>
  <c r="J115" i="6"/>
  <c r="AI113" i="6" s="1"/>
  <c r="K115" i="6"/>
  <c r="M115" i="6"/>
  <c r="AJ112" i="6" s="1"/>
  <c r="N115" i="6"/>
  <c r="AK111" i="6" s="1"/>
  <c r="P115" i="6"/>
  <c r="Q115" i="6"/>
  <c r="S115" i="6"/>
  <c r="AL113" i="6" s="1"/>
  <c r="T115" i="6"/>
  <c r="V115" i="6"/>
  <c r="AM111" i="6" s="1"/>
  <c r="W115" i="6"/>
  <c r="Y115" i="6"/>
  <c r="AN113" i="6" s="1"/>
  <c r="Z115" i="6"/>
  <c r="AO111" i="6" s="1"/>
  <c r="AB115" i="6"/>
  <c r="AC115" i="6"/>
  <c r="AE115" i="6"/>
  <c r="AP110" i="6" s="1"/>
  <c r="B116" i="6"/>
  <c r="D116" i="6"/>
  <c r="D121" i="6" s="1"/>
  <c r="D122" i="6" s="1"/>
  <c r="D135" i="6" s="1"/>
  <c r="E116" i="6"/>
  <c r="G116" i="6"/>
  <c r="G124" i="6" s="1"/>
  <c r="H116" i="6"/>
  <c r="H124" i="6" s="1"/>
  <c r="J116" i="6"/>
  <c r="K116" i="6"/>
  <c r="M116" i="6"/>
  <c r="M124" i="6" s="1"/>
  <c r="N116" i="6"/>
  <c r="P116" i="6"/>
  <c r="Q116" i="6"/>
  <c r="S116" i="6"/>
  <c r="S124" i="6" s="1"/>
  <c r="T116" i="6"/>
  <c r="T124" i="6" s="1"/>
  <c r="V116" i="6"/>
  <c r="W116" i="6"/>
  <c r="Y116" i="6"/>
  <c r="Y124" i="6" s="1"/>
  <c r="Z116" i="6"/>
  <c r="AB116" i="6"/>
  <c r="AB121" i="6" s="1"/>
  <c r="AC116" i="6"/>
  <c r="AE116" i="6"/>
  <c r="AE124" i="6" s="1"/>
  <c r="B117" i="6"/>
  <c r="B125" i="6" s="1"/>
  <c r="D117" i="6"/>
  <c r="E117" i="6"/>
  <c r="G117" i="6"/>
  <c r="G125" i="6" s="1"/>
  <c r="H117" i="6"/>
  <c r="J117" i="6"/>
  <c r="J125" i="6" s="1"/>
  <c r="K117" i="6"/>
  <c r="M117" i="6"/>
  <c r="M125" i="6" s="1"/>
  <c r="N117" i="6"/>
  <c r="N121" i="6" s="1"/>
  <c r="P117" i="6"/>
  <c r="Q117" i="6"/>
  <c r="S117" i="6"/>
  <c r="S125" i="6" s="1"/>
  <c r="T117" i="6"/>
  <c r="V117" i="6"/>
  <c r="V125" i="6" s="1"/>
  <c r="W117" i="6"/>
  <c r="Y117" i="6"/>
  <c r="Y125" i="6" s="1"/>
  <c r="Z117" i="6"/>
  <c r="Z125" i="6" s="1"/>
  <c r="AB117" i="6"/>
  <c r="AC117" i="6"/>
  <c r="AE117" i="6"/>
  <c r="AE125" i="6" s="1"/>
  <c r="B118" i="6"/>
  <c r="D118" i="6"/>
  <c r="E118" i="6"/>
  <c r="G118" i="6"/>
  <c r="G126" i="6" s="1"/>
  <c r="H118" i="6"/>
  <c r="H126" i="6" s="1"/>
  <c r="J118" i="6"/>
  <c r="K118" i="6"/>
  <c r="K126" i="6" s="1"/>
  <c r="M118" i="6"/>
  <c r="M126" i="6" s="1"/>
  <c r="N118" i="6"/>
  <c r="P118" i="6"/>
  <c r="P126" i="6" s="1"/>
  <c r="Q118" i="6"/>
  <c r="S118" i="6"/>
  <c r="S126" i="6" s="1"/>
  <c r="T118" i="6"/>
  <c r="T126" i="6" s="1"/>
  <c r="V118" i="6"/>
  <c r="W118" i="6"/>
  <c r="W121" i="6" s="1"/>
  <c r="Y118" i="6"/>
  <c r="Y126" i="6" s="1"/>
  <c r="Z118" i="6"/>
  <c r="AB118" i="6"/>
  <c r="AC118" i="6"/>
  <c r="AE118" i="6"/>
  <c r="AE126" i="6" s="1"/>
  <c r="B119" i="6"/>
  <c r="B127" i="6" s="1"/>
  <c r="D119" i="6"/>
  <c r="E119" i="6"/>
  <c r="E127" i="6" s="1"/>
  <c r="G119" i="6"/>
  <c r="G127" i="6" s="1"/>
  <c r="H119" i="6"/>
  <c r="J119" i="6"/>
  <c r="K119" i="6"/>
  <c r="M119" i="6"/>
  <c r="M127" i="6" s="1"/>
  <c r="N119" i="6"/>
  <c r="N127" i="6" s="1"/>
  <c r="P119" i="6"/>
  <c r="Q119" i="6"/>
  <c r="Q152" i="6" s="1"/>
  <c r="S119" i="6"/>
  <c r="S127" i="6" s="1"/>
  <c r="T119" i="6"/>
  <c r="V119" i="6"/>
  <c r="V127" i="6" s="1"/>
  <c r="W119" i="6"/>
  <c r="Y119" i="6"/>
  <c r="Y127" i="6" s="1"/>
  <c r="Z119" i="6"/>
  <c r="Z127" i="6" s="1"/>
  <c r="AB119" i="6"/>
  <c r="AC119" i="6"/>
  <c r="AC127" i="6" s="1"/>
  <c r="AE119" i="6"/>
  <c r="AE127" i="6" s="1"/>
  <c r="B120" i="6"/>
  <c r="D120" i="6"/>
  <c r="E120" i="6"/>
  <c r="G120" i="6"/>
  <c r="G128" i="6" s="1"/>
  <c r="H120" i="6"/>
  <c r="H121" i="6" s="1"/>
  <c r="J120" i="6"/>
  <c r="K120" i="6"/>
  <c r="K128" i="6" s="1"/>
  <c r="M120" i="6"/>
  <c r="M128" i="6" s="1"/>
  <c r="N120" i="6"/>
  <c r="P120" i="6"/>
  <c r="P128" i="6" s="1"/>
  <c r="Q120" i="6"/>
  <c r="S120" i="6"/>
  <c r="S128" i="6" s="1"/>
  <c r="T120" i="6"/>
  <c r="V120" i="6"/>
  <c r="W120" i="6"/>
  <c r="W128" i="6" s="1"/>
  <c r="Y120" i="6"/>
  <c r="Y128" i="6" s="1"/>
  <c r="Z120" i="6"/>
  <c r="AB120" i="6"/>
  <c r="AB128" i="6" s="1"/>
  <c r="AC120" i="6"/>
  <c r="AC128" i="6" s="1"/>
  <c r="AE120" i="6"/>
  <c r="AE128" i="6" s="1"/>
  <c r="B121" i="6"/>
  <c r="E121" i="6"/>
  <c r="G121" i="6"/>
  <c r="K121" i="6"/>
  <c r="P121" i="6"/>
  <c r="Q121" i="6"/>
  <c r="S121" i="6"/>
  <c r="Y121" i="6"/>
  <c r="AC121" i="6"/>
  <c r="E122" i="6"/>
  <c r="B124" i="6"/>
  <c r="D124" i="6"/>
  <c r="E124" i="6"/>
  <c r="J124" i="6"/>
  <c r="K124" i="6"/>
  <c r="N124" i="6"/>
  <c r="P124" i="6"/>
  <c r="Q124" i="6"/>
  <c r="V124" i="6"/>
  <c r="W124" i="6"/>
  <c r="Z124" i="6"/>
  <c r="AB124" i="6"/>
  <c r="AC124" i="6"/>
  <c r="D125" i="6"/>
  <c r="E125" i="6"/>
  <c r="H125" i="6"/>
  <c r="K125" i="6"/>
  <c r="P125" i="6"/>
  <c r="Q125" i="6"/>
  <c r="T125" i="6"/>
  <c r="W125" i="6"/>
  <c r="AB125" i="6"/>
  <c r="AC125" i="6"/>
  <c r="B126" i="6"/>
  <c r="D126" i="6"/>
  <c r="E126" i="6"/>
  <c r="J126" i="6"/>
  <c r="N126" i="6"/>
  <c r="Q126" i="6"/>
  <c r="V126" i="6"/>
  <c r="W126" i="6"/>
  <c r="Z126" i="6"/>
  <c r="AB126" i="6"/>
  <c r="AC126" i="6"/>
  <c r="D127" i="6"/>
  <c r="H127" i="6"/>
  <c r="J127" i="6"/>
  <c r="K127" i="6"/>
  <c r="P127" i="6"/>
  <c r="Q127" i="6"/>
  <c r="T127" i="6"/>
  <c r="W127" i="6"/>
  <c r="AB127" i="6"/>
  <c r="B128" i="6"/>
  <c r="D128" i="6"/>
  <c r="E128" i="6"/>
  <c r="J128" i="6"/>
  <c r="N128" i="6"/>
  <c r="Q128" i="6"/>
  <c r="T128" i="6"/>
  <c r="V128" i="6"/>
  <c r="Z128" i="6"/>
  <c r="B131" i="6"/>
  <c r="D131" i="6"/>
  <c r="G131" i="6"/>
  <c r="H131" i="6"/>
  <c r="J131" i="6"/>
  <c r="K131" i="6"/>
  <c r="M131" i="6"/>
  <c r="P131" i="6"/>
  <c r="Q131" i="6"/>
  <c r="S131" i="6"/>
  <c r="T131" i="6"/>
  <c r="V131" i="6"/>
  <c r="Y131" i="6"/>
  <c r="Z131" i="6"/>
  <c r="AB131" i="6"/>
  <c r="AE131" i="6"/>
  <c r="D132" i="6"/>
  <c r="E132" i="6"/>
  <c r="G132" i="6"/>
  <c r="H132" i="6"/>
  <c r="J132" i="6"/>
  <c r="M132" i="6"/>
  <c r="N132" i="6"/>
  <c r="P132" i="6"/>
  <c r="Q132" i="6"/>
  <c r="S132" i="6"/>
  <c r="V132" i="6"/>
  <c r="W132" i="6"/>
  <c r="Y132" i="6"/>
  <c r="Z132" i="6"/>
  <c r="AB132" i="6"/>
  <c r="AC132" i="6"/>
  <c r="B133" i="6"/>
  <c r="D133" i="6"/>
  <c r="E133" i="6"/>
  <c r="G133" i="6"/>
  <c r="J133" i="6"/>
  <c r="K133" i="6"/>
  <c r="M133" i="6"/>
  <c r="N133" i="6"/>
  <c r="Q133" i="6"/>
  <c r="S133" i="6"/>
  <c r="T133" i="6"/>
  <c r="W133" i="6"/>
  <c r="Y133" i="6"/>
  <c r="AB133" i="6"/>
  <c r="AC133" i="6"/>
  <c r="AE133" i="6"/>
  <c r="B134" i="6"/>
  <c r="D134" i="6"/>
  <c r="E134" i="6"/>
  <c r="H134" i="6"/>
  <c r="J134" i="6"/>
  <c r="K134" i="6"/>
  <c r="N134" i="6"/>
  <c r="P134" i="6"/>
  <c r="S134" i="6"/>
  <c r="T134" i="6"/>
  <c r="V134" i="6"/>
  <c r="W134" i="6"/>
  <c r="Y134" i="6"/>
  <c r="Z134" i="6"/>
  <c r="AC134" i="6"/>
  <c r="AE134" i="6"/>
  <c r="B135" i="6"/>
  <c r="E135" i="6"/>
  <c r="G135" i="6"/>
  <c r="H135" i="6"/>
  <c r="K135" i="6"/>
  <c r="M135" i="6"/>
  <c r="N135" i="6"/>
  <c r="P135" i="6"/>
  <c r="Q135" i="6"/>
  <c r="T135" i="6"/>
  <c r="V135" i="6"/>
  <c r="W135" i="6"/>
  <c r="Z135" i="6"/>
  <c r="AB135" i="6"/>
  <c r="AC135" i="6"/>
  <c r="AE135" i="6"/>
  <c r="B137" i="6"/>
  <c r="D137" i="6"/>
  <c r="G137" i="6"/>
  <c r="H137" i="6"/>
  <c r="J137" i="6"/>
  <c r="K137" i="6"/>
  <c r="M137" i="6"/>
  <c r="P137" i="6"/>
  <c r="Q137" i="6"/>
  <c r="S137" i="6"/>
  <c r="T137" i="6"/>
  <c r="V137" i="6"/>
  <c r="Y137" i="6"/>
  <c r="Z137" i="6"/>
  <c r="AB137" i="6"/>
  <c r="AE137" i="6"/>
  <c r="D138" i="6"/>
  <c r="E138" i="6"/>
  <c r="G138" i="6"/>
  <c r="H138" i="6"/>
  <c r="J138" i="6"/>
  <c r="M138" i="6"/>
  <c r="N138" i="6"/>
  <c r="P138" i="6"/>
  <c r="Q138" i="6"/>
  <c r="S138" i="6"/>
  <c r="V138" i="6"/>
  <c r="W138" i="6"/>
  <c r="Y138" i="6"/>
  <c r="Z138" i="6"/>
  <c r="AB138" i="6"/>
  <c r="AC138" i="6"/>
  <c r="B139" i="6"/>
  <c r="D139" i="6"/>
  <c r="E139" i="6"/>
  <c r="G139" i="6"/>
  <c r="J139" i="6"/>
  <c r="K139" i="6"/>
  <c r="M139" i="6"/>
  <c r="N139" i="6"/>
  <c r="Q139" i="6"/>
  <c r="S139" i="6"/>
  <c r="T139" i="6"/>
  <c r="W139" i="6"/>
  <c r="Y139" i="6"/>
  <c r="AB139" i="6"/>
  <c r="AC139" i="6"/>
  <c r="AE139" i="6"/>
  <c r="B140" i="6"/>
  <c r="D140" i="6"/>
  <c r="E140" i="6"/>
  <c r="H140" i="6"/>
  <c r="J140" i="6"/>
  <c r="K140" i="6"/>
  <c r="N140" i="6"/>
  <c r="P140" i="6"/>
  <c r="S140" i="6"/>
  <c r="T140" i="6"/>
  <c r="V140" i="6"/>
  <c r="W140" i="6"/>
  <c r="Y140" i="6"/>
  <c r="Z140" i="6"/>
  <c r="AC140" i="6"/>
  <c r="AE140" i="6"/>
  <c r="B141" i="6"/>
  <c r="E141" i="6"/>
  <c r="G141" i="6"/>
  <c r="H141" i="6"/>
  <c r="K141" i="6"/>
  <c r="M141" i="6"/>
  <c r="N141" i="6"/>
  <c r="P141" i="6"/>
  <c r="Q141" i="6"/>
  <c r="T141" i="6"/>
  <c r="V141" i="6"/>
  <c r="W141" i="6"/>
  <c r="Z141" i="6"/>
  <c r="AB141" i="6"/>
  <c r="AC141" i="6"/>
  <c r="AE141" i="6"/>
  <c r="B143" i="6"/>
  <c r="D143" i="6"/>
  <c r="G143" i="6"/>
  <c r="H143" i="6"/>
  <c r="J143" i="6"/>
  <c r="K143" i="6"/>
  <c r="M143" i="6"/>
  <c r="P143" i="6"/>
  <c r="Q143" i="6"/>
  <c r="S143" i="6"/>
  <c r="T143" i="6"/>
  <c r="V143" i="6"/>
  <c r="Y143" i="6"/>
  <c r="Z143" i="6"/>
  <c r="AB143" i="6"/>
  <c r="AE143" i="6"/>
  <c r="D144" i="6"/>
  <c r="E144" i="6"/>
  <c r="G144" i="6"/>
  <c r="H144" i="6"/>
  <c r="J144" i="6"/>
  <c r="M144" i="6"/>
  <c r="N144" i="6"/>
  <c r="P144" i="6"/>
  <c r="Q144" i="6"/>
  <c r="S144" i="6"/>
  <c r="V144" i="6"/>
  <c r="W144" i="6"/>
  <c r="Y144" i="6"/>
  <c r="Z144" i="6"/>
  <c r="AB144" i="6"/>
  <c r="AC144" i="6"/>
  <c r="B145" i="6"/>
  <c r="D145" i="6"/>
  <c r="E145" i="6"/>
  <c r="G145" i="6"/>
  <c r="J145" i="6"/>
  <c r="K145" i="6"/>
  <c r="M145" i="6"/>
  <c r="N145" i="6"/>
  <c r="Q145" i="6"/>
  <c r="S145" i="6"/>
  <c r="T145" i="6"/>
  <c r="W145" i="6"/>
  <c r="Y145" i="6"/>
  <c r="AB145" i="6"/>
  <c r="AC145" i="6"/>
  <c r="AE145" i="6"/>
  <c r="B146" i="6"/>
  <c r="D146" i="6"/>
  <c r="E146" i="6"/>
  <c r="H146" i="6"/>
  <c r="J146" i="6"/>
  <c r="K146" i="6"/>
  <c r="N146" i="6"/>
  <c r="P146" i="6"/>
  <c r="S146" i="6"/>
  <c r="T146" i="6"/>
  <c r="V146" i="6"/>
  <c r="W146" i="6"/>
  <c r="Y146" i="6"/>
  <c r="Z146" i="6"/>
  <c r="AC146" i="6"/>
  <c r="AE146" i="6"/>
  <c r="B147" i="6"/>
  <c r="E147" i="6"/>
  <c r="G147" i="6"/>
  <c r="H147" i="6"/>
  <c r="K147" i="6"/>
  <c r="M147" i="6"/>
  <c r="N147" i="6"/>
  <c r="P147" i="6"/>
  <c r="Q147" i="6"/>
  <c r="T147" i="6"/>
  <c r="V147" i="6"/>
  <c r="W147" i="6"/>
  <c r="Z147" i="6"/>
  <c r="AB147" i="6"/>
  <c r="AC147" i="6"/>
  <c r="AE147" i="6"/>
  <c r="B149" i="6"/>
  <c r="D149" i="6"/>
  <c r="E149" i="6"/>
  <c r="G149" i="6"/>
  <c r="H149" i="6"/>
  <c r="J149" i="6"/>
  <c r="K149" i="6"/>
  <c r="M149" i="6"/>
  <c r="P149" i="6"/>
  <c r="Q149" i="6"/>
  <c r="S149" i="6"/>
  <c r="T149" i="6"/>
  <c r="V149" i="6"/>
  <c r="W149" i="6"/>
  <c r="Y149" i="6"/>
  <c r="Z149" i="6"/>
  <c r="AB149" i="6"/>
  <c r="AC149" i="6"/>
  <c r="AE149" i="6"/>
  <c r="D150" i="6"/>
  <c r="E150" i="6"/>
  <c r="G150" i="6"/>
  <c r="H150" i="6"/>
  <c r="J150" i="6"/>
  <c r="K150" i="6"/>
  <c r="M150" i="6"/>
  <c r="N150" i="6"/>
  <c r="P150" i="6"/>
  <c r="Q150" i="6"/>
  <c r="S150" i="6"/>
  <c r="V150" i="6"/>
  <c r="W150" i="6"/>
  <c r="Y150" i="6"/>
  <c r="Z150" i="6"/>
  <c r="AB150" i="6"/>
  <c r="AC150" i="6"/>
  <c r="B151" i="6"/>
  <c r="D151" i="6"/>
  <c r="E151" i="6"/>
  <c r="G151" i="6"/>
  <c r="J151" i="6"/>
  <c r="K151" i="6"/>
  <c r="M151" i="6"/>
  <c r="N151" i="6"/>
  <c r="P151" i="6"/>
  <c r="Q151" i="6"/>
  <c r="S151" i="6"/>
  <c r="T151" i="6"/>
  <c r="V151" i="6"/>
  <c r="W151" i="6"/>
  <c r="Y151" i="6"/>
  <c r="Z151" i="6"/>
  <c r="AB151" i="6"/>
  <c r="AC151" i="6"/>
  <c r="AE151" i="6"/>
  <c r="B152" i="6"/>
  <c r="D152" i="6"/>
  <c r="E152" i="6"/>
  <c r="H152" i="6"/>
  <c r="J152" i="6"/>
  <c r="K152" i="6"/>
  <c r="N152" i="6"/>
  <c r="P152" i="6"/>
  <c r="S152" i="6"/>
  <c r="T152" i="6"/>
  <c r="V152" i="6"/>
  <c r="W152" i="6"/>
  <c r="Y152" i="6"/>
  <c r="Z152" i="6"/>
  <c r="AB152" i="6"/>
  <c r="AC152" i="6"/>
  <c r="AE152" i="6"/>
  <c r="B153" i="6"/>
  <c r="D153" i="6"/>
  <c r="E153" i="6"/>
  <c r="G153" i="6"/>
  <c r="H153" i="6"/>
  <c r="J153" i="6"/>
  <c r="K153" i="6"/>
  <c r="M153" i="6"/>
  <c r="N153" i="6"/>
  <c r="P153" i="6"/>
  <c r="Q153" i="6"/>
  <c r="S153" i="6"/>
  <c r="T153" i="6"/>
  <c r="V153" i="6"/>
  <c r="W153" i="6"/>
  <c r="Y153" i="6"/>
  <c r="Z153" i="6"/>
  <c r="AB153" i="6"/>
  <c r="AC153" i="6"/>
  <c r="AE153" i="6"/>
  <c r="B157" i="6"/>
  <c r="D157" i="6"/>
  <c r="G157" i="6"/>
  <c r="H157" i="6"/>
  <c r="J157" i="6"/>
  <c r="K157" i="6"/>
  <c r="M157" i="6"/>
  <c r="P157" i="6"/>
  <c r="Q157" i="6"/>
  <c r="S157" i="6"/>
  <c r="T157" i="6"/>
  <c r="V157" i="6"/>
  <c r="Y157" i="6"/>
  <c r="Z157" i="6"/>
  <c r="AB157" i="6"/>
  <c r="AE157" i="6"/>
  <c r="D158" i="6"/>
  <c r="E158" i="6"/>
  <c r="G158" i="6"/>
  <c r="H158" i="6"/>
  <c r="J158" i="6"/>
  <c r="M158" i="6"/>
  <c r="N158" i="6"/>
  <c r="P158" i="6"/>
  <c r="Q158" i="6"/>
  <c r="S158" i="6"/>
  <c r="V158" i="6"/>
  <c r="W158" i="6"/>
  <c r="Y158" i="6"/>
  <c r="Z158" i="6"/>
  <c r="AB158" i="6"/>
  <c r="AC158" i="6"/>
  <c r="B159" i="6"/>
  <c r="D159" i="6"/>
  <c r="E159" i="6"/>
  <c r="G159" i="6"/>
  <c r="J159" i="6"/>
  <c r="K159" i="6"/>
  <c r="M159" i="6"/>
  <c r="N159" i="6"/>
  <c r="Q159" i="6"/>
  <c r="S159" i="6"/>
  <c r="T159" i="6"/>
  <c r="W159" i="6"/>
  <c r="Y159" i="6"/>
  <c r="AB159" i="6"/>
  <c r="AC159" i="6"/>
  <c r="AE159" i="6"/>
  <c r="B160" i="6"/>
  <c r="D160" i="6"/>
  <c r="E160" i="6"/>
  <c r="H160" i="6"/>
  <c r="J160" i="6"/>
  <c r="K160" i="6"/>
  <c r="N160" i="6"/>
  <c r="P160" i="6"/>
  <c r="S160" i="6"/>
  <c r="T160" i="6"/>
  <c r="V160" i="6"/>
  <c r="W160" i="6"/>
  <c r="Y160" i="6"/>
  <c r="Z160" i="6"/>
  <c r="AC160" i="6"/>
  <c r="AE160" i="6"/>
  <c r="B161" i="6"/>
  <c r="E161" i="6"/>
  <c r="G161" i="6"/>
  <c r="H161" i="6"/>
  <c r="K161" i="6"/>
  <c r="M161" i="6"/>
  <c r="N161" i="6"/>
  <c r="P161" i="6"/>
  <c r="Q161" i="6"/>
  <c r="T161" i="6"/>
  <c r="V161" i="6"/>
  <c r="W161" i="6"/>
  <c r="Z161" i="6"/>
  <c r="AB161" i="6"/>
  <c r="AC161" i="6"/>
  <c r="AE161" i="6"/>
  <c r="B164" i="6"/>
  <c r="AT164" i="6"/>
  <c r="B165" i="6"/>
  <c r="AT165" i="6" s="1"/>
  <c r="B166" i="6"/>
  <c r="B167" i="6"/>
  <c r="AT167" i="6" s="1"/>
  <c r="B168" i="6"/>
  <c r="AT168" i="6"/>
  <c r="A174" i="6"/>
  <c r="B179" i="6"/>
  <c r="H179" i="6"/>
  <c r="K210" i="6" s="1"/>
  <c r="L179" i="6"/>
  <c r="B212" i="6" s="1"/>
  <c r="R179" i="6"/>
  <c r="V179" i="6"/>
  <c r="X210" i="6" s="1"/>
  <c r="AB179" i="6"/>
  <c r="AG210" i="6" s="1"/>
  <c r="AF179" i="6"/>
  <c r="X212" i="6" s="1"/>
  <c r="AL179" i="6"/>
  <c r="B180" i="6"/>
  <c r="H180" i="6"/>
  <c r="K211" i="6" s="1"/>
  <c r="L180" i="6"/>
  <c r="R180" i="6"/>
  <c r="V180" i="6"/>
  <c r="AB180" i="6"/>
  <c r="AG211" i="6" s="1"/>
  <c r="AF180" i="6"/>
  <c r="X213" i="6" s="1"/>
  <c r="U195" i="6" s="1"/>
  <c r="AL180" i="6"/>
  <c r="AG213" i="6" s="1"/>
  <c r="B210" i="6"/>
  <c r="A190" i="6" s="1"/>
  <c r="B211" i="6"/>
  <c r="A199" i="6" s="1"/>
  <c r="X211" i="6"/>
  <c r="W228" i="6" s="1"/>
  <c r="K212" i="6"/>
  <c r="AG212" i="6"/>
  <c r="B213" i="6"/>
  <c r="A195" i="6" s="1"/>
  <c r="K213" i="6"/>
  <c r="B219" i="6"/>
  <c r="D219" i="6"/>
  <c r="E219" i="6"/>
  <c r="G219" i="6"/>
  <c r="H219" i="6"/>
  <c r="H222" i="6" s="1"/>
  <c r="J219" i="6"/>
  <c r="W219" i="6"/>
  <c r="Y219" i="6"/>
  <c r="Z219" i="6"/>
  <c r="AB219" i="6"/>
  <c r="AC219" i="6"/>
  <c r="AE219" i="6"/>
  <c r="B220" i="6"/>
  <c r="D220" i="6"/>
  <c r="E220" i="6"/>
  <c r="G220" i="6"/>
  <c r="H220" i="6"/>
  <c r="J220" i="6"/>
  <c r="W220" i="6"/>
  <c r="Y220" i="6"/>
  <c r="Y222" i="6" s="1"/>
  <c r="Z220" i="6"/>
  <c r="AB220" i="6"/>
  <c r="AC220" i="6"/>
  <c r="AE220" i="6"/>
  <c r="B221" i="6"/>
  <c r="D221" i="6"/>
  <c r="E221" i="6"/>
  <c r="G221" i="6"/>
  <c r="H221" i="6"/>
  <c r="J221" i="6"/>
  <c r="J222" i="6" s="1"/>
  <c r="W221" i="6"/>
  <c r="Y221" i="6"/>
  <c r="Z221" i="6"/>
  <c r="AB221" i="6"/>
  <c r="AC221" i="6"/>
  <c r="AE221" i="6"/>
  <c r="D222" i="6"/>
  <c r="W222" i="6"/>
  <c r="AB222" i="6"/>
  <c r="B227" i="6"/>
  <c r="AT226" i="6" s="1"/>
  <c r="B228" i="6"/>
  <c r="AT227" i="6" s="1"/>
  <c r="B230" i="6"/>
  <c r="AT229" i="6" s="1"/>
  <c r="R431" i="5"/>
  <c r="K431" i="5"/>
  <c r="F431" i="5"/>
  <c r="E431" i="5"/>
  <c r="R430" i="5"/>
  <c r="K430" i="5"/>
  <c r="F430" i="5"/>
  <c r="E430" i="5"/>
  <c r="R429" i="5"/>
  <c r="K429" i="5"/>
  <c r="F429" i="5"/>
  <c r="E429" i="5"/>
  <c r="C429" i="5"/>
  <c r="D429" i="5" s="1"/>
  <c r="D430" i="5" s="1"/>
  <c r="R428" i="5"/>
  <c r="R427" i="5"/>
  <c r="K427" i="5" s="1"/>
  <c r="F427" i="5"/>
  <c r="E427" i="5"/>
  <c r="R426" i="5"/>
  <c r="K426" i="5" s="1"/>
  <c r="AW6" i="2" s="1"/>
  <c r="F426" i="5"/>
  <c r="E426" i="5"/>
  <c r="R425" i="5"/>
  <c r="K425" i="5" s="1"/>
  <c r="AW4" i="2" s="1"/>
  <c r="F425" i="5"/>
  <c r="E425" i="5"/>
  <c r="R424" i="5"/>
  <c r="K424" i="5"/>
  <c r="F424" i="5"/>
  <c r="E424" i="5"/>
  <c r="R423" i="5"/>
  <c r="K423" i="5" s="1"/>
  <c r="F423" i="5"/>
  <c r="E423" i="5"/>
  <c r="R422" i="5"/>
  <c r="K422" i="5"/>
  <c r="F422" i="5"/>
  <c r="E422" i="5"/>
  <c r="R421" i="5"/>
  <c r="K421" i="5" s="1"/>
  <c r="AW5" i="2" s="1"/>
  <c r="F421" i="5"/>
  <c r="E421" i="5"/>
  <c r="R420" i="5"/>
  <c r="K420" i="5" s="1"/>
  <c r="AW7" i="2" s="1"/>
  <c r="F420" i="5"/>
  <c r="E420" i="5"/>
  <c r="R419" i="5"/>
  <c r="K419" i="5"/>
  <c r="F419" i="5"/>
  <c r="E419" i="5"/>
  <c r="R418" i="5"/>
  <c r="K418" i="5"/>
  <c r="F418" i="5"/>
  <c r="E418" i="5"/>
  <c r="R417" i="5"/>
  <c r="K417" i="5"/>
  <c r="F417" i="5"/>
  <c r="E417" i="5"/>
  <c r="R416" i="5"/>
  <c r="K416" i="5" s="1"/>
  <c r="F416" i="5"/>
  <c r="E416" i="5"/>
  <c r="R415" i="5"/>
  <c r="K415" i="5"/>
  <c r="F415" i="5"/>
  <c r="E415" i="5"/>
  <c r="R414" i="5"/>
  <c r="K414" i="5"/>
  <c r="F414" i="5"/>
  <c r="E414" i="5"/>
  <c r="R413" i="5"/>
  <c r="K413" i="5"/>
  <c r="F413" i="5"/>
  <c r="E413" i="5"/>
  <c r="R412" i="5"/>
  <c r="K412" i="5" s="1"/>
  <c r="F412" i="5"/>
  <c r="E412" i="5"/>
  <c r="R411" i="5"/>
  <c r="K411" i="5"/>
  <c r="F411" i="5"/>
  <c r="E411" i="5"/>
  <c r="R410" i="5"/>
  <c r="K410" i="5"/>
  <c r="F410" i="5"/>
  <c r="E410" i="5"/>
  <c r="R409" i="5"/>
  <c r="K409" i="5"/>
  <c r="F409" i="5"/>
  <c r="E409" i="5"/>
  <c r="R408" i="5"/>
  <c r="K408" i="5"/>
  <c r="F408" i="5"/>
  <c r="E408" i="5"/>
  <c r="R407" i="5"/>
  <c r="K407" i="5" s="1"/>
  <c r="F407" i="5"/>
  <c r="E407" i="5"/>
  <c r="R406" i="5"/>
  <c r="K406" i="5"/>
  <c r="F406" i="5"/>
  <c r="E406" i="5"/>
  <c r="R405" i="5"/>
  <c r="K405" i="5" s="1"/>
  <c r="F405" i="5"/>
  <c r="E405" i="5"/>
  <c r="R404" i="5"/>
  <c r="K404" i="5" s="1"/>
  <c r="F404" i="5"/>
  <c r="E404" i="5"/>
  <c r="R403" i="5"/>
  <c r="K403" i="5"/>
  <c r="F403" i="5"/>
  <c r="E403" i="5"/>
  <c r="R402" i="5"/>
  <c r="K402" i="5"/>
  <c r="F402" i="5"/>
  <c r="E402" i="5"/>
  <c r="R401" i="5"/>
  <c r="K401" i="5"/>
  <c r="F401" i="5"/>
  <c r="E401" i="5"/>
  <c r="R400" i="5"/>
  <c r="K400" i="5"/>
  <c r="F400" i="5"/>
  <c r="E400" i="5"/>
  <c r="R399" i="5"/>
  <c r="K399" i="5"/>
  <c r="F399" i="5"/>
  <c r="E399" i="5"/>
  <c r="R398" i="5"/>
  <c r="K398" i="5" s="1"/>
  <c r="F398" i="5"/>
  <c r="E398" i="5"/>
  <c r="R397" i="5"/>
  <c r="K397" i="5" s="1"/>
  <c r="F397" i="5"/>
  <c r="E397" i="5"/>
  <c r="R396" i="5"/>
  <c r="K396" i="5"/>
  <c r="F396" i="5"/>
  <c r="E396" i="5"/>
  <c r="R395" i="5"/>
  <c r="K395" i="5" s="1"/>
  <c r="F395" i="5"/>
  <c r="E395" i="5"/>
  <c r="R394" i="5"/>
  <c r="K394" i="5"/>
  <c r="F394" i="5"/>
  <c r="E394" i="5"/>
  <c r="R393" i="5"/>
  <c r="K393" i="5"/>
  <c r="F393" i="5"/>
  <c r="E393" i="5"/>
  <c r="R392" i="5"/>
  <c r="K392" i="5"/>
  <c r="F392" i="5"/>
  <c r="E392" i="5"/>
  <c r="C392" i="5"/>
  <c r="D392" i="5" s="1"/>
  <c r="D393" i="5" s="1"/>
  <c r="D394" i="5" s="1"/>
  <c r="D395" i="5" s="1"/>
  <c r="D396" i="5" s="1"/>
  <c r="D397" i="5" s="1"/>
  <c r="D398" i="5" s="1"/>
  <c r="D399" i="5" s="1"/>
  <c r="D400" i="5" s="1"/>
  <c r="D401" i="5" s="1"/>
  <c r="D402" i="5" s="1"/>
  <c r="D403" i="5" s="1"/>
  <c r="D404" i="5" s="1"/>
  <c r="D405" i="5" s="1"/>
  <c r="D406" i="5" s="1"/>
  <c r="D407" i="5" s="1"/>
  <c r="D408" i="5" s="1"/>
  <c r="D409" i="5" s="1"/>
  <c r="D410" i="5" s="1"/>
  <c r="D411" i="5" s="1"/>
  <c r="D412" i="5" s="1"/>
  <c r="D413" i="5" s="1"/>
  <c r="D414" i="5" s="1"/>
  <c r="D415" i="5" s="1"/>
  <c r="D416" i="5" s="1"/>
  <c r="R391" i="5"/>
  <c r="K391" i="5"/>
  <c r="AW5" i="1" s="1"/>
  <c r="F391" i="5"/>
  <c r="E391" i="5"/>
  <c r="R390" i="5"/>
  <c r="K390" i="5" s="1"/>
  <c r="AW7" i="1" s="1"/>
  <c r="F390" i="5"/>
  <c r="E390" i="5"/>
  <c r="R389" i="5"/>
  <c r="K389" i="5" s="1"/>
  <c r="F389" i="5"/>
  <c r="E389" i="5"/>
  <c r="R388" i="5"/>
  <c r="K388" i="5" s="1"/>
  <c r="AW12" i="1" s="1"/>
  <c r="F388" i="5"/>
  <c r="E388" i="5"/>
  <c r="R387" i="5"/>
  <c r="K387" i="5"/>
  <c r="F387" i="5"/>
  <c r="E387" i="5"/>
  <c r="R386" i="5"/>
  <c r="K386" i="5"/>
  <c r="AW11" i="1" s="1"/>
  <c r="F386" i="5"/>
  <c r="E386" i="5"/>
  <c r="R385" i="5"/>
  <c r="K385" i="5" s="1"/>
  <c r="F385" i="5"/>
  <c r="E385" i="5"/>
  <c r="R384" i="5"/>
  <c r="K384" i="5" s="1"/>
  <c r="AW9" i="1" s="1"/>
  <c r="F384" i="5"/>
  <c r="E384" i="5"/>
  <c r="R383" i="5"/>
  <c r="K383" i="5" s="1"/>
  <c r="AW8" i="1" s="1"/>
  <c r="F383" i="5"/>
  <c r="E383" i="5"/>
  <c r="R382" i="5"/>
  <c r="K382" i="5"/>
  <c r="F382" i="5"/>
  <c r="E382" i="5"/>
  <c r="R381" i="5"/>
  <c r="K381" i="5" s="1"/>
  <c r="F381" i="5"/>
  <c r="E381" i="5"/>
  <c r="R380" i="5"/>
  <c r="K380" i="5" s="1"/>
  <c r="F380" i="5"/>
  <c r="E380" i="5"/>
  <c r="R379" i="5"/>
  <c r="K379" i="5" s="1"/>
  <c r="AW3" i="1" s="1"/>
  <c r="F379" i="5"/>
  <c r="E379" i="5"/>
  <c r="R378" i="5"/>
  <c r="K378" i="5" s="1"/>
  <c r="AW6" i="1" s="1"/>
  <c r="F378" i="5"/>
  <c r="E378" i="5"/>
  <c r="R377" i="5"/>
  <c r="K377" i="5"/>
  <c r="F377" i="5"/>
  <c r="E377" i="5"/>
  <c r="R376" i="5"/>
  <c r="K376" i="5" s="1"/>
  <c r="F376" i="5"/>
  <c r="E376" i="5"/>
  <c r="R375" i="5"/>
  <c r="K375" i="5" s="1"/>
  <c r="F375" i="5"/>
  <c r="E375" i="5"/>
  <c r="R374" i="5"/>
  <c r="K374" i="5"/>
  <c r="AW3" i="2" s="1"/>
  <c r="F374" i="5"/>
  <c r="E374" i="5"/>
  <c r="R373" i="5"/>
  <c r="K373" i="5" s="1"/>
  <c r="F373" i="5"/>
  <c r="E373" i="5"/>
  <c r="R372" i="5"/>
  <c r="K372" i="5" s="1"/>
  <c r="F372" i="5"/>
  <c r="E372" i="5"/>
  <c r="R371" i="5"/>
  <c r="K371" i="5"/>
  <c r="F371" i="5"/>
  <c r="E371" i="5"/>
  <c r="R370" i="5"/>
  <c r="K370" i="5"/>
  <c r="AW4" i="1" s="1"/>
  <c r="F370" i="5"/>
  <c r="E370" i="5"/>
  <c r="R369" i="5"/>
  <c r="K369" i="5"/>
  <c r="F369" i="5"/>
  <c r="E369" i="5"/>
  <c r="R368" i="5"/>
  <c r="K368" i="5" s="1"/>
  <c r="F368" i="5"/>
  <c r="E368" i="5"/>
  <c r="R367" i="5"/>
  <c r="K367" i="5" s="1"/>
  <c r="F367" i="5"/>
  <c r="E367" i="5"/>
  <c r="R366" i="5"/>
  <c r="K366" i="5"/>
  <c r="F366" i="5"/>
  <c r="E366" i="5"/>
  <c r="R365" i="5"/>
  <c r="K365" i="5"/>
  <c r="F365" i="5"/>
  <c r="E365" i="5"/>
  <c r="R364" i="5"/>
  <c r="K364" i="5"/>
  <c r="F364" i="5"/>
  <c r="E364" i="5"/>
  <c r="R363" i="5"/>
  <c r="K363" i="5"/>
  <c r="F363" i="5"/>
  <c r="E363" i="5"/>
  <c r="R362" i="5"/>
  <c r="K362" i="5"/>
  <c r="F362" i="5"/>
  <c r="E362" i="5"/>
  <c r="R361" i="5"/>
  <c r="K361" i="5" s="1"/>
  <c r="F361" i="5"/>
  <c r="E361" i="5"/>
  <c r="R360" i="5"/>
  <c r="K360" i="5"/>
  <c r="F360" i="5"/>
  <c r="E360" i="5"/>
  <c r="R359" i="5"/>
  <c r="K359" i="5" s="1"/>
  <c r="F359" i="5"/>
  <c r="E359" i="5"/>
  <c r="R358" i="5"/>
  <c r="K358" i="5" s="1"/>
  <c r="F358" i="5"/>
  <c r="E358" i="5"/>
  <c r="R357" i="5"/>
  <c r="K357" i="5"/>
  <c r="F357" i="5"/>
  <c r="E357" i="5"/>
  <c r="R356" i="5"/>
  <c r="K356" i="5" s="1"/>
  <c r="F356" i="5"/>
  <c r="E356" i="5"/>
  <c r="R355" i="5"/>
  <c r="K355" i="5"/>
  <c r="F355" i="5"/>
  <c r="E355" i="5"/>
  <c r="R354" i="5"/>
  <c r="K354" i="5"/>
  <c r="F354" i="5"/>
  <c r="E354" i="5"/>
  <c r="R353" i="5"/>
  <c r="K353" i="5"/>
  <c r="F353" i="5"/>
  <c r="E353" i="5"/>
  <c r="R352" i="5"/>
  <c r="K352" i="5"/>
  <c r="F352" i="5"/>
  <c r="E352" i="5"/>
  <c r="R351" i="5"/>
  <c r="K351" i="5"/>
  <c r="F351" i="5"/>
  <c r="E351" i="5"/>
  <c r="R350" i="5"/>
  <c r="K350" i="5"/>
  <c r="F350" i="5"/>
  <c r="E350" i="5"/>
  <c r="R349" i="5"/>
  <c r="K349" i="5"/>
  <c r="F349" i="5"/>
  <c r="E349" i="5"/>
  <c r="R348" i="5"/>
  <c r="K348" i="5"/>
  <c r="F348" i="5"/>
  <c r="E348" i="5"/>
  <c r="R347" i="5"/>
  <c r="K347" i="5" s="1"/>
  <c r="F347" i="5"/>
  <c r="E347" i="5"/>
  <c r="R346" i="5"/>
  <c r="K346" i="5"/>
  <c r="F346" i="5"/>
  <c r="E346" i="5"/>
  <c r="R345" i="5"/>
  <c r="K345" i="5" s="1"/>
  <c r="F345" i="5"/>
  <c r="E345" i="5"/>
  <c r="R344" i="5"/>
  <c r="K344" i="5" s="1"/>
  <c r="F344" i="5"/>
  <c r="E344" i="5"/>
  <c r="R343" i="5"/>
  <c r="K343" i="5"/>
  <c r="F343" i="5"/>
  <c r="E343" i="5"/>
  <c r="C343" i="5" s="1"/>
  <c r="R342" i="5"/>
  <c r="K342" i="5" s="1"/>
  <c r="F342" i="5"/>
  <c r="E342" i="5"/>
  <c r="R341" i="5"/>
  <c r="K341" i="5" s="1"/>
  <c r="F341" i="5"/>
  <c r="E341" i="5"/>
  <c r="R340" i="5"/>
  <c r="K340" i="5" s="1"/>
  <c r="F340" i="5"/>
  <c r="E340" i="5"/>
  <c r="R339" i="5"/>
  <c r="K339" i="5" s="1"/>
  <c r="F339" i="5"/>
  <c r="E339" i="5"/>
  <c r="R338" i="5"/>
  <c r="K338" i="5" s="1"/>
  <c r="F338" i="5"/>
  <c r="E338" i="5"/>
  <c r="R337" i="5"/>
  <c r="K337" i="5" s="1"/>
  <c r="F337" i="5"/>
  <c r="E337" i="5"/>
  <c r="R336" i="5"/>
  <c r="K336" i="5" s="1"/>
  <c r="F336" i="5"/>
  <c r="E336" i="5"/>
  <c r="R335" i="5"/>
  <c r="K335" i="5" s="1"/>
  <c r="F335" i="5"/>
  <c r="E335" i="5"/>
  <c r="R334" i="5"/>
  <c r="K334" i="5" s="1"/>
  <c r="F334" i="5"/>
  <c r="E334" i="5"/>
  <c r="R333" i="5"/>
  <c r="K333" i="5" s="1"/>
  <c r="F333" i="5"/>
  <c r="E333" i="5"/>
  <c r="R332" i="5"/>
  <c r="K332" i="5" s="1"/>
  <c r="F332" i="5"/>
  <c r="E332" i="5"/>
  <c r="R331" i="5"/>
  <c r="K331" i="5" s="1"/>
  <c r="F331" i="5"/>
  <c r="E331" i="5"/>
  <c r="R330" i="5"/>
  <c r="K330" i="5" s="1"/>
  <c r="F330" i="5"/>
  <c r="E330" i="5"/>
  <c r="R329" i="5"/>
  <c r="K329" i="5" s="1"/>
  <c r="F329" i="5"/>
  <c r="E329" i="5"/>
  <c r="R328" i="5"/>
  <c r="K328" i="5" s="1"/>
  <c r="F328" i="5"/>
  <c r="E328" i="5"/>
  <c r="R327" i="5"/>
  <c r="K327" i="5" s="1"/>
  <c r="F327" i="5"/>
  <c r="E327" i="5"/>
  <c r="R326" i="5"/>
  <c r="K326" i="5" s="1"/>
  <c r="F326" i="5"/>
  <c r="E326" i="5"/>
  <c r="R325" i="5"/>
  <c r="K325" i="5" s="1"/>
  <c r="F325" i="5"/>
  <c r="E325" i="5"/>
  <c r="R324" i="5"/>
  <c r="K324" i="5" s="1"/>
  <c r="F324" i="5"/>
  <c r="E324" i="5"/>
  <c r="R323" i="5"/>
  <c r="K323" i="5" s="1"/>
  <c r="F323" i="5"/>
  <c r="E323" i="5"/>
  <c r="R322" i="5"/>
  <c r="K322" i="5" s="1"/>
  <c r="F322" i="5"/>
  <c r="E322" i="5"/>
  <c r="R321" i="5"/>
  <c r="K321" i="5" s="1"/>
  <c r="F321" i="5"/>
  <c r="E321" i="5"/>
  <c r="R320" i="5"/>
  <c r="K320" i="5" s="1"/>
  <c r="F320" i="5"/>
  <c r="E320" i="5"/>
  <c r="R319" i="5"/>
  <c r="K319" i="5"/>
  <c r="AW10" i="1" s="1"/>
  <c r="F319" i="5"/>
  <c r="E319" i="5"/>
  <c r="R318" i="5"/>
  <c r="K318" i="5"/>
  <c r="F318" i="5"/>
  <c r="E318" i="5"/>
  <c r="R317" i="5"/>
  <c r="K317" i="5"/>
  <c r="F317" i="5"/>
  <c r="E317" i="5"/>
  <c r="R316" i="5"/>
  <c r="K316" i="5" s="1"/>
  <c r="F316" i="5"/>
  <c r="E316" i="5"/>
  <c r="R315" i="5"/>
  <c r="K315" i="5" s="1"/>
  <c r="F315" i="5"/>
  <c r="E315" i="5"/>
  <c r="R314" i="5"/>
  <c r="K314" i="5" s="1"/>
  <c r="F314" i="5"/>
  <c r="E314" i="5"/>
  <c r="R313" i="5"/>
  <c r="K313" i="5" s="1"/>
  <c r="F313" i="5"/>
  <c r="E313" i="5"/>
  <c r="R312" i="5"/>
  <c r="K312" i="5"/>
  <c r="F312" i="5"/>
  <c r="E312" i="5"/>
  <c r="R311" i="5"/>
  <c r="K311" i="5"/>
  <c r="F311" i="5"/>
  <c r="E311" i="5"/>
  <c r="R310" i="5"/>
  <c r="K310" i="5" s="1"/>
  <c r="F310" i="5"/>
  <c r="E310" i="5"/>
  <c r="R309" i="5"/>
  <c r="K309" i="5" s="1"/>
  <c r="F309" i="5"/>
  <c r="E309" i="5"/>
  <c r="R308" i="5"/>
  <c r="K308" i="5"/>
  <c r="F308" i="5"/>
  <c r="E308" i="5"/>
  <c r="R307" i="5"/>
  <c r="K307" i="5" s="1"/>
  <c r="F307" i="5"/>
  <c r="E307" i="5"/>
  <c r="R306" i="5"/>
  <c r="K306" i="5"/>
  <c r="F306" i="5"/>
  <c r="E306" i="5"/>
  <c r="R305" i="5"/>
  <c r="K305" i="5"/>
  <c r="F305" i="5"/>
  <c r="E305" i="5"/>
  <c r="R304" i="5"/>
  <c r="K304" i="5"/>
  <c r="F304" i="5"/>
  <c r="E304" i="5"/>
  <c r="R303" i="5"/>
  <c r="K303" i="5"/>
  <c r="F303" i="5"/>
  <c r="E303" i="5"/>
  <c r="R302" i="5"/>
  <c r="K302" i="5"/>
  <c r="F302" i="5"/>
  <c r="E302" i="5"/>
  <c r="R301" i="5"/>
  <c r="K301" i="5" s="1"/>
  <c r="F301" i="5"/>
  <c r="E301" i="5"/>
  <c r="R300" i="5"/>
  <c r="K300" i="5" s="1"/>
  <c r="F300" i="5"/>
  <c r="E300" i="5"/>
  <c r="R299" i="5"/>
  <c r="K299" i="5" s="1"/>
  <c r="F299" i="5"/>
  <c r="E299" i="5"/>
  <c r="R298" i="5"/>
  <c r="K298" i="5" s="1"/>
  <c r="F298" i="5"/>
  <c r="E298" i="5"/>
  <c r="R297" i="5"/>
  <c r="K297" i="5" s="1"/>
  <c r="F297" i="5"/>
  <c r="E297" i="5"/>
  <c r="R296" i="5"/>
  <c r="K296" i="5"/>
  <c r="F296" i="5"/>
  <c r="E296" i="5"/>
  <c r="R295" i="5"/>
  <c r="K295" i="5"/>
  <c r="F295" i="5"/>
  <c r="E295" i="5"/>
  <c r="R294" i="5"/>
  <c r="K294" i="5"/>
  <c r="F294" i="5"/>
  <c r="E294" i="5"/>
  <c r="R293" i="5"/>
  <c r="K293" i="5" s="1"/>
  <c r="F293" i="5"/>
  <c r="E293" i="5"/>
  <c r="R292" i="5"/>
  <c r="K292" i="5"/>
  <c r="F292" i="5"/>
  <c r="E292" i="5"/>
  <c r="R291" i="5"/>
  <c r="K291" i="5"/>
  <c r="F291" i="5"/>
  <c r="E291" i="5"/>
  <c r="R290" i="5"/>
  <c r="K290" i="5"/>
  <c r="F290" i="5"/>
  <c r="E290" i="5"/>
  <c r="R289" i="5"/>
  <c r="K289" i="5"/>
  <c r="F289" i="5"/>
  <c r="E289" i="5"/>
  <c r="R288" i="5"/>
  <c r="K288" i="5"/>
  <c r="F288" i="5"/>
  <c r="E288" i="5"/>
  <c r="R287" i="5"/>
  <c r="K287" i="5" s="1"/>
  <c r="F287" i="5"/>
  <c r="E287" i="5"/>
  <c r="R286" i="5"/>
  <c r="K286" i="5" s="1"/>
  <c r="F286" i="5"/>
  <c r="E286" i="5"/>
  <c r="R285" i="5"/>
  <c r="K285" i="5" s="1"/>
  <c r="F285" i="5"/>
  <c r="E285" i="5"/>
  <c r="R284" i="5"/>
  <c r="K284" i="5"/>
  <c r="F284" i="5"/>
  <c r="E284" i="5"/>
  <c r="C284" i="5" s="1"/>
  <c r="D284" i="5" s="1"/>
  <c r="D285" i="5" s="1"/>
  <c r="D286" i="5" s="1"/>
  <c r="D287" i="5" s="1"/>
  <c r="D288" i="5" s="1"/>
  <c r="D289" i="5" s="1"/>
  <c r="D290" i="5" s="1"/>
  <c r="D291" i="5" s="1"/>
  <c r="D292" i="5" s="1"/>
  <c r="D293" i="5" s="1"/>
  <c r="D294" i="5" s="1"/>
  <c r="D295" i="5" s="1"/>
  <c r="D296" i="5" s="1"/>
  <c r="D297" i="5" s="1"/>
  <c r="D298" i="5" s="1"/>
  <c r="D299" i="5" s="1"/>
  <c r="D300" i="5" s="1"/>
  <c r="D301" i="5" s="1"/>
  <c r="D302" i="5" s="1"/>
  <c r="D303" i="5" s="1"/>
  <c r="D304" i="5" s="1"/>
  <c r="D305" i="5" s="1"/>
  <c r="D306" i="5" s="1"/>
  <c r="D307" i="5" s="1"/>
  <c r="D308" i="5" s="1"/>
  <c r="D309" i="5" s="1"/>
  <c r="D310" i="5" s="1"/>
  <c r="D311" i="5" s="1"/>
  <c r="D312" i="5" s="1"/>
  <c r="D313" i="5" s="1"/>
  <c r="D314" i="5" s="1"/>
  <c r="D315" i="5" s="1"/>
  <c r="D316" i="5" s="1"/>
  <c r="R283" i="5"/>
  <c r="K283" i="5" s="1"/>
  <c r="F283" i="5"/>
  <c r="E283" i="5"/>
  <c r="R282" i="5"/>
  <c r="K282" i="5" s="1"/>
  <c r="F282" i="5"/>
  <c r="E282" i="5"/>
  <c r="R281" i="5"/>
  <c r="K281" i="5" s="1"/>
  <c r="F281" i="5"/>
  <c r="E281" i="5"/>
  <c r="R280" i="5"/>
  <c r="K280" i="5" s="1"/>
  <c r="F280" i="5"/>
  <c r="E280" i="5"/>
  <c r="R279" i="5"/>
  <c r="K279" i="5" s="1"/>
  <c r="F279" i="5"/>
  <c r="E279" i="5"/>
  <c r="R278" i="5"/>
  <c r="K278" i="5" s="1"/>
  <c r="F278" i="5"/>
  <c r="E278" i="5"/>
  <c r="R277" i="5"/>
  <c r="K277" i="5" s="1"/>
  <c r="F277" i="5"/>
  <c r="E277" i="5"/>
  <c r="R276" i="5"/>
  <c r="K276" i="5" s="1"/>
  <c r="AW3" i="3" s="1"/>
  <c r="F276" i="5"/>
  <c r="E276" i="5"/>
  <c r="R275" i="5"/>
  <c r="K275" i="5" s="1"/>
  <c r="AW4" i="3" s="1"/>
  <c r="F275" i="5"/>
  <c r="E275" i="5"/>
  <c r="R274" i="5"/>
  <c r="K274" i="5" s="1"/>
  <c r="AW5" i="3" s="1"/>
  <c r="F274" i="5"/>
  <c r="E274" i="5"/>
  <c r="R273" i="5"/>
  <c r="K273" i="5" s="1"/>
  <c r="F273" i="5"/>
  <c r="E273" i="5"/>
  <c r="R272" i="5"/>
  <c r="K272" i="5" s="1"/>
  <c r="AW7" i="3" s="1"/>
  <c r="F272" i="5"/>
  <c r="E272" i="5"/>
  <c r="R271" i="5"/>
  <c r="K271" i="5" s="1"/>
  <c r="F271" i="5"/>
  <c r="E271" i="5"/>
  <c r="R270" i="5"/>
  <c r="K270" i="5" s="1"/>
  <c r="F270" i="5"/>
  <c r="E270" i="5"/>
  <c r="R269" i="5"/>
  <c r="K269" i="5" s="1"/>
  <c r="F269" i="5"/>
  <c r="E269" i="5"/>
  <c r="R268" i="5"/>
  <c r="K268" i="5" s="1"/>
  <c r="F268" i="5"/>
  <c r="E268" i="5"/>
  <c r="R267" i="5"/>
  <c r="K267" i="5" s="1"/>
  <c r="F267" i="5"/>
  <c r="E267" i="5"/>
  <c r="R266" i="5"/>
  <c r="K266" i="5" s="1"/>
  <c r="F266" i="5"/>
  <c r="E266" i="5"/>
  <c r="R265" i="5"/>
  <c r="K265" i="5" s="1"/>
  <c r="F265" i="5"/>
  <c r="E265" i="5"/>
  <c r="R264" i="5"/>
  <c r="K264" i="5" s="1"/>
  <c r="AW6" i="3" s="1"/>
  <c r="F264" i="5"/>
  <c r="E264" i="5"/>
  <c r="R263" i="5"/>
  <c r="K263" i="5" s="1"/>
  <c r="F263" i="5"/>
  <c r="E263" i="5"/>
  <c r="R262" i="5"/>
  <c r="K262" i="5" s="1"/>
  <c r="F262" i="5"/>
  <c r="E262" i="5"/>
  <c r="R261" i="5"/>
  <c r="K261" i="5" s="1"/>
  <c r="F261" i="5"/>
  <c r="E261" i="5"/>
  <c r="R260" i="5"/>
  <c r="K260" i="5" s="1"/>
  <c r="F260" i="5"/>
  <c r="E260" i="5"/>
  <c r="R259" i="5"/>
  <c r="K259" i="5" s="1"/>
  <c r="F259" i="5"/>
  <c r="E259" i="5"/>
  <c r="R258" i="5"/>
  <c r="K258" i="5"/>
  <c r="F258" i="5"/>
  <c r="E258" i="5"/>
  <c r="R257" i="5"/>
  <c r="K257" i="5" s="1"/>
  <c r="F257" i="5"/>
  <c r="E257" i="5"/>
  <c r="R256" i="5"/>
  <c r="K256" i="5" s="1"/>
  <c r="F256" i="5"/>
  <c r="E256" i="5"/>
  <c r="R255" i="5"/>
  <c r="K255" i="5" s="1"/>
  <c r="F255" i="5"/>
  <c r="E255" i="5"/>
  <c r="R254" i="5"/>
  <c r="K254" i="5"/>
  <c r="F254" i="5"/>
  <c r="E254" i="5"/>
  <c r="R253" i="5"/>
  <c r="K253" i="5"/>
  <c r="F253" i="5"/>
  <c r="E253" i="5"/>
  <c r="R252" i="5"/>
  <c r="K252" i="5" s="1"/>
  <c r="F252" i="5"/>
  <c r="E252" i="5"/>
  <c r="R251" i="5"/>
  <c r="K251" i="5" s="1"/>
  <c r="F251" i="5"/>
  <c r="E251" i="5"/>
  <c r="R250" i="5"/>
  <c r="K250" i="5"/>
  <c r="F250" i="5"/>
  <c r="E250" i="5"/>
  <c r="R249" i="5"/>
  <c r="K249" i="5"/>
  <c r="F249" i="5"/>
  <c r="E249" i="5"/>
  <c r="R248" i="5"/>
  <c r="K248" i="5"/>
  <c r="F248" i="5"/>
  <c r="E248" i="5"/>
  <c r="R247" i="5"/>
  <c r="K247" i="5"/>
  <c r="F247" i="5"/>
  <c r="E247" i="5"/>
  <c r="R246" i="5"/>
  <c r="K246" i="5"/>
  <c r="F246" i="5"/>
  <c r="E246" i="5"/>
  <c r="R245" i="5"/>
  <c r="K245" i="5"/>
  <c r="F245" i="5"/>
  <c r="E245" i="5"/>
  <c r="R244" i="5"/>
  <c r="K244" i="5" s="1"/>
  <c r="F244" i="5"/>
  <c r="E244" i="5"/>
  <c r="R243" i="5"/>
  <c r="K243" i="5"/>
  <c r="F243" i="5"/>
  <c r="E243" i="5"/>
  <c r="R242" i="5"/>
  <c r="K242" i="5"/>
  <c r="F242" i="5"/>
  <c r="E242" i="5"/>
  <c r="R241" i="5"/>
  <c r="K241" i="5"/>
  <c r="F241" i="5"/>
  <c r="E241" i="5"/>
  <c r="R240" i="5"/>
  <c r="K240" i="5" s="1"/>
  <c r="F240" i="5"/>
  <c r="E240" i="5"/>
  <c r="R239" i="5"/>
  <c r="K239" i="5" s="1"/>
  <c r="F239" i="5"/>
  <c r="E239" i="5"/>
  <c r="R238" i="5"/>
  <c r="K238" i="5" s="1"/>
  <c r="F238" i="5"/>
  <c r="E238" i="5"/>
  <c r="R237" i="5"/>
  <c r="K237" i="5" s="1"/>
  <c r="F237" i="5"/>
  <c r="E237" i="5"/>
  <c r="R236" i="5"/>
  <c r="K236" i="5" s="1"/>
  <c r="F236" i="5"/>
  <c r="E236" i="5"/>
  <c r="R235" i="5"/>
  <c r="K235" i="5"/>
  <c r="F235" i="5"/>
  <c r="E235" i="5"/>
  <c r="R234" i="5"/>
  <c r="K234" i="5" s="1"/>
  <c r="F234" i="5"/>
  <c r="E234" i="5"/>
  <c r="R233" i="5"/>
  <c r="K233" i="5"/>
  <c r="F233" i="5"/>
  <c r="E233" i="5"/>
  <c r="R232" i="5"/>
  <c r="K232" i="5"/>
  <c r="F232" i="5"/>
  <c r="E232" i="5"/>
  <c r="R231" i="5"/>
  <c r="K231" i="5"/>
  <c r="F231" i="5"/>
  <c r="E231" i="5"/>
  <c r="R230" i="5"/>
  <c r="K230" i="5" s="1"/>
  <c r="F230" i="5"/>
  <c r="E230" i="5"/>
  <c r="R229" i="5"/>
  <c r="K229" i="5"/>
  <c r="F229" i="5"/>
  <c r="E229" i="5"/>
  <c r="R228" i="5"/>
  <c r="K228" i="5"/>
  <c r="F228" i="5"/>
  <c r="E228" i="5"/>
  <c r="R227" i="5"/>
  <c r="K227" i="5"/>
  <c r="F227" i="5"/>
  <c r="E227" i="5"/>
  <c r="R226" i="5"/>
  <c r="K226" i="5"/>
  <c r="F226" i="5"/>
  <c r="E226" i="5"/>
  <c r="R225" i="5"/>
  <c r="K225" i="5"/>
  <c r="F225" i="5"/>
  <c r="E225" i="5"/>
  <c r="R224" i="5"/>
  <c r="K224" i="5"/>
  <c r="F224" i="5"/>
  <c r="E224" i="5"/>
  <c r="R223" i="5"/>
  <c r="K223" i="5"/>
  <c r="F223" i="5"/>
  <c r="E223" i="5"/>
  <c r="R222" i="5"/>
  <c r="K222" i="5"/>
  <c r="F222" i="5"/>
  <c r="E222" i="5"/>
  <c r="R221" i="5"/>
  <c r="K221" i="5"/>
  <c r="F221" i="5"/>
  <c r="E221" i="5"/>
  <c r="R220" i="5"/>
  <c r="K220" i="5" s="1"/>
  <c r="F220" i="5"/>
  <c r="E220" i="5"/>
  <c r="R219" i="5"/>
  <c r="K219" i="5" s="1"/>
  <c r="F219" i="5"/>
  <c r="E219" i="5"/>
  <c r="R218" i="5"/>
  <c r="K218" i="5" s="1"/>
  <c r="F218" i="5"/>
  <c r="E218" i="5"/>
  <c r="R217" i="5"/>
  <c r="K217" i="5" s="1"/>
  <c r="F217" i="5"/>
  <c r="E217" i="5"/>
  <c r="R216" i="5"/>
  <c r="K216" i="5"/>
  <c r="F216" i="5"/>
  <c r="E216" i="5"/>
  <c r="R215" i="5"/>
  <c r="K215" i="5"/>
  <c r="F215" i="5"/>
  <c r="E215" i="5"/>
  <c r="R214" i="5"/>
  <c r="K214" i="5"/>
  <c r="F214" i="5"/>
  <c r="E214" i="5"/>
  <c r="R213" i="5"/>
  <c r="K213" i="5" s="1"/>
  <c r="F213" i="5"/>
  <c r="E213" i="5"/>
  <c r="C214" i="5" s="1"/>
  <c r="D214" i="5" s="1"/>
  <c r="R212" i="5"/>
  <c r="K212" i="5"/>
  <c r="F212" i="5"/>
  <c r="E212" i="5"/>
  <c r="R211" i="5"/>
  <c r="K211" i="5" s="1"/>
  <c r="F211" i="5"/>
  <c r="E211" i="5"/>
  <c r="R210" i="5"/>
  <c r="K210" i="5" s="1"/>
  <c r="F210" i="5"/>
  <c r="E210" i="5"/>
  <c r="R209" i="5"/>
  <c r="K209" i="5" s="1"/>
  <c r="F209" i="5"/>
  <c r="E209" i="5"/>
  <c r="R208" i="5"/>
  <c r="K208" i="5"/>
  <c r="F208" i="5"/>
  <c r="E208" i="5"/>
  <c r="R207" i="5"/>
  <c r="K207" i="5" s="1"/>
  <c r="F207" i="5"/>
  <c r="E207" i="5"/>
  <c r="R206" i="5"/>
  <c r="K206" i="5" s="1"/>
  <c r="F206" i="5"/>
  <c r="E206" i="5"/>
  <c r="R205" i="5"/>
  <c r="K205" i="5" s="1"/>
  <c r="F205" i="5"/>
  <c r="E205" i="5"/>
  <c r="R204" i="5"/>
  <c r="K204" i="5"/>
  <c r="F204" i="5"/>
  <c r="E204" i="5"/>
  <c r="R203" i="5"/>
  <c r="K203" i="5" s="1"/>
  <c r="F203" i="5"/>
  <c r="E203" i="5"/>
  <c r="R202" i="5"/>
  <c r="K202" i="5" s="1"/>
  <c r="F202" i="5"/>
  <c r="E202" i="5"/>
  <c r="R201" i="5"/>
  <c r="K201" i="5" s="1"/>
  <c r="F201" i="5"/>
  <c r="E201" i="5"/>
  <c r="R200" i="5"/>
  <c r="K200" i="5" s="1"/>
  <c r="F200" i="5"/>
  <c r="E200" i="5"/>
  <c r="R199" i="5"/>
  <c r="K199" i="5" s="1"/>
  <c r="F199" i="5"/>
  <c r="E199" i="5"/>
  <c r="R198" i="5"/>
  <c r="K198" i="5"/>
  <c r="F198" i="5"/>
  <c r="E198" i="5"/>
  <c r="R197" i="5"/>
  <c r="K197" i="5" s="1"/>
  <c r="F197" i="5"/>
  <c r="E197" i="5"/>
  <c r="R196" i="5"/>
  <c r="K196" i="5"/>
  <c r="F196" i="5"/>
  <c r="E196" i="5"/>
  <c r="R195" i="5"/>
  <c r="K195" i="5" s="1"/>
  <c r="F195" i="5"/>
  <c r="E195" i="5"/>
  <c r="R194" i="5"/>
  <c r="K194" i="5" s="1"/>
  <c r="F194" i="5"/>
  <c r="E194" i="5"/>
  <c r="R193" i="5"/>
  <c r="K193" i="5" s="1"/>
  <c r="F193" i="5"/>
  <c r="E193" i="5"/>
  <c r="R192" i="5"/>
  <c r="K192" i="5"/>
  <c r="F192" i="5"/>
  <c r="E192" i="5"/>
  <c r="R191" i="5"/>
  <c r="K191" i="5" s="1"/>
  <c r="F191" i="5"/>
  <c r="E191" i="5"/>
  <c r="R190" i="5"/>
  <c r="K190" i="5" s="1"/>
  <c r="F190" i="5"/>
  <c r="E190" i="5"/>
  <c r="R189" i="5"/>
  <c r="K189" i="5" s="1"/>
  <c r="F189" i="5"/>
  <c r="E189" i="5"/>
  <c r="R188" i="5"/>
  <c r="K188" i="5"/>
  <c r="F188" i="5"/>
  <c r="E188" i="5"/>
  <c r="R187" i="5"/>
  <c r="K187" i="5" s="1"/>
  <c r="F187" i="5"/>
  <c r="E187" i="5"/>
  <c r="R186" i="5"/>
  <c r="K186" i="5" s="1"/>
  <c r="F186" i="5"/>
  <c r="E186" i="5"/>
  <c r="R185" i="5"/>
  <c r="K185" i="5" s="1"/>
  <c r="F185" i="5"/>
  <c r="E185" i="5"/>
  <c r="R184" i="5"/>
  <c r="K184" i="5" s="1"/>
  <c r="F184" i="5"/>
  <c r="E184" i="5"/>
  <c r="R183" i="5"/>
  <c r="K183" i="5" s="1"/>
  <c r="F183" i="5"/>
  <c r="E183" i="5"/>
  <c r="R182" i="5"/>
  <c r="K182" i="5"/>
  <c r="F182" i="5"/>
  <c r="E182" i="5"/>
  <c r="R181" i="5"/>
  <c r="K181" i="5" s="1"/>
  <c r="F181" i="5"/>
  <c r="E181" i="5"/>
  <c r="R180" i="5"/>
  <c r="K180" i="5"/>
  <c r="F180" i="5"/>
  <c r="E180" i="5"/>
  <c r="R179" i="5"/>
  <c r="K179" i="5" s="1"/>
  <c r="AW10" i="8" s="1"/>
  <c r="F179" i="5"/>
  <c r="E179" i="5"/>
  <c r="R178" i="5"/>
  <c r="K178" i="5" s="1"/>
  <c r="F178" i="5"/>
  <c r="E178" i="5"/>
  <c r="R177" i="5"/>
  <c r="K177" i="5" s="1"/>
  <c r="F177" i="5"/>
  <c r="E177" i="5"/>
  <c r="R176" i="5"/>
  <c r="K176" i="5"/>
  <c r="F176" i="5"/>
  <c r="E176" i="5"/>
  <c r="R175" i="5"/>
  <c r="K175" i="5"/>
  <c r="F175" i="5"/>
  <c r="E175" i="5"/>
  <c r="R174" i="5"/>
  <c r="K174" i="5"/>
  <c r="F174" i="5"/>
  <c r="E174" i="5"/>
  <c r="R173" i="5"/>
  <c r="K173" i="5" s="1"/>
  <c r="F173" i="5"/>
  <c r="E173" i="5"/>
  <c r="R172" i="5"/>
  <c r="K172" i="5"/>
  <c r="F172" i="5"/>
  <c r="E172" i="5"/>
  <c r="R171" i="5"/>
  <c r="K171" i="5" s="1"/>
  <c r="F171" i="5"/>
  <c r="E171" i="5"/>
  <c r="R170" i="5"/>
  <c r="K170" i="5"/>
  <c r="F170" i="5"/>
  <c r="E170" i="5"/>
  <c r="R169" i="5"/>
  <c r="K169" i="5" s="1"/>
  <c r="F169" i="5"/>
  <c r="E169" i="5"/>
  <c r="R168" i="5"/>
  <c r="K168" i="5"/>
  <c r="F168" i="5"/>
  <c r="E168" i="5"/>
  <c r="R167" i="5"/>
  <c r="K167" i="5" s="1"/>
  <c r="F167" i="5"/>
  <c r="E167" i="5"/>
  <c r="R166" i="5"/>
  <c r="K166" i="5" s="1"/>
  <c r="F166" i="5"/>
  <c r="E166" i="5"/>
  <c r="R165" i="5"/>
  <c r="K165" i="5" s="1"/>
  <c r="F165" i="5"/>
  <c r="E165" i="5"/>
  <c r="R164" i="5"/>
  <c r="K164" i="5"/>
  <c r="F164" i="5"/>
  <c r="E164" i="5"/>
  <c r="R163" i="5"/>
  <c r="K163" i="5" s="1"/>
  <c r="F163" i="5"/>
  <c r="E163" i="5"/>
  <c r="R162" i="5"/>
  <c r="K162" i="5"/>
  <c r="F162" i="5"/>
  <c r="E162" i="5"/>
  <c r="R161" i="5"/>
  <c r="K161" i="5"/>
  <c r="F161" i="5"/>
  <c r="E161" i="5"/>
  <c r="R160" i="5"/>
  <c r="K160" i="5"/>
  <c r="F160" i="5"/>
  <c r="E160" i="5"/>
  <c r="R159" i="5"/>
  <c r="K159" i="5"/>
  <c r="F159" i="5"/>
  <c r="E159" i="5"/>
  <c r="R158" i="5"/>
  <c r="K158" i="5"/>
  <c r="F158" i="5"/>
  <c r="E158" i="5"/>
  <c r="R157" i="5"/>
  <c r="K157" i="5"/>
  <c r="F157" i="5"/>
  <c r="E157" i="5"/>
  <c r="R156" i="5"/>
  <c r="K156" i="5" s="1"/>
  <c r="F156" i="5"/>
  <c r="E156" i="5"/>
  <c r="R155" i="5"/>
  <c r="K155" i="5"/>
  <c r="F155" i="5"/>
  <c r="E155" i="5"/>
  <c r="R154" i="5"/>
  <c r="K154" i="5" s="1"/>
  <c r="F154" i="5"/>
  <c r="E154" i="5"/>
  <c r="R153" i="5"/>
  <c r="K153" i="5" s="1"/>
  <c r="F153" i="5"/>
  <c r="E153" i="5"/>
  <c r="R152" i="5"/>
  <c r="K152" i="5"/>
  <c r="F152" i="5"/>
  <c r="E152" i="5"/>
  <c r="R151" i="5"/>
  <c r="K151" i="5" s="1"/>
  <c r="F151" i="5"/>
  <c r="E151" i="5"/>
  <c r="R150" i="5"/>
  <c r="K150" i="5"/>
  <c r="F150" i="5"/>
  <c r="E150" i="5"/>
  <c r="R149" i="5"/>
  <c r="K149" i="5" s="1"/>
  <c r="F149" i="5"/>
  <c r="E149" i="5"/>
  <c r="R148" i="5"/>
  <c r="K148" i="5"/>
  <c r="F148" i="5"/>
  <c r="E148" i="5"/>
  <c r="R147" i="5"/>
  <c r="K147" i="5"/>
  <c r="F147" i="5"/>
  <c r="E147" i="5"/>
  <c r="R146" i="5"/>
  <c r="K146" i="5"/>
  <c r="F146" i="5"/>
  <c r="E146" i="5"/>
  <c r="R145" i="5"/>
  <c r="K145" i="5" s="1"/>
  <c r="F145" i="5"/>
  <c r="E145" i="5"/>
  <c r="R144" i="5"/>
  <c r="K144" i="5" s="1"/>
  <c r="F144" i="5"/>
  <c r="E144" i="5"/>
  <c r="R143" i="5"/>
  <c r="K143" i="5"/>
  <c r="F143" i="5"/>
  <c r="E143" i="5"/>
  <c r="R142" i="5"/>
  <c r="K142" i="5"/>
  <c r="F142" i="5"/>
  <c r="E142" i="5"/>
  <c r="R141" i="5"/>
  <c r="K141" i="5" s="1"/>
  <c r="F141" i="5"/>
  <c r="E141" i="5"/>
  <c r="R140" i="5"/>
  <c r="K140" i="5"/>
  <c r="F140" i="5"/>
  <c r="E140" i="5"/>
  <c r="R139" i="5"/>
  <c r="K139" i="5"/>
  <c r="F139" i="5"/>
  <c r="E139" i="5"/>
  <c r="R138" i="5"/>
  <c r="K138" i="5"/>
  <c r="F138" i="5"/>
  <c r="E138" i="5"/>
  <c r="R137" i="5"/>
  <c r="K137" i="5"/>
  <c r="F137" i="5"/>
  <c r="E137" i="5"/>
  <c r="R136" i="5"/>
  <c r="K136" i="5" s="1"/>
  <c r="F136" i="5"/>
  <c r="E136" i="5"/>
  <c r="R135" i="5"/>
  <c r="K135" i="5" s="1"/>
  <c r="F135" i="5"/>
  <c r="E135" i="5"/>
  <c r="R134" i="5"/>
  <c r="K134" i="5"/>
  <c r="F134" i="5"/>
  <c r="E134" i="5"/>
  <c r="R133" i="5"/>
  <c r="K133" i="5" s="1"/>
  <c r="F133" i="5"/>
  <c r="E133" i="5"/>
  <c r="R132" i="5"/>
  <c r="K132" i="5" s="1"/>
  <c r="F132" i="5"/>
  <c r="E132" i="5"/>
  <c r="R131" i="5"/>
  <c r="K131" i="5" s="1"/>
  <c r="AW9" i="8" s="1"/>
  <c r="F131" i="5"/>
  <c r="E131" i="5"/>
  <c r="R130" i="5"/>
  <c r="K130" i="5" s="1"/>
  <c r="AW4" i="8" s="1"/>
  <c r="F130" i="5"/>
  <c r="E130" i="5"/>
  <c r="R129" i="5"/>
  <c r="K129" i="5" s="1"/>
  <c r="AW6" i="7" s="1"/>
  <c r="F129" i="5"/>
  <c r="E129" i="5"/>
  <c r="R128" i="5"/>
  <c r="K128" i="5" s="1"/>
  <c r="F128" i="5"/>
  <c r="E128" i="5"/>
  <c r="R127" i="5"/>
  <c r="K127" i="5" s="1"/>
  <c r="AW10" i="7" s="1"/>
  <c r="F127" i="5"/>
  <c r="E127" i="5"/>
  <c r="R126" i="5"/>
  <c r="K126" i="5" s="1"/>
  <c r="AW8" i="7" s="1"/>
  <c r="F126" i="5"/>
  <c r="E126" i="5"/>
  <c r="R125" i="5"/>
  <c r="K125" i="5" s="1"/>
  <c r="AW5" i="7" s="1"/>
  <c r="F125" i="5"/>
  <c r="E125" i="5"/>
  <c r="R124" i="5"/>
  <c r="K124" i="5" s="1"/>
  <c r="F124" i="5"/>
  <c r="E124" i="5"/>
  <c r="R123" i="5"/>
  <c r="K123" i="5" s="1"/>
  <c r="F123" i="5"/>
  <c r="E123" i="5"/>
  <c r="R122" i="5"/>
  <c r="K122" i="5" s="1"/>
  <c r="F122" i="5"/>
  <c r="E122" i="5"/>
  <c r="R121" i="5"/>
  <c r="K121" i="5" s="1"/>
  <c r="F121" i="5"/>
  <c r="E121" i="5"/>
  <c r="R120" i="5"/>
  <c r="K120" i="5" s="1"/>
  <c r="F120" i="5"/>
  <c r="E120" i="5"/>
  <c r="R119" i="5"/>
  <c r="K119" i="5" s="1"/>
  <c r="F119" i="5"/>
  <c r="E119" i="5"/>
  <c r="R118" i="5"/>
  <c r="K118" i="5"/>
  <c r="AW12" i="8" s="1"/>
  <c r="F118" i="5"/>
  <c r="E118" i="5"/>
  <c r="R117" i="5"/>
  <c r="K117" i="5" s="1"/>
  <c r="F117" i="5"/>
  <c r="E117" i="5"/>
  <c r="R116" i="5"/>
  <c r="K116" i="5" s="1"/>
  <c r="F116" i="5"/>
  <c r="E116" i="5"/>
  <c r="R115" i="5"/>
  <c r="K115" i="5" s="1"/>
  <c r="F115" i="5"/>
  <c r="E115" i="5"/>
  <c r="R114" i="5"/>
  <c r="K114" i="5"/>
  <c r="AW5" i="8" s="1"/>
  <c r="F114" i="5"/>
  <c r="E114" i="5"/>
  <c r="R113" i="5"/>
  <c r="K113" i="5" s="1"/>
  <c r="F113" i="5"/>
  <c r="E113" i="5"/>
  <c r="R112" i="5"/>
  <c r="K112" i="5" s="1"/>
  <c r="F112" i="5"/>
  <c r="E112" i="5"/>
  <c r="R111" i="5"/>
  <c r="K111" i="5" s="1"/>
  <c r="F111" i="5"/>
  <c r="E111" i="5"/>
  <c r="R110" i="5"/>
  <c r="K110" i="5"/>
  <c r="AW8" i="8" s="1"/>
  <c r="F110" i="5"/>
  <c r="E110" i="5"/>
  <c r="R109" i="5"/>
  <c r="K109" i="5" s="1"/>
  <c r="AW3" i="7" s="1"/>
  <c r="C79" i="7" s="1"/>
  <c r="D79" i="7" s="1"/>
  <c r="E85" i="7" s="1"/>
  <c r="F109" i="5"/>
  <c r="E109" i="5"/>
  <c r="R108" i="5"/>
  <c r="K108" i="5" s="1"/>
  <c r="AW7" i="8" s="1"/>
  <c r="F108" i="5"/>
  <c r="E108" i="5"/>
  <c r="R107" i="5"/>
  <c r="K107" i="5" s="1"/>
  <c r="F107" i="5"/>
  <c r="E107" i="5"/>
  <c r="R106" i="5"/>
  <c r="K106" i="5"/>
  <c r="F106" i="5"/>
  <c r="E106" i="5"/>
  <c r="R105" i="5"/>
  <c r="K105" i="5" s="1"/>
  <c r="AW4" i="7" s="1"/>
  <c r="C164" i="7" s="1"/>
  <c r="D164" i="7" s="1"/>
  <c r="E170" i="7" s="1"/>
  <c r="F105" i="5"/>
  <c r="E105" i="5"/>
  <c r="R104" i="5"/>
  <c r="K104" i="5" s="1"/>
  <c r="AW6" i="8" s="1"/>
  <c r="F104" i="5"/>
  <c r="E104" i="5"/>
  <c r="R103" i="5"/>
  <c r="K103" i="5" s="1"/>
  <c r="F103" i="5"/>
  <c r="E103" i="5"/>
  <c r="R102" i="5"/>
  <c r="K102" i="5" s="1"/>
  <c r="F102" i="5"/>
  <c r="E102" i="5"/>
  <c r="R101" i="5"/>
  <c r="K101" i="5" s="1"/>
  <c r="F101" i="5"/>
  <c r="E101" i="5"/>
  <c r="R100" i="5"/>
  <c r="K100" i="5"/>
  <c r="F100" i="5"/>
  <c r="E100" i="5"/>
  <c r="R99" i="5"/>
  <c r="K99" i="5" s="1"/>
  <c r="AW7" i="7" s="1"/>
  <c r="C81" i="7" s="1"/>
  <c r="D85" i="7" s="1"/>
  <c r="F99" i="5"/>
  <c r="E99" i="5"/>
  <c r="R98" i="5"/>
  <c r="K98" i="5" s="1"/>
  <c r="AW9" i="7" s="1"/>
  <c r="F98" i="5"/>
  <c r="E98" i="5"/>
  <c r="R97" i="5"/>
  <c r="K97" i="5" s="1"/>
  <c r="F97" i="5"/>
  <c r="E97" i="5"/>
  <c r="R96" i="5"/>
  <c r="K96" i="5" s="1"/>
  <c r="F96" i="5"/>
  <c r="E96" i="5"/>
  <c r="R95" i="5"/>
  <c r="K95" i="5" s="1"/>
  <c r="F95" i="5"/>
  <c r="E95" i="5"/>
  <c r="R94" i="5"/>
  <c r="K94" i="5" s="1"/>
  <c r="AW11" i="8" s="1"/>
  <c r="F94" i="5"/>
  <c r="E94" i="5"/>
  <c r="R93" i="5"/>
  <c r="K93" i="5"/>
  <c r="AW3" i="8" s="1"/>
  <c r="F93" i="5"/>
  <c r="E93" i="5"/>
  <c r="R92" i="5"/>
  <c r="K92" i="5" s="1"/>
  <c r="F92" i="5"/>
  <c r="E92" i="5"/>
  <c r="R91" i="5"/>
  <c r="K91" i="5" s="1"/>
  <c r="F91" i="5"/>
  <c r="E91" i="5"/>
  <c r="R90" i="5"/>
  <c r="K90" i="5" s="1"/>
  <c r="F90" i="5"/>
  <c r="E90" i="5"/>
  <c r="R89" i="5"/>
  <c r="K89" i="5"/>
  <c r="F89" i="5"/>
  <c r="E89" i="5"/>
  <c r="R88" i="5"/>
  <c r="K88" i="5" s="1"/>
  <c r="F88" i="5"/>
  <c r="E88" i="5"/>
  <c r="R87" i="5"/>
  <c r="K87" i="5"/>
  <c r="F87" i="5"/>
  <c r="E87" i="5"/>
  <c r="R86" i="5"/>
  <c r="K86" i="5" s="1"/>
  <c r="F86" i="5"/>
  <c r="E86" i="5"/>
  <c r="R85" i="5"/>
  <c r="K85" i="5"/>
  <c r="F85" i="5"/>
  <c r="E85" i="5"/>
  <c r="R84" i="5"/>
  <c r="K84" i="5" s="1"/>
  <c r="F84" i="5"/>
  <c r="E84" i="5"/>
  <c r="R83" i="5"/>
  <c r="K83" i="5"/>
  <c r="F83" i="5"/>
  <c r="E83" i="5"/>
  <c r="R82" i="5"/>
  <c r="K82" i="5" s="1"/>
  <c r="F82" i="5"/>
  <c r="E82" i="5"/>
  <c r="R81" i="5"/>
  <c r="K81" i="5" s="1"/>
  <c r="F81" i="5"/>
  <c r="E81" i="5"/>
  <c r="R80" i="5"/>
  <c r="K80" i="5" s="1"/>
  <c r="F80" i="5"/>
  <c r="E80" i="5"/>
  <c r="R79" i="5"/>
  <c r="K79" i="5"/>
  <c r="F79" i="5"/>
  <c r="E79" i="5"/>
  <c r="R78" i="5"/>
  <c r="K78" i="5"/>
  <c r="F78" i="5"/>
  <c r="E78" i="5"/>
  <c r="R77" i="5"/>
  <c r="K77" i="5"/>
  <c r="F77" i="5"/>
  <c r="E77" i="5"/>
  <c r="R76" i="5"/>
  <c r="K76" i="5" s="1"/>
  <c r="F76" i="5"/>
  <c r="E76" i="5"/>
  <c r="R75" i="5"/>
  <c r="K75" i="5"/>
  <c r="F75" i="5"/>
  <c r="E75" i="5"/>
  <c r="R74" i="5"/>
  <c r="K74" i="5" s="1"/>
  <c r="F74" i="5"/>
  <c r="E74" i="5"/>
  <c r="R73" i="5"/>
  <c r="K73" i="5" s="1"/>
  <c r="F73" i="5"/>
  <c r="E73" i="5"/>
  <c r="R72" i="5"/>
  <c r="K72" i="5" s="1"/>
  <c r="F72" i="5"/>
  <c r="E72" i="5"/>
  <c r="R71" i="5"/>
  <c r="K71" i="5"/>
  <c r="F71" i="5"/>
  <c r="E71" i="5"/>
  <c r="R70" i="5"/>
  <c r="K70" i="5"/>
  <c r="F70" i="5"/>
  <c r="E70" i="5"/>
  <c r="R69" i="5"/>
  <c r="K69" i="5"/>
  <c r="F69" i="5"/>
  <c r="E69" i="5"/>
  <c r="R68" i="5"/>
  <c r="K68" i="5"/>
  <c r="F68" i="5"/>
  <c r="E68" i="5"/>
  <c r="R67" i="5"/>
  <c r="K67" i="5"/>
  <c r="F67" i="5"/>
  <c r="E67" i="5"/>
  <c r="R66" i="5"/>
  <c r="K66" i="5" s="1"/>
  <c r="F66" i="5"/>
  <c r="E66" i="5"/>
  <c r="R65" i="5"/>
  <c r="K65" i="5"/>
  <c r="F65" i="5"/>
  <c r="E65" i="5"/>
  <c r="R64" i="5"/>
  <c r="K64" i="5"/>
  <c r="F64" i="5"/>
  <c r="E64" i="5"/>
  <c r="R63" i="5"/>
  <c r="K63" i="5"/>
  <c r="F63" i="5"/>
  <c r="E63" i="5"/>
  <c r="C63" i="5"/>
  <c r="D63" i="5" s="1"/>
  <c r="R62" i="5"/>
  <c r="K62" i="5" s="1"/>
  <c r="F62" i="5"/>
  <c r="E62" i="5"/>
  <c r="R61" i="5"/>
  <c r="K61" i="5"/>
  <c r="F61" i="5"/>
  <c r="E61" i="5"/>
  <c r="R60" i="5"/>
  <c r="K60" i="5" s="1"/>
  <c r="F60" i="5"/>
  <c r="E60" i="5"/>
  <c r="R59" i="5"/>
  <c r="K59" i="5"/>
  <c r="F59" i="5"/>
  <c r="E59" i="5"/>
  <c r="R58" i="5"/>
  <c r="K58" i="5" s="1"/>
  <c r="F58" i="5"/>
  <c r="E58" i="5"/>
  <c r="R57" i="5"/>
  <c r="K57" i="5"/>
  <c r="F57" i="5"/>
  <c r="E57" i="5"/>
  <c r="R56" i="5"/>
  <c r="K56" i="5" s="1"/>
  <c r="F56" i="5"/>
  <c r="E56" i="5"/>
  <c r="R55" i="5"/>
  <c r="K55" i="5" s="1"/>
  <c r="F55" i="5"/>
  <c r="E55" i="5"/>
  <c r="R54" i="5"/>
  <c r="K54" i="5" s="1"/>
  <c r="F54" i="5"/>
  <c r="E54" i="5"/>
  <c r="R53" i="5"/>
  <c r="K53" i="5" s="1"/>
  <c r="F53" i="5"/>
  <c r="E53" i="5"/>
  <c r="R52" i="5"/>
  <c r="K52" i="5" s="1"/>
  <c r="F52" i="5"/>
  <c r="E52" i="5"/>
  <c r="R51" i="5"/>
  <c r="K51" i="5"/>
  <c r="F51" i="5"/>
  <c r="E51" i="5"/>
  <c r="R50" i="5"/>
  <c r="K50" i="5" s="1"/>
  <c r="F50" i="5"/>
  <c r="E50" i="5"/>
  <c r="R49" i="5"/>
  <c r="K49" i="5" s="1"/>
  <c r="F49" i="5"/>
  <c r="E49" i="5"/>
  <c r="R48" i="5"/>
  <c r="K48" i="5" s="1"/>
  <c r="AW6" i="6" s="1"/>
  <c r="F48" i="5"/>
  <c r="E48" i="5"/>
  <c r="R47" i="5"/>
  <c r="K47" i="5"/>
  <c r="F47" i="5"/>
  <c r="E47" i="5"/>
  <c r="R46" i="5"/>
  <c r="K46" i="5" s="1"/>
  <c r="F46" i="5"/>
  <c r="E46" i="5"/>
  <c r="R45" i="5"/>
  <c r="K45" i="5"/>
  <c r="F45" i="5"/>
  <c r="E45" i="5"/>
  <c r="R44" i="5"/>
  <c r="K44" i="5" s="1"/>
  <c r="F44" i="5"/>
  <c r="E44" i="5"/>
  <c r="R43" i="5"/>
  <c r="K43" i="5"/>
  <c r="AW4" i="6" s="1"/>
  <c r="C164" i="6" s="1"/>
  <c r="F43" i="5"/>
  <c r="E43" i="5"/>
  <c r="R42" i="5"/>
  <c r="K42" i="5" s="1"/>
  <c r="F42" i="5"/>
  <c r="E42" i="5"/>
  <c r="R41" i="5"/>
  <c r="K41" i="5"/>
  <c r="AW8" i="6" s="1"/>
  <c r="F41" i="5"/>
  <c r="E41" i="5"/>
  <c r="R40" i="5"/>
  <c r="K40" i="5" s="1"/>
  <c r="AW10" i="6" s="1"/>
  <c r="F40" i="5"/>
  <c r="E40" i="5"/>
  <c r="R39" i="5"/>
  <c r="K39" i="5" s="1"/>
  <c r="F39" i="5"/>
  <c r="E39" i="5"/>
  <c r="R38" i="5"/>
  <c r="K38" i="5" s="1"/>
  <c r="F38" i="5"/>
  <c r="E38" i="5"/>
  <c r="R37" i="5"/>
  <c r="K37" i="5" s="1"/>
  <c r="AW5" i="6" s="1"/>
  <c r="C165" i="6" s="1"/>
  <c r="B170" i="6" s="1"/>
  <c r="F37" i="5"/>
  <c r="E37" i="5"/>
  <c r="R36" i="5"/>
  <c r="K36" i="5" s="1"/>
  <c r="F36" i="5"/>
  <c r="E36" i="5"/>
  <c r="R35" i="5"/>
  <c r="K35" i="5"/>
  <c r="AW9" i="6" s="1"/>
  <c r="F35" i="5"/>
  <c r="E35" i="5"/>
  <c r="R34" i="5"/>
  <c r="K34" i="5" s="1"/>
  <c r="F34" i="5"/>
  <c r="E34" i="5"/>
  <c r="R33" i="5"/>
  <c r="K33" i="5" s="1"/>
  <c r="F33" i="5"/>
  <c r="E33" i="5"/>
  <c r="R32" i="5"/>
  <c r="K32" i="5" s="1"/>
  <c r="AW11" i="6" s="1"/>
  <c r="F32" i="5"/>
  <c r="E32" i="5"/>
  <c r="R31" i="5"/>
  <c r="K31" i="5"/>
  <c r="F31" i="5"/>
  <c r="E31" i="5"/>
  <c r="R30" i="5"/>
  <c r="K30" i="5" s="1"/>
  <c r="AW12" i="6" s="1"/>
  <c r="F30" i="5"/>
  <c r="E30" i="5"/>
  <c r="R29" i="5"/>
  <c r="K29" i="5"/>
  <c r="AW7" i="6" s="1"/>
  <c r="F29" i="5"/>
  <c r="E29" i="5"/>
  <c r="R28" i="5"/>
  <c r="K28" i="5" s="1"/>
  <c r="F28" i="5"/>
  <c r="E28" i="5"/>
  <c r="R27" i="5"/>
  <c r="K27" i="5"/>
  <c r="F27" i="5"/>
  <c r="E27" i="5"/>
  <c r="R26" i="5"/>
  <c r="K26" i="5" s="1"/>
  <c r="F26" i="5"/>
  <c r="E26" i="5"/>
  <c r="R25" i="5"/>
  <c r="K25" i="5"/>
  <c r="F25" i="5"/>
  <c r="E25" i="5"/>
  <c r="R24" i="5"/>
  <c r="K24" i="5" s="1"/>
  <c r="F24" i="5"/>
  <c r="E24" i="5"/>
  <c r="R23" i="5"/>
  <c r="K23" i="5" s="1"/>
  <c r="F23" i="5"/>
  <c r="E23" i="5"/>
  <c r="R22" i="5"/>
  <c r="K22" i="5" s="1"/>
  <c r="AW3" i="6" s="1"/>
  <c r="F22" i="5"/>
  <c r="E22" i="5"/>
  <c r="R21" i="5"/>
  <c r="K21" i="5" s="1"/>
  <c r="F21" i="5"/>
  <c r="E21" i="5"/>
  <c r="R20" i="5"/>
  <c r="K20" i="5" s="1"/>
  <c r="F20" i="5"/>
  <c r="E20" i="5"/>
  <c r="R19" i="5"/>
  <c r="K19" i="5"/>
  <c r="F19" i="5"/>
  <c r="E19" i="5"/>
  <c r="R18" i="5"/>
  <c r="K18" i="5" s="1"/>
  <c r="F18" i="5"/>
  <c r="E18" i="5"/>
  <c r="R17" i="5"/>
  <c r="K17" i="5" s="1"/>
  <c r="F17" i="5"/>
  <c r="E17" i="5"/>
  <c r="R16" i="5"/>
  <c r="K16" i="5" s="1"/>
  <c r="F16" i="5"/>
  <c r="E16" i="5"/>
  <c r="R15" i="5"/>
  <c r="K15" i="5"/>
  <c r="F15" i="5"/>
  <c r="E15" i="5"/>
  <c r="R14" i="5"/>
  <c r="K14" i="5" s="1"/>
  <c r="F14" i="5"/>
  <c r="E14" i="5"/>
  <c r="R13" i="5"/>
  <c r="K13" i="5"/>
  <c r="F13" i="5"/>
  <c r="E13" i="5"/>
  <c r="R12" i="5"/>
  <c r="K12" i="5"/>
  <c r="F12" i="5"/>
  <c r="E12" i="5"/>
  <c r="R11" i="5"/>
  <c r="K11" i="5"/>
  <c r="F11" i="5"/>
  <c r="E11" i="5"/>
  <c r="R10" i="5"/>
  <c r="K10" i="5" s="1"/>
  <c r="F10" i="5"/>
  <c r="E10" i="5"/>
  <c r="R9" i="5"/>
  <c r="K9" i="5"/>
  <c r="F9" i="5"/>
  <c r="E9" i="5"/>
  <c r="R8" i="5"/>
  <c r="K8" i="5" s="1"/>
  <c r="F8" i="5"/>
  <c r="E8" i="5"/>
  <c r="R7" i="5"/>
  <c r="K7" i="5"/>
  <c r="F7" i="5"/>
  <c r="E7" i="5"/>
  <c r="R6" i="5"/>
  <c r="K6" i="5" s="1"/>
  <c r="F6" i="5"/>
  <c r="E6" i="5"/>
  <c r="R5" i="5"/>
  <c r="K5" i="5" s="1"/>
  <c r="F5" i="5"/>
  <c r="E5" i="5"/>
  <c r="R4" i="5"/>
  <c r="K4" i="5" s="1"/>
  <c r="F4" i="5"/>
  <c r="E4" i="5"/>
  <c r="R3" i="5"/>
  <c r="K3" i="5" s="1"/>
  <c r="F3" i="5"/>
  <c r="E3" i="5"/>
  <c r="R2" i="5"/>
  <c r="K2" i="5" s="1"/>
  <c r="F2" i="5"/>
  <c r="E2" i="5"/>
  <c r="C2" i="5" s="1"/>
  <c r="J232" i="15" l="1"/>
  <c r="J233" i="15" s="1"/>
  <c r="J228" i="15" s="1"/>
  <c r="AU227" i="15" s="1"/>
  <c r="AY5" i="15" s="1"/>
  <c r="AE232" i="15"/>
  <c r="AE233" i="15" s="1"/>
  <c r="AE228" i="15" s="1"/>
  <c r="AU231" i="15" s="1"/>
  <c r="AY8" i="15" s="1"/>
  <c r="AC232" i="15"/>
  <c r="AC233" i="15" s="1"/>
  <c r="AE227" i="15" s="1"/>
  <c r="AU230" i="15" s="1"/>
  <c r="AY6" i="15" s="1"/>
  <c r="H232" i="15"/>
  <c r="H233" i="15" s="1"/>
  <c r="J227" i="15" s="1"/>
  <c r="AU226" i="15" s="1"/>
  <c r="AY3" i="15" s="1"/>
  <c r="AE232" i="14"/>
  <c r="AE233" i="14" s="1"/>
  <c r="AE229" i="14" s="1"/>
  <c r="AU232" i="14" s="1"/>
  <c r="AY7" i="14" s="1"/>
  <c r="AC232" i="14"/>
  <c r="AC233" i="14" s="1"/>
  <c r="AE227" i="14" s="1"/>
  <c r="AU230" i="14" s="1"/>
  <c r="AY11" i="14" s="1"/>
  <c r="J232" i="14"/>
  <c r="J233" i="14" s="1"/>
  <c r="J229" i="14" s="1"/>
  <c r="AU228" i="14" s="1"/>
  <c r="AY3" i="14" s="1"/>
  <c r="H232" i="14"/>
  <c r="H233" i="14" s="1"/>
  <c r="J230" i="14" s="1"/>
  <c r="AU229" i="14" s="1"/>
  <c r="AY4" i="14" s="1"/>
  <c r="AE232" i="13"/>
  <c r="AE233" i="13" s="1"/>
  <c r="AE229" i="13" s="1"/>
  <c r="AU232" i="13" s="1"/>
  <c r="AY7" i="13" s="1"/>
  <c r="J232" i="13"/>
  <c r="J233" i="13" s="1"/>
  <c r="J229" i="13" s="1"/>
  <c r="AU228" i="13" s="1"/>
  <c r="AY6" i="13" s="1"/>
  <c r="AC232" i="13"/>
  <c r="AC233" i="13" s="1"/>
  <c r="AE230" i="13" s="1"/>
  <c r="AU233" i="13" s="1"/>
  <c r="AY5" i="13" s="1"/>
  <c r="H232" i="13"/>
  <c r="H233" i="13" s="1"/>
  <c r="J227" i="13" s="1"/>
  <c r="AU226" i="13" s="1"/>
  <c r="AY3" i="13" s="1"/>
  <c r="G122" i="12"/>
  <c r="G133" i="12" s="1"/>
  <c r="D37" i="12"/>
  <c r="D48" i="12" s="1"/>
  <c r="G37" i="11"/>
  <c r="G49" i="11" s="1"/>
  <c r="AG49" i="11" s="1"/>
  <c r="M14" i="11" s="1"/>
  <c r="AG65" i="11"/>
  <c r="W86" i="11"/>
  <c r="W87" i="11" s="1"/>
  <c r="U37" i="11"/>
  <c r="V37" i="11" s="1"/>
  <c r="R44" i="11"/>
  <c r="T59" i="11" s="1"/>
  <c r="S71" i="11"/>
  <c r="AG151" i="11"/>
  <c r="N37" i="11"/>
  <c r="N48" i="11" s="1"/>
  <c r="M71" i="11"/>
  <c r="L37" i="11" s="1"/>
  <c r="AG149" i="12"/>
  <c r="AB122" i="12"/>
  <c r="AG67" i="11"/>
  <c r="Z122" i="12"/>
  <c r="Z135" i="12" s="1"/>
  <c r="AG135" i="12" s="1"/>
  <c r="M101" i="12" s="1"/>
  <c r="M71" i="12"/>
  <c r="AG66" i="11"/>
  <c r="E122" i="11"/>
  <c r="AD122" i="12"/>
  <c r="N122" i="11"/>
  <c r="N133" i="11" s="1"/>
  <c r="R58" i="9"/>
  <c r="T59" i="9"/>
  <c r="G61" i="9"/>
  <c r="E58" i="9"/>
  <c r="T122" i="9"/>
  <c r="T132" i="9" s="1"/>
  <c r="AG64" i="9"/>
  <c r="D37" i="9"/>
  <c r="D48" i="9" s="1"/>
  <c r="W122" i="9"/>
  <c r="W133" i="9" s="1"/>
  <c r="U44" i="9"/>
  <c r="AB156" i="9"/>
  <c r="V37" i="9"/>
  <c r="AG223" i="9"/>
  <c r="AG198" i="9" s="1"/>
  <c r="AF86" i="9"/>
  <c r="AF87" i="9" s="1"/>
  <c r="G122" i="9"/>
  <c r="G133" i="9" s="1"/>
  <c r="W122" i="10"/>
  <c r="W133" i="10" s="1"/>
  <c r="G122" i="10"/>
  <c r="G133" i="10" s="1"/>
  <c r="AD122" i="10"/>
  <c r="E37" i="10"/>
  <c r="R122" i="10"/>
  <c r="AG223" i="10"/>
  <c r="AG198" i="10" s="1"/>
  <c r="P156" i="10"/>
  <c r="O158" i="10" s="1"/>
  <c r="AG151" i="10"/>
  <c r="I156" i="10"/>
  <c r="N122" i="10"/>
  <c r="N133" i="10" s="1"/>
  <c r="E129" i="10"/>
  <c r="AG153" i="10"/>
  <c r="AB122" i="10"/>
  <c r="E44" i="10"/>
  <c r="AA87" i="9"/>
  <c r="U158" i="12"/>
  <c r="W159" i="12"/>
  <c r="O158" i="11"/>
  <c r="Q159" i="11"/>
  <c r="H73" i="11"/>
  <c r="J75" i="11"/>
  <c r="O60" i="11"/>
  <c r="Q61" i="11"/>
  <c r="AC160" i="12"/>
  <c r="AA159" i="12"/>
  <c r="G61" i="12"/>
  <c r="E58" i="12"/>
  <c r="H59" i="12"/>
  <c r="J61" i="12"/>
  <c r="U144" i="12"/>
  <c r="W145" i="12"/>
  <c r="B59" i="12"/>
  <c r="D60" i="12"/>
  <c r="N60" i="12"/>
  <c r="L58" i="12"/>
  <c r="R143" i="11"/>
  <c r="T144" i="11"/>
  <c r="AD143" i="12"/>
  <c r="AF144" i="12"/>
  <c r="O74" i="11"/>
  <c r="Q75" i="11"/>
  <c r="D60" i="11"/>
  <c r="B59" i="11"/>
  <c r="O158" i="12"/>
  <c r="Q159" i="12"/>
  <c r="Q122" i="12"/>
  <c r="R143" i="12"/>
  <c r="T144" i="12"/>
  <c r="Q61" i="12"/>
  <c r="O60" i="12"/>
  <c r="AA159" i="11"/>
  <c r="AC160" i="11"/>
  <c r="B122" i="12"/>
  <c r="X122" i="12"/>
  <c r="W122" i="12"/>
  <c r="W133" i="12" s="1"/>
  <c r="R122" i="12"/>
  <c r="U86" i="12"/>
  <c r="J144" i="12"/>
  <c r="H143" i="12"/>
  <c r="AC203" i="12"/>
  <c r="AF231" i="12"/>
  <c r="AF233" i="12" s="1"/>
  <c r="G37" i="12"/>
  <c r="G49" i="12" s="1"/>
  <c r="AG49" i="12" s="1"/>
  <c r="M14" i="12" s="1"/>
  <c r="N37" i="12"/>
  <c r="N48" i="12" s="1"/>
  <c r="AF87" i="12"/>
  <c r="O37" i="12"/>
  <c r="AC86" i="12"/>
  <c r="AC87" i="12" s="1"/>
  <c r="T59" i="12"/>
  <c r="R58" i="12"/>
  <c r="M156" i="11"/>
  <c r="AT164" i="11"/>
  <c r="C164" i="11"/>
  <c r="B170" i="11" s="1"/>
  <c r="U129" i="11"/>
  <c r="E96" i="12"/>
  <c r="AB180" i="12" s="1"/>
  <c r="AH211" i="12" s="1"/>
  <c r="B129" i="11"/>
  <c r="J231" i="11"/>
  <c r="J233" i="11" s="1"/>
  <c r="F203" i="11"/>
  <c r="E129" i="11"/>
  <c r="G122" i="11"/>
  <c r="G133" i="11" s="1"/>
  <c r="AF37" i="11"/>
  <c r="E9" i="12"/>
  <c r="R179" i="12" s="1"/>
  <c r="K212" i="12" s="1"/>
  <c r="X37" i="11"/>
  <c r="Y37" i="11" s="1"/>
  <c r="AU9" i="12"/>
  <c r="B212" i="11"/>
  <c r="L122" i="12"/>
  <c r="E132" i="12"/>
  <c r="F122" i="12"/>
  <c r="L72" i="12"/>
  <c r="N74" i="12"/>
  <c r="AF231" i="11"/>
  <c r="AF233" i="11" s="1"/>
  <c r="AC203" i="11"/>
  <c r="B37" i="12"/>
  <c r="I71" i="12"/>
  <c r="Z86" i="12"/>
  <c r="Z87" i="12" s="1"/>
  <c r="O122" i="11"/>
  <c r="B211" i="11"/>
  <c r="AU7" i="12"/>
  <c r="W159" i="11"/>
  <c r="U158" i="11"/>
  <c r="AT82" i="11"/>
  <c r="C82" i="11"/>
  <c r="D82" i="11" s="1"/>
  <c r="G85" i="11" s="1"/>
  <c r="AE37" i="11"/>
  <c r="AF158" i="12"/>
  <c r="AD157" i="12"/>
  <c r="T73" i="12"/>
  <c r="R72" i="12"/>
  <c r="D122" i="12"/>
  <c r="D133" i="12" s="1"/>
  <c r="X86" i="12"/>
  <c r="X87" i="12" s="1"/>
  <c r="H231" i="11"/>
  <c r="H233" i="11" s="1"/>
  <c r="F193" i="11"/>
  <c r="K223" i="11"/>
  <c r="J198" i="11" s="1"/>
  <c r="AA86" i="12"/>
  <c r="AA87" i="12" s="1"/>
  <c r="O144" i="11"/>
  <c r="Q145" i="11"/>
  <c r="AG150" i="11"/>
  <c r="AD122" i="11"/>
  <c r="AF122" i="11"/>
  <c r="AF132" i="11" s="1"/>
  <c r="J61" i="11"/>
  <c r="H59" i="11"/>
  <c r="AU8" i="12"/>
  <c r="Y212" i="11"/>
  <c r="R72" i="11"/>
  <c r="T73" i="11"/>
  <c r="N145" i="11"/>
  <c r="L143" i="11"/>
  <c r="W122" i="11"/>
  <c r="W133" i="11" s="1"/>
  <c r="I156" i="12"/>
  <c r="T158" i="12"/>
  <c r="R157" i="12"/>
  <c r="B157" i="12"/>
  <c r="D159" i="12"/>
  <c r="F203" i="12"/>
  <c r="J231" i="12"/>
  <c r="J233" i="12" s="1"/>
  <c r="G75" i="12"/>
  <c r="E72" i="12"/>
  <c r="W37" i="12"/>
  <c r="Z122" i="11"/>
  <c r="Z135" i="11" s="1"/>
  <c r="AG135" i="11" s="1"/>
  <c r="M101" i="11" s="1"/>
  <c r="X122" i="11"/>
  <c r="AG149" i="11"/>
  <c r="Q122" i="11"/>
  <c r="Q133" i="11" s="1"/>
  <c r="E11" i="12"/>
  <c r="AB179" i="12" s="1"/>
  <c r="AH210" i="12" s="1"/>
  <c r="AT81" i="11"/>
  <c r="C81" i="11"/>
  <c r="D85" i="11" s="1"/>
  <c r="E44" i="11"/>
  <c r="Z86" i="11"/>
  <c r="Z87" i="11" s="1"/>
  <c r="J122" i="11"/>
  <c r="J132" i="11" s="1"/>
  <c r="O37" i="11"/>
  <c r="N122" i="12"/>
  <c r="N133" i="12" s="1"/>
  <c r="AG151" i="12"/>
  <c r="E129" i="12"/>
  <c r="AA129" i="12"/>
  <c r="W86" i="12"/>
  <c r="W87" i="12" s="1"/>
  <c r="AD37" i="12"/>
  <c r="AE37" i="12" s="1"/>
  <c r="AD86" i="12"/>
  <c r="AD87" i="12" s="1"/>
  <c r="B73" i="12"/>
  <c r="D74" i="12"/>
  <c r="B157" i="11"/>
  <c r="D159" i="11"/>
  <c r="AC193" i="11"/>
  <c r="AF230" i="11"/>
  <c r="AU233" i="11" s="1"/>
  <c r="Z147" i="11"/>
  <c r="AG147" i="11" s="1"/>
  <c r="AA101" i="11" s="1"/>
  <c r="X143" i="11"/>
  <c r="Y211" i="11"/>
  <c r="AU5" i="12"/>
  <c r="B122" i="11"/>
  <c r="E13" i="12"/>
  <c r="H179" i="12" s="1"/>
  <c r="K210" i="12" s="1"/>
  <c r="H37" i="11"/>
  <c r="AU4" i="12"/>
  <c r="Y210" i="11"/>
  <c r="E98" i="12"/>
  <c r="R180" i="12" s="1"/>
  <c r="K213" i="12" s="1"/>
  <c r="F71" i="11"/>
  <c r="E37" i="11" s="1"/>
  <c r="X86" i="11"/>
  <c r="X87" i="11" s="1"/>
  <c r="V122" i="12"/>
  <c r="U132" i="12"/>
  <c r="AF122" i="12"/>
  <c r="AF132" i="12" s="1"/>
  <c r="O129" i="12"/>
  <c r="X143" i="12"/>
  <c r="Z147" i="12"/>
  <c r="AG147" i="12" s="1"/>
  <c r="AA101" i="12" s="1"/>
  <c r="AG64" i="12"/>
  <c r="F193" i="12"/>
  <c r="H231" i="12"/>
  <c r="H233" i="12" s="1"/>
  <c r="E158" i="12"/>
  <c r="G159" i="12"/>
  <c r="R37" i="12"/>
  <c r="U87" i="12"/>
  <c r="H129" i="11"/>
  <c r="C166" i="11"/>
  <c r="D170" i="11" s="1"/>
  <c r="AT166" i="11"/>
  <c r="AE156" i="11"/>
  <c r="AG223" i="11"/>
  <c r="AG198" i="11" s="1"/>
  <c r="AC122" i="11"/>
  <c r="AC134" i="11" s="1"/>
  <c r="AG134" i="11" s="1"/>
  <c r="M99" i="11" s="1"/>
  <c r="R122" i="11"/>
  <c r="N74" i="11"/>
  <c r="L72" i="11"/>
  <c r="AT80" i="11"/>
  <c r="C80" i="11"/>
  <c r="B85" i="11" s="1"/>
  <c r="E15" i="12"/>
  <c r="AL179" i="12" s="1"/>
  <c r="AH212" i="12" s="1"/>
  <c r="T37" i="11"/>
  <c r="Y156" i="12"/>
  <c r="H122" i="12"/>
  <c r="B143" i="12"/>
  <c r="D145" i="12"/>
  <c r="N145" i="12"/>
  <c r="L143" i="12"/>
  <c r="L46" i="12"/>
  <c r="M37" i="12"/>
  <c r="V37" i="12"/>
  <c r="E37" i="12"/>
  <c r="Q75" i="12"/>
  <c r="O74" i="12"/>
  <c r="H131" i="11"/>
  <c r="I122" i="11"/>
  <c r="AU6" i="12"/>
  <c r="B213" i="11"/>
  <c r="E158" i="11"/>
  <c r="G159" i="11"/>
  <c r="U132" i="11"/>
  <c r="V122" i="11"/>
  <c r="R157" i="11"/>
  <c r="T158" i="11"/>
  <c r="L122" i="11"/>
  <c r="AG64" i="11"/>
  <c r="L44" i="11"/>
  <c r="AU3" i="12"/>
  <c r="B210" i="11"/>
  <c r="E94" i="12"/>
  <c r="H180" i="12" s="1"/>
  <c r="K211" i="12" s="1"/>
  <c r="N159" i="12"/>
  <c r="L157" i="12"/>
  <c r="AE122" i="12"/>
  <c r="AD131" i="12"/>
  <c r="AA139" i="12"/>
  <c r="AC140" i="12"/>
  <c r="AG140" i="12" s="1"/>
  <c r="AH134" i="12" s="1"/>
  <c r="S99" i="12" s="1"/>
  <c r="H37" i="12"/>
  <c r="Z37" i="12"/>
  <c r="Y37" i="12" s="1"/>
  <c r="AA37" i="12"/>
  <c r="AB37" i="12" s="1"/>
  <c r="AA133" i="11"/>
  <c r="AB122" i="11"/>
  <c r="X157" i="11"/>
  <c r="Z161" i="11"/>
  <c r="E132" i="11"/>
  <c r="F122" i="11"/>
  <c r="AT165" i="11"/>
  <c r="C165" i="11"/>
  <c r="D165" i="11" s="1"/>
  <c r="E170" i="11" s="1"/>
  <c r="H157" i="11"/>
  <c r="J158" i="11"/>
  <c r="C71" i="11"/>
  <c r="B37" i="11" s="1"/>
  <c r="C79" i="11"/>
  <c r="D79" i="11" s="1"/>
  <c r="E85" i="11" s="1"/>
  <c r="AT79" i="11"/>
  <c r="J61" i="10"/>
  <c r="H59" i="10"/>
  <c r="X143" i="9"/>
  <c r="Z147" i="9"/>
  <c r="AG147" i="9" s="1"/>
  <c r="AA101" i="9" s="1"/>
  <c r="W159" i="9"/>
  <c r="U158" i="9"/>
  <c r="AD143" i="10"/>
  <c r="AF144" i="10"/>
  <c r="R143" i="10"/>
  <c r="T144" i="10"/>
  <c r="Q61" i="10"/>
  <c r="O60" i="10"/>
  <c r="AC160" i="9"/>
  <c r="AA159" i="9"/>
  <c r="L157" i="9"/>
  <c r="N159" i="9"/>
  <c r="E58" i="10"/>
  <c r="G61" i="10"/>
  <c r="AG61" i="10" s="1"/>
  <c r="AA14" i="10" s="1"/>
  <c r="B59" i="10"/>
  <c r="D60" i="10"/>
  <c r="Q159" i="10"/>
  <c r="O122" i="10"/>
  <c r="AC160" i="10"/>
  <c r="AA159" i="10"/>
  <c r="X122" i="10"/>
  <c r="H122" i="10"/>
  <c r="T122" i="10"/>
  <c r="T132" i="10" s="1"/>
  <c r="B129" i="10"/>
  <c r="X143" i="10"/>
  <c r="Z147" i="10"/>
  <c r="AG147" i="10" s="1"/>
  <c r="AA101" i="10" s="1"/>
  <c r="F193" i="10"/>
  <c r="H231" i="10"/>
  <c r="H233" i="10" s="1"/>
  <c r="AC86" i="10"/>
  <c r="AC87" i="10" s="1"/>
  <c r="AA86" i="10"/>
  <c r="AA87" i="10" s="1"/>
  <c r="L58" i="10"/>
  <c r="N60" i="10"/>
  <c r="Y210" i="10"/>
  <c r="AU4" i="9"/>
  <c r="E158" i="9"/>
  <c r="G159" i="9"/>
  <c r="O122" i="9"/>
  <c r="P156" i="9"/>
  <c r="Q122" i="9" s="1"/>
  <c r="Q133" i="9" s="1"/>
  <c r="AD86" i="9"/>
  <c r="AD87" i="9" s="1"/>
  <c r="AD37" i="9"/>
  <c r="AE37" i="9" s="1"/>
  <c r="J122" i="9"/>
  <c r="J132" i="9" s="1"/>
  <c r="Q37" i="9"/>
  <c r="Q49" i="9" s="1"/>
  <c r="Y156" i="9"/>
  <c r="O37" i="9"/>
  <c r="L37" i="9"/>
  <c r="I71" i="9"/>
  <c r="B73" i="9"/>
  <c r="D74" i="9"/>
  <c r="L122" i="10"/>
  <c r="AD131" i="10"/>
  <c r="N145" i="10"/>
  <c r="L143" i="10"/>
  <c r="AD37" i="10"/>
  <c r="AE37" i="10" s="1"/>
  <c r="L46" i="10"/>
  <c r="Q37" i="10"/>
  <c r="Q49" i="10" s="1"/>
  <c r="T59" i="10"/>
  <c r="R58" i="10"/>
  <c r="B131" i="9"/>
  <c r="T144" i="9"/>
  <c r="R143" i="9"/>
  <c r="AF158" i="9"/>
  <c r="AD157" i="9"/>
  <c r="C156" i="9"/>
  <c r="D122" i="9" s="1"/>
  <c r="D133" i="9" s="1"/>
  <c r="AG149" i="9"/>
  <c r="R46" i="9"/>
  <c r="B37" i="9"/>
  <c r="O74" i="9"/>
  <c r="Q75" i="9"/>
  <c r="J122" i="10"/>
  <c r="J132" i="10" s="1"/>
  <c r="S122" i="10"/>
  <c r="R131" i="10"/>
  <c r="U144" i="10"/>
  <c r="W145" i="10"/>
  <c r="V37" i="10"/>
  <c r="R72" i="10"/>
  <c r="T73" i="10"/>
  <c r="U87" i="10"/>
  <c r="I71" i="10"/>
  <c r="M71" i="10"/>
  <c r="W37" i="10"/>
  <c r="AD86" i="10"/>
  <c r="AD87" i="10" s="1"/>
  <c r="D37" i="10"/>
  <c r="D48" i="10" s="1"/>
  <c r="U122" i="9"/>
  <c r="F193" i="9"/>
  <c r="H231" i="9"/>
  <c r="H233" i="9" s="1"/>
  <c r="E129" i="9"/>
  <c r="E46" i="9"/>
  <c r="T37" i="9"/>
  <c r="T47" i="9" s="1"/>
  <c r="Z122" i="9"/>
  <c r="Z135" i="9" s="1"/>
  <c r="AG135" i="9" s="1"/>
  <c r="M101" i="9" s="1"/>
  <c r="AT166" i="10"/>
  <c r="C166" i="10"/>
  <c r="D170" i="10" s="1"/>
  <c r="B171" i="10" s="1"/>
  <c r="B172" i="10" s="1"/>
  <c r="B211" i="10"/>
  <c r="AU6" i="9"/>
  <c r="E122" i="10"/>
  <c r="AC203" i="10"/>
  <c r="AF231" i="10"/>
  <c r="AF233" i="10" s="1"/>
  <c r="K223" i="10"/>
  <c r="J198" i="10" s="1"/>
  <c r="J144" i="10"/>
  <c r="H143" i="10"/>
  <c r="H37" i="10"/>
  <c r="G75" i="10"/>
  <c r="E72" i="10"/>
  <c r="W86" i="10"/>
  <c r="W87" i="10" s="1"/>
  <c r="R37" i="10"/>
  <c r="AA37" i="10"/>
  <c r="AB37" i="10" s="1"/>
  <c r="U144" i="9"/>
  <c r="W145" i="9"/>
  <c r="R122" i="9"/>
  <c r="AG150" i="9"/>
  <c r="T158" i="9"/>
  <c r="R157" i="9"/>
  <c r="G37" i="9"/>
  <c r="G49" i="9" s="1"/>
  <c r="AG49" i="9" s="1"/>
  <c r="M14" i="9" s="1"/>
  <c r="AC86" i="9"/>
  <c r="AC87" i="9" s="1"/>
  <c r="AF158" i="10"/>
  <c r="AD157" i="10"/>
  <c r="AA139" i="10"/>
  <c r="AC140" i="10"/>
  <c r="AG140" i="10" s="1"/>
  <c r="AH134" i="10" s="1"/>
  <c r="S99" i="10" s="1"/>
  <c r="AC193" i="10"/>
  <c r="AF230" i="10"/>
  <c r="AU233" i="10" s="1"/>
  <c r="U158" i="10"/>
  <c r="W159" i="10"/>
  <c r="O74" i="10"/>
  <c r="Q75" i="10"/>
  <c r="AH68" i="10"/>
  <c r="AD16" i="10"/>
  <c r="H131" i="9"/>
  <c r="N145" i="9"/>
  <c r="L143" i="9"/>
  <c r="R72" i="9"/>
  <c r="T73" i="9"/>
  <c r="AC146" i="9"/>
  <c r="AG146" i="9" s="1"/>
  <c r="AA99" i="9" s="1"/>
  <c r="AA145" i="9"/>
  <c r="L72" i="9"/>
  <c r="N74" i="9"/>
  <c r="L58" i="9"/>
  <c r="AG58" i="9" s="1"/>
  <c r="AA8" i="9" s="1"/>
  <c r="N60" i="9"/>
  <c r="L179" i="9"/>
  <c r="B212" i="9" s="1"/>
  <c r="B82" i="9"/>
  <c r="H157" i="10"/>
  <c r="J158" i="10"/>
  <c r="T158" i="10"/>
  <c r="R157" i="10"/>
  <c r="AG133" i="10"/>
  <c r="M97" i="10" s="1"/>
  <c r="X157" i="10"/>
  <c r="Z161" i="10"/>
  <c r="O48" i="10"/>
  <c r="P37" i="10"/>
  <c r="E46" i="10"/>
  <c r="H157" i="9"/>
  <c r="J158" i="9"/>
  <c r="AD122" i="9"/>
  <c r="G75" i="9"/>
  <c r="E72" i="9"/>
  <c r="V199" i="9"/>
  <c r="X228" i="9"/>
  <c r="B213" i="10"/>
  <c r="AU7" i="9"/>
  <c r="E144" i="10"/>
  <c r="G145" i="10"/>
  <c r="AA129" i="10"/>
  <c r="F203" i="10"/>
  <c r="J231" i="10"/>
  <c r="J233" i="10" s="1"/>
  <c r="AG149" i="10"/>
  <c r="N159" i="10"/>
  <c r="L157" i="10"/>
  <c r="B47" i="10"/>
  <c r="AT231" i="10"/>
  <c r="AT80" i="10"/>
  <c r="C80" i="10"/>
  <c r="B85" i="10" s="1"/>
  <c r="C81" i="10"/>
  <c r="D85" i="10" s="1"/>
  <c r="AT81" i="10"/>
  <c r="H143" i="9"/>
  <c r="J144" i="9"/>
  <c r="F203" i="9"/>
  <c r="J231" i="9"/>
  <c r="J233" i="9" s="1"/>
  <c r="N122" i="9"/>
  <c r="N133" i="9" s="1"/>
  <c r="L122" i="9"/>
  <c r="O60" i="9"/>
  <c r="Q61" i="9"/>
  <c r="AH68" i="9"/>
  <c r="AD16" i="9"/>
  <c r="AF144" i="9"/>
  <c r="AD143" i="9"/>
  <c r="AT165" i="9"/>
  <c r="U122" i="10"/>
  <c r="AF122" i="10"/>
  <c r="AF132" i="10" s="1"/>
  <c r="O129" i="10"/>
  <c r="AT228" i="10"/>
  <c r="G37" i="10"/>
  <c r="G49" i="10" s="1"/>
  <c r="C156" i="10"/>
  <c r="Z86" i="10"/>
  <c r="Z87" i="10" s="1"/>
  <c r="X86" i="10"/>
  <c r="X87" i="10" s="1"/>
  <c r="X37" i="10"/>
  <c r="Y37" i="10" s="1"/>
  <c r="AF86" i="10"/>
  <c r="AF87" i="10" s="1"/>
  <c r="B73" i="10"/>
  <c r="D74" i="10"/>
  <c r="AT82" i="10"/>
  <c r="C82" i="10"/>
  <c r="D82" i="10" s="1"/>
  <c r="G85" i="10" s="1"/>
  <c r="AG64" i="10"/>
  <c r="Y212" i="10"/>
  <c r="AU8" i="9"/>
  <c r="B210" i="10"/>
  <c r="AU3" i="9"/>
  <c r="B143" i="9"/>
  <c r="D145" i="9"/>
  <c r="AF231" i="9"/>
  <c r="AF233" i="9" s="1"/>
  <c r="AC203" i="9"/>
  <c r="B44" i="9"/>
  <c r="AA122" i="9"/>
  <c r="X131" i="9"/>
  <c r="AA37" i="9"/>
  <c r="AB37" i="9" s="1"/>
  <c r="J61" i="9"/>
  <c r="H59" i="9"/>
  <c r="E122" i="9"/>
  <c r="C168" i="6"/>
  <c r="D170" i="6" s="1"/>
  <c r="B171" i="6" s="1"/>
  <c r="B172" i="6" s="1"/>
  <c r="Q46" i="7"/>
  <c r="C82" i="6"/>
  <c r="D82" i="6" s="1"/>
  <c r="G85" i="6" s="1"/>
  <c r="P37" i="6"/>
  <c r="P48" i="6" s="1"/>
  <c r="N44" i="7"/>
  <c r="A193" i="6"/>
  <c r="A204" i="6"/>
  <c r="B229" i="6"/>
  <c r="AT228" i="6" s="1"/>
  <c r="P122" i="6"/>
  <c r="P133" i="6" s="1"/>
  <c r="C64" i="5"/>
  <c r="D64" i="5" s="1"/>
  <c r="D65" i="5" s="1"/>
  <c r="D66" i="5" s="1"/>
  <c r="D67" i="5" s="1"/>
  <c r="D68" i="5" s="1"/>
  <c r="D69" i="5" s="1"/>
  <c r="D70" i="5" s="1"/>
  <c r="D71" i="5" s="1"/>
  <c r="D72" i="5" s="1"/>
  <c r="D73" i="5" s="1"/>
  <c r="D74" i="5" s="1"/>
  <c r="D75" i="5" s="1"/>
  <c r="D76" i="5" s="1"/>
  <c r="D77" i="5" s="1"/>
  <c r="D78" i="5" s="1"/>
  <c r="D79" i="5" s="1"/>
  <c r="D80" i="5" s="1"/>
  <c r="D81" i="5" s="1"/>
  <c r="D82" i="5" s="1"/>
  <c r="D83" i="5" s="1"/>
  <c r="D84" i="5" s="1"/>
  <c r="D85" i="5" s="1"/>
  <c r="D164" i="6"/>
  <c r="E170" i="6" s="1"/>
  <c r="U195" i="7"/>
  <c r="W230" i="7"/>
  <c r="AT233" i="7" s="1"/>
  <c r="W229" i="7"/>
  <c r="U204" i="7"/>
  <c r="U37" i="7"/>
  <c r="T47" i="7"/>
  <c r="B59" i="7"/>
  <c r="D60" i="7"/>
  <c r="AF66" i="7"/>
  <c r="C71" i="7"/>
  <c r="C10" i="5"/>
  <c r="T129" i="6"/>
  <c r="U199" i="7"/>
  <c r="W228" i="7"/>
  <c r="AT231" i="7" s="1"/>
  <c r="AB75" i="7"/>
  <c r="Z74" i="7"/>
  <c r="C393" i="5"/>
  <c r="Q129" i="6"/>
  <c r="B129" i="6"/>
  <c r="Z121" i="6"/>
  <c r="AB122" i="6" s="1"/>
  <c r="AB134" i="6" s="1"/>
  <c r="M121" i="6"/>
  <c r="M122" i="6" s="1"/>
  <c r="M134" i="6" s="1"/>
  <c r="AN109" i="6"/>
  <c r="AJ110" i="6"/>
  <c r="C81" i="6"/>
  <c r="D81" i="6" s="1"/>
  <c r="G81" i="6" s="1"/>
  <c r="H85" i="6" s="1"/>
  <c r="H39" i="6"/>
  <c r="AC44" i="6"/>
  <c r="AN24" i="6"/>
  <c r="AJ25" i="6"/>
  <c r="C165" i="7"/>
  <c r="B170" i="7" s="1"/>
  <c r="X156" i="7"/>
  <c r="AC149" i="7"/>
  <c r="Q149" i="7"/>
  <c r="E149" i="7"/>
  <c r="AC129" i="7"/>
  <c r="P124" i="7"/>
  <c r="W121" i="7"/>
  <c r="W122" i="7" s="1"/>
  <c r="H121" i="7"/>
  <c r="J122" i="7" s="1"/>
  <c r="J134" i="7" s="1"/>
  <c r="AL110" i="7"/>
  <c r="AH112" i="7"/>
  <c r="AQ109" i="7"/>
  <c r="W93" i="7" s="1"/>
  <c r="Z43" i="7"/>
  <c r="Z44" i="7" s="1"/>
  <c r="AJ26" i="7"/>
  <c r="AQ26" i="7" s="1"/>
  <c r="W12" i="7" s="1"/>
  <c r="AI26" i="8"/>
  <c r="AO27" i="8"/>
  <c r="D36" i="8"/>
  <c r="P36" i="8"/>
  <c r="AB36" i="8"/>
  <c r="H39" i="8"/>
  <c r="G152" i="8"/>
  <c r="H222" i="8"/>
  <c r="Z222" i="6"/>
  <c r="AE218" i="6" s="1"/>
  <c r="B222" i="6"/>
  <c r="H218" i="6" s="1"/>
  <c r="AA156" i="6"/>
  <c r="AF153" i="6"/>
  <c r="L101" i="6" s="1"/>
  <c r="B150" i="6"/>
  <c r="Y122" i="6"/>
  <c r="Y135" i="6" s="1"/>
  <c r="X71" i="6"/>
  <c r="C71" i="6"/>
  <c r="B44" i="6"/>
  <c r="N40" i="6"/>
  <c r="Z222" i="7"/>
  <c r="B222" i="7"/>
  <c r="AB124" i="7"/>
  <c r="AP24" i="8"/>
  <c r="W44" i="8"/>
  <c r="P39" i="8"/>
  <c r="B65" i="8"/>
  <c r="AQ112" i="8"/>
  <c r="W99" i="8" s="1"/>
  <c r="AG113" i="8"/>
  <c r="AQ113" i="8" s="1"/>
  <c r="W101" i="8" s="1"/>
  <c r="H121" i="8"/>
  <c r="T121" i="8"/>
  <c r="J222" i="8"/>
  <c r="D222" i="8"/>
  <c r="AB222" i="8"/>
  <c r="C285" i="5"/>
  <c r="H151" i="6"/>
  <c r="AF151" i="6" s="1"/>
  <c r="L97" i="6" s="1"/>
  <c r="J121" i="6"/>
  <c r="AM110" i="6"/>
  <c r="AI111" i="6"/>
  <c r="C83" i="6"/>
  <c r="D85" i="6" s="1"/>
  <c r="C80" i="6"/>
  <c r="B85" i="6" s="1"/>
  <c r="V66" i="6"/>
  <c r="AA156" i="7"/>
  <c r="Z159" i="7" s="1"/>
  <c r="AF149" i="7"/>
  <c r="J125" i="7"/>
  <c r="K124" i="7"/>
  <c r="K129" i="7" s="1"/>
  <c r="D121" i="7"/>
  <c r="D122" i="7" s="1"/>
  <c r="D133" i="7" s="1"/>
  <c r="V121" i="7"/>
  <c r="V122" i="7" s="1"/>
  <c r="V133" i="7" s="1"/>
  <c r="AK112" i="7"/>
  <c r="AG111" i="7"/>
  <c r="AQ111" i="7" s="1"/>
  <c r="W97" i="7" s="1"/>
  <c r="C82" i="7"/>
  <c r="D82" i="7" s="1"/>
  <c r="G85" i="7" s="1"/>
  <c r="E86" i="7" s="1"/>
  <c r="E87" i="7" s="1"/>
  <c r="AF68" i="7"/>
  <c r="J67" i="7"/>
  <c r="AC64" i="7"/>
  <c r="AD71" i="7" s="1"/>
  <c r="Q64" i="7"/>
  <c r="R71" i="7" s="1"/>
  <c r="E64" i="7"/>
  <c r="AF64" i="7" s="1"/>
  <c r="T44" i="7"/>
  <c r="H44" i="7"/>
  <c r="M67" i="8"/>
  <c r="T39" i="8"/>
  <c r="J153" i="8"/>
  <c r="V121" i="8"/>
  <c r="C430" i="5"/>
  <c r="AC218" i="6"/>
  <c r="N125" i="6"/>
  <c r="N129" i="6" s="1"/>
  <c r="N143" i="6" s="1"/>
  <c r="V121" i="6"/>
  <c r="AT82" i="6"/>
  <c r="AB67" i="6"/>
  <c r="AA71" i="6" s="1"/>
  <c r="H66" i="6"/>
  <c r="T39" i="6"/>
  <c r="W222" i="7"/>
  <c r="W124" i="7"/>
  <c r="W129" i="7" s="1"/>
  <c r="P121" i="7"/>
  <c r="AQ28" i="7"/>
  <c r="W16" i="7" s="1"/>
  <c r="AB39" i="8"/>
  <c r="Y222" i="8"/>
  <c r="C167" i="6"/>
  <c r="D167" i="6" s="1"/>
  <c r="G170" i="6" s="1"/>
  <c r="H128" i="6"/>
  <c r="H129" i="6" s="1"/>
  <c r="Z129" i="6"/>
  <c r="E129" i="6"/>
  <c r="AP109" i="6"/>
  <c r="AL112" i="6"/>
  <c r="AH109" i="6"/>
  <c r="C79" i="6"/>
  <c r="D79" i="6" s="1"/>
  <c r="E85" i="6" s="1"/>
  <c r="AD71" i="6"/>
  <c r="Z40" i="6"/>
  <c r="Z44" i="6" s="1"/>
  <c r="E44" i="6"/>
  <c r="K44" i="6"/>
  <c r="AP24" i="6"/>
  <c r="AL27" i="6"/>
  <c r="AH24" i="6"/>
  <c r="J222" i="7"/>
  <c r="C167" i="7"/>
  <c r="D167" i="7" s="1"/>
  <c r="G170" i="7" s="1"/>
  <c r="E171" i="7" s="1"/>
  <c r="E172" i="7" s="1"/>
  <c r="AD156" i="7"/>
  <c r="AC157" i="7" s="1"/>
  <c r="R156" i="7"/>
  <c r="Q157" i="7" s="1"/>
  <c r="F156" i="7"/>
  <c r="N121" i="7"/>
  <c r="N122" i="7" s="1"/>
  <c r="N133" i="7" s="1"/>
  <c r="U71" i="7"/>
  <c r="I71" i="7"/>
  <c r="Q39" i="7"/>
  <c r="E39" i="7"/>
  <c r="S37" i="7"/>
  <c r="S47" i="7" s="1"/>
  <c r="G37" i="7"/>
  <c r="G49" i="7" s="1"/>
  <c r="AQ111" i="8"/>
  <c r="W97" i="8" s="1"/>
  <c r="T150" i="6"/>
  <c r="U156" i="6" s="1"/>
  <c r="I156" i="6"/>
  <c r="N149" i="6"/>
  <c r="O156" i="6" s="1"/>
  <c r="N122" i="6" s="1"/>
  <c r="AF149" i="6"/>
  <c r="L93" i="6" s="1"/>
  <c r="AE121" i="6"/>
  <c r="AO112" i="6"/>
  <c r="N44" i="6"/>
  <c r="AB36" i="6"/>
  <c r="Z37" i="6" s="1"/>
  <c r="J68" i="6"/>
  <c r="AO27" i="6"/>
  <c r="AK26" i="6"/>
  <c r="AG25" i="6"/>
  <c r="AQ25" i="6" s="1"/>
  <c r="W10" i="6" s="1"/>
  <c r="C166" i="7"/>
  <c r="D170" i="7" s="1"/>
  <c r="B171" i="7" s="1"/>
  <c r="B172" i="7" s="1"/>
  <c r="V151" i="7"/>
  <c r="AF151" i="7" s="1"/>
  <c r="AC121" i="7"/>
  <c r="Q121" i="7"/>
  <c r="E121" i="7"/>
  <c r="N74" i="7"/>
  <c r="AJ25" i="8"/>
  <c r="AN24" i="8"/>
  <c r="AQ24" i="8" s="1"/>
  <c r="W8" i="8" s="1"/>
  <c r="AE222" i="6"/>
  <c r="G222" i="6"/>
  <c r="C166" i="6"/>
  <c r="D166" i="6" s="1"/>
  <c r="G166" i="6" s="1"/>
  <c r="H170" i="6" s="1"/>
  <c r="AC122" i="6"/>
  <c r="B122" i="6"/>
  <c r="T121" i="6"/>
  <c r="AE222" i="7"/>
  <c r="G222" i="7"/>
  <c r="U156" i="7"/>
  <c r="E129" i="7"/>
  <c r="AQ113" i="7"/>
  <c r="W101" i="7" s="1"/>
  <c r="C80" i="7"/>
  <c r="B85" i="7" s="1"/>
  <c r="D86" i="7" s="1"/>
  <c r="D87" i="7" s="1"/>
  <c r="AC218" i="8"/>
  <c r="C431" i="5"/>
  <c r="D431" i="5" s="1"/>
  <c r="AC222" i="6"/>
  <c r="E222" i="6"/>
  <c r="J218" i="6" s="1"/>
  <c r="T65" i="6"/>
  <c r="U71" i="6" s="1"/>
  <c r="F71" i="6"/>
  <c r="Q129" i="7"/>
  <c r="S144" i="7" s="1"/>
  <c r="Z122" i="7"/>
  <c r="AI110" i="7"/>
  <c r="D83" i="7"/>
  <c r="G83" i="7" s="1"/>
  <c r="J83" i="7" s="1"/>
  <c r="M83" i="7" s="1"/>
  <c r="P83" i="7" s="1"/>
  <c r="S83" i="7" s="1"/>
  <c r="V83" i="7" s="1"/>
  <c r="Y85" i="7" s="1"/>
  <c r="AF67" i="7"/>
  <c r="Y37" i="7"/>
  <c r="Y50" i="7" s="1"/>
  <c r="AF50" i="7" s="1"/>
  <c r="L16" i="7" s="1"/>
  <c r="AG25" i="7"/>
  <c r="AQ25" i="7" s="1"/>
  <c r="W10" i="7" s="1"/>
  <c r="AQ26" i="8"/>
  <c r="W12" i="8" s="1"/>
  <c r="D39" i="8"/>
  <c r="AA71" i="8"/>
  <c r="AQ110" i="8"/>
  <c r="W95" i="8" s="1"/>
  <c r="G168" i="7"/>
  <c r="J168" i="7" s="1"/>
  <c r="M168" i="7" s="1"/>
  <c r="P168" i="7" s="1"/>
  <c r="S168" i="7" s="1"/>
  <c r="V168" i="7" s="1"/>
  <c r="Y170" i="7" s="1"/>
  <c r="H44" i="8"/>
  <c r="Y62" i="8"/>
  <c r="W58" i="8"/>
  <c r="R71" i="8"/>
  <c r="C83" i="8"/>
  <c r="D85" i="8" s="1"/>
  <c r="AT83" i="8"/>
  <c r="AQ25" i="8"/>
  <c r="W10" i="8" s="1"/>
  <c r="L71" i="8"/>
  <c r="Z74" i="8"/>
  <c r="AB75" i="8"/>
  <c r="J36" i="8"/>
  <c r="J37" i="8" s="1"/>
  <c r="J50" i="8" s="1"/>
  <c r="V36" i="8"/>
  <c r="G39" i="8"/>
  <c r="E44" i="8" s="1"/>
  <c r="S39" i="8"/>
  <c r="AE39" i="8"/>
  <c r="AC44" i="8" s="1"/>
  <c r="G67" i="8"/>
  <c r="AF67" i="8" s="1"/>
  <c r="L14" i="8" s="1"/>
  <c r="J68" i="8"/>
  <c r="B81" i="8"/>
  <c r="B180" i="8"/>
  <c r="B211" i="8" s="1"/>
  <c r="B164" i="8"/>
  <c r="L156" i="8"/>
  <c r="AA156" i="8"/>
  <c r="K36" i="8"/>
  <c r="W36" i="8"/>
  <c r="W64" i="8"/>
  <c r="C71" i="8"/>
  <c r="M36" i="8"/>
  <c r="M37" i="8" s="1"/>
  <c r="M49" i="8" s="1"/>
  <c r="Y36" i="8"/>
  <c r="V39" i="8"/>
  <c r="T44" i="8" s="1"/>
  <c r="D40" i="8"/>
  <c r="P40" i="8"/>
  <c r="N44" i="8" s="1"/>
  <c r="AB40" i="8"/>
  <c r="Y68" i="8"/>
  <c r="B80" i="8"/>
  <c r="B166" i="8"/>
  <c r="AF180" i="8"/>
  <c r="X213" i="8" s="1"/>
  <c r="V122" i="8"/>
  <c r="V133" i="8" s="1"/>
  <c r="B227" i="8"/>
  <c r="A190" i="8"/>
  <c r="B229" i="8"/>
  <c r="A204" i="8"/>
  <c r="A193" i="8"/>
  <c r="AJ27" i="8"/>
  <c r="AQ27" i="8" s="1"/>
  <c r="W14" i="8" s="1"/>
  <c r="B36" i="8"/>
  <c r="B37" i="8" s="1"/>
  <c r="N36" i="8"/>
  <c r="Z36" i="8"/>
  <c r="Z37" i="8" s="1"/>
  <c r="K39" i="8"/>
  <c r="N64" i="8"/>
  <c r="O71" i="8" s="1"/>
  <c r="H66" i="8"/>
  <c r="I71" i="8" s="1"/>
  <c r="W143" i="8"/>
  <c r="Y147" i="8"/>
  <c r="AF152" i="8"/>
  <c r="L99" i="8" s="1"/>
  <c r="M39" i="8"/>
  <c r="AE65" i="8"/>
  <c r="B79" i="8"/>
  <c r="B168" i="8"/>
  <c r="V180" i="8"/>
  <c r="X211" i="8" s="1"/>
  <c r="H218" i="8"/>
  <c r="AE218" i="8"/>
  <c r="U190" i="8"/>
  <c r="W227" i="8"/>
  <c r="AN28" i="8"/>
  <c r="AQ28" i="8" s="1"/>
  <c r="W16" i="8" s="1"/>
  <c r="E36" i="8"/>
  <c r="G37" i="8" s="1"/>
  <c r="G49" i="8" s="1"/>
  <c r="Q36" i="8"/>
  <c r="AC36" i="8"/>
  <c r="Z39" i="8"/>
  <c r="Z44" i="8" s="1"/>
  <c r="E64" i="8"/>
  <c r="AC64" i="8"/>
  <c r="T65" i="8"/>
  <c r="AF65" i="8" s="1"/>
  <c r="L10" i="8" s="1"/>
  <c r="B165" i="8"/>
  <c r="L180" i="8"/>
  <c r="B213" i="8" s="1"/>
  <c r="B129" i="8"/>
  <c r="S36" i="8"/>
  <c r="S37" i="8" s="1"/>
  <c r="S50" i="8" s="1"/>
  <c r="B82" i="8"/>
  <c r="F203" i="8"/>
  <c r="AF223" i="8"/>
  <c r="AF198" i="8" s="1"/>
  <c r="AB193" i="8"/>
  <c r="U204" i="8"/>
  <c r="W229" i="8"/>
  <c r="T193" i="8"/>
  <c r="Q39" i="8"/>
  <c r="Q44" i="8" s="1"/>
  <c r="C167" i="8"/>
  <c r="D167" i="8" s="1"/>
  <c r="G170" i="8" s="1"/>
  <c r="AT167" i="8"/>
  <c r="AC129" i="8"/>
  <c r="K121" i="8"/>
  <c r="W121" i="8"/>
  <c r="H124" i="8"/>
  <c r="T124" i="8"/>
  <c r="W149" i="8"/>
  <c r="B150" i="8"/>
  <c r="M121" i="8"/>
  <c r="Y121" i="8"/>
  <c r="Y122" i="8" s="1"/>
  <c r="Y135" i="8" s="1"/>
  <c r="J124" i="8"/>
  <c r="V124" i="8"/>
  <c r="Y153" i="8"/>
  <c r="B121" i="8"/>
  <c r="N121" i="8"/>
  <c r="Z121" i="8"/>
  <c r="K124" i="8"/>
  <c r="N149" i="8"/>
  <c r="O156" i="8" s="1"/>
  <c r="H151" i="8"/>
  <c r="AF151" i="8" s="1"/>
  <c r="L97" i="8" s="1"/>
  <c r="D121" i="8"/>
  <c r="D122" i="8" s="1"/>
  <c r="D135" i="8" s="1"/>
  <c r="P121" i="8"/>
  <c r="AB121" i="8"/>
  <c r="M124" i="8"/>
  <c r="AE150" i="8"/>
  <c r="V151" i="8"/>
  <c r="D153" i="8"/>
  <c r="C156" i="8" s="1"/>
  <c r="E121" i="8"/>
  <c r="Q121" i="8"/>
  <c r="AC121" i="8"/>
  <c r="Z124" i="8"/>
  <c r="E149" i="8"/>
  <c r="F156" i="8" s="1"/>
  <c r="AC149" i="8"/>
  <c r="AD156" i="8" s="1"/>
  <c r="T150" i="8"/>
  <c r="U156" i="8" s="1"/>
  <c r="G121" i="8"/>
  <c r="G122" i="8" s="1"/>
  <c r="G134" i="8" s="1"/>
  <c r="S121" i="8"/>
  <c r="AE121" i="8"/>
  <c r="P124" i="8"/>
  <c r="N129" i="8" s="1"/>
  <c r="AB124" i="8"/>
  <c r="S153" i="8"/>
  <c r="R156" i="8" s="1"/>
  <c r="Q124" i="8"/>
  <c r="Q129" i="8" s="1"/>
  <c r="J121" i="8"/>
  <c r="H122" i="8" s="1"/>
  <c r="G124" i="8"/>
  <c r="E129" i="8" s="1"/>
  <c r="AB203" i="6"/>
  <c r="F193" i="6"/>
  <c r="AT231" i="6"/>
  <c r="U204" i="6"/>
  <c r="T193" i="6"/>
  <c r="W229" i="6"/>
  <c r="AC131" i="6"/>
  <c r="C122" i="6"/>
  <c r="B132" i="6"/>
  <c r="J122" i="6"/>
  <c r="J135" i="6" s="1"/>
  <c r="H122" i="6"/>
  <c r="T122" i="6"/>
  <c r="V122" i="6"/>
  <c r="V133" i="6" s="1"/>
  <c r="AB193" i="6"/>
  <c r="U190" i="6"/>
  <c r="W227" i="6"/>
  <c r="S147" i="6"/>
  <c r="Q146" i="6"/>
  <c r="D147" i="6"/>
  <c r="B144" i="6"/>
  <c r="K223" i="6"/>
  <c r="J198" i="6" s="1"/>
  <c r="AB160" i="6"/>
  <c r="Z159" i="6"/>
  <c r="Z122" i="6"/>
  <c r="AC129" i="6"/>
  <c r="R156" i="6"/>
  <c r="Q122" i="6" s="1"/>
  <c r="AF223" i="6"/>
  <c r="AF198" i="6" s="1"/>
  <c r="F203" i="6"/>
  <c r="Z145" i="6"/>
  <c r="AB146" i="6"/>
  <c r="E143" i="6"/>
  <c r="G146" i="6"/>
  <c r="O122" i="6"/>
  <c r="N131" i="6"/>
  <c r="T158" i="6"/>
  <c r="V159" i="6"/>
  <c r="J161" i="6"/>
  <c r="H159" i="6"/>
  <c r="AQ113" i="6"/>
  <c r="W101" i="6" s="1"/>
  <c r="N72" i="6"/>
  <c r="P74" i="6"/>
  <c r="AT166" i="6"/>
  <c r="E131" i="6"/>
  <c r="K129" i="6"/>
  <c r="T73" i="6"/>
  <c r="V74" i="6"/>
  <c r="E72" i="6"/>
  <c r="AF72" i="6" s="1"/>
  <c r="G75" i="6"/>
  <c r="Q44" i="6"/>
  <c r="AE59" i="6"/>
  <c r="AC58" i="6"/>
  <c r="U199" i="6"/>
  <c r="P159" i="6"/>
  <c r="N157" i="6"/>
  <c r="C156" i="6"/>
  <c r="W129" i="6"/>
  <c r="Y76" i="6"/>
  <c r="W72" i="6"/>
  <c r="B73" i="6"/>
  <c r="D76" i="6"/>
  <c r="B59" i="6"/>
  <c r="D62" i="6"/>
  <c r="AQ111" i="6"/>
  <c r="W97" i="6" s="1"/>
  <c r="W230" i="6"/>
  <c r="X156" i="6"/>
  <c r="W122" i="6" s="1"/>
  <c r="P145" i="6"/>
  <c r="S122" i="6"/>
  <c r="S135" i="6" s="1"/>
  <c r="G122" i="6"/>
  <c r="G134" i="6" s="1"/>
  <c r="AQ112" i="6"/>
  <c r="W99" i="6" s="1"/>
  <c r="AQ109" i="6"/>
  <c r="W93" i="6" s="1"/>
  <c r="AE73" i="6"/>
  <c r="AC72" i="6"/>
  <c r="G61" i="6"/>
  <c r="E58" i="6"/>
  <c r="K59" i="6"/>
  <c r="M61" i="6"/>
  <c r="N58" i="6"/>
  <c r="P60" i="6"/>
  <c r="M152" i="6"/>
  <c r="L156" i="6" s="1"/>
  <c r="AE150" i="6"/>
  <c r="AD156" i="6" s="1"/>
  <c r="AG110" i="6"/>
  <c r="AQ110" i="6" s="1"/>
  <c r="W95" i="6" s="1"/>
  <c r="AF64" i="6"/>
  <c r="L8" i="6" s="1"/>
  <c r="AC36" i="6"/>
  <c r="N37" i="6"/>
  <c r="AK109" i="6"/>
  <c r="Z48" i="6"/>
  <c r="V159" i="7"/>
  <c r="T158" i="7"/>
  <c r="J160" i="7"/>
  <c r="H158" i="7"/>
  <c r="AT83" i="6"/>
  <c r="AT79" i="6"/>
  <c r="H44" i="6"/>
  <c r="M36" i="6"/>
  <c r="Y36" i="6"/>
  <c r="K36" i="6"/>
  <c r="K37" i="6" s="1"/>
  <c r="AE218" i="7"/>
  <c r="H218" i="7"/>
  <c r="W157" i="7"/>
  <c r="Y161" i="7"/>
  <c r="AF161" i="7" s="1"/>
  <c r="G152" i="6"/>
  <c r="F156" i="6" s="1"/>
  <c r="AF68" i="6"/>
  <c r="L16" i="6" s="1"/>
  <c r="I71" i="6"/>
  <c r="W36" i="6"/>
  <c r="AQ26" i="6"/>
  <c r="W12" i="6" s="1"/>
  <c r="AT230" i="7"/>
  <c r="T44" i="6"/>
  <c r="G36" i="6"/>
  <c r="G37" i="6" s="1"/>
  <c r="G49" i="6" s="1"/>
  <c r="AQ27" i="6"/>
  <c r="W14" i="6" s="1"/>
  <c r="AC218" i="7"/>
  <c r="AF223" i="7" s="1"/>
  <c r="AF198" i="7" s="1"/>
  <c r="AF66" i="6"/>
  <c r="L12" i="6" s="1"/>
  <c r="S36" i="6"/>
  <c r="S37" i="6" s="1"/>
  <c r="S50" i="6" s="1"/>
  <c r="W44" i="6"/>
  <c r="AQ24" i="6"/>
  <c r="W8" i="6" s="1"/>
  <c r="AT232" i="7"/>
  <c r="AB37" i="6"/>
  <c r="AB49" i="6" s="1"/>
  <c r="AE36" i="6"/>
  <c r="AE37" i="6" s="1"/>
  <c r="AE47" i="6" s="1"/>
  <c r="B37" i="6"/>
  <c r="V36" i="6"/>
  <c r="J36" i="6"/>
  <c r="A195" i="7"/>
  <c r="B230" i="7"/>
  <c r="A204" i="7"/>
  <c r="B229" i="7"/>
  <c r="A193" i="7"/>
  <c r="Q67" i="6"/>
  <c r="AF67" i="6" s="1"/>
  <c r="L14" i="6" s="1"/>
  <c r="K65" i="6"/>
  <c r="T193" i="7"/>
  <c r="AB160" i="7"/>
  <c r="Q143" i="7"/>
  <c r="AE122" i="7"/>
  <c r="AE132" i="7" s="1"/>
  <c r="AC122" i="7"/>
  <c r="Q122" i="7"/>
  <c r="S122" i="7"/>
  <c r="S132" i="7" s="1"/>
  <c r="G122" i="7"/>
  <c r="G134" i="7" s="1"/>
  <c r="E122" i="7"/>
  <c r="V74" i="7"/>
  <c r="T73" i="7"/>
  <c r="H73" i="7"/>
  <c r="H37" i="7"/>
  <c r="J75" i="7"/>
  <c r="E44" i="7"/>
  <c r="AQ27" i="7"/>
  <c r="W14" i="7" s="1"/>
  <c r="AG28" i="6"/>
  <c r="AQ28" i="6" s="1"/>
  <c r="W16" i="6" s="1"/>
  <c r="AT167" i="7"/>
  <c r="AB122" i="7"/>
  <c r="AB134" i="7" s="1"/>
  <c r="Q44" i="7"/>
  <c r="AQ24" i="7"/>
  <c r="W8" i="7" s="1"/>
  <c r="K157" i="7"/>
  <c r="M122" i="7"/>
  <c r="M133" i="7" s="1"/>
  <c r="Z133" i="7"/>
  <c r="H129" i="7"/>
  <c r="N129" i="7"/>
  <c r="B129" i="7"/>
  <c r="O37" i="7"/>
  <c r="N48" i="7"/>
  <c r="W72" i="7"/>
  <c r="Y76" i="7"/>
  <c r="K72" i="7"/>
  <c r="M37" i="7"/>
  <c r="M48" i="7" s="1"/>
  <c r="M74" i="7"/>
  <c r="J218" i="7"/>
  <c r="U190" i="7"/>
  <c r="AF152" i="7"/>
  <c r="H122" i="7"/>
  <c r="M159" i="7"/>
  <c r="AE158" i="7"/>
  <c r="S158" i="7"/>
  <c r="T122" i="7"/>
  <c r="AQ112" i="7"/>
  <c r="W99" i="7" s="1"/>
  <c r="AE37" i="7"/>
  <c r="AE47" i="7" s="1"/>
  <c r="E157" i="7"/>
  <c r="G160" i="7"/>
  <c r="O156" i="7"/>
  <c r="P122" i="7" s="1"/>
  <c r="P134" i="7" s="1"/>
  <c r="C156" i="7"/>
  <c r="W46" i="7"/>
  <c r="X37" i="7"/>
  <c r="L37" i="7"/>
  <c r="K46" i="7"/>
  <c r="AD37" i="7"/>
  <c r="AC46" i="7"/>
  <c r="W44" i="7"/>
  <c r="K44" i="7"/>
  <c r="AQ110" i="7"/>
  <c r="W95" i="7" s="1"/>
  <c r="AF76" i="7"/>
  <c r="V60" i="7"/>
  <c r="T59" i="7"/>
  <c r="H59" i="7"/>
  <c r="J61" i="7"/>
  <c r="AF150" i="7"/>
  <c r="AB37" i="7"/>
  <c r="AB49" i="7" s="1"/>
  <c r="AF49" i="7" s="1"/>
  <c r="L14" i="7" s="1"/>
  <c r="Z37" i="7"/>
  <c r="V128" i="7"/>
  <c r="T129" i="7" s="1"/>
  <c r="B73" i="7"/>
  <c r="AE43" i="7"/>
  <c r="W131" i="7"/>
  <c r="K131" i="7"/>
  <c r="AC43" i="7"/>
  <c r="AT80" i="7"/>
  <c r="Z128" i="7"/>
  <c r="Z129" i="7" s="1"/>
  <c r="P75" i="7"/>
  <c r="C3" i="5"/>
  <c r="D2" i="5"/>
  <c r="D3" i="5" s="1"/>
  <c r="D10" i="5"/>
  <c r="C11" i="5"/>
  <c r="D11" i="5" s="1"/>
  <c r="C4" i="5"/>
  <c r="D4" i="5" s="1"/>
  <c r="C65" i="5"/>
  <c r="C66" i="5" s="1"/>
  <c r="C67" i="5" s="1"/>
  <c r="C68" i="5" s="1"/>
  <c r="C69" i="5" s="1"/>
  <c r="C70" i="5" s="1"/>
  <c r="C71" i="5" s="1"/>
  <c r="C72" i="5" s="1"/>
  <c r="C73" i="5" s="1"/>
  <c r="C74" i="5" s="1"/>
  <c r="C75" i="5" s="1"/>
  <c r="C76" i="5" s="1"/>
  <c r="C77" i="5" s="1"/>
  <c r="C78" i="5" s="1"/>
  <c r="C79" i="5" s="1"/>
  <c r="C80" i="5" s="1"/>
  <c r="C81" i="5" s="1"/>
  <c r="C82" i="5" s="1"/>
  <c r="C83" i="5" s="1"/>
  <c r="C84" i="5" s="1"/>
  <c r="C85" i="5" s="1"/>
  <c r="C86" i="5" s="1"/>
  <c r="C5" i="5"/>
  <c r="D5" i="5" s="1"/>
  <c r="C133" i="5"/>
  <c r="C134" i="5" s="1"/>
  <c r="C135" i="5" s="1"/>
  <c r="C136" i="5" s="1"/>
  <c r="C137" i="5" s="1"/>
  <c r="C138" i="5" s="1"/>
  <c r="C139" i="5" s="1"/>
  <c r="C140" i="5" s="1"/>
  <c r="C141" i="5" s="1"/>
  <c r="C142" i="5" s="1"/>
  <c r="C143" i="5" s="1"/>
  <c r="C144" i="5" s="1"/>
  <c r="C145" i="5" s="1"/>
  <c r="C146" i="5" s="1"/>
  <c r="C147" i="5" s="1"/>
  <c r="C148" i="5" s="1"/>
  <c r="C149" i="5" s="1"/>
  <c r="C150" i="5" s="1"/>
  <c r="C151" i="5" s="1"/>
  <c r="C152" i="5" s="1"/>
  <c r="C153" i="5" s="1"/>
  <c r="C154" i="5" s="1"/>
  <c r="C155" i="5" s="1"/>
  <c r="C156" i="5" s="1"/>
  <c r="C157" i="5" s="1"/>
  <c r="C158" i="5" s="1"/>
  <c r="C159" i="5" s="1"/>
  <c r="C160" i="5" s="1"/>
  <c r="C161" i="5" s="1"/>
  <c r="C162" i="5" s="1"/>
  <c r="C163" i="5" s="1"/>
  <c r="C164" i="5" s="1"/>
  <c r="C165" i="5" s="1"/>
  <c r="C166" i="5" s="1"/>
  <c r="C167" i="5" s="1"/>
  <c r="C132" i="5"/>
  <c r="D132" i="5" s="1"/>
  <c r="D133" i="5" s="1"/>
  <c r="D134" i="5" s="1"/>
  <c r="D135" i="5" s="1"/>
  <c r="D136" i="5" s="1"/>
  <c r="D137" i="5" s="1"/>
  <c r="D138" i="5" s="1"/>
  <c r="D139" i="5" s="1"/>
  <c r="D140" i="5" s="1"/>
  <c r="D141" i="5" s="1"/>
  <c r="D142" i="5" s="1"/>
  <c r="D143" i="5" s="1"/>
  <c r="D144" i="5" s="1"/>
  <c r="D145" i="5" s="1"/>
  <c r="D146" i="5" s="1"/>
  <c r="D147" i="5" s="1"/>
  <c r="D148" i="5" s="1"/>
  <c r="D149" i="5" s="1"/>
  <c r="D150" i="5" s="1"/>
  <c r="D151" i="5" s="1"/>
  <c r="D152" i="5" s="1"/>
  <c r="D153" i="5" s="1"/>
  <c r="D154" i="5" s="1"/>
  <c r="D155" i="5" s="1"/>
  <c r="D156" i="5" s="1"/>
  <c r="D157" i="5" s="1"/>
  <c r="D158" i="5" s="1"/>
  <c r="D159" i="5" s="1"/>
  <c r="D160" i="5" s="1"/>
  <c r="D161" i="5" s="1"/>
  <c r="D162" i="5" s="1"/>
  <c r="D163" i="5" s="1"/>
  <c r="D164" i="5" s="1"/>
  <c r="D165" i="5" s="1"/>
  <c r="D166" i="5" s="1"/>
  <c r="C344" i="5"/>
  <c r="C345" i="5" s="1"/>
  <c r="C346" i="5" s="1"/>
  <c r="C347" i="5" s="1"/>
  <c r="C348" i="5" s="1"/>
  <c r="C349" i="5" s="1"/>
  <c r="C350" i="5" s="1"/>
  <c r="C351" i="5" s="1"/>
  <c r="C352" i="5" s="1"/>
  <c r="C353" i="5" s="1"/>
  <c r="C354" i="5" s="1"/>
  <c r="C355" i="5" s="1"/>
  <c r="C356" i="5" s="1"/>
  <c r="C357" i="5" s="1"/>
  <c r="C358" i="5" s="1"/>
  <c r="C359" i="5" s="1"/>
  <c r="C360" i="5" s="1"/>
  <c r="C361" i="5" s="1"/>
  <c r="C362" i="5" s="1"/>
  <c r="C363" i="5" s="1"/>
  <c r="C364" i="5" s="1"/>
  <c r="C365" i="5" s="1"/>
  <c r="C366" i="5" s="1"/>
  <c r="C367" i="5" s="1"/>
  <c r="C368" i="5" s="1"/>
  <c r="D343" i="5"/>
  <c r="D344" i="5" s="1"/>
  <c r="D345" i="5" s="1"/>
  <c r="D346" i="5" s="1"/>
  <c r="D347" i="5" s="1"/>
  <c r="D348" i="5" s="1"/>
  <c r="D349" i="5" s="1"/>
  <c r="D350" i="5" s="1"/>
  <c r="D351" i="5" s="1"/>
  <c r="D352" i="5" s="1"/>
  <c r="D353" i="5" s="1"/>
  <c r="D354" i="5" s="1"/>
  <c r="D355" i="5" s="1"/>
  <c r="D356" i="5" s="1"/>
  <c r="D357" i="5" s="1"/>
  <c r="D358" i="5" s="1"/>
  <c r="D359" i="5" s="1"/>
  <c r="D360" i="5" s="1"/>
  <c r="D361" i="5" s="1"/>
  <c r="D362" i="5" s="1"/>
  <c r="D363" i="5" s="1"/>
  <c r="D364" i="5" s="1"/>
  <c r="D365" i="5" s="1"/>
  <c r="D366" i="5" s="1"/>
  <c r="D367" i="5" s="1"/>
  <c r="C286" i="5"/>
  <c r="C215" i="5"/>
  <c r="C287" i="5"/>
  <c r="C288" i="5" s="1"/>
  <c r="C289" i="5" s="1"/>
  <c r="C290" i="5" s="1"/>
  <c r="C291" i="5" s="1"/>
  <c r="C292" i="5" s="1"/>
  <c r="C293" i="5" s="1"/>
  <c r="C294" i="5" s="1"/>
  <c r="C295" i="5" s="1"/>
  <c r="C296" i="5" s="1"/>
  <c r="C297" i="5" s="1"/>
  <c r="C298" i="5" s="1"/>
  <c r="C299" i="5" s="1"/>
  <c r="C300" i="5" s="1"/>
  <c r="C301" i="5" s="1"/>
  <c r="C302" i="5" s="1"/>
  <c r="C303" i="5" s="1"/>
  <c r="C304" i="5" s="1"/>
  <c r="C305" i="5" s="1"/>
  <c r="C306" i="5" s="1"/>
  <c r="C307" i="5" s="1"/>
  <c r="C308" i="5" s="1"/>
  <c r="C309" i="5" s="1"/>
  <c r="C310" i="5" s="1"/>
  <c r="C311" i="5" s="1"/>
  <c r="C312" i="5" s="1"/>
  <c r="C313" i="5" s="1"/>
  <c r="C314" i="5" s="1"/>
  <c r="C315" i="5" s="1"/>
  <c r="C316" i="5" s="1"/>
  <c r="C317" i="5" s="1"/>
  <c r="C394" i="5"/>
  <c r="C395" i="5" s="1"/>
  <c r="C396" i="5" s="1"/>
  <c r="C397" i="5" s="1"/>
  <c r="C398" i="5" s="1"/>
  <c r="C399" i="5" s="1"/>
  <c r="C400" i="5" s="1"/>
  <c r="C401" i="5" s="1"/>
  <c r="C402" i="5" s="1"/>
  <c r="C403" i="5" s="1"/>
  <c r="C404" i="5" s="1"/>
  <c r="C405" i="5" s="1"/>
  <c r="C406" i="5" s="1"/>
  <c r="C407" i="5" s="1"/>
  <c r="C408" i="5" s="1"/>
  <c r="C409" i="5" s="1"/>
  <c r="C410" i="5" s="1"/>
  <c r="C411" i="5" s="1"/>
  <c r="C412" i="5" s="1"/>
  <c r="C413" i="5" s="1"/>
  <c r="C414" i="5" s="1"/>
  <c r="C415" i="5" s="1"/>
  <c r="C416" i="5" s="1"/>
  <c r="C417" i="5" s="1"/>
  <c r="D171" i="7" l="1"/>
  <c r="D172" i="7" s="1"/>
  <c r="B86" i="6"/>
  <c r="B87" i="6" s="1"/>
  <c r="G171" i="6"/>
  <c r="G172" i="6" s="1"/>
  <c r="G171" i="7"/>
  <c r="G172" i="7" s="1"/>
  <c r="D86" i="6"/>
  <c r="D87" i="6" s="1"/>
  <c r="D83" i="6" s="1"/>
  <c r="G83" i="6" s="1"/>
  <c r="J85" i="6" s="1"/>
  <c r="H86" i="6" s="1"/>
  <c r="H87" i="6" s="1"/>
  <c r="D171" i="6"/>
  <c r="D172" i="6" s="1"/>
  <c r="E171" i="6"/>
  <c r="E172" i="6" s="1"/>
  <c r="B86" i="7"/>
  <c r="B87" i="7" s="1"/>
  <c r="R58" i="11"/>
  <c r="AG143" i="9"/>
  <c r="AA93" i="9" s="1"/>
  <c r="Y122" i="9"/>
  <c r="Z141" i="9" s="1"/>
  <c r="AG141" i="9" s="1"/>
  <c r="AH135" i="9" s="1"/>
  <c r="S101" i="9" s="1"/>
  <c r="I122" i="9"/>
  <c r="E46" i="11"/>
  <c r="F37" i="11"/>
  <c r="B47" i="11"/>
  <c r="C37" i="11"/>
  <c r="B227" i="11"/>
  <c r="A190" i="11"/>
  <c r="AG143" i="12"/>
  <c r="AA93" i="12" s="1"/>
  <c r="J144" i="11"/>
  <c r="H143" i="11"/>
  <c r="U202" i="11"/>
  <c r="V190" i="11"/>
  <c r="X227" i="11"/>
  <c r="V199" i="11"/>
  <c r="X228" i="11"/>
  <c r="AA145" i="12"/>
  <c r="AG145" i="12" s="1"/>
  <c r="AA97" i="12" s="1"/>
  <c r="AC146" i="12"/>
  <c r="AG146" i="12" s="1"/>
  <c r="AA99" i="12" s="1"/>
  <c r="D86" i="11"/>
  <c r="D87" i="11" s="1"/>
  <c r="B228" i="11"/>
  <c r="A199" i="11"/>
  <c r="AG160" i="11"/>
  <c r="AC167" i="11"/>
  <c r="AF167" i="11" s="1"/>
  <c r="AU167" i="11" s="1"/>
  <c r="E138" i="11"/>
  <c r="G139" i="11"/>
  <c r="E8" i="12"/>
  <c r="C83" i="12"/>
  <c r="D83" i="12" s="1"/>
  <c r="G83" i="12" s="1"/>
  <c r="J83" i="12" s="1"/>
  <c r="N83" i="12" s="1"/>
  <c r="Q83" i="12" s="1"/>
  <c r="T83" i="12" s="1"/>
  <c r="W83" i="12" s="1"/>
  <c r="Z83" i="12" s="1"/>
  <c r="AC83" i="12" s="1"/>
  <c r="AF83" i="12" s="1"/>
  <c r="AU83" i="12" s="1"/>
  <c r="C167" i="12"/>
  <c r="D167" i="12" s="1"/>
  <c r="G167" i="12" s="1"/>
  <c r="J167" i="12" s="1"/>
  <c r="N167" i="12" s="1"/>
  <c r="Q167" i="12" s="1"/>
  <c r="T167" i="12" s="1"/>
  <c r="W167" i="12" s="1"/>
  <c r="Z167" i="12" s="1"/>
  <c r="AC170" i="12" s="1"/>
  <c r="C168" i="12"/>
  <c r="D168" i="12" s="1"/>
  <c r="G168" i="12" s="1"/>
  <c r="J168" i="12" s="1"/>
  <c r="N168" i="12" s="1"/>
  <c r="Q168" i="12" s="1"/>
  <c r="T168" i="12" s="1"/>
  <c r="W168" i="12" s="1"/>
  <c r="Z170" i="12" s="1"/>
  <c r="Y230" i="12"/>
  <c r="Z230" i="12" s="1"/>
  <c r="AC230" i="12" s="1"/>
  <c r="AF230" i="12" s="1"/>
  <c r="AU233" i="12" s="1"/>
  <c r="F37" i="12"/>
  <c r="E46" i="12"/>
  <c r="H131" i="12"/>
  <c r="I122" i="12"/>
  <c r="E93" i="12"/>
  <c r="E144" i="12"/>
  <c r="G145" i="12"/>
  <c r="X229" i="11"/>
  <c r="V204" i="11"/>
  <c r="O132" i="11"/>
  <c r="P122" i="11"/>
  <c r="O48" i="12"/>
  <c r="AG48" i="12" s="1"/>
  <c r="M12" i="12" s="1"/>
  <c r="P37" i="12"/>
  <c r="AG132" i="11"/>
  <c r="M95" i="11" s="1"/>
  <c r="N60" i="11"/>
  <c r="AG60" i="11" s="1"/>
  <c r="AA12" i="11" s="1"/>
  <c r="L58" i="11"/>
  <c r="X157" i="12"/>
  <c r="Z161" i="12"/>
  <c r="S122" i="11"/>
  <c r="R131" i="11"/>
  <c r="S37" i="12"/>
  <c r="R46" i="12"/>
  <c r="U138" i="12"/>
  <c r="W139" i="12"/>
  <c r="L46" i="11"/>
  <c r="M37" i="11"/>
  <c r="AG72" i="12"/>
  <c r="H157" i="12"/>
  <c r="J158" i="12"/>
  <c r="E97" i="12"/>
  <c r="E138" i="12"/>
  <c r="G139" i="12"/>
  <c r="U144" i="11"/>
  <c r="W145" i="11"/>
  <c r="S122" i="12"/>
  <c r="R131" i="12"/>
  <c r="AG59" i="11"/>
  <c r="AA10" i="11" s="1"/>
  <c r="E86" i="11"/>
  <c r="E87" i="11" s="1"/>
  <c r="Z168" i="11"/>
  <c r="AC168" i="11" s="1"/>
  <c r="AF168" i="11" s="1"/>
  <c r="AU168" i="11" s="1"/>
  <c r="AG161" i="11"/>
  <c r="AD137" i="12"/>
  <c r="AF138" i="12"/>
  <c r="A195" i="11"/>
  <c r="B230" i="11"/>
  <c r="N54" i="12"/>
  <c r="L52" i="12"/>
  <c r="T47" i="11"/>
  <c r="S37" i="11"/>
  <c r="H47" i="11"/>
  <c r="I37" i="11"/>
  <c r="AG74" i="12"/>
  <c r="G86" i="11"/>
  <c r="G87" i="11" s="1"/>
  <c r="J75" i="12"/>
  <c r="AG75" i="12" s="1"/>
  <c r="H73" i="12"/>
  <c r="AG73" i="12" s="1"/>
  <c r="AG132" i="12"/>
  <c r="M95" i="12" s="1"/>
  <c r="AG133" i="11"/>
  <c r="M97" i="11" s="1"/>
  <c r="B171" i="11"/>
  <c r="B172" i="11" s="1"/>
  <c r="D164" i="11" s="1"/>
  <c r="G164" i="11" s="1"/>
  <c r="H170" i="11" s="1"/>
  <c r="D74" i="11"/>
  <c r="B73" i="11"/>
  <c r="M122" i="11"/>
  <c r="L131" i="11"/>
  <c r="E10" i="12"/>
  <c r="AG158" i="12"/>
  <c r="P37" i="11"/>
  <c r="O48" i="11"/>
  <c r="AG48" i="11" s="1"/>
  <c r="M12" i="11" s="1"/>
  <c r="B47" i="12"/>
  <c r="C37" i="12"/>
  <c r="L131" i="12"/>
  <c r="M122" i="12"/>
  <c r="G145" i="11"/>
  <c r="E144" i="11"/>
  <c r="AG144" i="11" s="1"/>
  <c r="AA95" i="11" s="1"/>
  <c r="X131" i="12"/>
  <c r="Y122" i="12"/>
  <c r="AG60" i="12"/>
  <c r="AA12" i="12" s="1"/>
  <c r="AG58" i="12"/>
  <c r="AA8" i="12" s="1"/>
  <c r="AA139" i="11"/>
  <c r="AC140" i="11"/>
  <c r="AG140" i="11" s="1"/>
  <c r="AH134" i="11" s="1"/>
  <c r="S99" i="11" s="1"/>
  <c r="J138" i="11"/>
  <c r="H137" i="11"/>
  <c r="AD157" i="11"/>
  <c r="AF158" i="11"/>
  <c r="AG158" i="11" s="1"/>
  <c r="G75" i="11"/>
  <c r="E72" i="11"/>
  <c r="B229" i="11"/>
  <c r="A204" i="11"/>
  <c r="A193" i="11"/>
  <c r="L157" i="11"/>
  <c r="N159" i="11"/>
  <c r="AG159" i="11" s="1"/>
  <c r="B131" i="12"/>
  <c r="AG131" i="12" s="1"/>
  <c r="M93" i="12" s="1"/>
  <c r="C122" i="12"/>
  <c r="AG59" i="12"/>
  <c r="AA10" i="12" s="1"/>
  <c r="AG61" i="12"/>
  <c r="AA14" i="12" s="1"/>
  <c r="B86" i="11"/>
  <c r="B87" i="11" s="1"/>
  <c r="B131" i="11"/>
  <c r="C122" i="11"/>
  <c r="Y122" i="11"/>
  <c r="X131" i="11"/>
  <c r="AG159" i="12"/>
  <c r="AE122" i="11"/>
  <c r="AD131" i="11"/>
  <c r="E14" i="12"/>
  <c r="Q133" i="12"/>
  <c r="AG133" i="12" s="1"/>
  <c r="M97" i="12" s="1"/>
  <c r="P122" i="12"/>
  <c r="I37" i="12"/>
  <c r="H47" i="12"/>
  <c r="U138" i="11"/>
  <c r="W139" i="11"/>
  <c r="D171" i="11"/>
  <c r="D172" i="11"/>
  <c r="D166" i="11" s="1"/>
  <c r="G170" i="11" s="1"/>
  <c r="O144" i="12"/>
  <c r="Q145" i="12"/>
  <c r="E95" i="12"/>
  <c r="G61" i="11"/>
  <c r="AG61" i="11" s="1"/>
  <c r="AA14" i="11" s="1"/>
  <c r="E58" i="11"/>
  <c r="AG58" i="11" s="1"/>
  <c r="AA8" i="11" s="1"/>
  <c r="AG157" i="12"/>
  <c r="E12" i="12"/>
  <c r="D145" i="11"/>
  <c r="AG145" i="11" s="1"/>
  <c r="AA97" i="11" s="1"/>
  <c r="B143" i="11"/>
  <c r="AG143" i="11" s="1"/>
  <c r="AA93" i="11" s="1"/>
  <c r="AG160" i="12"/>
  <c r="X137" i="9"/>
  <c r="A195" i="10"/>
  <c r="B230" i="10"/>
  <c r="F37" i="10"/>
  <c r="S122" i="9"/>
  <c r="R131" i="9"/>
  <c r="B228" i="10"/>
  <c r="A199" i="10"/>
  <c r="B227" i="10"/>
  <c r="A190" i="10"/>
  <c r="C37" i="10"/>
  <c r="AT231" i="9"/>
  <c r="D171" i="10"/>
  <c r="D172" i="10" s="1"/>
  <c r="S37" i="9"/>
  <c r="C122" i="9"/>
  <c r="M37" i="9"/>
  <c r="L46" i="9"/>
  <c r="O132" i="9"/>
  <c r="P122" i="9"/>
  <c r="AG158" i="10"/>
  <c r="AG60" i="10"/>
  <c r="AA12" i="10" s="1"/>
  <c r="AA133" i="9"/>
  <c r="AG133" i="9" s="1"/>
  <c r="M97" i="9" s="1"/>
  <c r="AB122" i="9"/>
  <c r="E97" i="9"/>
  <c r="O144" i="10"/>
  <c r="Q145" i="10"/>
  <c r="Q55" i="10"/>
  <c r="O54" i="10"/>
  <c r="L72" i="10"/>
  <c r="N74" i="10"/>
  <c r="N37" i="10"/>
  <c r="O48" i="9"/>
  <c r="AG48" i="9" s="1"/>
  <c r="M12" i="9" s="1"/>
  <c r="P37" i="9"/>
  <c r="AG59" i="10"/>
  <c r="AA10" i="10" s="1"/>
  <c r="B59" i="9"/>
  <c r="AG59" i="9" s="1"/>
  <c r="AA10" i="9" s="1"/>
  <c r="D60" i="9"/>
  <c r="AG60" i="9" s="1"/>
  <c r="AA12" i="9" s="1"/>
  <c r="AT82" i="9"/>
  <c r="J75" i="10"/>
  <c r="H73" i="10"/>
  <c r="R137" i="10"/>
  <c r="T138" i="10"/>
  <c r="B157" i="9"/>
  <c r="D159" i="9"/>
  <c r="AE122" i="10"/>
  <c r="X157" i="9"/>
  <c r="Z161" i="9"/>
  <c r="AG160" i="10"/>
  <c r="AC167" i="10"/>
  <c r="AF167" i="10" s="1"/>
  <c r="AU167" i="10" s="1"/>
  <c r="AG72" i="9"/>
  <c r="G86" i="10"/>
  <c r="G87" i="10" s="1"/>
  <c r="G82" i="10" s="1"/>
  <c r="J85" i="10" s="1"/>
  <c r="V122" i="10"/>
  <c r="U132" i="10"/>
  <c r="AA145" i="10"/>
  <c r="AC146" i="10"/>
  <c r="AG146" i="10" s="1"/>
  <c r="AA99" i="10" s="1"/>
  <c r="AG161" i="10"/>
  <c r="Z168" i="10"/>
  <c r="AC168" i="10" s="1"/>
  <c r="AF168" i="10" s="1"/>
  <c r="AU168" i="10" s="1"/>
  <c r="S37" i="10"/>
  <c r="R46" i="10"/>
  <c r="AG46" i="10" s="1"/>
  <c r="M8" i="10" s="1"/>
  <c r="L131" i="10"/>
  <c r="M122" i="10"/>
  <c r="E93" i="9"/>
  <c r="P122" i="10"/>
  <c r="O132" i="10"/>
  <c r="AG58" i="10"/>
  <c r="AA8" i="10" s="1"/>
  <c r="V204" i="10"/>
  <c r="X229" i="10"/>
  <c r="F122" i="9"/>
  <c r="E132" i="9"/>
  <c r="D86" i="10"/>
  <c r="D87" i="10" s="1"/>
  <c r="D81" i="10" s="1"/>
  <c r="G81" i="10" s="1"/>
  <c r="J81" i="10" s="1"/>
  <c r="N85" i="10" s="1"/>
  <c r="B229" i="9"/>
  <c r="A204" i="9"/>
  <c r="A193" i="9"/>
  <c r="B157" i="10"/>
  <c r="D159" i="10"/>
  <c r="L131" i="9"/>
  <c r="M122" i="9"/>
  <c r="B86" i="10"/>
  <c r="B87" i="10" s="1"/>
  <c r="D80" i="10" s="1"/>
  <c r="G80" i="10" s="1"/>
  <c r="H85" i="10" s="1"/>
  <c r="AE122" i="9"/>
  <c r="AD131" i="9"/>
  <c r="J37" i="10"/>
  <c r="J49" i="10" s="1"/>
  <c r="F37" i="9"/>
  <c r="B122" i="10"/>
  <c r="X227" i="10"/>
  <c r="U202" i="10"/>
  <c r="V190" i="10"/>
  <c r="B143" i="10"/>
  <c r="AG143" i="10" s="1"/>
  <c r="AA93" i="10" s="1"/>
  <c r="D145" i="10"/>
  <c r="AG61" i="9"/>
  <c r="AA14" i="9" s="1"/>
  <c r="AG74" i="10"/>
  <c r="AG144" i="10"/>
  <c r="AA95" i="10" s="1"/>
  <c r="AG72" i="10"/>
  <c r="E132" i="10"/>
  <c r="F122" i="10"/>
  <c r="AG46" i="9"/>
  <c r="M8" i="9" s="1"/>
  <c r="U132" i="9"/>
  <c r="V122" i="9"/>
  <c r="AG74" i="9"/>
  <c r="AG73" i="10"/>
  <c r="AG49" i="10"/>
  <c r="M14" i="10" s="1"/>
  <c r="E12" i="9"/>
  <c r="J138" i="9"/>
  <c r="H137" i="9"/>
  <c r="AG75" i="10"/>
  <c r="E10" i="9"/>
  <c r="E144" i="9"/>
  <c r="AG144" i="9" s="1"/>
  <c r="AA95" i="9" s="1"/>
  <c r="G145" i="9"/>
  <c r="AG145" i="9" s="1"/>
  <c r="AA97" i="9" s="1"/>
  <c r="C37" i="9"/>
  <c r="B47" i="9"/>
  <c r="H131" i="10"/>
  <c r="I122" i="10"/>
  <c r="E8" i="9"/>
  <c r="C168" i="9"/>
  <c r="D168" i="9" s="1"/>
  <c r="G168" i="9" s="1"/>
  <c r="J168" i="9" s="1"/>
  <c r="N168" i="9" s="1"/>
  <c r="Q168" i="9" s="1"/>
  <c r="T168" i="9" s="1"/>
  <c r="W168" i="9" s="1"/>
  <c r="Z170" i="9" s="1"/>
  <c r="Y230" i="9"/>
  <c r="Z230" i="9" s="1"/>
  <c r="AC230" i="9" s="1"/>
  <c r="AF230" i="9" s="1"/>
  <c r="AU233" i="9" s="1"/>
  <c r="C167" i="9"/>
  <c r="D167" i="9" s="1"/>
  <c r="G167" i="9" s="1"/>
  <c r="J167" i="9" s="1"/>
  <c r="N167" i="9" s="1"/>
  <c r="Q167" i="9" s="1"/>
  <c r="T167" i="9" s="1"/>
  <c r="W167" i="9" s="1"/>
  <c r="Z167" i="9" s="1"/>
  <c r="AC170" i="9" s="1"/>
  <c r="C83" i="9"/>
  <c r="D83" i="9" s="1"/>
  <c r="G83" i="9" s="1"/>
  <c r="J83" i="9" s="1"/>
  <c r="N83" i="9" s="1"/>
  <c r="Q83" i="9" s="1"/>
  <c r="T83" i="9" s="1"/>
  <c r="W83" i="9" s="1"/>
  <c r="Z83" i="9" s="1"/>
  <c r="AC83" i="9" s="1"/>
  <c r="AF83" i="9" s="1"/>
  <c r="AU83" i="9" s="1"/>
  <c r="H47" i="10"/>
  <c r="AG47" i="10" s="1"/>
  <c r="M10" i="10" s="1"/>
  <c r="J75" i="9"/>
  <c r="H73" i="9"/>
  <c r="AG73" i="9" s="1"/>
  <c r="H37" i="9"/>
  <c r="O158" i="9"/>
  <c r="Q159" i="9"/>
  <c r="X131" i="10"/>
  <c r="Y122" i="10"/>
  <c r="E86" i="10"/>
  <c r="E87" i="10" s="1"/>
  <c r="G79" i="10" s="1"/>
  <c r="J79" i="10" s="1"/>
  <c r="L85" i="10" s="1"/>
  <c r="AG160" i="9"/>
  <c r="Z60" i="6"/>
  <c r="AB61" i="6"/>
  <c r="AE73" i="7"/>
  <c r="AC72" i="7"/>
  <c r="AB75" i="6"/>
  <c r="Z74" i="6"/>
  <c r="Z60" i="7"/>
  <c r="AB61" i="7"/>
  <c r="Y147" i="7"/>
  <c r="AF147" i="7" s="1"/>
  <c r="Z101" i="7" s="1"/>
  <c r="W143" i="7"/>
  <c r="H145" i="6"/>
  <c r="J147" i="6"/>
  <c r="N60" i="7"/>
  <c r="P61" i="7"/>
  <c r="AC44" i="7"/>
  <c r="AF133" i="7"/>
  <c r="L97" i="7" s="1"/>
  <c r="AF134" i="7"/>
  <c r="L99" i="7" s="1"/>
  <c r="AA37" i="6"/>
  <c r="AE122" i="8"/>
  <c r="AE132" i="8" s="1"/>
  <c r="Q122" i="8"/>
  <c r="B44" i="8"/>
  <c r="S73" i="7"/>
  <c r="Q72" i="7"/>
  <c r="T144" i="6"/>
  <c r="V145" i="6"/>
  <c r="T53" i="7"/>
  <c r="V54" i="7"/>
  <c r="Y122" i="7"/>
  <c r="Y135" i="7" s="1"/>
  <c r="AF135" i="7" s="1"/>
  <c r="L101" i="7" s="1"/>
  <c r="K143" i="7"/>
  <c r="M145" i="7"/>
  <c r="T122" i="8"/>
  <c r="T132" i="8" s="1"/>
  <c r="AE144" i="7"/>
  <c r="AC143" i="7"/>
  <c r="K223" i="7"/>
  <c r="J198" i="7" s="1"/>
  <c r="F71" i="7"/>
  <c r="W37" i="6"/>
  <c r="K129" i="8"/>
  <c r="M122" i="8"/>
  <c r="M134" i="8" s="1"/>
  <c r="F71" i="8"/>
  <c r="D37" i="7"/>
  <c r="D74" i="7"/>
  <c r="D81" i="7" s="1"/>
  <c r="G81" i="7" s="1"/>
  <c r="J81" i="7" s="1"/>
  <c r="M85" i="7" s="1"/>
  <c r="R37" i="7"/>
  <c r="N122" i="8"/>
  <c r="AB122" i="8"/>
  <c r="AB134" i="8" s="1"/>
  <c r="AF68" i="8"/>
  <c r="L16" i="8" s="1"/>
  <c r="E143" i="7"/>
  <c r="AF143" i="7" s="1"/>
  <c r="Z93" i="7" s="1"/>
  <c r="G146" i="7"/>
  <c r="D62" i="8"/>
  <c r="B59" i="8"/>
  <c r="AC58" i="8"/>
  <c r="AE59" i="8"/>
  <c r="T59" i="8"/>
  <c r="V60" i="8"/>
  <c r="G146" i="8"/>
  <c r="E143" i="8"/>
  <c r="D161" i="8"/>
  <c r="B158" i="8"/>
  <c r="H133" i="8"/>
  <c r="T158" i="8"/>
  <c r="V159" i="8"/>
  <c r="Q160" i="8"/>
  <c r="S161" i="8"/>
  <c r="J76" i="8"/>
  <c r="H74" i="8"/>
  <c r="P145" i="8"/>
  <c r="N143" i="8"/>
  <c r="P60" i="8"/>
  <c r="N58" i="8"/>
  <c r="AC122" i="8"/>
  <c r="P122" i="8"/>
  <c r="P133" i="8" s="1"/>
  <c r="B122" i="8"/>
  <c r="AF150" i="8"/>
  <c r="L95" i="8" s="1"/>
  <c r="AD71" i="8"/>
  <c r="AT168" i="8"/>
  <c r="C168" i="8"/>
  <c r="D170" i="8" s="1"/>
  <c r="W230" i="8"/>
  <c r="U195" i="8"/>
  <c r="Y37" i="8"/>
  <c r="Y50" i="8" s="1"/>
  <c r="AT81" i="8"/>
  <c r="C81" i="8"/>
  <c r="D81" i="8" s="1"/>
  <c r="G81" i="8" s="1"/>
  <c r="H85" i="8" s="1"/>
  <c r="AF66" i="8"/>
  <c r="L12" i="8" s="1"/>
  <c r="Q134" i="8"/>
  <c r="AF134" i="8" s="1"/>
  <c r="X156" i="8"/>
  <c r="AC143" i="8"/>
  <c r="AE144" i="8"/>
  <c r="I156" i="8"/>
  <c r="J122" i="8" s="1"/>
  <c r="G75" i="8"/>
  <c r="E72" i="8"/>
  <c r="AB203" i="8"/>
  <c r="C79" i="8"/>
  <c r="D79" i="8" s="1"/>
  <c r="E85" i="8" s="1"/>
  <c r="AT79" i="8"/>
  <c r="AT166" i="8"/>
  <c r="C166" i="8"/>
  <c r="D166" i="8" s="1"/>
  <c r="G166" i="8" s="1"/>
  <c r="H170" i="8" s="1"/>
  <c r="S122" i="8"/>
  <c r="S135" i="8" s="1"/>
  <c r="E122" i="8"/>
  <c r="T129" i="8"/>
  <c r="C82" i="8"/>
  <c r="D82" i="8" s="1"/>
  <c r="G85" i="8" s="1"/>
  <c r="AT82" i="8"/>
  <c r="Z60" i="8"/>
  <c r="AB61" i="8"/>
  <c r="F193" i="8"/>
  <c r="AF153" i="8"/>
  <c r="L101" i="8" s="1"/>
  <c r="AT80" i="8"/>
  <c r="C80" i="8"/>
  <c r="B85" i="8" s="1"/>
  <c r="D86" i="8" s="1"/>
  <c r="D87" i="8" s="1"/>
  <c r="D76" i="8"/>
  <c r="B73" i="8"/>
  <c r="K73" i="8"/>
  <c r="M75" i="8"/>
  <c r="Q146" i="8"/>
  <c r="S147" i="8"/>
  <c r="H129" i="8"/>
  <c r="AC37" i="8"/>
  <c r="P74" i="8"/>
  <c r="N72" i="8"/>
  <c r="AT228" i="8"/>
  <c r="X71" i="8"/>
  <c r="AE37" i="8"/>
  <c r="AE47" i="8" s="1"/>
  <c r="U71" i="8"/>
  <c r="P159" i="8"/>
  <c r="N157" i="8"/>
  <c r="W122" i="8"/>
  <c r="D147" i="8"/>
  <c r="B144" i="8"/>
  <c r="Q37" i="8"/>
  <c r="K44" i="8"/>
  <c r="W37" i="8"/>
  <c r="Z159" i="8"/>
  <c r="AB160" i="8"/>
  <c r="G61" i="8"/>
  <c r="E58" i="8"/>
  <c r="AF58" i="8" s="1"/>
  <c r="Z8" i="8" s="1"/>
  <c r="Q75" i="8"/>
  <c r="S76" i="8"/>
  <c r="J62" i="8"/>
  <c r="H60" i="8"/>
  <c r="AC157" i="8"/>
  <c r="AE158" i="8"/>
  <c r="M146" i="8"/>
  <c r="K144" i="8"/>
  <c r="K122" i="8"/>
  <c r="Q61" i="8"/>
  <c r="S62" i="8"/>
  <c r="A195" i="8"/>
  <c r="B230" i="8"/>
  <c r="E37" i="8"/>
  <c r="Z48" i="8"/>
  <c r="AT226" i="8"/>
  <c r="K37" i="8"/>
  <c r="K158" i="8"/>
  <c r="M160" i="8"/>
  <c r="AF64" i="8"/>
  <c r="L8" i="8" s="1"/>
  <c r="AB37" i="8"/>
  <c r="AB49" i="8" s="1"/>
  <c r="G160" i="8"/>
  <c r="E157" i="8"/>
  <c r="Z122" i="8"/>
  <c r="AT165" i="8"/>
  <c r="C165" i="8"/>
  <c r="B170" i="8" s="1"/>
  <c r="AF149" i="8"/>
  <c r="L93" i="8" s="1"/>
  <c r="N37" i="8"/>
  <c r="K223" i="8"/>
  <c r="J198" i="8" s="1"/>
  <c r="AT164" i="8"/>
  <c r="C164" i="8"/>
  <c r="D164" i="8" s="1"/>
  <c r="E170" i="8" s="1"/>
  <c r="T37" i="8"/>
  <c r="P37" i="8"/>
  <c r="P48" i="8" s="1"/>
  <c r="Z129" i="8"/>
  <c r="O122" i="8"/>
  <c r="N131" i="8"/>
  <c r="AT232" i="8"/>
  <c r="AT230" i="8"/>
  <c r="W228" i="8"/>
  <c r="U199" i="8"/>
  <c r="B47" i="8"/>
  <c r="U122" i="8"/>
  <c r="B228" i="8"/>
  <c r="A199" i="8"/>
  <c r="H37" i="8"/>
  <c r="D37" i="8"/>
  <c r="D50" i="8" s="1"/>
  <c r="AF50" i="8" s="1"/>
  <c r="G160" i="6"/>
  <c r="E157" i="6"/>
  <c r="AE59" i="7"/>
  <c r="AC58" i="7"/>
  <c r="AC101" i="7"/>
  <c r="AG153" i="7"/>
  <c r="J86" i="6"/>
  <c r="J87" i="6" s="1"/>
  <c r="AF131" i="6"/>
  <c r="AE158" i="6"/>
  <c r="AC157" i="6"/>
  <c r="AE122" i="6"/>
  <c r="Q134" i="6"/>
  <c r="AF134" i="6" s="1"/>
  <c r="R122" i="6"/>
  <c r="K158" i="6"/>
  <c r="M160" i="6"/>
  <c r="K122" i="6"/>
  <c r="W131" i="6"/>
  <c r="X122" i="6"/>
  <c r="V145" i="7"/>
  <c r="T144" i="7"/>
  <c r="AB146" i="7"/>
  <c r="Z145" i="7"/>
  <c r="AC16" i="7"/>
  <c r="AG68" i="7"/>
  <c r="AE53" i="7"/>
  <c r="AC52" i="7"/>
  <c r="N159" i="7"/>
  <c r="P160" i="7"/>
  <c r="AF160" i="7" s="1"/>
  <c r="F203" i="7"/>
  <c r="P55" i="7"/>
  <c r="N54" i="7"/>
  <c r="F122" i="7"/>
  <c r="E131" i="7"/>
  <c r="V37" i="6"/>
  <c r="V48" i="6" s="1"/>
  <c r="T37" i="6"/>
  <c r="T59" i="6"/>
  <c r="V60" i="6"/>
  <c r="Y37" i="6"/>
  <c r="Y50" i="6" s="1"/>
  <c r="U122" i="6"/>
  <c r="T132" i="6"/>
  <c r="G167" i="7"/>
  <c r="J170" i="7" s="1"/>
  <c r="T132" i="7"/>
  <c r="U122" i="7"/>
  <c r="J146" i="7"/>
  <c r="H144" i="7"/>
  <c r="S59" i="7"/>
  <c r="AF59" i="7" s="1"/>
  <c r="Z10" i="7" s="1"/>
  <c r="Q58" i="7"/>
  <c r="H47" i="7"/>
  <c r="AF47" i="7" s="1"/>
  <c r="L10" i="7" s="1"/>
  <c r="I37" i="7"/>
  <c r="L71" i="6"/>
  <c r="AF65" i="6"/>
  <c r="L10" i="6" s="1"/>
  <c r="C37" i="6"/>
  <c r="B47" i="6"/>
  <c r="W46" i="6"/>
  <c r="X37" i="6"/>
  <c r="AC8" i="6"/>
  <c r="AG64" i="6"/>
  <c r="R8" i="6" s="1"/>
  <c r="R71" i="6"/>
  <c r="G86" i="6"/>
  <c r="G87" i="6" s="1"/>
  <c r="G82" i="6" s="1"/>
  <c r="J82" i="6" s="1"/>
  <c r="M85" i="6" s="1"/>
  <c r="W143" i="6"/>
  <c r="Y147" i="6"/>
  <c r="AF147" i="6" s="1"/>
  <c r="Z101" i="6" s="1"/>
  <c r="I122" i="6"/>
  <c r="H133" i="6"/>
  <c r="M54" i="7"/>
  <c r="K52" i="7"/>
  <c r="G164" i="7"/>
  <c r="J164" i="7" s="1"/>
  <c r="K170" i="7" s="1"/>
  <c r="AF74" i="7"/>
  <c r="J76" i="6"/>
  <c r="H74" i="6"/>
  <c r="AF59" i="6"/>
  <c r="Z10" i="6" s="1"/>
  <c r="B158" i="6"/>
  <c r="D161" i="6"/>
  <c r="AC143" i="6"/>
  <c r="AE144" i="6"/>
  <c r="AF135" i="6"/>
  <c r="L122" i="7"/>
  <c r="Y56" i="7"/>
  <c r="AF56" i="7" s="1"/>
  <c r="AG50" i="7" s="1"/>
  <c r="R16" i="7" s="1"/>
  <c r="W52" i="7"/>
  <c r="H132" i="7"/>
  <c r="I122" i="7"/>
  <c r="AA122" i="7"/>
  <c r="Q131" i="7"/>
  <c r="R122" i="7"/>
  <c r="AT228" i="7"/>
  <c r="F193" i="7"/>
  <c r="P139" i="6"/>
  <c r="N137" i="6"/>
  <c r="AT232" i="6"/>
  <c r="AD122" i="7"/>
  <c r="AC131" i="7"/>
  <c r="Y62" i="6"/>
  <c r="W58" i="6"/>
  <c r="AF152" i="6"/>
  <c r="L99" i="6" s="1"/>
  <c r="M37" i="6"/>
  <c r="M49" i="6" s="1"/>
  <c r="E86" i="6"/>
  <c r="E87" i="6" s="1"/>
  <c r="G79" i="6" s="1"/>
  <c r="J79" i="6" s="1"/>
  <c r="M79" i="6" s="1"/>
  <c r="N85" i="6" s="1"/>
  <c r="D80" i="6"/>
  <c r="G80" i="6" s="1"/>
  <c r="J80" i="6" s="1"/>
  <c r="K85" i="6" s="1"/>
  <c r="M146" i="6"/>
  <c r="AF146" i="6" s="1"/>
  <c r="Z99" i="6" s="1"/>
  <c r="K144" i="6"/>
  <c r="D141" i="6"/>
  <c r="B138" i="6"/>
  <c r="AF73" i="7"/>
  <c r="D80" i="7"/>
  <c r="G80" i="7" s="1"/>
  <c r="H85" i="7" s="1"/>
  <c r="M60" i="7"/>
  <c r="AF60" i="7" s="1"/>
  <c r="Z12" i="7" s="1"/>
  <c r="K58" i="7"/>
  <c r="Y83" i="7"/>
  <c r="AB83" i="7" s="1"/>
  <c r="AE83" i="7" s="1"/>
  <c r="AU83" i="7" s="1"/>
  <c r="E58" i="7"/>
  <c r="G61" i="7"/>
  <c r="AF61" i="7" s="1"/>
  <c r="Z14" i="7" s="1"/>
  <c r="AF157" i="7"/>
  <c r="AT229" i="7"/>
  <c r="AB193" i="7"/>
  <c r="Y168" i="7"/>
  <c r="AB168" i="7" s="1"/>
  <c r="AE168" i="7" s="1"/>
  <c r="AU168" i="7" s="1"/>
  <c r="AB203" i="7"/>
  <c r="J62" i="6"/>
  <c r="H60" i="6"/>
  <c r="AF60" i="6" s="1"/>
  <c r="Z12" i="6" s="1"/>
  <c r="N46" i="6"/>
  <c r="O37" i="6"/>
  <c r="E37" i="6"/>
  <c r="F122" i="6"/>
  <c r="AF150" i="6"/>
  <c r="L95" i="6" s="1"/>
  <c r="Y62" i="7"/>
  <c r="AF62" i="7" s="1"/>
  <c r="Z16" i="7" s="1"/>
  <c r="W58" i="7"/>
  <c r="O122" i="7"/>
  <c r="D145" i="7"/>
  <c r="B144" i="7"/>
  <c r="AF144" i="7" s="1"/>
  <c r="Z95" i="7" s="1"/>
  <c r="AC37" i="6"/>
  <c r="Y161" i="6"/>
  <c r="W157" i="6"/>
  <c r="Q61" i="6"/>
  <c r="AF61" i="6" s="1"/>
  <c r="Z14" i="6" s="1"/>
  <c r="S62" i="6"/>
  <c r="AF159" i="6"/>
  <c r="Q160" i="6"/>
  <c r="S161" i="6"/>
  <c r="AA122" i="6"/>
  <c r="Z133" i="6"/>
  <c r="Z48" i="7"/>
  <c r="AA37" i="7"/>
  <c r="G86" i="7"/>
  <c r="G87" i="7" s="1"/>
  <c r="D159" i="7"/>
  <c r="B122" i="7"/>
  <c r="B158" i="7"/>
  <c r="P146" i="7"/>
  <c r="N145" i="7"/>
  <c r="J37" i="6"/>
  <c r="J50" i="6" s="1"/>
  <c r="AF50" i="6" s="1"/>
  <c r="H37" i="6"/>
  <c r="K47" i="6"/>
  <c r="Z54" i="6"/>
  <c r="AB55" i="6"/>
  <c r="AF58" i="6"/>
  <c r="Z8" i="6" s="1"/>
  <c r="AT233" i="6"/>
  <c r="AF143" i="6"/>
  <c r="Z93" i="6" s="1"/>
  <c r="AF144" i="6"/>
  <c r="Z95" i="6" s="1"/>
  <c r="AT230" i="6"/>
  <c r="D417" i="5"/>
  <c r="D418" i="5" s="1"/>
  <c r="C418" i="5"/>
  <c r="C419" i="5" s="1"/>
  <c r="D167" i="5"/>
  <c r="C168" i="5"/>
  <c r="D368" i="5"/>
  <c r="C369" i="5"/>
  <c r="D317" i="5"/>
  <c r="C318" i="5"/>
  <c r="C87" i="5"/>
  <c r="D86" i="5"/>
  <c r="C12" i="5"/>
  <c r="D215" i="5"/>
  <c r="C216" i="5"/>
  <c r="C6" i="5"/>
  <c r="AC167" i="12" l="1"/>
  <c r="AF167" i="12" s="1"/>
  <c r="AU167" i="12" s="1"/>
  <c r="AG131" i="9"/>
  <c r="M93" i="9" s="1"/>
  <c r="AG132" i="10"/>
  <c r="M95" i="10" s="1"/>
  <c r="AC167" i="9"/>
  <c r="AF167" i="9" s="1"/>
  <c r="AU167" i="9" s="1"/>
  <c r="AH150" i="11"/>
  <c r="AD95" i="11"/>
  <c r="AH151" i="11"/>
  <c r="AD97" i="11"/>
  <c r="G171" i="11"/>
  <c r="G172" i="11" s="1"/>
  <c r="G166" i="11" s="1"/>
  <c r="J166" i="11" s="1"/>
  <c r="N170" i="11" s="1"/>
  <c r="E171" i="11"/>
  <c r="E172" i="11" s="1"/>
  <c r="G165" i="11" s="1"/>
  <c r="J170" i="11" s="1"/>
  <c r="H171" i="11" s="1"/>
  <c r="H172" i="11" s="1"/>
  <c r="J164" i="11" s="1"/>
  <c r="L170" i="11" s="1"/>
  <c r="B179" i="12"/>
  <c r="B210" i="12" s="1"/>
  <c r="B81" i="12"/>
  <c r="AG131" i="11"/>
  <c r="M93" i="11" s="1"/>
  <c r="AG47" i="12"/>
  <c r="M10" i="12" s="1"/>
  <c r="D81" i="11"/>
  <c r="G81" i="11" s="1"/>
  <c r="J81" i="11" s="1"/>
  <c r="N85" i="11" s="1"/>
  <c r="AG74" i="11"/>
  <c r="J55" i="11"/>
  <c r="H53" i="11"/>
  <c r="N54" i="11"/>
  <c r="L52" i="11"/>
  <c r="AG161" i="12"/>
  <c r="Z168" i="12"/>
  <c r="AC168" i="12" s="1"/>
  <c r="AF168" i="12" s="1"/>
  <c r="AU168" i="12" s="1"/>
  <c r="AG144" i="12"/>
  <c r="AA95" i="12" s="1"/>
  <c r="L179" i="12"/>
  <c r="B212" i="12" s="1"/>
  <c r="B79" i="12"/>
  <c r="AT231" i="11"/>
  <c r="Q139" i="12"/>
  <c r="O138" i="12"/>
  <c r="AD137" i="11"/>
  <c r="AF138" i="11"/>
  <c r="D139" i="12"/>
  <c r="B137" i="12"/>
  <c r="Z141" i="12"/>
  <c r="AG141" i="12" s="1"/>
  <c r="AH135" i="12" s="1"/>
  <c r="S101" i="12" s="1"/>
  <c r="X137" i="12"/>
  <c r="L180" i="12"/>
  <c r="B213" i="12" s="1"/>
  <c r="B166" i="12"/>
  <c r="AG46" i="12"/>
  <c r="M8" i="12" s="1"/>
  <c r="AH152" i="12"/>
  <c r="AD99" i="12"/>
  <c r="V180" i="12"/>
  <c r="Y211" i="12" s="1"/>
  <c r="B165" i="12"/>
  <c r="G79" i="11"/>
  <c r="J79" i="11" s="1"/>
  <c r="L85" i="11" s="1"/>
  <c r="AG72" i="11"/>
  <c r="V179" i="12"/>
  <c r="Y210" i="12" s="1"/>
  <c r="B80" i="12"/>
  <c r="R137" i="12"/>
  <c r="T138" i="12"/>
  <c r="O138" i="11"/>
  <c r="Q139" i="11"/>
  <c r="G55" i="12"/>
  <c r="E52" i="12"/>
  <c r="AT227" i="11"/>
  <c r="AT230" i="11"/>
  <c r="AH151" i="12"/>
  <c r="AD97" i="12"/>
  <c r="G82" i="11"/>
  <c r="J85" i="11" s="1"/>
  <c r="AG75" i="11"/>
  <c r="O54" i="11"/>
  <c r="Q55" i="11"/>
  <c r="R52" i="11"/>
  <c r="T53" i="11"/>
  <c r="AH153" i="11"/>
  <c r="AD101" i="11"/>
  <c r="AT226" i="11"/>
  <c r="H53" i="12"/>
  <c r="J55" i="12"/>
  <c r="AH65" i="12"/>
  <c r="AD10" i="12"/>
  <c r="L137" i="11"/>
  <c r="N139" i="11"/>
  <c r="AH67" i="12"/>
  <c r="AD14" i="12"/>
  <c r="AH64" i="12"/>
  <c r="AD8" i="12"/>
  <c r="B53" i="11"/>
  <c r="AG53" i="11" s="1"/>
  <c r="AH47" i="11" s="1"/>
  <c r="S10" i="11" s="1"/>
  <c r="D54" i="11"/>
  <c r="AH149" i="12"/>
  <c r="AD93" i="12"/>
  <c r="AF179" i="12"/>
  <c r="Y212" i="12" s="1"/>
  <c r="B82" i="12"/>
  <c r="N139" i="12"/>
  <c r="L137" i="12"/>
  <c r="R52" i="12"/>
  <c r="T53" i="12"/>
  <c r="AT232" i="11"/>
  <c r="B164" i="12"/>
  <c r="B180" i="12"/>
  <c r="B211" i="12" s="1"/>
  <c r="AG47" i="11"/>
  <c r="M10" i="11" s="1"/>
  <c r="X137" i="11"/>
  <c r="Z141" i="11"/>
  <c r="AG141" i="11" s="1"/>
  <c r="AH135" i="11" s="1"/>
  <c r="S101" i="11" s="1"/>
  <c r="G55" i="11"/>
  <c r="E52" i="11"/>
  <c r="AG52" i="11" s="1"/>
  <c r="B137" i="11"/>
  <c r="D139" i="11"/>
  <c r="AG139" i="11" s="1"/>
  <c r="AH133" i="11" s="1"/>
  <c r="S97" i="11" s="1"/>
  <c r="AT228" i="11"/>
  <c r="B53" i="12"/>
  <c r="D54" i="12"/>
  <c r="AH150" i="12"/>
  <c r="AD95" i="12"/>
  <c r="D80" i="11"/>
  <c r="G80" i="11" s="1"/>
  <c r="H85" i="11" s="1"/>
  <c r="AG73" i="11"/>
  <c r="AH66" i="12"/>
  <c r="AD12" i="12"/>
  <c r="AT229" i="11"/>
  <c r="AG157" i="11"/>
  <c r="R137" i="11"/>
  <c r="T138" i="11"/>
  <c r="AG138" i="11" s="1"/>
  <c r="AH132" i="11" s="1"/>
  <c r="S95" i="11" s="1"/>
  <c r="O54" i="12"/>
  <c r="Q55" i="12"/>
  <c r="J138" i="12"/>
  <c r="AG138" i="12" s="1"/>
  <c r="AH132" i="12" s="1"/>
  <c r="S95" i="12" s="1"/>
  <c r="H137" i="12"/>
  <c r="AH152" i="11"/>
  <c r="AD99" i="11"/>
  <c r="AG46" i="11"/>
  <c r="M8" i="11" s="1"/>
  <c r="J86" i="10"/>
  <c r="J87" i="10" s="1"/>
  <c r="J82" i="10" s="1"/>
  <c r="N82" i="10" s="1"/>
  <c r="Q85" i="10" s="1"/>
  <c r="AH65" i="9"/>
  <c r="AD10" i="9"/>
  <c r="H86" i="10"/>
  <c r="H87" i="10" s="1"/>
  <c r="J80" i="10" s="1"/>
  <c r="N80" i="10" s="1"/>
  <c r="Q80" i="10" s="1"/>
  <c r="T85" i="10" s="1"/>
  <c r="N86" i="10"/>
  <c r="N87" i="10" s="1"/>
  <c r="N81" i="10" s="1"/>
  <c r="O85" i="10" s="1"/>
  <c r="AH67" i="10"/>
  <c r="AD14" i="10"/>
  <c r="AD137" i="10"/>
  <c r="AF138" i="10"/>
  <c r="Q55" i="9"/>
  <c r="O54" i="9"/>
  <c r="R137" i="9"/>
  <c r="T138" i="9"/>
  <c r="Z141" i="10"/>
  <c r="AG141" i="10" s="1"/>
  <c r="AH135" i="10" s="1"/>
  <c r="S101" i="10" s="1"/>
  <c r="X137" i="10"/>
  <c r="I37" i="10"/>
  <c r="B53" i="9"/>
  <c r="D54" i="9"/>
  <c r="V179" i="9"/>
  <c r="Y210" i="9" s="1"/>
  <c r="B81" i="9"/>
  <c r="AH66" i="9"/>
  <c r="AD12" i="9"/>
  <c r="AH64" i="10"/>
  <c r="AD8" i="10"/>
  <c r="AT230" i="10"/>
  <c r="AG157" i="10"/>
  <c r="D164" i="10"/>
  <c r="G164" i="10" s="1"/>
  <c r="H170" i="10" s="1"/>
  <c r="AG132" i="9"/>
  <c r="M95" i="9" s="1"/>
  <c r="Q139" i="10"/>
  <c r="O138" i="10"/>
  <c r="T53" i="10"/>
  <c r="R52" i="10"/>
  <c r="AG159" i="9"/>
  <c r="T53" i="9"/>
  <c r="R52" i="9"/>
  <c r="B53" i="10"/>
  <c r="D54" i="10"/>
  <c r="L86" i="10"/>
  <c r="L87" i="10" s="1"/>
  <c r="N79" i="10" s="1"/>
  <c r="Q79" i="10" s="1"/>
  <c r="R85" i="10" s="1"/>
  <c r="B131" i="10"/>
  <c r="AG131" i="10" s="1"/>
  <c r="M93" i="10" s="1"/>
  <c r="C122" i="10"/>
  <c r="E138" i="9"/>
  <c r="G139" i="9"/>
  <c r="AG157" i="9"/>
  <c r="G55" i="10"/>
  <c r="E52" i="10"/>
  <c r="AD137" i="9"/>
  <c r="AF138" i="9"/>
  <c r="L180" i="9"/>
  <c r="B213" i="9" s="1"/>
  <c r="B164" i="9"/>
  <c r="AH152" i="10"/>
  <c r="AD99" i="10"/>
  <c r="N48" i="10"/>
  <c r="AG48" i="10" s="1"/>
  <c r="M12" i="10" s="1"/>
  <c r="M37" i="10"/>
  <c r="AH150" i="10"/>
  <c r="AD95" i="10"/>
  <c r="AT229" i="10"/>
  <c r="J138" i="10"/>
  <c r="H137" i="10"/>
  <c r="O138" i="9"/>
  <c r="Q139" i="9"/>
  <c r="AT226" i="10"/>
  <c r="AH65" i="10"/>
  <c r="AD10" i="10"/>
  <c r="U138" i="9"/>
  <c r="W139" i="9"/>
  <c r="AT232" i="10"/>
  <c r="U138" i="10"/>
  <c r="W139" i="10"/>
  <c r="AG158" i="9"/>
  <c r="I37" i="9"/>
  <c r="H47" i="9"/>
  <c r="AG47" i="9" s="1"/>
  <c r="M10" i="9" s="1"/>
  <c r="AG145" i="10"/>
  <c r="AA97" i="10" s="1"/>
  <c r="AT228" i="9"/>
  <c r="N139" i="10"/>
  <c r="L137" i="10"/>
  <c r="AH153" i="10"/>
  <c r="AD101" i="10"/>
  <c r="B180" i="9"/>
  <c r="B211" i="9" s="1"/>
  <c r="B166" i="9"/>
  <c r="G55" i="9"/>
  <c r="E52" i="9"/>
  <c r="N139" i="9"/>
  <c r="L137" i="9"/>
  <c r="AG161" i="9"/>
  <c r="Z168" i="9"/>
  <c r="AC168" i="9" s="1"/>
  <c r="AF168" i="9" s="1"/>
  <c r="AU168" i="9" s="1"/>
  <c r="AT227" i="10"/>
  <c r="AH152" i="9"/>
  <c r="AD99" i="9"/>
  <c r="B179" i="9"/>
  <c r="B210" i="9" s="1"/>
  <c r="B80" i="9"/>
  <c r="E138" i="10"/>
  <c r="G139" i="10"/>
  <c r="AD12" i="10"/>
  <c r="AH66" i="10"/>
  <c r="AG75" i="9"/>
  <c r="AH64" i="9"/>
  <c r="AD8" i="9"/>
  <c r="L52" i="9"/>
  <c r="N54" i="9"/>
  <c r="AF179" i="9"/>
  <c r="Y212" i="9" s="1"/>
  <c r="B79" i="9"/>
  <c r="D166" i="10"/>
  <c r="G170" i="10" s="1"/>
  <c r="AG159" i="10"/>
  <c r="AA139" i="9"/>
  <c r="AC140" i="9"/>
  <c r="AG140" i="9" s="1"/>
  <c r="AH134" i="9" s="1"/>
  <c r="S99" i="9" s="1"/>
  <c r="B137" i="9"/>
  <c r="D139" i="9"/>
  <c r="L37" i="6"/>
  <c r="R122" i="8"/>
  <c r="E37" i="7"/>
  <c r="E72" i="7"/>
  <c r="G75" i="7"/>
  <c r="AF75" i="7" s="1"/>
  <c r="AG67" i="7" s="1"/>
  <c r="X122" i="7"/>
  <c r="AF62" i="6"/>
  <c r="Z16" i="6" s="1"/>
  <c r="S53" i="7"/>
  <c r="Q52" i="7"/>
  <c r="AF145" i="6"/>
  <c r="Z97" i="6" s="1"/>
  <c r="D48" i="7"/>
  <c r="AF48" i="7" s="1"/>
  <c r="L12" i="7" s="1"/>
  <c r="C37" i="7"/>
  <c r="J135" i="8"/>
  <c r="AF135" i="8" s="1"/>
  <c r="I122" i="8"/>
  <c r="AT227" i="8"/>
  <c r="E171" i="8"/>
  <c r="E172" i="8" s="1"/>
  <c r="G164" i="8" s="1"/>
  <c r="J164" i="8" s="1"/>
  <c r="M164" i="8" s="1"/>
  <c r="N170" i="8" s="1"/>
  <c r="AA122" i="8"/>
  <c r="Z133" i="8"/>
  <c r="K47" i="8"/>
  <c r="L37" i="8"/>
  <c r="AC46" i="8"/>
  <c r="AD37" i="8"/>
  <c r="B86" i="8"/>
  <c r="B87" i="8" s="1"/>
  <c r="D80" i="8" s="1"/>
  <c r="G80" i="8" s="1"/>
  <c r="J80" i="8" s="1"/>
  <c r="K85" i="8" s="1"/>
  <c r="AF75" i="8"/>
  <c r="V139" i="8"/>
  <c r="T138" i="8"/>
  <c r="X37" i="8"/>
  <c r="W46" i="8"/>
  <c r="T73" i="8"/>
  <c r="V74" i="8"/>
  <c r="AF74" i="8" s="1"/>
  <c r="J161" i="8"/>
  <c r="H159" i="8"/>
  <c r="C122" i="8"/>
  <c r="B132" i="8"/>
  <c r="AF132" i="8" s="1"/>
  <c r="C37" i="8"/>
  <c r="AF160" i="8"/>
  <c r="K132" i="8"/>
  <c r="L122" i="8"/>
  <c r="K59" i="8"/>
  <c r="AF59" i="8" s="1"/>
  <c r="Z10" i="8" s="1"/>
  <c r="M61" i="8"/>
  <c r="AF61" i="8" s="1"/>
  <c r="Z14" i="8" s="1"/>
  <c r="AF133" i="8"/>
  <c r="H145" i="8"/>
  <c r="J147" i="8"/>
  <c r="P139" i="8"/>
  <c r="N137" i="8"/>
  <c r="O37" i="8"/>
  <c r="N46" i="8"/>
  <c r="AA37" i="8"/>
  <c r="Q49" i="8"/>
  <c r="AF49" i="8" s="1"/>
  <c r="R37" i="8"/>
  <c r="Y76" i="8"/>
  <c r="AF76" i="8" s="1"/>
  <c r="W72" i="8"/>
  <c r="AC131" i="8"/>
  <c r="AD122" i="8"/>
  <c r="Z145" i="8"/>
  <c r="AB146" i="8"/>
  <c r="AF146" i="8" s="1"/>
  <c r="Z99" i="8" s="1"/>
  <c r="AF144" i="8"/>
  <c r="Z95" i="8" s="1"/>
  <c r="G86" i="8"/>
  <c r="G87" i="8" s="1"/>
  <c r="G82" i="8" s="1"/>
  <c r="J82" i="8" s="1"/>
  <c r="M85" i="8" s="1"/>
  <c r="E86" i="8"/>
  <c r="E87" i="8" s="1"/>
  <c r="G79" i="8" s="1"/>
  <c r="J79" i="8" s="1"/>
  <c r="M79" i="8" s="1"/>
  <c r="N85" i="8" s="1"/>
  <c r="Y161" i="8"/>
  <c r="W157" i="8"/>
  <c r="AT233" i="8"/>
  <c r="AF158" i="8"/>
  <c r="AT231" i="8"/>
  <c r="B171" i="8"/>
  <c r="B172" i="8" s="1"/>
  <c r="D165" i="8" s="1"/>
  <c r="G165" i="8" s="1"/>
  <c r="J165" i="8" s="1"/>
  <c r="K170" i="8" s="1"/>
  <c r="E46" i="8"/>
  <c r="F37" i="8"/>
  <c r="AF147" i="8"/>
  <c r="Z101" i="8" s="1"/>
  <c r="T144" i="8"/>
  <c r="V145" i="8"/>
  <c r="S141" i="8"/>
  <c r="Q140" i="8"/>
  <c r="D171" i="8"/>
  <c r="D172" i="8" s="1"/>
  <c r="D168" i="8" s="1"/>
  <c r="G168" i="8" s="1"/>
  <c r="J170" i="8" s="1"/>
  <c r="I37" i="8"/>
  <c r="H48" i="8"/>
  <c r="T47" i="8"/>
  <c r="AT229" i="8"/>
  <c r="X122" i="8"/>
  <c r="W131" i="8"/>
  <c r="E131" i="8"/>
  <c r="AF131" i="8" s="1"/>
  <c r="F122" i="8"/>
  <c r="G171" i="8"/>
  <c r="G172" i="8" s="1"/>
  <c r="G167" i="8" s="1"/>
  <c r="J167" i="8" s="1"/>
  <c r="M170" i="8" s="1"/>
  <c r="AF62" i="8"/>
  <c r="Z16" i="8" s="1"/>
  <c r="V37" i="8"/>
  <c r="V48" i="8" s="1"/>
  <c r="AF60" i="8"/>
  <c r="Z12" i="8" s="1"/>
  <c r="D83" i="8"/>
  <c r="G83" i="8" s="1"/>
  <c r="J85" i="8" s="1"/>
  <c r="H86" i="8" s="1"/>
  <c r="H87" i="8" s="1"/>
  <c r="J81" i="8" s="1"/>
  <c r="M81" i="8" s="1"/>
  <c r="P85" i="8" s="1"/>
  <c r="AC72" i="8"/>
  <c r="AE73" i="8"/>
  <c r="AF143" i="8"/>
  <c r="Z93" i="8" s="1"/>
  <c r="M86" i="6"/>
  <c r="M87" i="6" s="1"/>
  <c r="AC99" i="7"/>
  <c r="AG152" i="7"/>
  <c r="M55" i="6"/>
  <c r="K53" i="6"/>
  <c r="C122" i="7"/>
  <c r="B132" i="7"/>
  <c r="AF132" i="7" s="1"/>
  <c r="L95" i="7" s="1"/>
  <c r="AB140" i="6"/>
  <c r="Z139" i="6"/>
  <c r="E137" i="6"/>
  <c r="G140" i="6"/>
  <c r="K86" i="6"/>
  <c r="K87" i="6" s="1"/>
  <c r="Z139" i="7"/>
  <c r="AB140" i="7"/>
  <c r="AC12" i="7"/>
  <c r="AG66" i="7"/>
  <c r="H48" i="6"/>
  <c r="AF48" i="6" s="1"/>
  <c r="I37" i="6"/>
  <c r="AF159" i="7"/>
  <c r="D166" i="7"/>
  <c r="G166" i="7" s="1"/>
  <c r="J166" i="7" s="1"/>
  <c r="M170" i="7" s="1"/>
  <c r="K171" i="7" s="1"/>
  <c r="K172" i="7" s="1"/>
  <c r="M164" i="7" s="1"/>
  <c r="P164" i="7" s="1"/>
  <c r="Q170" i="7" s="1"/>
  <c r="AC137" i="7"/>
  <c r="AE138" i="7"/>
  <c r="J140" i="7"/>
  <c r="H138" i="7"/>
  <c r="S141" i="6"/>
  <c r="Q140" i="6"/>
  <c r="AD37" i="6"/>
  <c r="AC46" i="6"/>
  <c r="N139" i="7"/>
  <c r="P140" i="7"/>
  <c r="F37" i="6"/>
  <c r="E46" i="6"/>
  <c r="AC93" i="7"/>
  <c r="AG149" i="7"/>
  <c r="AG65" i="7"/>
  <c r="AC10" i="7"/>
  <c r="B53" i="6"/>
  <c r="D56" i="6"/>
  <c r="AF146" i="7"/>
  <c r="Z99" i="7" s="1"/>
  <c r="G164" i="6"/>
  <c r="J164" i="6" s="1"/>
  <c r="M164" i="6" s="1"/>
  <c r="N170" i="6" s="1"/>
  <c r="AF157" i="6"/>
  <c r="AC97" i="6"/>
  <c r="AG151" i="6"/>
  <c r="R97" i="6" s="1"/>
  <c r="AC14" i="7"/>
  <c r="N52" i="6"/>
  <c r="P54" i="6"/>
  <c r="D168" i="6"/>
  <c r="G168" i="6" s="1"/>
  <c r="J170" i="6" s="1"/>
  <c r="AF161" i="6"/>
  <c r="J81" i="6"/>
  <c r="M81" i="6" s="1"/>
  <c r="P85" i="6" s="1"/>
  <c r="AF74" i="6"/>
  <c r="V139" i="6"/>
  <c r="T138" i="6"/>
  <c r="U37" i="6"/>
  <c r="T47" i="6"/>
  <c r="AF47" i="6" s="1"/>
  <c r="Y141" i="6"/>
  <c r="W137" i="6"/>
  <c r="G167" i="6"/>
  <c r="J167" i="6" s="1"/>
  <c r="M170" i="6" s="1"/>
  <c r="AF160" i="6"/>
  <c r="AF58" i="7"/>
  <c r="Z8" i="7" s="1"/>
  <c r="AF158" i="6"/>
  <c r="D165" i="6"/>
  <c r="G165" i="6" s="1"/>
  <c r="J165" i="6" s="1"/>
  <c r="K170" i="6" s="1"/>
  <c r="J83" i="6"/>
  <c r="M83" i="6" s="1"/>
  <c r="P83" i="6" s="1"/>
  <c r="S85" i="6" s="1"/>
  <c r="Q75" i="6"/>
  <c r="S76" i="6"/>
  <c r="K73" i="6"/>
  <c r="M75" i="6"/>
  <c r="AB55" i="7"/>
  <c r="Z54" i="7"/>
  <c r="Q137" i="7"/>
  <c r="S138" i="7"/>
  <c r="AF133" i="6"/>
  <c r="H53" i="7"/>
  <c r="J55" i="7"/>
  <c r="V139" i="7"/>
  <c r="T138" i="7"/>
  <c r="Q37" i="6"/>
  <c r="AF131" i="7"/>
  <c r="L93" i="7" s="1"/>
  <c r="L122" i="6"/>
  <c r="K132" i="6"/>
  <c r="AF132" i="6" s="1"/>
  <c r="AE132" i="6"/>
  <c r="AD122" i="6"/>
  <c r="K137" i="7"/>
  <c r="M139" i="7"/>
  <c r="H139" i="6"/>
  <c r="J141" i="6"/>
  <c r="E137" i="7"/>
  <c r="G140" i="7"/>
  <c r="AF140" i="7" s="1"/>
  <c r="AG134" i="7" s="1"/>
  <c r="R99" i="7" s="1"/>
  <c r="D165" i="7"/>
  <c r="G165" i="7" s="1"/>
  <c r="H170" i="7" s="1"/>
  <c r="J171" i="7" s="1"/>
  <c r="J172" i="7" s="1"/>
  <c r="J167" i="7" s="1"/>
  <c r="M167" i="7" s="1"/>
  <c r="P170" i="7" s="1"/>
  <c r="AF158" i="7"/>
  <c r="AF145" i="7"/>
  <c r="Z97" i="7" s="1"/>
  <c r="W52" i="6"/>
  <c r="Y56" i="6"/>
  <c r="C420" i="5"/>
  <c r="D419" i="5"/>
  <c r="D87" i="5"/>
  <c r="C88" i="5"/>
  <c r="D318" i="5"/>
  <c r="C319" i="5"/>
  <c r="D12" i="5"/>
  <c r="D13" i="5" s="1"/>
  <c r="D14" i="5" s="1"/>
  <c r="D15" i="5" s="1"/>
  <c r="D16" i="5" s="1"/>
  <c r="C13" i="5"/>
  <c r="C14" i="5" s="1"/>
  <c r="C15" i="5" s="1"/>
  <c r="C16" i="5" s="1"/>
  <c r="C17" i="5" s="1"/>
  <c r="C7" i="5"/>
  <c r="C8" i="5" s="1"/>
  <c r="C9" i="5" s="1"/>
  <c r="D6" i="5"/>
  <c r="D7" i="5" s="1"/>
  <c r="D8" i="5" s="1"/>
  <c r="D9" i="5" s="1"/>
  <c r="D369" i="5"/>
  <c r="C370" i="5"/>
  <c r="D216" i="5"/>
  <c r="D217" i="5" s="1"/>
  <c r="D218" i="5" s="1"/>
  <c r="D219" i="5" s="1"/>
  <c r="D220" i="5" s="1"/>
  <c r="D221" i="5" s="1"/>
  <c r="D222" i="5" s="1"/>
  <c r="D223" i="5" s="1"/>
  <c r="D224" i="5" s="1"/>
  <c r="D225" i="5" s="1"/>
  <c r="D226" i="5" s="1"/>
  <c r="D227" i="5" s="1"/>
  <c r="D228" i="5" s="1"/>
  <c r="D229" i="5" s="1"/>
  <c r="D230" i="5" s="1"/>
  <c r="D231" i="5" s="1"/>
  <c r="D232" i="5" s="1"/>
  <c r="D233" i="5" s="1"/>
  <c r="D234" i="5" s="1"/>
  <c r="D235" i="5" s="1"/>
  <c r="D236" i="5" s="1"/>
  <c r="D237" i="5" s="1"/>
  <c r="D238" i="5" s="1"/>
  <c r="D239" i="5" s="1"/>
  <c r="D240" i="5" s="1"/>
  <c r="D241" i="5" s="1"/>
  <c r="D242" i="5" s="1"/>
  <c r="D243" i="5" s="1"/>
  <c r="D244" i="5" s="1"/>
  <c r="D245" i="5" s="1"/>
  <c r="D246" i="5" s="1"/>
  <c r="D247" i="5" s="1"/>
  <c r="D248" i="5" s="1"/>
  <c r="D249" i="5" s="1"/>
  <c r="D250" i="5" s="1"/>
  <c r="D251" i="5" s="1"/>
  <c r="D252" i="5" s="1"/>
  <c r="D253" i="5" s="1"/>
  <c r="D254" i="5" s="1"/>
  <c r="D255" i="5" s="1"/>
  <c r="D256" i="5" s="1"/>
  <c r="D257" i="5" s="1"/>
  <c r="C217" i="5"/>
  <c r="C218" i="5" s="1"/>
  <c r="C219" i="5" s="1"/>
  <c r="C220" i="5" s="1"/>
  <c r="C221" i="5" s="1"/>
  <c r="C222" i="5" s="1"/>
  <c r="C223" i="5" s="1"/>
  <c r="C224" i="5" s="1"/>
  <c r="C225" i="5" s="1"/>
  <c r="C226" i="5" s="1"/>
  <c r="C227" i="5" s="1"/>
  <c r="C228" i="5" s="1"/>
  <c r="C229" i="5" s="1"/>
  <c r="C230" i="5" s="1"/>
  <c r="C231" i="5" s="1"/>
  <c r="C232" i="5" s="1"/>
  <c r="C233" i="5" s="1"/>
  <c r="C234" i="5" s="1"/>
  <c r="C235" i="5" s="1"/>
  <c r="C236" i="5" s="1"/>
  <c r="C237" i="5" s="1"/>
  <c r="C238" i="5" s="1"/>
  <c r="C239" i="5" s="1"/>
  <c r="C240" i="5" s="1"/>
  <c r="C241" i="5" s="1"/>
  <c r="C242" i="5" s="1"/>
  <c r="C243" i="5" s="1"/>
  <c r="C244" i="5" s="1"/>
  <c r="C245" i="5" s="1"/>
  <c r="C246" i="5" s="1"/>
  <c r="C247" i="5" s="1"/>
  <c r="C248" i="5" s="1"/>
  <c r="C249" i="5" s="1"/>
  <c r="C250" i="5" s="1"/>
  <c r="C251" i="5" s="1"/>
  <c r="C252" i="5" s="1"/>
  <c r="C253" i="5" s="1"/>
  <c r="C254" i="5" s="1"/>
  <c r="C255" i="5" s="1"/>
  <c r="C256" i="5" s="1"/>
  <c r="C257" i="5" s="1"/>
  <c r="C258" i="5" s="1"/>
  <c r="D168" i="5"/>
  <c r="C169" i="5"/>
  <c r="AG55" i="11" l="1"/>
  <c r="AH49" i="11" s="1"/>
  <c r="S14" i="11" s="1"/>
  <c r="AG54" i="11"/>
  <c r="AH48" i="11" s="1"/>
  <c r="S12" i="11" s="1"/>
  <c r="AG138" i="10"/>
  <c r="AH132" i="10" s="1"/>
  <c r="S95" i="10" s="1"/>
  <c r="L171" i="11"/>
  <c r="L172" i="11" s="1"/>
  <c r="N164" i="11" s="1"/>
  <c r="Q164" i="11" s="1"/>
  <c r="R170" i="11" s="1"/>
  <c r="N171" i="11"/>
  <c r="N172" i="11" s="1"/>
  <c r="N166" i="11" s="1"/>
  <c r="Q170" i="11" s="1"/>
  <c r="AH65" i="11"/>
  <c r="AD10" i="11"/>
  <c r="AG139" i="12"/>
  <c r="AH133" i="12" s="1"/>
  <c r="S97" i="12" s="1"/>
  <c r="B229" i="12"/>
  <c r="A204" i="12"/>
  <c r="A193" i="12"/>
  <c r="H86" i="11"/>
  <c r="H87" i="11" s="1"/>
  <c r="J80" i="11" s="1"/>
  <c r="N80" i="11" s="1"/>
  <c r="Q80" i="11" s="1"/>
  <c r="T85" i="11" s="1"/>
  <c r="AG137" i="11"/>
  <c r="AH131" i="11" s="1"/>
  <c r="S93" i="11" s="1"/>
  <c r="AH67" i="11"/>
  <c r="AD14" i="11"/>
  <c r="AT80" i="12"/>
  <c r="AH66" i="11"/>
  <c r="AD12" i="11"/>
  <c r="AH149" i="11"/>
  <c r="AD93" i="11"/>
  <c r="AH46" i="11"/>
  <c r="S8" i="11" s="1"/>
  <c r="J86" i="11"/>
  <c r="J87" i="11" s="1"/>
  <c r="J82" i="11" s="1"/>
  <c r="N82" i="11" s="1"/>
  <c r="Q85" i="11" s="1"/>
  <c r="AG52" i="12"/>
  <c r="AH46" i="12" s="1"/>
  <c r="S8" i="12" s="1"/>
  <c r="X227" i="12"/>
  <c r="U202" i="12"/>
  <c r="V190" i="12"/>
  <c r="AC193" i="12"/>
  <c r="N86" i="11"/>
  <c r="N87" i="11" s="1"/>
  <c r="N81" i="11" s="1"/>
  <c r="O85" i="11" s="1"/>
  <c r="AG55" i="12"/>
  <c r="AH49" i="12" s="1"/>
  <c r="S14" i="12" s="1"/>
  <c r="AH64" i="11"/>
  <c r="AD8" i="11"/>
  <c r="AT166" i="12"/>
  <c r="AH153" i="12"/>
  <c r="AD101" i="12"/>
  <c r="AG54" i="12"/>
  <c r="AH48" i="12" s="1"/>
  <c r="S12" i="12" s="1"/>
  <c r="B228" i="12"/>
  <c r="A199" i="12"/>
  <c r="L86" i="11"/>
  <c r="L87" i="11" s="1"/>
  <c r="N79" i="11" s="1"/>
  <c r="Q79" i="11" s="1"/>
  <c r="R85" i="11" s="1"/>
  <c r="A195" i="12"/>
  <c r="B230" i="12"/>
  <c r="AG53" i="12"/>
  <c r="AH47" i="12" s="1"/>
  <c r="S10" i="12" s="1"/>
  <c r="AT164" i="12"/>
  <c r="AT82" i="12"/>
  <c r="AT165" i="12"/>
  <c r="AT81" i="12"/>
  <c r="V204" i="12"/>
  <c r="X229" i="12"/>
  <c r="X228" i="12"/>
  <c r="V199" i="12"/>
  <c r="B227" i="12"/>
  <c r="A190" i="12"/>
  <c r="AG137" i="12"/>
  <c r="AH131" i="12" s="1"/>
  <c r="S93" i="12" s="1"/>
  <c r="AT79" i="12"/>
  <c r="J171" i="11"/>
  <c r="J172" i="11" s="1"/>
  <c r="J165" i="11" s="1"/>
  <c r="N165" i="11" s="1"/>
  <c r="O170" i="11" s="1"/>
  <c r="Q86" i="10"/>
  <c r="Q87" i="10" s="1"/>
  <c r="Q82" i="10" s="1"/>
  <c r="T82" i="10" s="1"/>
  <c r="W82" i="10" s="1"/>
  <c r="Z82" i="10" s="1"/>
  <c r="AC82" i="10" s="1"/>
  <c r="AF82" i="10" s="1"/>
  <c r="AU82" i="10" s="1"/>
  <c r="AX9" i="10" s="1"/>
  <c r="R86" i="10"/>
  <c r="R87" i="10" s="1"/>
  <c r="T79" i="10" s="1"/>
  <c r="W79" i="10" s="1"/>
  <c r="Z79" i="10" s="1"/>
  <c r="AC79" i="10" s="1"/>
  <c r="AF79" i="10" s="1"/>
  <c r="AU79" i="10" s="1"/>
  <c r="AX3" i="10" s="1"/>
  <c r="T86" i="10"/>
  <c r="T87" i="10" s="1"/>
  <c r="T80" i="10" s="1"/>
  <c r="W80" i="10" s="1"/>
  <c r="Z80" i="10" s="1"/>
  <c r="AC80" i="10" s="1"/>
  <c r="AF80" i="10" s="1"/>
  <c r="AU80" i="10" s="1"/>
  <c r="AX6" i="10" s="1"/>
  <c r="AH151" i="10"/>
  <c r="AD97" i="10"/>
  <c r="A190" i="9"/>
  <c r="B227" i="9"/>
  <c r="D139" i="10"/>
  <c r="AG139" i="10" s="1"/>
  <c r="AH133" i="10" s="1"/>
  <c r="S97" i="10" s="1"/>
  <c r="B137" i="10"/>
  <c r="AG137" i="10" s="1"/>
  <c r="AH131" i="10" s="1"/>
  <c r="S93" i="10" s="1"/>
  <c r="AH151" i="9"/>
  <c r="AD97" i="9"/>
  <c r="AH149" i="10"/>
  <c r="AD93" i="10"/>
  <c r="G171" i="10"/>
  <c r="G172" i="10" s="1"/>
  <c r="G166" i="10" s="1"/>
  <c r="J166" i="10" s="1"/>
  <c r="N170" i="10" s="1"/>
  <c r="E171" i="10"/>
  <c r="E172" i="10" s="1"/>
  <c r="G165" i="10" s="1"/>
  <c r="J170" i="10" s="1"/>
  <c r="H171" i="10" s="1"/>
  <c r="H172" i="10" s="1"/>
  <c r="J164" i="10" s="1"/>
  <c r="L170" i="10" s="1"/>
  <c r="N54" i="10"/>
  <c r="AG54" i="10" s="1"/>
  <c r="AH48" i="10" s="1"/>
  <c r="S12" i="10" s="1"/>
  <c r="L52" i="10"/>
  <c r="AG52" i="10" s="1"/>
  <c r="AH46" i="10" s="1"/>
  <c r="S8" i="10" s="1"/>
  <c r="AG54" i="9"/>
  <c r="AH48" i="9" s="1"/>
  <c r="S12" i="9" s="1"/>
  <c r="AH67" i="9"/>
  <c r="AD14" i="9"/>
  <c r="AG53" i="9"/>
  <c r="AH47" i="9" s="1"/>
  <c r="S10" i="9" s="1"/>
  <c r="V204" i="9"/>
  <c r="X229" i="9"/>
  <c r="AG52" i="9"/>
  <c r="AH46" i="9" s="1"/>
  <c r="S8" i="9" s="1"/>
  <c r="J55" i="9"/>
  <c r="AG55" i="9" s="1"/>
  <c r="AH49" i="9" s="1"/>
  <c r="S14" i="9" s="1"/>
  <c r="H53" i="9"/>
  <c r="H53" i="10"/>
  <c r="J55" i="10"/>
  <c r="AG55" i="10" s="1"/>
  <c r="AH49" i="10" s="1"/>
  <c r="S14" i="10" s="1"/>
  <c r="O86" i="10"/>
  <c r="O87" i="10" s="1"/>
  <c r="Q81" i="10" s="1"/>
  <c r="T81" i="10" s="1"/>
  <c r="W81" i="10" s="1"/>
  <c r="Z81" i="10" s="1"/>
  <c r="AC81" i="10" s="1"/>
  <c r="AF81" i="10" s="1"/>
  <c r="AU81" i="10" s="1"/>
  <c r="AX7" i="10" s="1"/>
  <c r="AT79" i="9"/>
  <c r="AG139" i="9"/>
  <c r="AH133" i="9" s="1"/>
  <c r="S97" i="9" s="1"/>
  <c r="AG137" i="9"/>
  <c r="AH131" i="9" s="1"/>
  <c r="S93" i="9" s="1"/>
  <c r="AT166" i="9"/>
  <c r="AH150" i="9"/>
  <c r="AD95" i="9"/>
  <c r="AT164" i="9"/>
  <c r="AH149" i="9"/>
  <c r="AD93" i="9"/>
  <c r="AG53" i="10"/>
  <c r="AH47" i="10" s="1"/>
  <c r="S10" i="10" s="1"/>
  <c r="B228" i="9"/>
  <c r="A199" i="9"/>
  <c r="B230" i="9"/>
  <c r="A195" i="9"/>
  <c r="AG138" i="9"/>
  <c r="AH132" i="9" s="1"/>
  <c r="S95" i="9" s="1"/>
  <c r="AT81" i="9"/>
  <c r="AT80" i="9"/>
  <c r="AH153" i="9"/>
  <c r="AD101" i="9"/>
  <c r="U202" i="9"/>
  <c r="V190" i="9"/>
  <c r="X227" i="9"/>
  <c r="AC193" i="9"/>
  <c r="G82" i="7"/>
  <c r="J85" i="7" s="1"/>
  <c r="Y141" i="7"/>
  <c r="AF141" i="7" s="1"/>
  <c r="AG135" i="7" s="1"/>
  <c r="R101" i="7" s="1"/>
  <c r="W137" i="7"/>
  <c r="AF137" i="7"/>
  <c r="AG131" i="7" s="1"/>
  <c r="R93" i="7" s="1"/>
  <c r="AF141" i="6"/>
  <c r="AG135" i="6" s="1"/>
  <c r="AF47" i="8"/>
  <c r="AF72" i="7"/>
  <c r="G79" i="7"/>
  <c r="J79" i="7" s="1"/>
  <c r="K85" i="7" s="1"/>
  <c r="D54" i="7"/>
  <c r="AF54" i="7" s="1"/>
  <c r="AG48" i="7" s="1"/>
  <c r="R12" i="7" s="1"/>
  <c r="B53" i="7"/>
  <c r="AF53" i="7" s="1"/>
  <c r="AG47" i="7" s="1"/>
  <c r="R10" i="7" s="1"/>
  <c r="AF139" i="6"/>
  <c r="F37" i="7"/>
  <c r="E46" i="7"/>
  <c r="AF46" i="7" s="1"/>
  <c r="L8" i="7" s="1"/>
  <c r="U37" i="8"/>
  <c r="AF161" i="8"/>
  <c r="AG153" i="8" s="1"/>
  <c r="R101" i="8" s="1"/>
  <c r="K171" i="8"/>
  <c r="K172" i="8" s="1"/>
  <c r="M165" i="8" s="1"/>
  <c r="P165" i="8" s="1"/>
  <c r="S165" i="8" s="1"/>
  <c r="T170" i="8" s="1"/>
  <c r="M171" i="8"/>
  <c r="M172" i="8" s="1"/>
  <c r="M167" i="8" s="1"/>
  <c r="P167" i="8" s="1"/>
  <c r="Q170" i="8" s="1"/>
  <c r="M86" i="8"/>
  <c r="M87" i="8" s="1"/>
  <c r="M82" i="8" s="1"/>
  <c r="P82" i="8" s="1"/>
  <c r="Q85" i="8" s="1"/>
  <c r="P86" i="8"/>
  <c r="P87" i="8" s="1"/>
  <c r="P81" i="8" s="1"/>
  <c r="S81" i="8" s="1"/>
  <c r="V85" i="8" s="1"/>
  <c r="AG66" i="8"/>
  <c r="R12" i="8" s="1"/>
  <c r="AC12" i="8"/>
  <c r="N86" i="8"/>
  <c r="N87" i="8" s="1"/>
  <c r="P79" i="8" s="1"/>
  <c r="S79" i="8" s="1"/>
  <c r="V79" i="8" s="1"/>
  <c r="W85" i="8" s="1"/>
  <c r="AC137" i="8"/>
  <c r="AE138" i="8"/>
  <c r="J86" i="8"/>
  <c r="J87" i="8" s="1"/>
  <c r="J83" i="8" s="1"/>
  <c r="M83" i="8" s="1"/>
  <c r="P83" i="8" s="1"/>
  <c r="S85" i="8" s="1"/>
  <c r="W137" i="8"/>
  <c r="Y141" i="8"/>
  <c r="AF48" i="8"/>
  <c r="AF46" i="8"/>
  <c r="AC16" i="8"/>
  <c r="AG68" i="8"/>
  <c r="R16" i="8" s="1"/>
  <c r="H54" i="8"/>
  <c r="J56" i="8"/>
  <c r="P54" i="8"/>
  <c r="N52" i="8"/>
  <c r="D56" i="8"/>
  <c r="B53" i="8"/>
  <c r="Z139" i="8"/>
  <c r="AB140" i="8"/>
  <c r="G140" i="8"/>
  <c r="E137" i="8"/>
  <c r="AC52" i="8"/>
  <c r="AE53" i="8"/>
  <c r="AF73" i="8"/>
  <c r="D141" i="8"/>
  <c r="B138" i="8"/>
  <c r="W52" i="8"/>
  <c r="Y56" i="8"/>
  <c r="K86" i="8"/>
  <c r="K87" i="8" s="1"/>
  <c r="M80" i="8" s="1"/>
  <c r="P80" i="8" s="1"/>
  <c r="S80" i="8" s="1"/>
  <c r="T85" i="8" s="1"/>
  <c r="J171" i="8"/>
  <c r="J172" i="8" s="1"/>
  <c r="J168" i="8" s="1"/>
  <c r="M168" i="8" s="1"/>
  <c r="P168" i="8" s="1"/>
  <c r="S170" i="8" s="1"/>
  <c r="AG150" i="8"/>
  <c r="R95" i="8" s="1"/>
  <c r="AC95" i="8"/>
  <c r="Q55" i="8"/>
  <c r="S56" i="8"/>
  <c r="M140" i="8"/>
  <c r="K138" i="8"/>
  <c r="AF159" i="8"/>
  <c r="AF72" i="8"/>
  <c r="T53" i="8"/>
  <c r="V54" i="8"/>
  <c r="AF145" i="8"/>
  <c r="Z97" i="8" s="1"/>
  <c r="AF157" i="8"/>
  <c r="AG67" i="8"/>
  <c r="R14" i="8" s="1"/>
  <c r="AC14" i="8"/>
  <c r="M55" i="8"/>
  <c r="K53" i="8"/>
  <c r="H139" i="8"/>
  <c r="AF139" i="8" s="1"/>
  <c r="AG133" i="8" s="1"/>
  <c r="J141" i="8"/>
  <c r="G55" i="8"/>
  <c r="E52" i="8"/>
  <c r="Z54" i="8"/>
  <c r="AB55" i="8"/>
  <c r="AG152" i="8"/>
  <c r="R99" i="8" s="1"/>
  <c r="AC99" i="8"/>
  <c r="H171" i="8"/>
  <c r="H172" i="8" s="1"/>
  <c r="J166" i="8" s="1"/>
  <c r="M166" i="8" s="1"/>
  <c r="P170" i="8" s="1"/>
  <c r="AC137" i="6"/>
  <c r="AF137" i="6" s="1"/>
  <c r="AG131" i="6" s="1"/>
  <c r="AE138" i="6"/>
  <c r="M82" i="6"/>
  <c r="P82" i="6" s="1"/>
  <c r="Q85" i="6" s="1"/>
  <c r="S86" i="6" s="1"/>
  <c r="S87" i="6" s="1"/>
  <c r="S83" i="6" s="1"/>
  <c r="V83" i="6" s="1"/>
  <c r="Y85" i="6" s="1"/>
  <c r="AF75" i="6"/>
  <c r="M171" i="6"/>
  <c r="M172" i="6" s="1"/>
  <c r="M167" i="6" s="1"/>
  <c r="P167" i="6" s="1"/>
  <c r="Q170" i="6" s="1"/>
  <c r="AC12" i="6"/>
  <c r="AG66" i="6"/>
  <c r="R12" i="6" s="1"/>
  <c r="M80" i="6"/>
  <c r="P80" i="6" s="1"/>
  <c r="S80" i="6" s="1"/>
  <c r="T85" i="6" s="1"/>
  <c r="AF73" i="6"/>
  <c r="P86" i="6"/>
  <c r="P87" i="6" s="1"/>
  <c r="P81" i="6" s="1"/>
  <c r="S81" i="6" s="1"/>
  <c r="V85" i="6" s="1"/>
  <c r="AC52" i="6"/>
  <c r="AE53" i="6"/>
  <c r="N86" i="6"/>
  <c r="N87" i="6" s="1"/>
  <c r="P79" i="6" s="1"/>
  <c r="S79" i="6" s="1"/>
  <c r="V79" i="6" s="1"/>
  <c r="W85" i="6" s="1"/>
  <c r="K138" i="6"/>
  <c r="AF138" i="6" s="1"/>
  <c r="AG132" i="6" s="1"/>
  <c r="M140" i="6"/>
  <c r="AF76" i="6"/>
  <c r="AG153" i="6"/>
  <c r="R101" i="6" s="1"/>
  <c r="AC101" i="6"/>
  <c r="M171" i="7"/>
  <c r="M172" i="7" s="1"/>
  <c r="M166" i="7" s="1"/>
  <c r="N170" i="7" s="1"/>
  <c r="D139" i="7"/>
  <c r="AF139" i="7" s="1"/>
  <c r="AG133" i="7" s="1"/>
  <c r="R97" i="7" s="1"/>
  <c r="B138" i="7"/>
  <c r="AF138" i="7" s="1"/>
  <c r="AG132" i="7" s="1"/>
  <c r="R95" i="7" s="1"/>
  <c r="J171" i="6"/>
  <c r="J172" i="6" s="1"/>
  <c r="J168" i="6" s="1"/>
  <c r="M168" i="6" s="1"/>
  <c r="P168" i="6" s="1"/>
  <c r="S170" i="6" s="1"/>
  <c r="H171" i="6"/>
  <c r="H172" i="6" s="1"/>
  <c r="J166" i="6" s="1"/>
  <c r="M166" i="6" s="1"/>
  <c r="P170" i="6" s="1"/>
  <c r="AG149" i="6"/>
  <c r="R93" i="6" s="1"/>
  <c r="AC93" i="6"/>
  <c r="AC97" i="7"/>
  <c r="AG151" i="7"/>
  <c r="AG150" i="7"/>
  <c r="AC95" i="7"/>
  <c r="AG133" i="6"/>
  <c r="T53" i="6"/>
  <c r="AF53" i="6" s="1"/>
  <c r="AG47" i="6" s="1"/>
  <c r="V54" i="6"/>
  <c r="AF46" i="6"/>
  <c r="H54" i="6"/>
  <c r="AF54" i="6" s="1"/>
  <c r="AG48" i="6" s="1"/>
  <c r="J56" i="6"/>
  <c r="AF140" i="6"/>
  <c r="AG134" i="6" s="1"/>
  <c r="H171" i="7"/>
  <c r="H172" i="7" s="1"/>
  <c r="J165" i="7" s="1"/>
  <c r="M165" i="7" s="1"/>
  <c r="P165" i="7" s="1"/>
  <c r="S170" i="7" s="1"/>
  <c r="Q171" i="7" s="1"/>
  <c r="Q172" i="7" s="1"/>
  <c r="S164" i="7" s="1"/>
  <c r="V164" i="7" s="1"/>
  <c r="R37" i="6"/>
  <c r="Q49" i="6"/>
  <c r="AF49" i="6" s="1"/>
  <c r="K171" i="6"/>
  <c r="K172" i="6" s="1"/>
  <c r="M165" i="6" s="1"/>
  <c r="P165" i="6" s="1"/>
  <c r="S165" i="6" s="1"/>
  <c r="T170" i="6" s="1"/>
  <c r="E52" i="6"/>
  <c r="G55" i="6"/>
  <c r="AC95" i="6"/>
  <c r="AG150" i="6"/>
  <c r="R95" i="6" s="1"/>
  <c r="AC99" i="6"/>
  <c r="AG152" i="6"/>
  <c r="R99" i="6" s="1"/>
  <c r="D258" i="5"/>
  <c r="C259" i="5"/>
  <c r="C320" i="5"/>
  <c r="D319" i="5"/>
  <c r="D420" i="5"/>
  <c r="C421" i="5"/>
  <c r="D169" i="5"/>
  <c r="C170" i="5"/>
  <c r="D17" i="5"/>
  <c r="C18" i="5"/>
  <c r="D370" i="5"/>
  <c r="D371" i="5" s="1"/>
  <c r="D372" i="5" s="1"/>
  <c r="D373" i="5" s="1"/>
  <c r="D374" i="5" s="1"/>
  <c r="D375" i="5" s="1"/>
  <c r="C371" i="5"/>
  <c r="C372" i="5" s="1"/>
  <c r="C373" i="5" s="1"/>
  <c r="C374" i="5" s="1"/>
  <c r="C375" i="5" s="1"/>
  <c r="C376" i="5" s="1"/>
  <c r="D88" i="5"/>
  <c r="D89" i="5" s="1"/>
  <c r="C89" i="5"/>
  <c r="C90" i="5" s="1"/>
  <c r="T86" i="11" l="1"/>
  <c r="T87" i="11" s="1"/>
  <c r="T80" i="11" s="1"/>
  <c r="W80" i="11" s="1"/>
  <c r="Z80" i="11" s="1"/>
  <c r="AC80" i="11" s="1"/>
  <c r="AF80" i="11" s="1"/>
  <c r="AU80" i="11" s="1"/>
  <c r="AX6" i="11" s="1"/>
  <c r="R86" i="11"/>
  <c r="R87" i="11" s="1"/>
  <c r="T79" i="11" s="1"/>
  <c r="W79" i="11" s="1"/>
  <c r="Z79" i="11" s="1"/>
  <c r="AC79" i="11" s="1"/>
  <c r="AF79" i="11" s="1"/>
  <c r="AU79" i="11" s="1"/>
  <c r="AX3" i="11" s="1"/>
  <c r="AT230" i="12"/>
  <c r="AT231" i="12"/>
  <c r="AT232" i="12"/>
  <c r="Q86" i="11"/>
  <c r="Q87" i="11" s="1"/>
  <c r="Q82" i="11" s="1"/>
  <c r="T82" i="11" s="1"/>
  <c r="W82" i="11" s="1"/>
  <c r="Z82" i="11" s="1"/>
  <c r="AC82" i="11" s="1"/>
  <c r="AF82" i="11" s="1"/>
  <c r="AU82" i="11" s="1"/>
  <c r="AX9" i="11" s="1"/>
  <c r="AT228" i="12"/>
  <c r="O171" i="11"/>
  <c r="O172" i="11" s="1"/>
  <c r="Q165" i="11" s="1"/>
  <c r="T170" i="11" s="1"/>
  <c r="AT227" i="12"/>
  <c r="O86" i="11"/>
  <c r="O87" i="11" s="1"/>
  <c r="Q81" i="11" s="1"/>
  <c r="T81" i="11" s="1"/>
  <c r="W81" i="11" s="1"/>
  <c r="Z81" i="11" s="1"/>
  <c r="AC81" i="11" s="1"/>
  <c r="AF81" i="11" s="1"/>
  <c r="AU81" i="11" s="1"/>
  <c r="AX7" i="11" s="1"/>
  <c r="AT229" i="12"/>
  <c r="Q171" i="11"/>
  <c r="Q172" i="11" s="1"/>
  <c r="Q166" i="11" s="1"/>
  <c r="T166" i="11" s="1"/>
  <c r="AT226" i="12"/>
  <c r="AW4" i="9"/>
  <c r="C164" i="9" s="1"/>
  <c r="B170" i="9" s="1"/>
  <c r="Y227" i="10"/>
  <c r="X231" i="10" s="1"/>
  <c r="X233" i="10" s="1"/>
  <c r="Z227" i="10" s="1"/>
  <c r="AC227" i="10" s="1"/>
  <c r="AD231" i="10" s="1"/>
  <c r="AD233" i="10" s="1"/>
  <c r="AF227" i="10" s="1"/>
  <c r="AU230" i="10" s="1"/>
  <c r="AY9" i="10" s="1"/>
  <c r="L171" i="10"/>
  <c r="L172" i="10" s="1"/>
  <c r="N164" i="10" s="1"/>
  <c r="Q164" i="10" s="1"/>
  <c r="R170" i="10" s="1"/>
  <c r="AW8" i="9"/>
  <c r="C166" i="9" s="1"/>
  <c r="D170" i="9" s="1"/>
  <c r="Y229" i="10"/>
  <c r="Z229" i="10" s="1"/>
  <c r="AC231" i="10" s="1"/>
  <c r="AC233" i="10" s="1"/>
  <c r="AC229" i="10" s="1"/>
  <c r="AF229" i="10" s="1"/>
  <c r="AU232" i="10" s="1"/>
  <c r="AY6" i="10" s="1"/>
  <c r="AW9" i="9"/>
  <c r="C82" i="9" s="1"/>
  <c r="D82" i="9" s="1"/>
  <c r="G85" i="9" s="1"/>
  <c r="C229" i="10"/>
  <c r="D229" i="10" s="1"/>
  <c r="G231" i="10" s="1"/>
  <c r="G233" i="10" s="1"/>
  <c r="G229" i="10" s="1"/>
  <c r="J229" i="10" s="1"/>
  <c r="AU228" i="10" s="1"/>
  <c r="AY3" i="10" s="1"/>
  <c r="AW3" i="9"/>
  <c r="C79" i="9" s="1"/>
  <c r="D79" i="9" s="1"/>
  <c r="E85" i="9" s="1"/>
  <c r="C227" i="10"/>
  <c r="B231" i="10" s="1"/>
  <c r="B233" i="10" s="1"/>
  <c r="D227" i="10" s="1"/>
  <c r="G227" i="10" s="1"/>
  <c r="J227" i="10" s="1"/>
  <c r="AU226" i="10" s="1"/>
  <c r="AY7" i="10" s="1"/>
  <c r="AT230" i="9"/>
  <c r="N171" i="10"/>
  <c r="N172" i="10" s="1"/>
  <c r="N166" i="10" s="1"/>
  <c r="Q170" i="10" s="1"/>
  <c r="AT229" i="9"/>
  <c r="AT227" i="9"/>
  <c r="AT232" i="9"/>
  <c r="J171" i="10"/>
  <c r="J172" i="10" s="1"/>
  <c r="J165" i="10" s="1"/>
  <c r="N165" i="10" s="1"/>
  <c r="O170" i="10" s="1"/>
  <c r="AT226" i="9"/>
  <c r="AF52" i="6"/>
  <c r="AG46" i="6" s="1"/>
  <c r="AC101" i="8"/>
  <c r="AC8" i="7"/>
  <c r="AG64" i="7"/>
  <c r="E52" i="7"/>
  <c r="AF52" i="7" s="1"/>
  <c r="AG46" i="7" s="1"/>
  <c r="R8" i="7" s="1"/>
  <c r="G55" i="7"/>
  <c r="AF55" i="7" s="1"/>
  <c r="AG49" i="7" s="1"/>
  <c r="R14" i="7" s="1"/>
  <c r="AF138" i="8"/>
  <c r="AG132" i="8" s="1"/>
  <c r="AF55" i="8"/>
  <c r="AG49" i="8" s="1"/>
  <c r="H86" i="7"/>
  <c r="H87" i="7" s="1"/>
  <c r="J80" i="7" s="1"/>
  <c r="M80" i="7" s="1"/>
  <c r="P80" i="7" s="1"/>
  <c r="S85" i="7" s="1"/>
  <c r="J86" i="7"/>
  <c r="J87" i="7" s="1"/>
  <c r="J82" i="7" s="1"/>
  <c r="M82" i="7" s="1"/>
  <c r="P85" i="7" s="1"/>
  <c r="M86" i="7"/>
  <c r="M87" i="7" s="1"/>
  <c r="M81" i="7" s="1"/>
  <c r="N85" i="7" s="1"/>
  <c r="K86" i="7"/>
  <c r="K87" i="7" s="1"/>
  <c r="M79" i="7" s="1"/>
  <c r="P79" i="7" s="1"/>
  <c r="Q85" i="7" s="1"/>
  <c r="P171" i="8"/>
  <c r="P172" i="8" s="1"/>
  <c r="P166" i="8" s="1"/>
  <c r="S166" i="8" s="1"/>
  <c r="V170" i="8" s="1"/>
  <c r="T171" i="8" s="1"/>
  <c r="T172" i="8" s="1"/>
  <c r="V165" i="8" s="1"/>
  <c r="Y165" i="8" s="1"/>
  <c r="AB165" i="8" s="1"/>
  <c r="AE170" i="8" s="1"/>
  <c r="N171" i="8"/>
  <c r="N172" i="8" s="1"/>
  <c r="P164" i="8" s="1"/>
  <c r="S164" i="8" s="1"/>
  <c r="V164" i="8" s="1"/>
  <c r="W170" i="8" s="1"/>
  <c r="S171" i="8"/>
  <c r="S172" i="8" s="1"/>
  <c r="S168" i="8" s="1"/>
  <c r="V168" i="8" s="1"/>
  <c r="Y170" i="8" s="1"/>
  <c r="S86" i="8"/>
  <c r="S87" i="8" s="1"/>
  <c r="S83" i="8" s="1"/>
  <c r="V83" i="8" s="1"/>
  <c r="Y85" i="8" s="1"/>
  <c r="Q86" i="8"/>
  <c r="Q87" i="8" s="1"/>
  <c r="S82" i="8" s="1"/>
  <c r="V82" i="8" s="1"/>
  <c r="Y82" i="8" s="1"/>
  <c r="AB85" i="8" s="1"/>
  <c r="AF137" i="8"/>
  <c r="AG131" i="8" s="1"/>
  <c r="V86" i="8"/>
  <c r="V87" i="8" s="1"/>
  <c r="V81" i="8" s="1"/>
  <c r="Y81" i="8" s="1"/>
  <c r="Z85" i="8" s="1"/>
  <c r="AF140" i="8"/>
  <c r="AG134" i="8" s="1"/>
  <c r="AG64" i="8"/>
  <c r="R8" i="8" s="1"/>
  <c r="AC8" i="8"/>
  <c r="AF54" i="8"/>
  <c r="AG48" i="8" s="1"/>
  <c r="AG151" i="8"/>
  <c r="R97" i="8" s="1"/>
  <c r="AC97" i="8"/>
  <c r="AF141" i="8"/>
  <c r="AG135" i="8" s="1"/>
  <c r="Q171" i="8"/>
  <c r="Q172" i="8" s="1"/>
  <c r="S167" i="8" s="1"/>
  <c r="V167" i="8" s="1"/>
  <c r="Y167" i="8" s="1"/>
  <c r="AB170" i="8" s="1"/>
  <c r="AF52" i="8"/>
  <c r="AG46" i="8" s="1"/>
  <c r="AG149" i="8"/>
  <c r="R93" i="8" s="1"/>
  <c r="AC93" i="8"/>
  <c r="AF53" i="8"/>
  <c r="AG47" i="8" s="1"/>
  <c r="T86" i="8"/>
  <c r="T87" i="8" s="1"/>
  <c r="V80" i="8" s="1"/>
  <c r="Y80" i="8" s="1"/>
  <c r="AB80" i="8" s="1"/>
  <c r="AE85" i="8" s="1"/>
  <c r="AG65" i="8"/>
  <c r="R10" i="8" s="1"/>
  <c r="AC10" i="8"/>
  <c r="AF56" i="8"/>
  <c r="AG50" i="8" s="1"/>
  <c r="V86" i="6"/>
  <c r="V87" i="6" s="1"/>
  <c r="V81" i="6" s="1"/>
  <c r="Y81" i="6" s="1"/>
  <c r="Z85" i="6" s="1"/>
  <c r="Y86" i="6"/>
  <c r="Y87" i="6" s="1"/>
  <c r="Y83" i="6" s="1"/>
  <c r="AB83" i="6" s="1"/>
  <c r="AE83" i="6" s="1"/>
  <c r="AU83" i="6" s="1"/>
  <c r="AX11" i="6" s="1"/>
  <c r="AY11" i="6" s="1"/>
  <c r="W170" i="7"/>
  <c r="Y164" i="7"/>
  <c r="AB164" i="7" s="1"/>
  <c r="S171" i="6"/>
  <c r="S172" i="6" s="1"/>
  <c r="S168" i="6" s="1"/>
  <c r="V168" i="6" s="1"/>
  <c r="Y170" i="6" s="1"/>
  <c r="N171" i="7"/>
  <c r="N172" i="7" s="1"/>
  <c r="P166" i="7" s="1"/>
  <c r="S166" i="7" s="1"/>
  <c r="W86" i="6"/>
  <c r="W87" i="6" s="1"/>
  <c r="Y79" i="6" s="1"/>
  <c r="AB79" i="6" s="1"/>
  <c r="AC85" i="6" s="1"/>
  <c r="T86" i="6"/>
  <c r="T87" i="6" s="1"/>
  <c r="V80" i="6" s="1"/>
  <c r="Y80" i="6" s="1"/>
  <c r="AB80" i="6" s="1"/>
  <c r="AE85" i="6" s="1"/>
  <c r="P171" i="6"/>
  <c r="P172" i="6" s="1"/>
  <c r="P166" i="6" s="1"/>
  <c r="S166" i="6" s="1"/>
  <c r="V170" i="6" s="1"/>
  <c r="S56" i="6"/>
  <c r="AF56" i="6" s="1"/>
  <c r="AG50" i="6" s="1"/>
  <c r="Q55" i="6"/>
  <c r="AF55" i="6" s="1"/>
  <c r="AG49" i="6" s="1"/>
  <c r="AC14" i="6"/>
  <c r="AG67" i="6"/>
  <c r="R14" i="6" s="1"/>
  <c r="P171" i="7"/>
  <c r="P172" i="7" s="1"/>
  <c r="P167" i="7" s="1"/>
  <c r="S167" i="7" s="1"/>
  <c r="V167" i="7" s="1"/>
  <c r="Y167" i="7" s="1"/>
  <c r="N171" i="6"/>
  <c r="N172" i="6" s="1"/>
  <c r="P164" i="6" s="1"/>
  <c r="S164" i="6" s="1"/>
  <c r="V164" i="6" s="1"/>
  <c r="W170" i="6" s="1"/>
  <c r="AC16" i="6"/>
  <c r="AG68" i="6"/>
  <c r="R16" i="6" s="1"/>
  <c r="Q86" i="6"/>
  <c r="Q87" i="6" s="1"/>
  <c r="S82" i="6" s="1"/>
  <c r="V82" i="6" s="1"/>
  <c r="Y82" i="6" s="1"/>
  <c r="AB85" i="6" s="1"/>
  <c r="Q171" i="6"/>
  <c r="Q172" i="6" s="1"/>
  <c r="S167" i="6" s="1"/>
  <c r="V167" i="6" s="1"/>
  <c r="Y167" i="6" s="1"/>
  <c r="AB170" i="6" s="1"/>
  <c r="S171" i="7"/>
  <c r="S172" i="7" s="1"/>
  <c r="S165" i="7" s="1"/>
  <c r="AC10" i="6"/>
  <c r="AG65" i="6"/>
  <c r="R10" i="6" s="1"/>
  <c r="D320" i="5"/>
  <c r="C321" i="5"/>
  <c r="C19" i="5"/>
  <c r="C20" i="5" s="1"/>
  <c r="C21" i="5" s="1"/>
  <c r="C22" i="5" s="1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C40" i="5" s="1"/>
  <c r="C41" i="5" s="1"/>
  <c r="C42" i="5" s="1"/>
  <c r="C43" i="5" s="1"/>
  <c r="C44" i="5" s="1"/>
  <c r="C45" i="5" s="1"/>
  <c r="C46" i="5" s="1"/>
  <c r="C47" i="5" s="1"/>
  <c r="C48" i="5" s="1"/>
  <c r="D18" i="5"/>
  <c r="D19" i="5" s="1"/>
  <c r="D20" i="5" s="1"/>
  <c r="D21" i="5" s="1"/>
  <c r="D22" i="5" s="1"/>
  <c r="D23" i="5" s="1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D40" i="5" s="1"/>
  <c r="D41" i="5" s="1"/>
  <c r="D42" i="5" s="1"/>
  <c r="D43" i="5" s="1"/>
  <c r="D44" i="5" s="1"/>
  <c r="D45" i="5" s="1"/>
  <c r="D46" i="5" s="1"/>
  <c r="D47" i="5" s="1"/>
  <c r="C260" i="5"/>
  <c r="C261" i="5" s="1"/>
  <c r="D259" i="5"/>
  <c r="D260" i="5" s="1"/>
  <c r="D170" i="5"/>
  <c r="D171" i="5" s="1"/>
  <c r="C171" i="5"/>
  <c r="C172" i="5" s="1"/>
  <c r="C91" i="5"/>
  <c r="D90" i="5"/>
  <c r="D421" i="5"/>
  <c r="D422" i="5" s="1"/>
  <c r="D423" i="5" s="1"/>
  <c r="D424" i="5" s="1"/>
  <c r="D425" i="5" s="1"/>
  <c r="D426" i="5" s="1"/>
  <c r="D427" i="5" s="1"/>
  <c r="C422" i="5"/>
  <c r="C423" i="5" s="1"/>
  <c r="C424" i="5" s="1"/>
  <c r="C425" i="5" s="1"/>
  <c r="C426" i="5" s="1"/>
  <c r="C427" i="5" s="1"/>
  <c r="D376" i="5"/>
  <c r="C377" i="5"/>
  <c r="Q86" i="7" l="1"/>
  <c r="Q87" i="7" s="1"/>
  <c r="S79" i="7" s="1"/>
  <c r="V79" i="7" s="1"/>
  <c r="Y79" i="7" s="1"/>
  <c r="AB79" i="7" s="1"/>
  <c r="AE79" i="7" s="1"/>
  <c r="AU79" i="7" s="1"/>
  <c r="AX3" i="7" s="1"/>
  <c r="X227" i="7" s="1"/>
  <c r="W231" i="7" s="1"/>
  <c r="P86" i="7"/>
  <c r="P87" i="7" s="1"/>
  <c r="P82" i="7" s="1"/>
  <c r="S82" i="7" s="1"/>
  <c r="V82" i="7" s="1"/>
  <c r="Y82" i="7" s="1"/>
  <c r="AB85" i="7" s="1"/>
  <c r="AW9" i="12"/>
  <c r="C82" i="12" s="1"/>
  <c r="D82" i="12" s="1"/>
  <c r="G85" i="12" s="1"/>
  <c r="C229" i="11"/>
  <c r="D229" i="11" s="1"/>
  <c r="G231" i="11" s="1"/>
  <c r="G233" i="11" s="1"/>
  <c r="G229" i="11" s="1"/>
  <c r="J229" i="11" s="1"/>
  <c r="AU228" i="11" s="1"/>
  <c r="AY3" i="11" s="1"/>
  <c r="T171" i="11"/>
  <c r="T172" i="11" s="1"/>
  <c r="T165" i="11" s="1"/>
  <c r="R171" i="11"/>
  <c r="R172" i="11" s="1"/>
  <c r="T164" i="11" s="1"/>
  <c r="W164" i="11" s="1"/>
  <c r="AW8" i="12"/>
  <c r="C166" i="12" s="1"/>
  <c r="D170" i="12" s="1"/>
  <c r="Y229" i="11"/>
  <c r="Z229" i="11" s="1"/>
  <c r="AC231" i="11" s="1"/>
  <c r="AC233" i="11" s="1"/>
  <c r="AC229" i="11" s="1"/>
  <c r="AF229" i="11" s="1"/>
  <c r="AU232" i="11" s="1"/>
  <c r="AY9" i="11" s="1"/>
  <c r="AW3" i="12"/>
  <c r="C79" i="12" s="1"/>
  <c r="D79" i="12" s="1"/>
  <c r="E85" i="12" s="1"/>
  <c r="C227" i="11"/>
  <c r="B231" i="11" s="1"/>
  <c r="B233" i="11" s="1"/>
  <c r="D227" i="11" s="1"/>
  <c r="G227" i="11" s="1"/>
  <c r="J227" i="11" s="1"/>
  <c r="AU226" i="11" s="1"/>
  <c r="AY6" i="11" s="1"/>
  <c r="W170" i="11"/>
  <c r="W166" i="11"/>
  <c r="Z166" i="11" s="1"/>
  <c r="AW4" i="12"/>
  <c r="C164" i="12" s="1"/>
  <c r="B170" i="12" s="1"/>
  <c r="Y227" i="11"/>
  <c r="X231" i="11" s="1"/>
  <c r="X233" i="11" s="1"/>
  <c r="Z227" i="11" s="1"/>
  <c r="AC227" i="11" s="1"/>
  <c r="AD231" i="11" s="1"/>
  <c r="AD233" i="11" s="1"/>
  <c r="AF227" i="11" s="1"/>
  <c r="AU230" i="11" s="1"/>
  <c r="AY7" i="11" s="1"/>
  <c r="Q171" i="10"/>
  <c r="Q172" i="10" s="1"/>
  <c r="Q166" i="10" s="1"/>
  <c r="T166" i="10" s="1"/>
  <c r="B171" i="9"/>
  <c r="B172" i="9" s="1"/>
  <c r="D164" i="9" s="1"/>
  <c r="G164" i="9" s="1"/>
  <c r="H170" i="9" s="1"/>
  <c r="G86" i="9"/>
  <c r="G87" i="9" s="1"/>
  <c r="G82" i="9" s="1"/>
  <c r="J85" i="9" s="1"/>
  <c r="O171" i="10"/>
  <c r="O172" i="10" s="1"/>
  <c r="Q165" i="10" s="1"/>
  <c r="T170" i="10" s="1"/>
  <c r="D171" i="9"/>
  <c r="D172" i="9" s="1"/>
  <c r="D166" i="9" s="1"/>
  <c r="G170" i="9" s="1"/>
  <c r="E86" i="9"/>
  <c r="E87" i="9" s="1"/>
  <c r="G79" i="9" s="1"/>
  <c r="J79" i="9" s="1"/>
  <c r="L85" i="9" s="1"/>
  <c r="AB82" i="7"/>
  <c r="AE82" i="7" s="1"/>
  <c r="AU82" i="7" s="1"/>
  <c r="AX10" i="7" s="1"/>
  <c r="X229" i="7" s="1"/>
  <c r="Y229" i="7" s="1"/>
  <c r="AB231" i="7" s="1"/>
  <c r="N86" i="7"/>
  <c r="N87" i="7" s="1"/>
  <c r="P81" i="7" s="1"/>
  <c r="S81" i="7" s="1"/>
  <c r="S86" i="7"/>
  <c r="S87" i="7" s="1"/>
  <c r="S80" i="7" s="1"/>
  <c r="Y86" i="8"/>
  <c r="Y87" i="8" s="1"/>
  <c r="Y83" i="8" s="1"/>
  <c r="AB83" i="8" s="1"/>
  <c r="AE83" i="8" s="1"/>
  <c r="AU83" i="8" s="1"/>
  <c r="AX11" i="8" s="1"/>
  <c r="AY11" i="8" s="1"/>
  <c r="W86" i="8"/>
  <c r="W87" i="8" s="1"/>
  <c r="Y79" i="8" s="1"/>
  <c r="AB79" i="8" s="1"/>
  <c r="AC85" i="8" s="1"/>
  <c r="AB86" i="8"/>
  <c r="AB87" i="8" s="1"/>
  <c r="AB82" i="8" s="1"/>
  <c r="AE82" i="8" s="1"/>
  <c r="AU82" i="8" s="1"/>
  <c r="AX10" i="8" s="1"/>
  <c r="X227" i="8" s="1"/>
  <c r="W231" i="8" s="1"/>
  <c r="Y171" i="8"/>
  <c r="Y172" i="8" s="1"/>
  <c r="Y168" i="8" s="1"/>
  <c r="AB168" i="8" s="1"/>
  <c r="AE168" i="8" s="1"/>
  <c r="AU168" i="8" s="1"/>
  <c r="AX12" i="8" s="1"/>
  <c r="X228" i="8" s="1"/>
  <c r="Y228" i="8" s="1"/>
  <c r="Z231" i="8" s="1"/>
  <c r="Z86" i="8"/>
  <c r="Z87" i="8" s="1"/>
  <c r="AB81" i="8" s="1"/>
  <c r="AE81" i="8" s="1"/>
  <c r="AU81" i="8" s="1"/>
  <c r="AX7" i="8" s="1"/>
  <c r="C229" i="8" s="1"/>
  <c r="D229" i="8" s="1"/>
  <c r="G231" i="8" s="1"/>
  <c r="V171" i="8"/>
  <c r="V172" i="8" s="1"/>
  <c r="V166" i="8" s="1"/>
  <c r="Y166" i="8" s="1"/>
  <c r="Z170" i="8" s="1"/>
  <c r="W171" i="8"/>
  <c r="W172" i="8" s="1"/>
  <c r="Y164" i="8" s="1"/>
  <c r="AB164" i="8" s="1"/>
  <c r="AC170" i="8" s="1"/>
  <c r="V171" i="6"/>
  <c r="V172" i="6" s="1"/>
  <c r="V166" i="6" s="1"/>
  <c r="Y166" i="6" s="1"/>
  <c r="Z170" i="6" s="1"/>
  <c r="T171" i="6"/>
  <c r="T172" i="6" s="1"/>
  <c r="V165" i="6" s="1"/>
  <c r="Y165" i="6" s="1"/>
  <c r="AB165" i="6" s="1"/>
  <c r="AE170" i="6" s="1"/>
  <c r="AE86" i="6"/>
  <c r="AE87" i="6" s="1"/>
  <c r="AE80" i="6" s="1"/>
  <c r="AU80" i="6" s="1"/>
  <c r="AX6" i="6" s="1"/>
  <c r="X229" i="6" s="1"/>
  <c r="Y229" i="6" s="1"/>
  <c r="AB231" i="6" s="1"/>
  <c r="T170" i="7"/>
  <c r="V165" i="7"/>
  <c r="Y165" i="7" s="1"/>
  <c r="AB165" i="7" s="1"/>
  <c r="V170" i="7"/>
  <c r="V166" i="7"/>
  <c r="Y166" i="7" s="1"/>
  <c r="AB86" i="6"/>
  <c r="AB87" i="6" s="1"/>
  <c r="AB82" i="6" s="1"/>
  <c r="AE82" i="6" s="1"/>
  <c r="AU82" i="6" s="1"/>
  <c r="AX10" i="6" s="1"/>
  <c r="X227" i="6" s="1"/>
  <c r="W231" i="6" s="1"/>
  <c r="Y171" i="6"/>
  <c r="Y172" i="6" s="1"/>
  <c r="Y168" i="6" s="1"/>
  <c r="AB168" i="6" s="1"/>
  <c r="AE168" i="6" s="1"/>
  <c r="AU168" i="6" s="1"/>
  <c r="AX12" i="6" s="1"/>
  <c r="AY12" i="6" s="1"/>
  <c r="AB170" i="7"/>
  <c r="AB167" i="7"/>
  <c r="AE167" i="7" s="1"/>
  <c r="AU167" i="7" s="1"/>
  <c r="AX9" i="7" s="1"/>
  <c r="X230" i="7" s="1"/>
  <c r="Y231" i="7" s="1"/>
  <c r="AC170" i="7"/>
  <c r="AE164" i="7"/>
  <c r="AU164" i="7" s="1"/>
  <c r="AX4" i="7" s="1"/>
  <c r="X228" i="7" s="1"/>
  <c r="Y228" i="7" s="1"/>
  <c r="Z231" i="7" s="1"/>
  <c r="AC86" i="6"/>
  <c r="AC87" i="6" s="1"/>
  <c r="AE79" i="6" s="1"/>
  <c r="AU79" i="6" s="1"/>
  <c r="AX3" i="6" s="1"/>
  <c r="C227" i="6" s="1"/>
  <c r="B231" i="6" s="1"/>
  <c r="Z86" i="6"/>
  <c r="Z87" i="6" s="1"/>
  <c r="AB81" i="6" s="1"/>
  <c r="AE81" i="6" s="1"/>
  <c r="AU81" i="6" s="1"/>
  <c r="AX7" i="6" s="1"/>
  <c r="C229" i="6" s="1"/>
  <c r="D229" i="6" s="1"/>
  <c r="G231" i="6" s="1"/>
  <c r="W171" i="6"/>
  <c r="W172" i="6" s="1"/>
  <c r="Y164" i="6" s="1"/>
  <c r="AB164" i="6" s="1"/>
  <c r="AC170" i="6" s="1"/>
  <c r="W171" i="7"/>
  <c r="W172" i="7" s="1"/>
  <c r="Y171" i="7"/>
  <c r="Y172" i="7" s="1"/>
  <c r="D48" i="5"/>
  <c r="C49" i="5"/>
  <c r="D321" i="5"/>
  <c r="C322" i="5"/>
  <c r="D91" i="5"/>
  <c r="D92" i="5" s="1"/>
  <c r="C92" i="5"/>
  <c r="C93" i="5" s="1"/>
  <c r="D172" i="5"/>
  <c r="C173" i="5"/>
  <c r="D377" i="5"/>
  <c r="C378" i="5"/>
  <c r="D261" i="5"/>
  <c r="C262" i="5"/>
  <c r="W85" i="7" l="1"/>
  <c r="W86" i="7" s="1"/>
  <c r="W87" i="7" s="1"/>
  <c r="AC85" i="7"/>
  <c r="U170" i="11"/>
  <c r="W165" i="11"/>
  <c r="Z165" i="11" s="1"/>
  <c r="AC165" i="11" s="1"/>
  <c r="G86" i="12"/>
  <c r="G87" i="12" s="1"/>
  <c r="G82" i="12" s="1"/>
  <c r="J85" i="12" s="1"/>
  <c r="E86" i="12"/>
  <c r="E87" i="12" s="1"/>
  <c r="G79" i="12" s="1"/>
  <c r="J79" i="12" s="1"/>
  <c r="L85" i="12" s="1"/>
  <c r="D171" i="12"/>
  <c r="D172" i="12" s="1"/>
  <c r="D166" i="12" s="1"/>
  <c r="G170" i="12" s="1"/>
  <c r="X170" i="11"/>
  <c r="Z164" i="11"/>
  <c r="AC164" i="11" s="1"/>
  <c r="B171" i="12"/>
  <c r="B172" i="12" s="1"/>
  <c r="D164" i="12" s="1"/>
  <c r="G164" i="12" s="1"/>
  <c r="H170" i="12" s="1"/>
  <c r="AA170" i="11"/>
  <c r="AC166" i="11"/>
  <c r="AF166" i="11" s="1"/>
  <c r="AU166" i="11" s="1"/>
  <c r="AX8" i="11" s="1"/>
  <c r="T171" i="10"/>
  <c r="T172" i="10" s="1"/>
  <c r="T165" i="10" s="1"/>
  <c r="R171" i="10"/>
  <c r="R172" i="10" s="1"/>
  <c r="T164" i="10" s="1"/>
  <c r="W164" i="10" s="1"/>
  <c r="W170" i="10"/>
  <c r="W166" i="10"/>
  <c r="Z166" i="10" s="1"/>
  <c r="T85" i="7"/>
  <c r="V80" i="7"/>
  <c r="Y80" i="7" s="1"/>
  <c r="AB80" i="7" s="1"/>
  <c r="V85" i="7"/>
  <c r="V81" i="7"/>
  <c r="Y81" i="7" s="1"/>
  <c r="AC171" i="8"/>
  <c r="AC172" i="8" s="1"/>
  <c r="AE164" i="8" s="1"/>
  <c r="AU164" i="8" s="1"/>
  <c r="AX4" i="8" s="1"/>
  <c r="C228" i="8" s="1"/>
  <c r="D228" i="8" s="1"/>
  <c r="E231" i="8" s="1"/>
  <c r="G232" i="8" s="1"/>
  <c r="G233" i="8" s="1"/>
  <c r="G229" i="8" s="1"/>
  <c r="J231" i="8" s="1"/>
  <c r="AE171" i="8"/>
  <c r="AE172" i="8" s="1"/>
  <c r="AE165" i="8" s="1"/>
  <c r="AU165" i="8" s="1"/>
  <c r="AX5" i="8" s="1"/>
  <c r="C230" i="8" s="1"/>
  <c r="D231" i="8" s="1"/>
  <c r="Z171" i="8"/>
  <c r="Z172" i="8" s="1"/>
  <c r="AB166" i="8" s="1"/>
  <c r="AE166" i="8" s="1"/>
  <c r="AU166" i="8" s="1"/>
  <c r="AX8" i="8" s="1"/>
  <c r="X230" i="8" s="1"/>
  <c r="Y231" i="8" s="1"/>
  <c r="AB171" i="8"/>
  <c r="AB172" i="8" s="1"/>
  <c r="AB167" i="8" s="1"/>
  <c r="AE167" i="8" s="1"/>
  <c r="AU167" i="8" s="1"/>
  <c r="AX9" i="8" s="1"/>
  <c r="AY9" i="8" s="1"/>
  <c r="AC86" i="8"/>
  <c r="AC87" i="8" s="1"/>
  <c r="AE79" i="8" s="1"/>
  <c r="AU79" i="8" s="1"/>
  <c r="AX3" i="8" s="1"/>
  <c r="C227" i="8" s="1"/>
  <c r="B231" i="8" s="1"/>
  <c r="AE86" i="8"/>
  <c r="AE87" i="8" s="1"/>
  <c r="AE80" i="8" s="1"/>
  <c r="AU80" i="8" s="1"/>
  <c r="AX6" i="8" s="1"/>
  <c r="X229" i="8" s="1"/>
  <c r="Y229" i="8" s="1"/>
  <c r="AB231" i="8" s="1"/>
  <c r="Z232" i="8" s="1"/>
  <c r="Z233" i="8" s="1"/>
  <c r="AB228" i="8" s="1"/>
  <c r="AE228" i="8" s="1"/>
  <c r="AU231" i="8" s="1"/>
  <c r="AY12" i="8" s="1"/>
  <c r="Z171" i="6"/>
  <c r="Z172" i="6" s="1"/>
  <c r="AB166" i="6" s="1"/>
  <c r="AE166" i="6" s="1"/>
  <c r="AU166" i="6" s="1"/>
  <c r="AX8" i="6" s="1"/>
  <c r="X228" i="6" s="1"/>
  <c r="Y228" i="6" s="1"/>
  <c r="Z231" i="6" s="1"/>
  <c r="AB171" i="6"/>
  <c r="AB172" i="6" s="1"/>
  <c r="AB167" i="6" s="1"/>
  <c r="AE167" i="6" s="1"/>
  <c r="AU167" i="6" s="1"/>
  <c r="AX9" i="6" s="1"/>
  <c r="X230" i="6" s="1"/>
  <c r="Y231" i="6" s="1"/>
  <c r="W232" i="6" s="1"/>
  <c r="W233" i="6" s="1"/>
  <c r="Y227" i="6" s="1"/>
  <c r="AB227" i="6" s="1"/>
  <c r="AC231" i="6" s="1"/>
  <c r="AC171" i="6"/>
  <c r="AC172" i="6" s="1"/>
  <c r="AE164" i="6" s="1"/>
  <c r="AU164" i="6" s="1"/>
  <c r="AX4" i="6" s="1"/>
  <c r="C230" i="6" s="1"/>
  <c r="D231" i="6" s="1"/>
  <c r="V171" i="7"/>
  <c r="V172" i="7" s="1"/>
  <c r="W232" i="7"/>
  <c r="W233" i="7" s="1"/>
  <c r="Y227" i="7" s="1"/>
  <c r="AB227" i="7" s="1"/>
  <c r="AE227" i="7" s="1"/>
  <c r="AU230" i="7" s="1"/>
  <c r="AY3" i="7" s="1"/>
  <c r="Z232" i="7"/>
  <c r="Z233" i="7" s="1"/>
  <c r="AB228" i="7" s="1"/>
  <c r="AE228" i="7" s="1"/>
  <c r="AU231" i="7" s="1"/>
  <c r="AY4" i="7" s="1"/>
  <c r="AE170" i="7"/>
  <c r="AC171" i="7" s="1"/>
  <c r="AC172" i="7" s="1"/>
  <c r="AE165" i="7"/>
  <c r="AU165" i="7" s="1"/>
  <c r="AX5" i="7" s="1"/>
  <c r="C228" i="7" s="1"/>
  <c r="D228" i="7" s="1"/>
  <c r="E231" i="7" s="1"/>
  <c r="T171" i="7"/>
  <c r="T172" i="7" s="1"/>
  <c r="Y232" i="7"/>
  <c r="Y233" i="7" s="1"/>
  <c r="Y230" i="7" s="1"/>
  <c r="AB230" i="7" s="1"/>
  <c r="AC231" i="7" s="1"/>
  <c r="AB166" i="7"/>
  <c r="AE166" i="7" s="1"/>
  <c r="AU166" i="7" s="1"/>
  <c r="AX8" i="7" s="1"/>
  <c r="C230" i="7" s="1"/>
  <c r="D231" i="7" s="1"/>
  <c r="Z170" i="7"/>
  <c r="AE171" i="6"/>
  <c r="AE172" i="6" s="1"/>
  <c r="AE165" i="6" s="1"/>
  <c r="AU165" i="6" s="1"/>
  <c r="AX5" i="6" s="1"/>
  <c r="C228" i="6" s="1"/>
  <c r="D228" i="6" s="1"/>
  <c r="E231" i="6" s="1"/>
  <c r="AB232" i="7"/>
  <c r="AB233" i="7" s="1"/>
  <c r="AB229" i="7" s="1"/>
  <c r="AE231" i="7" s="1"/>
  <c r="D378" i="5"/>
  <c r="C379" i="5"/>
  <c r="D49" i="5"/>
  <c r="D50" i="5" s="1"/>
  <c r="D51" i="5" s="1"/>
  <c r="D52" i="5" s="1"/>
  <c r="D53" i="5" s="1"/>
  <c r="D54" i="5" s="1"/>
  <c r="D55" i="5" s="1"/>
  <c r="D56" i="5" s="1"/>
  <c r="D57" i="5" s="1"/>
  <c r="D58" i="5" s="1"/>
  <c r="D59" i="5" s="1"/>
  <c r="D60" i="5" s="1"/>
  <c r="D61" i="5" s="1"/>
  <c r="D62" i="5" s="1"/>
  <c r="C50" i="5"/>
  <c r="C51" i="5" s="1"/>
  <c r="C52" i="5" s="1"/>
  <c r="C53" i="5" s="1"/>
  <c r="C54" i="5" s="1"/>
  <c r="C55" i="5" s="1"/>
  <c r="C56" i="5" s="1"/>
  <c r="C57" i="5" s="1"/>
  <c r="C58" i="5" s="1"/>
  <c r="C59" i="5" s="1"/>
  <c r="C60" i="5" s="1"/>
  <c r="C61" i="5" s="1"/>
  <c r="C62" i="5" s="1"/>
  <c r="D173" i="5"/>
  <c r="C174" i="5"/>
  <c r="D93" i="5"/>
  <c r="D94" i="5" s="1"/>
  <c r="C94" i="5"/>
  <c r="C95" i="5" s="1"/>
  <c r="D262" i="5"/>
  <c r="D263" i="5" s="1"/>
  <c r="C263" i="5"/>
  <c r="C264" i="5" s="1"/>
  <c r="D322" i="5"/>
  <c r="D323" i="5" s="1"/>
  <c r="D324" i="5" s="1"/>
  <c r="D325" i="5" s="1"/>
  <c r="D326" i="5" s="1"/>
  <c r="D327" i="5" s="1"/>
  <c r="D328" i="5" s="1"/>
  <c r="D329" i="5" s="1"/>
  <c r="D330" i="5" s="1"/>
  <c r="D331" i="5" s="1"/>
  <c r="D332" i="5" s="1"/>
  <c r="D333" i="5" s="1"/>
  <c r="D334" i="5" s="1"/>
  <c r="D335" i="5" s="1"/>
  <c r="D336" i="5" s="1"/>
  <c r="D337" i="5" s="1"/>
  <c r="D338" i="5" s="1"/>
  <c r="D339" i="5" s="1"/>
  <c r="D340" i="5" s="1"/>
  <c r="D341" i="5" s="1"/>
  <c r="D342" i="5" s="1"/>
  <c r="C323" i="5"/>
  <c r="C324" i="5" s="1"/>
  <c r="C325" i="5" s="1"/>
  <c r="C326" i="5" s="1"/>
  <c r="C327" i="5" s="1"/>
  <c r="C328" i="5" s="1"/>
  <c r="C329" i="5" s="1"/>
  <c r="C330" i="5" s="1"/>
  <c r="C331" i="5" s="1"/>
  <c r="C332" i="5" s="1"/>
  <c r="C333" i="5" s="1"/>
  <c r="C334" i="5" s="1"/>
  <c r="C335" i="5" s="1"/>
  <c r="C336" i="5" s="1"/>
  <c r="C337" i="5" s="1"/>
  <c r="C338" i="5" s="1"/>
  <c r="C339" i="5" s="1"/>
  <c r="C340" i="5" s="1"/>
  <c r="C341" i="5" s="1"/>
  <c r="C342" i="5" s="1"/>
  <c r="Y86" i="7" l="1"/>
  <c r="Y87" i="7" s="1"/>
  <c r="X171" i="11"/>
  <c r="X172" i="11" s="1"/>
  <c r="Z171" i="11"/>
  <c r="Z172" i="11" s="1"/>
  <c r="AF170" i="11"/>
  <c r="AF165" i="11"/>
  <c r="AU165" i="11" s="1"/>
  <c r="AX5" i="11" s="1"/>
  <c r="U171" i="11"/>
  <c r="U172" i="11" s="1"/>
  <c r="AW5" i="12"/>
  <c r="C165" i="12" s="1"/>
  <c r="D165" i="12" s="1"/>
  <c r="E170" i="12" s="1"/>
  <c r="Y228" i="11"/>
  <c r="Z228" i="11" s="1"/>
  <c r="AA231" i="11" s="1"/>
  <c r="AA233" i="11" s="1"/>
  <c r="AC228" i="11" s="1"/>
  <c r="AF228" i="11" s="1"/>
  <c r="AU231" i="11" s="1"/>
  <c r="AY8" i="11" s="1"/>
  <c r="AA171" i="11"/>
  <c r="AA172" i="11" s="1"/>
  <c r="AC171" i="11"/>
  <c r="AC172" i="11" s="1"/>
  <c r="AD170" i="11"/>
  <c r="AF164" i="11"/>
  <c r="AU164" i="11" s="1"/>
  <c r="AX4" i="11" s="1"/>
  <c r="W171" i="11"/>
  <c r="W172" i="11" s="1"/>
  <c r="AA170" i="10"/>
  <c r="AC166" i="10"/>
  <c r="AF166" i="10" s="1"/>
  <c r="AU166" i="10" s="1"/>
  <c r="AX8" i="10" s="1"/>
  <c r="X170" i="10"/>
  <c r="Z164" i="10"/>
  <c r="AC164" i="10" s="1"/>
  <c r="U170" i="10"/>
  <c r="W171" i="10" s="1"/>
  <c r="W172" i="10" s="1"/>
  <c r="W165" i="10"/>
  <c r="Z165" i="10" s="1"/>
  <c r="AC165" i="10" s="1"/>
  <c r="AE85" i="7"/>
  <c r="AE80" i="7"/>
  <c r="AU80" i="7" s="1"/>
  <c r="AX6" i="7" s="1"/>
  <c r="C229" i="7" s="1"/>
  <c r="D229" i="7" s="1"/>
  <c r="G231" i="7" s="1"/>
  <c r="G232" i="7" s="1"/>
  <c r="G233" i="7" s="1"/>
  <c r="G229" i="7" s="1"/>
  <c r="J229" i="7" s="1"/>
  <c r="AU228" i="7" s="1"/>
  <c r="AY6" i="7" s="1"/>
  <c r="Z85" i="7"/>
  <c r="AB81" i="7"/>
  <c r="AE81" i="7" s="1"/>
  <c r="AU81" i="7" s="1"/>
  <c r="AX7" i="7" s="1"/>
  <c r="C227" i="7" s="1"/>
  <c r="B231" i="7" s="1"/>
  <c r="B232" i="7" s="1"/>
  <c r="B233" i="7" s="1"/>
  <c r="D227" i="7" s="1"/>
  <c r="G227" i="7" s="1"/>
  <c r="H231" i="7" s="1"/>
  <c r="V86" i="7"/>
  <c r="V87" i="7" s="1"/>
  <c r="T86" i="7"/>
  <c r="T87" i="7" s="1"/>
  <c r="D232" i="8"/>
  <c r="D233" i="8" s="1"/>
  <c r="D230" i="8" s="1"/>
  <c r="G230" i="8" s="1"/>
  <c r="J230" i="8" s="1"/>
  <c r="AU229" i="8" s="1"/>
  <c r="AY5" i="8" s="1"/>
  <c r="E232" i="8"/>
  <c r="E233" i="8" s="1"/>
  <c r="G228" i="8" s="1"/>
  <c r="J228" i="8" s="1"/>
  <c r="AU227" i="8" s="1"/>
  <c r="AY4" i="8" s="1"/>
  <c r="AB232" i="8"/>
  <c r="AB233" i="8" s="1"/>
  <c r="AB229" i="8" s="1"/>
  <c r="AE231" i="8" s="1"/>
  <c r="B232" i="8"/>
  <c r="B233" i="8" s="1"/>
  <c r="D227" i="8" s="1"/>
  <c r="G227" i="8" s="1"/>
  <c r="H231" i="8" s="1"/>
  <c r="Y232" i="8"/>
  <c r="Y233" i="8" s="1"/>
  <c r="Y230" i="8" s="1"/>
  <c r="AB230" i="8" s="1"/>
  <c r="AC231" i="8" s="1"/>
  <c r="W232" i="8"/>
  <c r="W233" i="8" s="1"/>
  <c r="Y227" i="8" s="1"/>
  <c r="AB227" i="8" s="1"/>
  <c r="AE227" i="8" s="1"/>
  <c r="AU230" i="8" s="1"/>
  <c r="AY10" i="8" s="1"/>
  <c r="D232" i="6"/>
  <c r="D233" i="6" s="1"/>
  <c r="D230" i="6" s="1"/>
  <c r="G230" i="6" s="1"/>
  <c r="J230" i="6" s="1"/>
  <c r="AU229" i="6" s="1"/>
  <c r="AY4" i="6" s="1"/>
  <c r="B232" i="6"/>
  <c r="B233" i="6" s="1"/>
  <c r="D227" i="6" s="1"/>
  <c r="G227" i="6" s="1"/>
  <c r="H231" i="6" s="1"/>
  <c r="Z232" i="6"/>
  <c r="Z233" i="6" s="1"/>
  <c r="AB228" i="6" s="1"/>
  <c r="AE228" i="6" s="1"/>
  <c r="AU231" i="6" s="1"/>
  <c r="AY8" i="6" s="1"/>
  <c r="AB232" i="6"/>
  <c r="AB233" i="6" s="1"/>
  <c r="AB229" i="6" s="1"/>
  <c r="AE231" i="6" s="1"/>
  <c r="E232" i="6"/>
  <c r="E233" i="6" s="1"/>
  <c r="G228" i="6" s="1"/>
  <c r="J231" i="6" s="1"/>
  <c r="G232" i="6"/>
  <c r="G233" i="6" s="1"/>
  <c r="G229" i="6" s="1"/>
  <c r="J229" i="6" s="1"/>
  <c r="AU228" i="6" s="1"/>
  <c r="AY7" i="6" s="1"/>
  <c r="Z171" i="7"/>
  <c r="Z172" i="7" s="1"/>
  <c r="AB171" i="7"/>
  <c r="AB172" i="7" s="1"/>
  <c r="AC232" i="7"/>
  <c r="AC233" i="7" s="1"/>
  <c r="AE230" i="7" s="1"/>
  <c r="AU233" i="7" s="1"/>
  <c r="AY9" i="7" s="1"/>
  <c r="AE232" i="7"/>
  <c r="AE233" i="7" s="1"/>
  <c r="AE229" i="7" s="1"/>
  <c r="AU232" i="7" s="1"/>
  <c r="AY10" i="7" s="1"/>
  <c r="Y232" i="6"/>
  <c r="Y233" i="6" s="1"/>
  <c r="Y230" i="6" s="1"/>
  <c r="AB230" i="6" s="1"/>
  <c r="AE230" i="6" s="1"/>
  <c r="AU233" i="6" s="1"/>
  <c r="AY9" i="6" s="1"/>
  <c r="E232" i="7"/>
  <c r="E233" i="7" s="1"/>
  <c r="G228" i="7" s="1"/>
  <c r="J231" i="7" s="1"/>
  <c r="AE171" i="7"/>
  <c r="AE172" i="7" s="1"/>
  <c r="D264" i="5"/>
  <c r="D265" i="5" s="1"/>
  <c r="D266" i="5" s="1"/>
  <c r="D267" i="5" s="1"/>
  <c r="D268" i="5" s="1"/>
  <c r="D269" i="5" s="1"/>
  <c r="D270" i="5" s="1"/>
  <c r="D271" i="5" s="1"/>
  <c r="D272" i="5" s="1"/>
  <c r="D273" i="5" s="1"/>
  <c r="D274" i="5" s="1"/>
  <c r="D275" i="5" s="1"/>
  <c r="D276" i="5" s="1"/>
  <c r="D277" i="5" s="1"/>
  <c r="D278" i="5" s="1"/>
  <c r="D279" i="5" s="1"/>
  <c r="D280" i="5" s="1"/>
  <c r="D281" i="5" s="1"/>
  <c r="D282" i="5" s="1"/>
  <c r="D283" i="5" s="1"/>
  <c r="C265" i="5"/>
  <c r="C266" i="5" s="1"/>
  <c r="C267" i="5" s="1"/>
  <c r="C268" i="5" s="1"/>
  <c r="C269" i="5" s="1"/>
  <c r="C270" i="5" s="1"/>
  <c r="C271" i="5" s="1"/>
  <c r="C272" i="5" s="1"/>
  <c r="C273" i="5" s="1"/>
  <c r="C274" i="5" s="1"/>
  <c r="C275" i="5" s="1"/>
  <c r="C276" i="5" s="1"/>
  <c r="C277" i="5" s="1"/>
  <c r="C278" i="5" s="1"/>
  <c r="C279" i="5" s="1"/>
  <c r="C280" i="5" s="1"/>
  <c r="C281" i="5" s="1"/>
  <c r="C282" i="5" s="1"/>
  <c r="C283" i="5" s="1"/>
  <c r="C380" i="5"/>
  <c r="C381" i="5" s="1"/>
  <c r="C382" i="5" s="1"/>
  <c r="C383" i="5" s="1"/>
  <c r="C384" i="5" s="1"/>
  <c r="C385" i="5" s="1"/>
  <c r="C386" i="5" s="1"/>
  <c r="C387" i="5" s="1"/>
  <c r="C388" i="5" s="1"/>
  <c r="C389" i="5" s="1"/>
  <c r="C390" i="5" s="1"/>
  <c r="C391" i="5" s="1"/>
  <c r="D379" i="5"/>
  <c r="D380" i="5" s="1"/>
  <c r="D381" i="5" s="1"/>
  <c r="D382" i="5" s="1"/>
  <c r="D383" i="5" s="1"/>
  <c r="D384" i="5" s="1"/>
  <c r="D385" i="5" s="1"/>
  <c r="D386" i="5" s="1"/>
  <c r="D387" i="5" s="1"/>
  <c r="D388" i="5" s="1"/>
  <c r="D389" i="5" s="1"/>
  <c r="D390" i="5" s="1"/>
  <c r="D391" i="5" s="1"/>
  <c r="D95" i="5"/>
  <c r="D96" i="5" s="1"/>
  <c r="D97" i="5" s="1"/>
  <c r="D98" i="5" s="1"/>
  <c r="D99" i="5" s="1"/>
  <c r="D100" i="5" s="1"/>
  <c r="D101" i="5" s="1"/>
  <c r="D102" i="5" s="1"/>
  <c r="D103" i="5" s="1"/>
  <c r="D104" i="5" s="1"/>
  <c r="D105" i="5" s="1"/>
  <c r="D106" i="5" s="1"/>
  <c r="D107" i="5" s="1"/>
  <c r="D108" i="5" s="1"/>
  <c r="D109" i="5" s="1"/>
  <c r="D110" i="5" s="1"/>
  <c r="D111" i="5" s="1"/>
  <c r="D112" i="5" s="1"/>
  <c r="D113" i="5" s="1"/>
  <c r="D114" i="5" s="1"/>
  <c r="D115" i="5" s="1"/>
  <c r="D116" i="5" s="1"/>
  <c r="D117" i="5" s="1"/>
  <c r="D118" i="5" s="1"/>
  <c r="D119" i="5" s="1"/>
  <c r="D120" i="5" s="1"/>
  <c r="D121" i="5" s="1"/>
  <c r="D122" i="5" s="1"/>
  <c r="D123" i="5" s="1"/>
  <c r="D124" i="5" s="1"/>
  <c r="D125" i="5" s="1"/>
  <c r="D126" i="5" s="1"/>
  <c r="D127" i="5" s="1"/>
  <c r="D128" i="5" s="1"/>
  <c r="D129" i="5" s="1"/>
  <c r="D130" i="5" s="1"/>
  <c r="D131" i="5" s="1"/>
  <c r="C96" i="5"/>
  <c r="C97" i="5" s="1"/>
  <c r="C98" i="5" s="1"/>
  <c r="C99" i="5" s="1"/>
  <c r="C100" i="5" s="1"/>
  <c r="C101" i="5" s="1"/>
  <c r="C102" i="5" s="1"/>
  <c r="C103" i="5" s="1"/>
  <c r="C104" i="5" s="1"/>
  <c r="C105" i="5" s="1"/>
  <c r="C106" i="5" s="1"/>
  <c r="C107" i="5" s="1"/>
  <c r="C108" i="5" s="1"/>
  <c r="C109" i="5" s="1"/>
  <c r="C110" i="5" s="1"/>
  <c r="C111" i="5" s="1"/>
  <c r="C112" i="5" s="1"/>
  <c r="C113" i="5" s="1"/>
  <c r="C114" i="5" s="1"/>
  <c r="C115" i="5" s="1"/>
  <c r="C116" i="5" s="1"/>
  <c r="C117" i="5" s="1"/>
  <c r="C118" i="5" s="1"/>
  <c r="C119" i="5" s="1"/>
  <c r="C120" i="5" s="1"/>
  <c r="C121" i="5" s="1"/>
  <c r="C122" i="5" s="1"/>
  <c r="C123" i="5" s="1"/>
  <c r="C124" i="5" s="1"/>
  <c r="C125" i="5" s="1"/>
  <c r="C126" i="5" s="1"/>
  <c r="C127" i="5" s="1"/>
  <c r="C128" i="5" s="1"/>
  <c r="C129" i="5" s="1"/>
  <c r="C130" i="5" s="1"/>
  <c r="C131" i="5" s="1"/>
  <c r="D174" i="5"/>
  <c r="D175" i="5" s="1"/>
  <c r="C175" i="5"/>
  <c r="C176" i="5" s="1"/>
  <c r="AW6" i="12" l="1"/>
  <c r="C80" i="12" s="1"/>
  <c r="B85" i="12" s="1"/>
  <c r="C230" i="11"/>
  <c r="D231" i="11" s="1"/>
  <c r="D233" i="11" s="1"/>
  <c r="D230" i="11" s="1"/>
  <c r="G230" i="11" s="1"/>
  <c r="J230" i="11" s="1"/>
  <c r="AU229" i="11" s="1"/>
  <c r="AY5" i="11" s="1"/>
  <c r="AF171" i="11"/>
  <c r="AF172" i="11" s="1"/>
  <c r="AW7" i="12"/>
  <c r="C81" i="12" s="1"/>
  <c r="D85" i="12" s="1"/>
  <c r="C228" i="11"/>
  <c r="D228" i="11" s="1"/>
  <c r="E231" i="11" s="1"/>
  <c r="E233" i="11" s="1"/>
  <c r="G228" i="11" s="1"/>
  <c r="J228" i="11" s="1"/>
  <c r="AU227" i="11" s="1"/>
  <c r="AY4" i="11" s="1"/>
  <c r="E171" i="12"/>
  <c r="E172" i="12" s="1"/>
  <c r="G165" i="12" s="1"/>
  <c r="J170" i="12" s="1"/>
  <c r="AD171" i="11"/>
  <c r="AD172" i="11" s="1"/>
  <c r="G171" i="12"/>
  <c r="G172" i="12" s="1"/>
  <c r="G166" i="12" s="1"/>
  <c r="J166" i="12" s="1"/>
  <c r="N170" i="12" s="1"/>
  <c r="AW5" i="9"/>
  <c r="C165" i="9" s="1"/>
  <c r="D165" i="9" s="1"/>
  <c r="E170" i="9" s="1"/>
  <c r="Y228" i="10"/>
  <c r="Z228" i="10" s="1"/>
  <c r="AA231" i="10" s="1"/>
  <c r="AA233" i="10" s="1"/>
  <c r="AC228" i="10" s="1"/>
  <c r="AF228" i="10" s="1"/>
  <c r="AU231" i="10" s="1"/>
  <c r="AY8" i="10" s="1"/>
  <c r="AA171" i="10"/>
  <c r="AA172" i="10" s="1"/>
  <c r="AC171" i="10"/>
  <c r="AC172" i="10" s="1"/>
  <c r="AF170" i="10"/>
  <c r="AF165" i="10"/>
  <c r="AU165" i="10" s="1"/>
  <c r="AX5" i="10" s="1"/>
  <c r="U171" i="10"/>
  <c r="U172" i="10" s="1"/>
  <c r="AD170" i="10"/>
  <c r="AF164" i="10"/>
  <c r="AU164" i="10" s="1"/>
  <c r="AX4" i="10" s="1"/>
  <c r="X171" i="10"/>
  <c r="X172" i="10" s="1"/>
  <c r="Z171" i="10"/>
  <c r="Z172" i="10" s="1"/>
  <c r="AE86" i="7"/>
  <c r="AE87" i="7" s="1"/>
  <c r="AC86" i="7"/>
  <c r="AC87" i="7" s="1"/>
  <c r="D232" i="7"/>
  <c r="D233" i="7" s="1"/>
  <c r="D230" i="7" s="1"/>
  <c r="G230" i="7" s="1"/>
  <c r="J230" i="7" s="1"/>
  <c r="AU229" i="7" s="1"/>
  <c r="AY8" i="7" s="1"/>
  <c r="AB86" i="7"/>
  <c r="AB87" i="7" s="1"/>
  <c r="Z86" i="7"/>
  <c r="Z87" i="7" s="1"/>
  <c r="H232" i="8"/>
  <c r="H233" i="8" s="1"/>
  <c r="J227" i="8" s="1"/>
  <c r="AU226" i="8" s="1"/>
  <c r="AY3" i="8" s="1"/>
  <c r="J232" i="8"/>
  <c r="J233" i="8" s="1"/>
  <c r="J229" i="8" s="1"/>
  <c r="AU228" i="8" s="1"/>
  <c r="AY7" i="8" s="1"/>
  <c r="AC232" i="8"/>
  <c r="AC233" i="8" s="1"/>
  <c r="AE230" i="8" s="1"/>
  <c r="AU233" i="8" s="1"/>
  <c r="AY8" i="8" s="1"/>
  <c r="AE232" i="8"/>
  <c r="AE233" i="8" s="1"/>
  <c r="AE229" i="8" s="1"/>
  <c r="AU232" i="8" s="1"/>
  <c r="AY6" i="8" s="1"/>
  <c r="J232" i="7"/>
  <c r="J233" i="7" s="1"/>
  <c r="J228" i="7" s="1"/>
  <c r="AU227" i="7" s="1"/>
  <c r="AY5" i="7" s="1"/>
  <c r="J232" i="6"/>
  <c r="J233" i="6" s="1"/>
  <c r="J228" i="6" s="1"/>
  <c r="AU227" i="6" s="1"/>
  <c r="AY5" i="6" s="1"/>
  <c r="AE232" i="6"/>
  <c r="AE233" i="6" s="1"/>
  <c r="AE229" i="6" s="1"/>
  <c r="AU232" i="6" s="1"/>
  <c r="AY6" i="6" s="1"/>
  <c r="AC232" i="6"/>
  <c r="AC233" i="6" s="1"/>
  <c r="AE227" i="6" s="1"/>
  <c r="AU230" i="6" s="1"/>
  <c r="AY10" i="6" s="1"/>
  <c r="H232" i="7"/>
  <c r="H233" i="7" s="1"/>
  <c r="J227" i="7" s="1"/>
  <c r="AU226" i="7" s="1"/>
  <c r="AY7" i="7" s="1"/>
  <c r="H232" i="6"/>
  <c r="H233" i="6" s="1"/>
  <c r="J227" i="6" s="1"/>
  <c r="AU226" i="6" s="1"/>
  <c r="AY3" i="6" s="1"/>
  <c r="D176" i="5"/>
  <c r="D177" i="5" s="1"/>
  <c r="D178" i="5" s="1"/>
  <c r="D179" i="5" s="1"/>
  <c r="D180" i="5" s="1"/>
  <c r="D181" i="5" s="1"/>
  <c r="D182" i="5" s="1"/>
  <c r="D183" i="5" s="1"/>
  <c r="D184" i="5" s="1"/>
  <c r="D185" i="5" s="1"/>
  <c r="D186" i="5" s="1"/>
  <c r="D187" i="5" s="1"/>
  <c r="D188" i="5" s="1"/>
  <c r="D189" i="5" s="1"/>
  <c r="D190" i="5" s="1"/>
  <c r="D191" i="5" s="1"/>
  <c r="D192" i="5" s="1"/>
  <c r="D193" i="5" s="1"/>
  <c r="D194" i="5" s="1"/>
  <c r="D195" i="5" s="1"/>
  <c r="D196" i="5" s="1"/>
  <c r="D197" i="5" s="1"/>
  <c r="D198" i="5" s="1"/>
  <c r="D199" i="5" s="1"/>
  <c r="D200" i="5" s="1"/>
  <c r="D201" i="5" s="1"/>
  <c r="D202" i="5" s="1"/>
  <c r="D203" i="5" s="1"/>
  <c r="D204" i="5" s="1"/>
  <c r="D205" i="5" s="1"/>
  <c r="D206" i="5" s="1"/>
  <c r="D207" i="5" s="1"/>
  <c r="D208" i="5" s="1"/>
  <c r="D209" i="5" s="1"/>
  <c r="D210" i="5" s="1"/>
  <c r="D211" i="5" s="1"/>
  <c r="D212" i="5" s="1"/>
  <c r="D213" i="5" s="1"/>
  <c r="C177" i="5"/>
  <c r="C178" i="5" s="1"/>
  <c r="C179" i="5" s="1"/>
  <c r="C180" i="5" s="1"/>
  <c r="C181" i="5" s="1"/>
  <c r="C182" i="5" s="1"/>
  <c r="C183" i="5" s="1"/>
  <c r="C184" i="5" s="1"/>
  <c r="C185" i="5" s="1"/>
  <c r="C186" i="5" s="1"/>
  <c r="C187" i="5" s="1"/>
  <c r="C188" i="5" s="1"/>
  <c r="C189" i="5" s="1"/>
  <c r="C190" i="5" s="1"/>
  <c r="C191" i="5" s="1"/>
  <c r="C192" i="5" s="1"/>
  <c r="C193" i="5" s="1"/>
  <c r="C194" i="5" s="1"/>
  <c r="C195" i="5" s="1"/>
  <c r="C196" i="5" s="1"/>
  <c r="C197" i="5" s="1"/>
  <c r="C198" i="5" s="1"/>
  <c r="C199" i="5" s="1"/>
  <c r="C200" i="5" s="1"/>
  <c r="C201" i="5" s="1"/>
  <c r="C202" i="5" s="1"/>
  <c r="C203" i="5" s="1"/>
  <c r="C204" i="5" s="1"/>
  <c r="C205" i="5" s="1"/>
  <c r="C206" i="5" s="1"/>
  <c r="C207" i="5" s="1"/>
  <c r="C208" i="5" s="1"/>
  <c r="C209" i="5" s="1"/>
  <c r="C210" i="5" s="1"/>
  <c r="C211" i="5" s="1"/>
  <c r="C212" i="5" s="1"/>
  <c r="C213" i="5" s="1"/>
  <c r="B86" i="12" l="1"/>
  <c r="B87" i="12" s="1"/>
  <c r="D80" i="12" s="1"/>
  <c r="G80" i="12" s="1"/>
  <c r="H85" i="12" s="1"/>
  <c r="J171" i="12"/>
  <c r="J172" i="12" s="1"/>
  <c r="J165" i="12" s="1"/>
  <c r="N165" i="12" s="1"/>
  <c r="O170" i="12" s="1"/>
  <c r="H171" i="12"/>
  <c r="H172" i="12" s="1"/>
  <c r="J164" i="12" s="1"/>
  <c r="L170" i="12" s="1"/>
  <c r="D86" i="12"/>
  <c r="D87" i="12" s="1"/>
  <c r="D81" i="12" s="1"/>
  <c r="G81" i="12" s="1"/>
  <c r="J81" i="12" s="1"/>
  <c r="N85" i="12" s="1"/>
  <c r="E171" i="9"/>
  <c r="E172" i="9" s="1"/>
  <c r="G165" i="9" s="1"/>
  <c r="J170" i="9" s="1"/>
  <c r="G171" i="9"/>
  <c r="G172" i="9" s="1"/>
  <c r="G166" i="9" s="1"/>
  <c r="J166" i="9" s="1"/>
  <c r="N170" i="9" s="1"/>
  <c r="AW7" i="9"/>
  <c r="C81" i="9" s="1"/>
  <c r="D85" i="9" s="1"/>
  <c r="C230" i="10"/>
  <c r="D231" i="10" s="1"/>
  <c r="D233" i="10" s="1"/>
  <c r="D230" i="10" s="1"/>
  <c r="G230" i="10" s="1"/>
  <c r="J230" i="10" s="1"/>
  <c r="AU229" i="10" s="1"/>
  <c r="AY4" i="10" s="1"/>
  <c r="AW6" i="9"/>
  <c r="C80" i="9" s="1"/>
  <c r="B85" i="9" s="1"/>
  <c r="C228" i="10"/>
  <c r="D228" i="10" s="1"/>
  <c r="E231" i="10" s="1"/>
  <c r="E233" i="10" s="1"/>
  <c r="G228" i="10" s="1"/>
  <c r="J228" i="10" s="1"/>
  <c r="AU227" i="10" s="1"/>
  <c r="AY5" i="10" s="1"/>
  <c r="AF171" i="10"/>
  <c r="AF172" i="10" s="1"/>
  <c r="AD171" i="10"/>
  <c r="AD172" i="10" s="1"/>
  <c r="AU147" i="3"/>
  <c r="AT147" i="3"/>
  <c r="AU146" i="3"/>
  <c r="AT146" i="3"/>
  <c r="AU145" i="3"/>
  <c r="AT145" i="3"/>
  <c r="AU144" i="3"/>
  <c r="AT144" i="3"/>
  <c r="J135" i="3"/>
  <c r="H135" i="3"/>
  <c r="G135" i="3"/>
  <c r="E135" i="3"/>
  <c r="D135" i="3"/>
  <c r="B135" i="3"/>
  <c r="J134" i="3"/>
  <c r="H134" i="3"/>
  <c r="G134" i="3"/>
  <c r="G136" i="3" s="1"/>
  <c r="E134" i="3"/>
  <c r="D134" i="3"/>
  <c r="B134" i="3"/>
  <c r="J133" i="3"/>
  <c r="J136" i="3" s="1"/>
  <c r="H133" i="3"/>
  <c r="H136" i="3" s="1"/>
  <c r="G133" i="3"/>
  <c r="E133" i="3"/>
  <c r="E136" i="3" s="1"/>
  <c r="D133" i="3"/>
  <c r="D136" i="3" s="1"/>
  <c r="B133" i="3"/>
  <c r="B136" i="3" s="1"/>
  <c r="A89" i="3"/>
  <c r="AE76" i="3"/>
  <c r="AC76" i="3"/>
  <c r="AB76" i="3"/>
  <c r="Z76" i="3"/>
  <c r="W76" i="3"/>
  <c r="V76" i="3"/>
  <c r="T76" i="3"/>
  <c r="Q76" i="3"/>
  <c r="P76" i="3"/>
  <c r="N76" i="3"/>
  <c r="M76" i="3"/>
  <c r="K76" i="3"/>
  <c r="H76" i="3"/>
  <c r="G76" i="3"/>
  <c r="E76" i="3"/>
  <c r="B76" i="3"/>
  <c r="AE75" i="3"/>
  <c r="AC75" i="3"/>
  <c r="Z75" i="3"/>
  <c r="Y75" i="3"/>
  <c r="W75" i="3"/>
  <c r="V75" i="3"/>
  <c r="T75" i="3"/>
  <c r="S75" i="3"/>
  <c r="P75" i="3"/>
  <c r="N75" i="3"/>
  <c r="K75" i="3"/>
  <c r="J75" i="3"/>
  <c r="H75" i="3"/>
  <c r="E75" i="3"/>
  <c r="D75" i="3"/>
  <c r="B75" i="3"/>
  <c r="AE74" i="3"/>
  <c r="AC74" i="3"/>
  <c r="AB74" i="3"/>
  <c r="Y74" i="3"/>
  <c r="W74" i="3"/>
  <c r="T74" i="3"/>
  <c r="S74" i="3"/>
  <c r="Q74" i="3"/>
  <c r="N74" i="3"/>
  <c r="M74" i="3"/>
  <c r="K74" i="3"/>
  <c r="J74" i="3"/>
  <c r="G74" i="3"/>
  <c r="E74" i="3"/>
  <c r="D74" i="3"/>
  <c r="B74" i="3"/>
  <c r="AC73" i="3"/>
  <c r="AB73" i="3"/>
  <c r="Z73" i="3"/>
  <c r="Y73" i="3"/>
  <c r="W73" i="3"/>
  <c r="V73" i="3"/>
  <c r="S73" i="3"/>
  <c r="Q73" i="3"/>
  <c r="P73" i="3"/>
  <c r="N73" i="3"/>
  <c r="M73" i="3"/>
  <c r="J73" i="3"/>
  <c r="H73" i="3"/>
  <c r="G73" i="3"/>
  <c r="E73" i="3"/>
  <c r="D73" i="3"/>
  <c r="AE72" i="3"/>
  <c r="AB72" i="3"/>
  <c r="Z72" i="3"/>
  <c r="Y72" i="3"/>
  <c r="V72" i="3"/>
  <c r="T72" i="3"/>
  <c r="S72" i="3"/>
  <c r="Q72" i="3"/>
  <c r="P72" i="3"/>
  <c r="M72" i="3"/>
  <c r="K72" i="3"/>
  <c r="J72" i="3"/>
  <c r="H72" i="3"/>
  <c r="G72" i="3"/>
  <c r="D72" i="3"/>
  <c r="B72" i="3"/>
  <c r="AE68" i="3"/>
  <c r="AC68" i="3"/>
  <c r="AB68" i="3"/>
  <c r="Z68" i="3"/>
  <c r="W68" i="3"/>
  <c r="V68" i="3"/>
  <c r="T68" i="3"/>
  <c r="Q68" i="3"/>
  <c r="P68" i="3"/>
  <c r="N68" i="3"/>
  <c r="M68" i="3"/>
  <c r="K68" i="3"/>
  <c r="H68" i="3"/>
  <c r="G68" i="3"/>
  <c r="E68" i="3"/>
  <c r="B68" i="3"/>
  <c r="AE67" i="3"/>
  <c r="AC67" i="3"/>
  <c r="Z67" i="3"/>
  <c r="Y67" i="3"/>
  <c r="W67" i="3"/>
  <c r="V67" i="3"/>
  <c r="T67" i="3"/>
  <c r="S67" i="3"/>
  <c r="P67" i="3"/>
  <c r="N67" i="3"/>
  <c r="K67" i="3"/>
  <c r="J67" i="3"/>
  <c r="H67" i="3"/>
  <c r="E67" i="3"/>
  <c r="D67" i="3"/>
  <c r="B67" i="3"/>
  <c r="AE66" i="3"/>
  <c r="AC66" i="3"/>
  <c r="AB66" i="3"/>
  <c r="Y66" i="3"/>
  <c r="W66" i="3"/>
  <c r="T66" i="3"/>
  <c r="S66" i="3"/>
  <c r="Q66" i="3"/>
  <c r="N66" i="3"/>
  <c r="M66" i="3"/>
  <c r="K66" i="3"/>
  <c r="J66" i="3"/>
  <c r="G66" i="3"/>
  <c r="E66" i="3"/>
  <c r="D66" i="3"/>
  <c r="B66" i="3"/>
  <c r="AC65" i="3"/>
  <c r="AB65" i="3"/>
  <c r="Z65" i="3"/>
  <c r="Y65" i="3"/>
  <c r="W65" i="3"/>
  <c r="V65" i="3"/>
  <c r="S65" i="3"/>
  <c r="Q65" i="3"/>
  <c r="P65" i="3"/>
  <c r="N65" i="3"/>
  <c r="M65" i="3"/>
  <c r="J65" i="3"/>
  <c r="H65" i="3"/>
  <c r="G65" i="3"/>
  <c r="E65" i="3"/>
  <c r="D65" i="3"/>
  <c r="AE64" i="3"/>
  <c r="AB64" i="3"/>
  <c r="Z64" i="3"/>
  <c r="Y64" i="3"/>
  <c r="V64" i="3"/>
  <c r="T64" i="3"/>
  <c r="S64" i="3"/>
  <c r="Q64" i="3"/>
  <c r="P64" i="3"/>
  <c r="M64" i="3"/>
  <c r="K64" i="3"/>
  <c r="J64" i="3"/>
  <c r="H64" i="3"/>
  <c r="G64" i="3"/>
  <c r="D64" i="3"/>
  <c r="B64" i="3"/>
  <c r="AE62" i="3"/>
  <c r="AC62" i="3"/>
  <c r="AB62" i="3"/>
  <c r="Z62" i="3"/>
  <c r="W62" i="3"/>
  <c r="V62" i="3"/>
  <c r="T62" i="3"/>
  <c r="Q62" i="3"/>
  <c r="P62" i="3"/>
  <c r="N62" i="3"/>
  <c r="M62" i="3"/>
  <c r="K62" i="3"/>
  <c r="H62" i="3"/>
  <c r="G62" i="3"/>
  <c r="E62" i="3"/>
  <c r="B62" i="3"/>
  <c r="AE61" i="3"/>
  <c r="AC61" i="3"/>
  <c r="Z61" i="3"/>
  <c r="Y61" i="3"/>
  <c r="W61" i="3"/>
  <c r="V61" i="3"/>
  <c r="T61" i="3"/>
  <c r="S61" i="3"/>
  <c r="P61" i="3"/>
  <c r="N61" i="3"/>
  <c r="K61" i="3"/>
  <c r="J61" i="3"/>
  <c r="H61" i="3"/>
  <c r="E61" i="3"/>
  <c r="D61" i="3"/>
  <c r="B61" i="3"/>
  <c r="AE60" i="3"/>
  <c r="AC60" i="3"/>
  <c r="AB60" i="3"/>
  <c r="Y60" i="3"/>
  <c r="W60" i="3"/>
  <c r="T60" i="3"/>
  <c r="S60" i="3"/>
  <c r="Q60" i="3"/>
  <c r="N60" i="3"/>
  <c r="M60" i="3"/>
  <c r="K60" i="3"/>
  <c r="J60" i="3"/>
  <c r="G60" i="3"/>
  <c r="E60" i="3"/>
  <c r="D60" i="3"/>
  <c r="B60" i="3"/>
  <c r="AC59" i="3"/>
  <c r="AB59" i="3"/>
  <c r="Z59" i="3"/>
  <c r="Y59" i="3"/>
  <c r="W59" i="3"/>
  <c r="V59" i="3"/>
  <c r="S59" i="3"/>
  <c r="Q59" i="3"/>
  <c r="P59" i="3"/>
  <c r="N59" i="3"/>
  <c r="M59" i="3"/>
  <c r="J59" i="3"/>
  <c r="H59" i="3"/>
  <c r="G59" i="3"/>
  <c r="E59" i="3"/>
  <c r="D59" i="3"/>
  <c r="AE58" i="3"/>
  <c r="AB58" i="3"/>
  <c r="Z58" i="3"/>
  <c r="Y58" i="3"/>
  <c r="V58" i="3"/>
  <c r="T58" i="3"/>
  <c r="S58" i="3"/>
  <c r="Q58" i="3"/>
  <c r="P58" i="3"/>
  <c r="M58" i="3"/>
  <c r="K58" i="3"/>
  <c r="J58" i="3"/>
  <c r="H58" i="3"/>
  <c r="G58" i="3"/>
  <c r="D58" i="3"/>
  <c r="B58" i="3"/>
  <c r="AE56" i="3"/>
  <c r="AC56" i="3"/>
  <c r="AB56" i="3"/>
  <c r="Z56" i="3"/>
  <c r="W56" i="3"/>
  <c r="V56" i="3"/>
  <c r="T56" i="3"/>
  <c r="Q56" i="3"/>
  <c r="P56" i="3"/>
  <c r="N56" i="3"/>
  <c r="M56" i="3"/>
  <c r="K56" i="3"/>
  <c r="H56" i="3"/>
  <c r="G56" i="3"/>
  <c r="E56" i="3"/>
  <c r="B56" i="3"/>
  <c r="AE55" i="3"/>
  <c r="AC55" i="3"/>
  <c r="Z55" i="3"/>
  <c r="Y55" i="3"/>
  <c r="W55" i="3"/>
  <c r="V55" i="3"/>
  <c r="T55" i="3"/>
  <c r="S55" i="3"/>
  <c r="P55" i="3"/>
  <c r="N55" i="3"/>
  <c r="K55" i="3"/>
  <c r="J55" i="3"/>
  <c r="H55" i="3"/>
  <c r="E55" i="3"/>
  <c r="D55" i="3"/>
  <c r="B55" i="3"/>
  <c r="AE54" i="3"/>
  <c r="AC54" i="3"/>
  <c r="AB54" i="3"/>
  <c r="Y54" i="3"/>
  <c r="W54" i="3"/>
  <c r="T54" i="3"/>
  <c r="S54" i="3"/>
  <c r="Q54" i="3"/>
  <c r="N54" i="3"/>
  <c r="M54" i="3"/>
  <c r="K54" i="3"/>
  <c r="J54" i="3"/>
  <c r="G54" i="3"/>
  <c r="E54" i="3"/>
  <c r="D54" i="3"/>
  <c r="B54" i="3"/>
  <c r="AC53" i="3"/>
  <c r="AB53" i="3"/>
  <c r="Z53" i="3"/>
  <c r="Y53" i="3"/>
  <c r="W53" i="3"/>
  <c r="V53" i="3"/>
  <c r="S53" i="3"/>
  <c r="Q53" i="3"/>
  <c r="P53" i="3"/>
  <c r="N53" i="3"/>
  <c r="M53" i="3"/>
  <c r="J53" i="3"/>
  <c r="H53" i="3"/>
  <c r="G53" i="3"/>
  <c r="E53" i="3"/>
  <c r="D53" i="3"/>
  <c r="AE52" i="3"/>
  <c r="AB52" i="3"/>
  <c r="Z52" i="3"/>
  <c r="Y52" i="3"/>
  <c r="V52" i="3"/>
  <c r="T52" i="3"/>
  <c r="S52" i="3"/>
  <c r="Q52" i="3"/>
  <c r="P52" i="3"/>
  <c r="M52" i="3"/>
  <c r="K52" i="3"/>
  <c r="J52" i="3"/>
  <c r="H52" i="3"/>
  <c r="G52" i="3"/>
  <c r="D52" i="3"/>
  <c r="B52" i="3"/>
  <c r="AE50" i="3"/>
  <c r="AC50" i="3"/>
  <c r="AB50" i="3"/>
  <c r="Z50" i="3"/>
  <c r="W50" i="3"/>
  <c r="V50" i="3"/>
  <c r="T50" i="3"/>
  <c r="Q50" i="3"/>
  <c r="P50" i="3"/>
  <c r="N50" i="3"/>
  <c r="M50" i="3"/>
  <c r="K50" i="3"/>
  <c r="H50" i="3"/>
  <c r="G50" i="3"/>
  <c r="E50" i="3"/>
  <c r="B50" i="3"/>
  <c r="AE49" i="3"/>
  <c r="AC49" i="3"/>
  <c r="Z49" i="3"/>
  <c r="Y49" i="3"/>
  <c r="W49" i="3"/>
  <c r="V49" i="3"/>
  <c r="T49" i="3"/>
  <c r="S49" i="3"/>
  <c r="P49" i="3"/>
  <c r="N49" i="3"/>
  <c r="K49" i="3"/>
  <c r="J49" i="3"/>
  <c r="H49" i="3"/>
  <c r="E49" i="3"/>
  <c r="D49" i="3"/>
  <c r="B49" i="3"/>
  <c r="AE48" i="3"/>
  <c r="AC48" i="3"/>
  <c r="AB48" i="3"/>
  <c r="Y48" i="3"/>
  <c r="W48" i="3"/>
  <c r="T48" i="3"/>
  <c r="S48" i="3"/>
  <c r="Q48" i="3"/>
  <c r="N48" i="3"/>
  <c r="M48" i="3"/>
  <c r="K48" i="3"/>
  <c r="J48" i="3"/>
  <c r="G48" i="3"/>
  <c r="E48" i="3"/>
  <c r="D48" i="3"/>
  <c r="B48" i="3"/>
  <c r="AC47" i="3"/>
  <c r="AB47" i="3"/>
  <c r="Z47" i="3"/>
  <c r="Y47" i="3"/>
  <c r="W47" i="3"/>
  <c r="V47" i="3"/>
  <c r="S47" i="3"/>
  <c r="Q47" i="3"/>
  <c r="P47" i="3"/>
  <c r="N47" i="3"/>
  <c r="M47" i="3"/>
  <c r="J47" i="3"/>
  <c r="H47" i="3"/>
  <c r="G47" i="3"/>
  <c r="E47" i="3"/>
  <c r="D47" i="3"/>
  <c r="AE46" i="3"/>
  <c r="AB46" i="3"/>
  <c r="Z46" i="3"/>
  <c r="Y46" i="3"/>
  <c r="V46" i="3"/>
  <c r="T46" i="3"/>
  <c r="S46" i="3"/>
  <c r="Q46" i="3"/>
  <c r="P46" i="3"/>
  <c r="M46" i="3"/>
  <c r="K46" i="3"/>
  <c r="J46" i="3"/>
  <c r="H46" i="3"/>
  <c r="G46" i="3"/>
  <c r="D46" i="3"/>
  <c r="B46" i="3"/>
  <c r="AE35" i="3"/>
  <c r="AE43" i="3" s="1"/>
  <c r="AC35" i="3"/>
  <c r="AC43" i="3" s="1"/>
  <c r="AB35" i="3"/>
  <c r="AB43" i="3" s="1"/>
  <c r="Z35" i="3"/>
  <c r="Z43" i="3" s="1"/>
  <c r="Y35" i="3"/>
  <c r="Y43" i="3" s="1"/>
  <c r="W35" i="3"/>
  <c r="W43" i="3" s="1"/>
  <c r="V35" i="3"/>
  <c r="V43" i="3" s="1"/>
  <c r="T35" i="3"/>
  <c r="T43" i="3" s="1"/>
  <c r="S35" i="3"/>
  <c r="S43" i="3" s="1"/>
  <c r="Q35" i="3"/>
  <c r="Q43" i="3" s="1"/>
  <c r="P35" i="3"/>
  <c r="P43" i="3" s="1"/>
  <c r="N35" i="3"/>
  <c r="N43" i="3" s="1"/>
  <c r="M35" i="3"/>
  <c r="M43" i="3" s="1"/>
  <c r="K35" i="3"/>
  <c r="K43" i="3" s="1"/>
  <c r="J35" i="3"/>
  <c r="J43" i="3" s="1"/>
  <c r="H35" i="3"/>
  <c r="H43" i="3" s="1"/>
  <c r="G35" i="3"/>
  <c r="G43" i="3" s="1"/>
  <c r="E35" i="3"/>
  <c r="E43" i="3" s="1"/>
  <c r="D35" i="3"/>
  <c r="D43" i="3" s="1"/>
  <c r="B35" i="3"/>
  <c r="B43" i="3" s="1"/>
  <c r="AE34" i="3"/>
  <c r="AE42" i="3" s="1"/>
  <c r="AC34" i="3"/>
  <c r="AC42" i="3" s="1"/>
  <c r="AB34" i="3"/>
  <c r="AB42" i="3" s="1"/>
  <c r="Z34" i="3"/>
  <c r="Z42" i="3" s="1"/>
  <c r="Y34" i="3"/>
  <c r="Y42" i="3" s="1"/>
  <c r="W34" i="3"/>
  <c r="W42" i="3" s="1"/>
  <c r="V34" i="3"/>
  <c r="V42" i="3" s="1"/>
  <c r="T34" i="3"/>
  <c r="T42" i="3" s="1"/>
  <c r="S34" i="3"/>
  <c r="S42" i="3" s="1"/>
  <c r="Q34" i="3"/>
  <c r="Q42" i="3" s="1"/>
  <c r="P34" i="3"/>
  <c r="P42" i="3" s="1"/>
  <c r="N34" i="3"/>
  <c r="N42" i="3" s="1"/>
  <c r="M34" i="3"/>
  <c r="M42" i="3" s="1"/>
  <c r="K34" i="3"/>
  <c r="K42" i="3" s="1"/>
  <c r="J34" i="3"/>
  <c r="J42" i="3" s="1"/>
  <c r="H34" i="3"/>
  <c r="H42" i="3" s="1"/>
  <c r="G34" i="3"/>
  <c r="G42" i="3" s="1"/>
  <c r="E34" i="3"/>
  <c r="E42" i="3" s="1"/>
  <c r="D34" i="3"/>
  <c r="D42" i="3" s="1"/>
  <c r="B34" i="3"/>
  <c r="B42" i="3" s="1"/>
  <c r="AE33" i="3"/>
  <c r="AE41" i="3" s="1"/>
  <c r="AC33" i="3"/>
  <c r="AC41" i="3" s="1"/>
  <c r="AB33" i="3"/>
  <c r="AB41" i="3" s="1"/>
  <c r="Z33" i="3"/>
  <c r="Z41" i="3" s="1"/>
  <c r="Y33" i="3"/>
  <c r="Y41" i="3" s="1"/>
  <c r="W33" i="3"/>
  <c r="W41" i="3" s="1"/>
  <c r="V33" i="3"/>
  <c r="V41" i="3" s="1"/>
  <c r="T33" i="3"/>
  <c r="T41" i="3" s="1"/>
  <c r="S33" i="3"/>
  <c r="S41" i="3" s="1"/>
  <c r="Q33" i="3"/>
  <c r="Q41" i="3" s="1"/>
  <c r="P33" i="3"/>
  <c r="P41" i="3" s="1"/>
  <c r="N33" i="3"/>
  <c r="N41" i="3" s="1"/>
  <c r="M33" i="3"/>
  <c r="M41" i="3" s="1"/>
  <c r="K33" i="3"/>
  <c r="K41" i="3" s="1"/>
  <c r="J33" i="3"/>
  <c r="J41" i="3" s="1"/>
  <c r="H33" i="3"/>
  <c r="H41" i="3" s="1"/>
  <c r="G33" i="3"/>
  <c r="G41" i="3" s="1"/>
  <c r="E33" i="3"/>
  <c r="E41" i="3" s="1"/>
  <c r="D33" i="3"/>
  <c r="D41" i="3" s="1"/>
  <c r="B33" i="3"/>
  <c r="B41" i="3" s="1"/>
  <c r="AE32" i="3"/>
  <c r="AE40" i="3" s="1"/>
  <c r="AC32" i="3"/>
  <c r="AC40" i="3" s="1"/>
  <c r="AB32" i="3"/>
  <c r="AB40" i="3" s="1"/>
  <c r="Z32" i="3"/>
  <c r="Z40" i="3" s="1"/>
  <c r="Y32" i="3"/>
  <c r="Y40" i="3" s="1"/>
  <c r="W32" i="3"/>
  <c r="W40" i="3" s="1"/>
  <c r="V32" i="3"/>
  <c r="V40" i="3" s="1"/>
  <c r="T32" i="3"/>
  <c r="T40" i="3" s="1"/>
  <c r="S32" i="3"/>
  <c r="S40" i="3" s="1"/>
  <c r="Q32" i="3"/>
  <c r="Q40" i="3" s="1"/>
  <c r="P32" i="3"/>
  <c r="P40" i="3" s="1"/>
  <c r="N32" i="3"/>
  <c r="N40" i="3" s="1"/>
  <c r="M32" i="3"/>
  <c r="M40" i="3" s="1"/>
  <c r="K32" i="3"/>
  <c r="K40" i="3" s="1"/>
  <c r="J32" i="3"/>
  <c r="J40" i="3" s="1"/>
  <c r="H32" i="3"/>
  <c r="H40" i="3" s="1"/>
  <c r="G32" i="3"/>
  <c r="G40" i="3" s="1"/>
  <c r="E32" i="3"/>
  <c r="E40" i="3" s="1"/>
  <c r="D32" i="3"/>
  <c r="D40" i="3" s="1"/>
  <c r="B32" i="3"/>
  <c r="B40" i="3" s="1"/>
  <c r="AE31" i="3"/>
  <c r="AE36" i="3" s="1"/>
  <c r="AC31" i="3"/>
  <c r="AC39" i="3" s="1"/>
  <c r="AB31" i="3"/>
  <c r="AB67" i="3" s="1"/>
  <c r="Z31" i="3"/>
  <c r="Z66" i="3" s="1"/>
  <c r="Y31" i="3"/>
  <c r="Y39" i="3" s="1"/>
  <c r="W31" i="3"/>
  <c r="W39" i="3" s="1"/>
  <c r="V31" i="3"/>
  <c r="V66" i="3" s="1"/>
  <c r="T31" i="3"/>
  <c r="T36" i="3" s="1"/>
  <c r="S31" i="3"/>
  <c r="S68" i="3" s="1"/>
  <c r="Q31" i="3"/>
  <c r="Q67" i="3" s="1"/>
  <c r="P31" i="3"/>
  <c r="P39" i="3" s="1"/>
  <c r="N31" i="3"/>
  <c r="N39" i="3" s="1"/>
  <c r="M31" i="3"/>
  <c r="M67" i="3" s="1"/>
  <c r="K31" i="3"/>
  <c r="K65" i="3" s="1"/>
  <c r="J31" i="3"/>
  <c r="J39" i="3" s="1"/>
  <c r="H31" i="3"/>
  <c r="H36" i="3" s="1"/>
  <c r="G31" i="3"/>
  <c r="G36" i="3" s="1"/>
  <c r="E31" i="3"/>
  <c r="E39" i="3" s="1"/>
  <c r="D31" i="3"/>
  <c r="D39" i="3" s="1"/>
  <c r="B31" i="3"/>
  <c r="B39" i="3" s="1"/>
  <c r="AE30" i="3"/>
  <c r="AC30" i="3"/>
  <c r="AB30" i="3"/>
  <c r="Z30" i="3"/>
  <c r="Y30" i="3"/>
  <c r="W30" i="3"/>
  <c r="AN28" i="3" s="1"/>
  <c r="V30" i="3"/>
  <c r="AM25" i="3" s="1"/>
  <c r="T30" i="3"/>
  <c r="S30" i="3"/>
  <c r="Q30" i="3"/>
  <c r="P30" i="3"/>
  <c r="N30" i="3"/>
  <c r="M30" i="3"/>
  <c r="K30" i="3"/>
  <c r="J30" i="3"/>
  <c r="H30" i="3"/>
  <c r="G30" i="3"/>
  <c r="E30" i="3"/>
  <c r="AH24" i="3" s="1"/>
  <c r="D30" i="3"/>
  <c r="B30" i="3"/>
  <c r="AD29" i="3"/>
  <c r="AA29" i="3"/>
  <c r="X29" i="3"/>
  <c r="U29" i="3"/>
  <c r="R29" i="3"/>
  <c r="O29" i="3"/>
  <c r="L29" i="3"/>
  <c r="I29" i="3"/>
  <c r="F29" i="3"/>
  <c r="A29" i="3"/>
  <c r="AP28" i="3"/>
  <c r="AO28" i="3"/>
  <c r="AM28" i="3"/>
  <c r="AL28" i="3"/>
  <c r="AK28" i="3"/>
  <c r="AJ28" i="3"/>
  <c r="AH28" i="3"/>
  <c r="AG28" i="3"/>
  <c r="AF28" i="3"/>
  <c r="AD28" i="3"/>
  <c r="AA28" i="3"/>
  <c r="X28" i="3"/>
  <c r="U28" i="3"/>
  <c r="R28" i="3"/>
  <c r="O28" i="3"/>
  <c r="L28" i="3"/>
  <c r="I28" i="3"/>
  <c r="F28" i="3"/>
  <c r="A28" i="3"/>
  <c r="AP27" i="3"/>
  <c r="AN27" i="3"/>
  <c r="AM27" i="3"/>
  <c r="AL27" i="3"/>
  <c r="AK27" i="3"/>
  <c r="AJ27" i="3"/>
  <c r="AI27" i="3"/>
  <c r="AH27" i="3"/>
  <c r="AG27" i="3"/>
  <c r="AF27" i="3"/>
  <c r="AD27" i="3"/>
  <c r="AA27" i="3"/>
  <c r="X27" i="3"/>
  <c r="U27" i="3"/>
  <c r="R27" i="3"/>
  <c r="O27" i="3"/>
  <c r="L27" i="3"/>
  <c r="I27" i="3"/>
  <c r="F27" i="3"/>
  <c r="A27" i="3"/>
  <c r="AP26" i="3"/>
  <c r="AO26" i="3"/>
  <c r="AN26" i="3"/>
  <c r="AL26" i="3"/>
  <c r="AK26" i="3"/>
  <c r="AJ26" i="3"/>
  <c r="AH26" i="3"/>
  <c r="AG26" i="3"/>
  <c r="AF26" i="3"/>
  <c r="AD26" i="3"/>
  <c r="AA26" i="3"/>
  <c r="X26" i="3"/>
  <c r="U26" i="3"/>
  <c r="R26" i="3"/>
  <c r="O26" i="3"/>
  <c r="L26" i="3"/>
  <c r="I26" i="3"/>
  <c r="F26" i="3"/>
  <c r="A26" i="3"/>
  <c r="AP25" i="3"/>
  <c r="AO25" i="3"/>
  <c r="AN25" i="3"/>
  <c r="AL25" i="3"/>
  <c r="AK25" i="3"/>
  <c r="AJ25" i="3"/>
  <c r="AI25" i="3"/>
  <c r="AH25" i="3"/>
  <c r="AF25" i="3"/>
  <c r="AD25" i="3"/>
  <c r="AA25" i="3"/>
  <c r="X25" i="3"/>
  <c r="U25" i="3"/>
  <c r="R25" i="3"/>
  <c r="O25" i="3"/>
  <c r="L25" i="3"/>
  <c r="I25" i="3"/>
  <c r="F25" i="3"/>
  <c r="AO24" i="3"/>
  <c r="AN24" i="3"/>
  <c r="AM24" i="3"/>
  <c r="AL24" i="3"/>
  <c r="AK24" i="3"/>
  <c r="AJ24" i="3"/>
  <c r="AI24" i="3"/>
  <c r="AG24" i="3"/>
  <c r="AF24" i="3"/>
  <c r="AD24" i="3"/>
  <c r="AA24" i="3"/>
  <c r="X24" i="3"/>
  <c r="U24" i="3"/>
  <c r="R24" i="3"/>
  <c r="O24" i="3"/>
  <c r="L24" i="3"/>
  <c r="I24" i="3"/>
  <c r="F24" i="3"/>
  <c r="AC22" i="3"/>
  <c r="Z22" i="3"/>
  <c r="W22" i="3"/>
  <c r="T22" i="3"/>
  <c r="Q22" i="3"/>
  <c r="N22" i="3"/>
  <c r="K22" i="3"/>
  <c r="H22" i="3"/>
  <c r="E22" i="3"/>
  <c r="E17" i="3"/>
  <c r="E16" i="3"/>
  <c r="B83" i="3" s="1"/>
  <c r="A16" i="3"/>
  <c r="E15" i="3"/>
  <c r="R94" i="3" s="1"/>
  <c r="K125" i="3" s="1"/>
  <c r="E14" i="3"/>
  <c r="B82" i="3" s="1"/>
  <c r="A14" i="3"/>
  <c r="E13" i="3"/>
  <c r="H94" i="3" s="1"/>
  <c r="K124" i="3" s="1"/>
  <c r="E12" i="3"/>
  <c r="B94" i="3" s="1"/>
  <c r="B124" i="3" s="1"/>
  <c r="A12" i="3"/>
  <c r="E11" i="3"/>
  <c r="AB94" i="3" s="1"/>
  <c r="K126" i="3" s="1"/>
  <c r="E10" i="3"/>
  <c r="V94" i="3" s="1"/>
  <c r="B126" i="3" s="1"/>
  <c r="A10" i="3"/>
  <c r="E9" i="3"/>
  <c r="AL94" i="3" s="1"/>
  <c r="K127" i="3" s="1"/>
  <c r="E8" i="3"/>
  <c r="AF94" i="3" s="1"/>
  <c r="B127" i="3" s="1"/>
  <c r="A8" i="3"/>
  <c r="R7" i="3"/>
  <c r="L7" i="3"/>
  <c r="K6" i="3"/>
  <c r="AU147" i="2"/>
  <c r="AT147" i="2"/>
  <c r="AU146" i="2"/>
  <c r="AT146" i="2"/>
  <c r="AU145" i="2"/>
  <c r="AT145" i="2"/>
  <c r="AU144" i="2"/>
  <c r="AT144" i="2"/>
  <c r="J135" i="2"/>
  <c r="H135" i="2"/>
  <c r="G135" i="2"/>
  <c r="E135" i="2"/>
  <c r="D135" i="2"/>
  <c r="B135" i="2"/>
  <c r="J134" i="2"/>
  <c r="H134" i="2"/>
  <c r="G134" i="2"/>
  <c r="E134" i="2"/>
  <c r="D134" i="2"/>
  <c r="B134" i="2"/>
  <c r="J133" i="2"/>
  <c r="J136" i="2" s="1"/>
  <c r="H133" i="2"/>
  <c r="H136" i="2" s="1"/>
  <c r="G133" i="2"/>
  <c r="E133" i="2"/>
  <c r="D133" i="2"/>
  <c r="D136" i="2" s="1"/>
  <c r="B133" i="2"/>
  <c r="B136" i="2" s="1"/>
  <c r="A89" i="2"/>
  <c r="AE76" i="2"/>
  <c r="AC76" i="2"/>
  <c r="AB76" i="2"/>
  <c r="Z76" i="2"/>
  <c r="W76" i="2"/>
  <c r="V76" i="2"/>
  <c r="T76" i="2"/>
  <c r="Q76" i="2"/>
  <c r="P76" i="2"/>
  <c r="N76" i="2"/>
  <c r="M76" i="2"/>
  <c r="K76" i="2"/>
  <c r="H76" i="2"/>
  <c r="G76" i="2"/>
  <c r="E76" i="2"/>
  <c r="B76" i="2"/>
  <c r="AE75" i="2"/>
  <c r="AC75" i="2"/>
  <c r="Z75" i="2"/>
  <c r="Y75" i="2"/>
  <c r="W75" i="2"/>
  <c r="V75" i="2"/>
  <c r="T75" i="2"/>
  <c r="S75" i="2"/>
  <c r="P75" i="2"/>
  <c r="N75" i="2"/>
  <c r="K75" i="2"/>
  <c r="J75" i="2"/>
  <c r="H75" i="2"/>
  <c r="E75" i="2"/>
  <c r="D75" i="2"/>
  <c r="B75" i="2"/>
  <c r="AE74" i="2"/>
  <c r="AC74" i="2"/>
  <c r="AB74" i="2"/>
  <c r="Y74" i="2"/>
  <c r="W74" i="2"/>
  <c r="T74" i="2"/>
  <c r="S74" i="2"/>
  <c r="Q74" i="2"/>
  <c r="N74" i="2"/>
  <c r="M74" i="2"/>
  <c r="K74" i="2"/>
  <c r="J74" i="2"/>
  <c r="G74" i="2"/>
  <c r="E74" i="2"/>
  <c r="D74" i="2"/>
  <c r="B74" i="2"/>
  <c r="AC73" i="2"/>
  <c r="AB73" i="2"/>
  <c r="Z73" i="2"/>
  <c r="Y73" i="2"/>
  <c r="W73" i="2"/>
  <c r="V73" i="2"/>
  <c r="S73" i="2"/>
  <c r="Q73" i="2"/>
  <c r="P73" i="2"/>
  <c r="N73" i="2"/>
  <c r="M73" i="2"/>
  <c r="J73" i="2"/>
  <c r="H73" i="2"/>
  <c r="G73" i="2"/>
  <c r="E73" i="2"/>
  <c r="D73" i="2"/>
  <c r="AE72" i="2"/>
  <c r="AB72" i="2"/>
  <c r="Z72" i="2"/>
  <c r="Y72" i="2"/>
  <c r="V72" i="2"/>
  <c r="T72" i="2"/>
  <c r="S72" i="2"/>
  <c r="Q72" i="2"/>
  <c r="P72" i="2"/>
  <c r="M72" i="2"/>
  <c r="K72" i="2"/>
  <c r="J72" i="2"/>
  <c r="H72" i="2"/>
  <c r="G72" i="2"/>
  <c r="D72" i="2"/>
  <c r="B72" i="2"/>
  <c r="AE68" i="2"/>
  <c r="AC68" i="2"/>
  <c r="AB68" i="2"/>
  <c r="Z68" i="2"/>
  <c r="W68" i="2"/>
  <c r="V68" i="2"/>
  <c r="T68" i="2"/>
  <c r="Q68" i="2"/>
  <c r="P68" i="2"/>
  <c r="N68" i="2"/>
  <c r="M68" i="2"/>
  <c r="K68" i="2"/>
  <c r="H68" i="2"/>
  <c r="G68" i="2"/>
  <c r="E68" i="2"/>
  <c r="B68" i="2"/>
  <c r="AE67" i="2"/>
  <c r="AC67" i="2"/>
  <c r="Z67" i="2"/>
  <c r="Y67" i="2"/>
  <c r="W67" i="2"/>
  <c r="V67" i="2"/>
  <c r="T67" i="2"/>
  <c r="S67" i="2"/>
  <c r="P67" i="2"/>
  <c r="N67" i="2"/>
  <c r="K67" i="2"/>
  <c r="J67" i="2"/>
  <c r="H67" i="2"/>
  <c r="E67" i="2"/>
  <c r="D67" i="2"/>
  <c r="B67" i="2"/>
  <c r="AE66" i="2"/>
  <c r="AC66" i="2"/>
  <c r="AB66" i="2"/>
  <c r="Y66" i="2"/>
  <c r="W66" i="2"/>
  <c r="T66" i="2"/>
  <c r="S66" i="2"/>
  <c r="Q66" i="2"/>
  <c r="N66" i="2"/>
  <c r="M66" i="2"/>
  <c r="K66" i="2"/>
  <c r="J66" i="2"/>
  <c r="G66" i="2"/>
  <c r="E66" i="2"/>
  <c r="D66" i="2"/>
  <c r="B66" i="2"/>
  <c r="AC65" i="2"/>
  <c r="AB65" i="2"/>
  <c r="Z65" i="2"/>
  <c r="Y65" i="2"/>
  <c r="W65" i="2"/>
  <c r="V65" i="2"/>
  <c r="S65" i="2"/>
  <c r="Q65" i="2"/>
  <c r="P65" i="2"/>
  <c r="N65" i="2"/>
  <c r="M65" i="2"/>
  <c r="J65" i="2"/>
  <c r="H65" i="2"/>
  <c r="G65" i="2"/>
  <c r="E65" i="2"/>
  <c r="D65" i="2"/>
  <c r="AE64" i="2"/>
  <c r="AB64" i="2"/>
  <c r="Z64" i="2"/>
  <c r="Y64" i="2"/>
  <c r="V64" i="2"/>
  <c r="T64" i="2"/>
  <c r="S64" i="2"/>
  <c r="Q64" i="2"/>
  <c r="P64" i="2"/>
  <c r="M64" i="2"/>
  <c r="K64" i="2"/>
  <c r="J64" i="2"/>
  <c r="H64" i="2"/>
  <c r="G64" i="2"/>
  <c r="D64" i="2"/>
  <c r="B64" i="2"/>
  <c r="AE62" i="2"/>
  <c r="AC62" i="2"/>
  <c r="AB62" i="2"/>
  <c r="Z62" i="2"/>
  <c r="W62" i="2"/>
  <c r="V62" i="2"/>
  <c r="T62" i="2"/>
  <c r="Q62" i="2"/>
  <c r="P62" i="2"/>
  <c r="N62" i="2"/>
  <c r="M62" i="2"/>
  <c r="K62" i="2"/>
  <c r="H62" i="2"/>
  <c r="G62" i="2"/>
  <c r="E62" i="2"/>
  <c r="B62" i="2"/>
  <c r="AE61" i="2"/>
  <c r="AC61" i="2"/>
  <c r="Z61" i="2"/>
  <c r="Y61" i="2"/>
  <c r="W61" i="2"/>
  <c r="V61" i="2"/>
  <c r="T61" i="2"/>
  <c r="S61" i="2"/>
  <c r="P61" i="2"/>
  <c r="N61" i="2"/>
  <c r="K61" i="2"/>
  <c r="J61" i="2"/>
  <c r="H61" i="2"/>
  <c r="E61" i="2"/>
  <c r="D61" i="2"/>
  <c r="B61" i="2"/>
  <c r="AE60" i="2"/>
  <c r="AC60" i="2"/>
  <c r="AB60" i="2"/>
  <c r="Y60" i="2"/>
  <c r="W60" i="2"/>
  <c r="T60" i="2"/>
  <c r="S60" i="2"/>
  <c r="Q60" i="2"/>
  <c r="N60" i="2"/>
  <c r="M60" i="2"/>
  <c r="K60" i="2"/>
  <c r="J60" i="2"/>
  <c r="G60" i="2"/>
  <c r="E60" i="2"/>
  <c r="D60" i="2"/>
  <c r="B60" i="2"/>
  <c r="AC59" i="2"/>
  <c r="AB59" i="2"/>
  <c r="Z59" i="2"/>
  <c r="Y59" i="2"/>
  <c r="W59" i="2"/>
  <c r="V59" i="2"/>
  <c r="S59" i="2"/>
  <c r="Q59" i="2"/>
  <c r="P59" i="2"/>
  <c r="N59" i="2"/>
  <c r="M59" i="2"/>
  <c r="J59" i="2"/>
  <c r="H59" i="2"/>
  <c r="G59" i="2"/>
  <c r="E59" i="2"/>
  <c r="D59" i="2"/>
  <c r="AE58" i="2"/>
  <c r="AB58" i="2"/>
  <c r="Z58" i="2"/>
  <c r="Y58" i="2"/>
  <c r="V58" i="2"/>
  <c r="T58" i="2"/>
  <c r="S58" i="2"/>
  <c r="Q58" i="2"/>
  <c r="P58" i="2"/>
  <c r="M58" i="2"/>
  <c r="K58" i="2"/>
  <c r="J58" i="2"/>
  <c r="H58" i="2"/>
  <c r="G58" i="2"/>
  <c r="D58" i="2"/>
  <c r="B58" i="2"/>
  <c r="AE56" i="2"/>
  <c r="AC56" i="2"/>
  <c r="AB56" i="2"/>
  <c r="Z56" i="2"/>
  <c r="W56" i="2"/>
  <c r="V56" i="2"/>
  <c r="T56" i="2"/>
  <c r="Q56" i="2"/>
  <c r="P56" i="2"/>
  <c r="N56" i="2"/>
  <c r="M56" i="2"/>
  <c r="K56" i="2"/>
  <c r="H56" i="2"/>
  <c r="G56" i="2"/>
  <c r="E56" i="2"/>
  <c r="B56" i="2"/>
  <c r="AE55" i="2"/>
  <c r="AC55" i="2"/>
  <c r="Z55" i="2"/>
  <c r="Y55" i="2"/>
  <c r="W55" i="2"/>
  <c r="V55" i="2"/>
  <c r="T55" i="2"/>
  <c r="S55" i="2"/>
  <c r="P55" i="2"/>
  <c r="N55" i="2"/>
  <c r="K55" i="2"/>
  <c r="J55" i="2"/>
  <c r="H55" i="2"/>
  <c r="E55" i="2"/>
  <c r="D55" i="2"/>
  <c r="B55" i="2"/>
  <c r="AE54" i="2"/>
  <c r="AC54" i="2"/>
  <c r="AB54" i="2"/>
  <c r="Y54" i="2"/>
  <c r="W54" i="2"/>
  <c r="T54" i="2"/>
  <c r="S54" i="2"/>
  <c r="Q54" i="2"/>
  <c r="N54" i="2"/>
  <c r="M54" i="2"/>
  <c r="K54" i="2"/>
  <c r="J54" i="2"/>
  <c r="G54" i="2"/>
  <c r="E54" i="2"/>
  <c r="D54" i="2"/>
  <c r="B54" i="2"/>
  <c r="AC53" i="2"/>
  <c r="AB53" i="2"/>
  <c r="Z53" i="2"/>
  <c r="Y53" i="2"/>
  <c r="W53" i="2"/>
  <c r="V53" i="2"/>
  <c r="S53" i="2"/>
  <c r="Q53" i="2"/>
  <c r="P53" i="2"/>
  <c r="N53" i="2"/>
  <c r="M53" i="2"/>
  <c r="J53" i="2"/>
  <c r="H53" i="2"/>
  <c r="G53" i="2"/>
  <c r="E53" i="2"/>
  <c r="D53" i="2"/>
  <c r="AE52" i="2"/>
  <c r="AB52" i="2"/>
  <c r="Z52" i="2"/>
  <c r="Y52" i="2"/>
  <c r="V52" i="2"/>
  <c r="T52" i="2"/>
  <c r="S52" i="2"/>
  <c r="Q52" i="2"/>
  <c r="P52" i="2"/>
  <c r="M52" i="2"/>
  <c r="K52" i="2"/>
  <c r="J52" i="2"/>
  <c r="H52" i="2"/>
  <c r="G52" i="2"/>
  <c r="D52" i="2"/>
  <c r="B52" i="2"/>
  <c r="AE50" i="2"/>
  <c r="AC50" i="2"/>
  <c r="AB50" i="2"/>
  <c r="Z50" i="2"/>
  <c r="W50" i="2"/>
  <c r="V50" i="2"/>
  <c r="T50" i="2"/>
  <c r="Q50" i="2"/>
  <c r="P50" i="2"/>
  <c r="N50" i="2"/>
  <c r="M50" i="2"/>
  <c r="K50" i="2"/>
  <c r="H50" i="2"/>
  <c r="G50" i="2"/>
  <c r="E50" i="2"/>
  <c r="B50" i="2"/>
  <c r="AE49" i="2"/>
  <c r="AC49" i="2"/>
  <c r="Z49" i="2"/>
  <c r="Y49" i="2"/>
  <c r="W49" i="2"/>
  <c r="V49" i="2"/>
  <c r="T49" i="2"/>
  <c r="S49" i="2"/>
  <c r="P49" i="2"/>
  <c r="N49" i="2"/>
  <c r="K49" i="2"/>
  <c r="J49" i="2"/>
  <c r="H49" i="2"/>
  <c r="E49" i="2"/>
  <c r="D49" i="2"/>
  <c r="B49" i="2"/>
  <c r="AE48" i="2"/>
  <c r="AC48" i="2"/>
  <c r="AB48" i="2"/>
  <c r="Y48" i="2"/>
  <c r="W48" i="2"/>
  <c r="T48" i="2"/>
  <c r="S48" i="2"/>
  <c r="Q48" i="2"/>
  <c r="N48" i="2"/>
  <c r="M48" i="2"/>
  <c r="K48" i="2"/>
  <c r="J48" i="2"/>
  <c r="G48" i="2"/>
  <c r="E48" i="2"/>
  <c r="D48" i="2"/>
  <c r="B48" i="2"/>
  <c r="AC47" i="2"/>
  <c r="AB47" i="2"/>
  <c r="Z47" i="2"/>
  <c r="Y47" i="2"/>
  <c r="W47" i="2"/>
  <c r="V47" i="2"/>
  <c r="S47" i="2"/>
  <c r="Q47" i="2"/>
  <c r="P47" i="2"/>
  <c r="N47" i="2"/>
  <c r="M47" i="2"/>
  <c r="J47" i="2"/>
  <c r="H47" i="2"/>
  <c r="G47" i="2"/>
  <c r="E47" i="2"/>
  <c r="D47" i="2"/>
  <c r="AE46" i="2"/>
  <c r="AB46" i="2"/>
  <c r="Z46" i="2"/>
  <c r="Y46" i="2"/>
  <c r="V46" i="2"/>
  <c r="T46" i="2"/>
  <c r="S46" i="2"/>
  <c r="Q46" i="2"/>
  <c r="P46" i="2"/>
  <c r="M46" i="2"/>
  <c r="K46" i="2"/>
  <c r="J46" i="2"/>
  <c r="H46" i="2"/>
  <c r="G46" i="2"/>
  <c r="D46" i="2"/>
  <c r="B46" i="2"/>
  <c r="V43" i="2"/>
  <c r="P43" i="2"/>
  <c r="V42" i="2"/>
  <c r="AB41" i="2"/>
  <c r="AE35" i="2"/>
  <c r="AE43" i="2" s="1"/>
  <c r="AC35" i="2"/>
  <c r="AC43" i="2" s="1"/>
  <c r="AB35" i="2"/>
  <c r="AB43" i="2" s="1"/>
  <c r="Z35" i="2"/>
  <c r="Z43" i="2" s="1"/>
  <c r="Y35" i="2"/>
  <c r="Y43" i="2" s="1"/>
  <c r="W35" i="2"/>
  <c r="W43" i="2" s="1"/>
  <c r="V35" i="2"/>
  <c r="T35" i="2"/>
  <c r="T43" i="2" s="1"/>
  <c r="S35" i="2"/>
  <c r="S43" i="2" s="1"/>
  <c r="Q35" i="2"/>
  <c r="Q43" i="2" s="1"/>
  <c r="P35" i="2"/>
  <c r="N35" i="2"/>
  <c r="N43" i="2" s="1"/>
  <c r="M35" i="2"/>
  <c r="M43" i="2" s="1"/>
  <c r="K35" i="2"/>
  <c r="K43" i="2" s="1"/>
  <c r="J35" i="2"/>
  <c r="J43" i="2" s="1"/>
  <c r="H35" i="2"/>
  <c r="H43" i="2" s="1"/>
  <c r="G35" i="2"/>
  <c r="G43" i="2" s="1"/>
  <c r="E35" i="2"/>
  <c r="E43" i="2" s="1"/>
  <c r="D35" i="2"/>
  <c r="D43" i="2" s="1"/>
  <c r="B35" i="2"/>
  <c r="B43" i="2" s="1"/>
  <c r="AE34" i="2"/>
  <c r="AE42" i="2" s="1"/>
  <c r="AC34" i="2"/>
  <c r="AC42" i="2" s="1"/>
  <c r="AB34" i="2"/>
  <c r="AB42" i="2" s="1"/>
  <c r="Z34" i="2"/>
  <c r="Z42" i="2" s="1"/>
  <c r="Y34" i="2"/>
  <c r="Y42" i="2" s="1"/>
  <c r="W34" i="2"/>
  <c r="W42" i="2" s="1"/>
  <c r="V34" i="2"/>
  <c r="T34" i="2"/>
  <c r="T42" i="2" s="1"/>
  <c r="S34" i="2"/>
  <c r="S42" i="2" s="1"/>
  <c r="Q34" i="2"/>
  <c r="Q42" i="2" s="1"/>
  <c r="P34" i="2"/>
  <c r="P42" i="2" s="1"/>
  <c r="N34" i="2"/>
  <c r="N42" i="2" s="1"/>
  <c r="M34" i="2"/>
  <c r="M42" i="2" s="1"/>
  <c r="K34" i="2"/>
  <c r="K42" i="2" s="1"/>
  <c r="J34" i="2"/>
  <c r="J42" i="2" s="1"/>
  <c r="H34" i="2"/>
  <c r="H42" i="2" s="1"/>
  <c r="G34" i="2"/>
  <c r="G42" i="2" s="1"/>
  <c r="E34" i="2"/>
  <c r="E42" i="2" s="1"/>
  <c r="D34" i="2"/>
  <c r="D42" i="2" s="1"/>
  <c r="B34" i="2"/>
  <c r="B42" i="2" s="1"/>
  <c r="AE33" i="2"/>
  <c r="AE41" i="2" s="1"/>
  <c r="AC33" i="2"/>
  <c r="AC41" i="2" s="1"/>
  <c r="AB33" i="2"/>
  <c r="Z33" i="2"/>
  <c r="Z41" i="2" s="1"/>
  <c r="Y33" i="2"/>
  <c r="Y41" i="2" s="1"/>
  <c r="W33" i="2"/>
  <c r="W41" i="2" s="1"/>
  <c r="V33" i="2"/>
  <c r="V41" i="2" s="1"/>
  <c r="T33" i="2"/>
  <c r="T41" i="2" s="1"/>
  <c r="S33" i="2"/>
  <c r="S41" i="2" s="1"/>
  <c r="Q33" i="2"/>
  <c r="Q41" i="2" s="1"/>
  <c r="P33" i="2"/>
  <c r="P41" i="2" s="1"/>
  <c r="N33" i="2"/>
  <c r="N41" i="2" s="1"/>
  <c r="M33" i="2"/>
  <c r="M41" i="2" s="1"/>
  <c r="K33" i="2"/>
  <c r="K41" i="2" s="1"/>
  <c r="J33" i="2"/>
  <c r="J41" i="2" s="1"/>
  <c r="H33" i="2"/>
  <c r="H41" i="2" s="1"/>
  <c r="G33" i="2"/>
  <c r="G41" i="2" s="1"/>
  <c r="E33" i="2"/>
  <c r="E41" i="2" s="1"/>
  <c r="D33" i="2"/>
  <c r="D41" i="2" s="1"/>
  <c r="B33" i="2"/>
  <c r="B41" i="2" s="1"/>
  <c r="AE32" i="2"/>
  <c r="AE40" i="2" s="1"/>
  <c r="AC32" i="2"/>
  <c r="AC40" i="2" s="1"/>
  <c r="AB32" i="2"/>
  <c r="AB40" i="2" s="1"/>
  <c r="Z32" i="2"/>
  <c r="Z40" i="2" s="1"/>
  <c r="Y32" i="2"/>
  <c r="Y40" i="2" s="1"/>
  <c r="W32" i="2"/>
  <c r="W40" i="2" s="1"/>
  <c r="V32" i="2"/>
  <c r="V40" i="2" s="1"/>
  <c r="T32" i="2"/>
  <c r="T40" i="2" s="1"/>
  <c r="S32" i="2"/>
  <c r="S40" i="2" s="1"/>
  <c r="Q32" i="2"/>
  <c r="Q40" i="2" s="1"/>
  <c r="P32" i="2"/>
  <c r="P40" i="2" s="1"/>
  <c r="N32" i="2"/>
  <c r="N40" i="2" s="1"/>
  <c r="M32" i="2"/>
  <c r="M40" i="2" s="1"/>
  <c r="K32" i="2"/>
  <c r="K40" i="2" s="1"/>
  <c r="J32" i="2"/>
  <c r="J40" i="2" s="1"/>
  <c r="H32" i="2"/>
  <c r="H40" i="2" s="1"/>
  <c r="G32" i="2"/>
  <c r="G40" i="2" s="1"/>
  <c r="E32" i="2"/>
  <c r="E40" i="2" s="1"/>
  <c r="D32" i="2"/>
  <c r="D40" i="2" s="1"/>
  <c r="B32" i="2"/>
  <c r="B40" i="2" s="1"/>
  <c r="AE31" i="2"/>
  <c r="AC31" i="2"/>
  <c r="AC39" i="2" s="1"/>
  <c r="AB31" i="2"/>
  <c r="AB67" i="2" s="1"/>
  <c r="Z31" i="2"/>
  <c r="Z66" i="2" s="1"/>
  <c r="Y31" i="2"/>
  <c r="Y39" i="2" s="1"/>
  <c r="W31" i="2"/>
  <c r="W39" i="2" s="1"/>
  <c r="V31" i="2"/>
  <c r="V66" i="2" s="1"/>
  <c r="T31" i="2"/>
  <c r="T36" i="2" s="1"/>
  <c r="S31" i="2"/>
  <c r="Q31" i="2"/>
  <c r="Q67" i="2" s="1"/>
  <c r="P31" i="2"/>
  <c r="P39" i="2" s="1"/>
  <c r="N31" i="2"/>
  <c r="N39" i="2" s="1"/>
  <c r="M31" i="2"/>
  <c r="M67" i="2" s="1"/>
  <c r="K31" i="2"/>
  <c r="K65" i="2" s="1"/>
  <c r="J31" i="2"/>
  <c r="J39" i="2" s="1"/>
  <c r="H31" i="2"/>
  <c r="H36" i="2" s="1"/>
  <c r="G31" i="2"/>
  <c r="E31" i="2"/>
  <c r="E39" i="2" s="1"/>
  <c r="D31" i="2"/>
  <c r="D39" i="2" s="1"/>
  <c r="B31" i="2"/>
  <c r="B39" i="2" s="1"/>
  <c r="AE30" i="2"/>
  <c r="AP24" i="2" s="1"/>
  <c r="AC30" i="2"/>
  <c r="AB30" i="2"/>
  <c r="Z30" i="2"/>
  <c r="AO27" i="2" s="1"/>
  <c r="Y30" i="2"/>
  <c r="W30" i="2"/>
  <c r="V30" i="2"/>
  <c r="T30" i="2"/>
  <c r="AM26" i="2" s="1"/>
  <c r="S30" i="2"/>
  <c r="AL28" i="2" s="1"/>
  <c r="Q30" i="2"/>
  <c r="P30" i="2"/>
  <c r="N30" i="2"/>
  <c r="M30" i="2"/>
  <c r="K30" i="2"/>
  <c r="J30" i="2"/>
  <c r="H30" i="2"/>
  <c r="AI26" i="2" s="1"/>
  <c r="G30" i="2"/>
  <c r="AH24" i="2" s="1"/>
  <c r="E30" i="2"/>
  <c r="D30" i="2"/>
  <c r="B30" i="2"/>
  <c r="AG25" i="2" s="1"/>
  <c r="AD29" i="2"/>
  <c r="AA29" i="2"/>
  <c r="X29" i="2"/>
  <c r="U29" i="2"/>
  <c r="R29" i="2"/>
  <c r="O29" i="2"/>
  <c r="L29" i="2"/>
  <c r="I29" i="2"/>
  <c r="F29" i="2"/>
  <c r="A29" i="2"/>
  <c r="AP28" i="2"/>
  <c r="AO28" i="2"/>
  <c r="AN28" i="2"/>
  <c r="AM28" i="2"/>
  <c r="AK28" i="2"/>
  <c r="AJ28" i="2"/>
  <c r="AH28" i="2"/>
  <c r="AF28" i="2"/>
  <c r="AD28" i="2"/>
  <c r="AA28" i="2"/>
  <c r="X28" i="2"/>
  <c r="U28" i="2"/>
  <c r="R28" i="2"/>
  <c r="O28" i="2"/>
  <c r="L28" i="2"/>
  <c r="I28" i="2"/>
  <c r="F28" i="2"/>
  <c r="A28" i="2"/>
  <c r="AP27" i="2"/>
  <c r="AN27" i="2"/>
  <c r="AM27" i="2"/>
  <c r="AK27" i="2"/>
  <c r="AJ27" i="2"/>
  <c r="AI27" i="2"/>
  <c r="AG27" i="2"/>
  <c r="AF27" i="2"/>
  <c r="AD27" i="2"/>
  <c r="AA27" i="2"/>
  <c r="X27" i="2"/>
  <c r="U27" i="2"/>
  <c r="R27" i="2"/>
  <c r="O27" i="2"/>
  <c r="L27" i="2"/>
  <c r="I27" i="2"/>
  <c r="F27" i="2"/>
  <c r="A27" i="2"/>
  <c r="AP26" i="2"/>
  <c r="AO26" i="2"/>
  <c r="AN26" i="2"/>
  <c r="AL26" i="2"/>
  <c r="AK26" i="2"/>
  <c r="AJ26" i="2"/>
  <c r="AH26" i="2"/>
  <c r="AG26" i="2"/>
  <c r="AF26" i="2"/>
  <c r="AD26" i="2"/>
  <c r="AA26" i="2"/>
  <c r="X26" i="2"/>
  <c r="U26" i="2"/>
  <c r="R26" i="2"/>
  <c r="O26" i="2"/>
  <c r="L26" i="2"/>
  <c r="I26" i="2"/>
  <c r="F26" i="2"/>
  <c r="A26" i="2"/>
  <c r="AO25" i="2"/>
  <c r="AN25" i="2"/>
  <c r="AM25" i="2"/>
  <c r="AL25" i="2"/>
  <c r="AK25" i="2"/>
  <c r="AJ25" i="2"/>
  <c r="AI25" i="2"/>
  <c r="AH25" i="2"/>
  <c r="AF25" i="2"/>
  <c r="AD25" i="2"/>
  <c r="AA25" i="2"/>
  <c r="X25" i="2"/>
  <c r="U25" i="2"/>
  <c r="R25" i="2"/>
  <c r="O25" i="2"/>
  <c r="L25" i="2"/>
  <c r="I25" i="2"/>
  <c r="F25" i="2"/>
  <c r="AO24" i="2"/>
  <c r="AN24" i="2"/>
  <c r="AM24" i="2"/>
  <c r="AL24" i="2"/>
  <c r="AK24" i="2"/>
  <c r="AJ24" i="2"/>
  <c r="AI24" i="2"/>
  <c r="AG24" i="2"/>
  <c r="AF24" i="2"/>
  <c r="AD24" i="2"/>
  <c r="AA24" i="2"/>
  <c r="X24" i="2"/>
  <c r="U24" i="2"/>
  <c r="R24" i="2"/>
  <c r="O24" i="2"/>
  <c r="L24" i="2"/>
  <c r="I24" i="2"/>
  <c r="F24" i="2"/>
  <c r="AC22" i="2"/>
  <c r="Z22" i="2"/>
  <c r="W22" i="2"/>
  <c r="T22" i="2"/>
  <c r="Q22" i="2"/>
  <c r="N22" i="2"/>
  <c r="K22" i="2"/>
  <c r="H22" i="2"/>
  <c r="E22" i="2"/>
  <c r="E17" i="2"/>
  <c r="E16" i="2"/>
  <c r="B83" i="2" s="1"/>
  <c r="A16" i="2"/>
  <c r="E15" i="2"/>
  <c r="AB94" i="2" s="1"/>
  <c r="K126" i="2" s="1"/>
  <c r="E14" i="2"/>
  <c r="B82" i="2" s="1"/>
  <c r="A14" i="2"/>
  <c r="E13" i="2"/>
  <c r="AL94" i="2" s="1"/>
  <c r="K127" i="2" s="1"/>
  <c r="E12" i="2"/>
  <c r="AF94" i="2" s="1"/>
  <c r="B127" i="2" s="1"/>
  <c r="A12" i="2"/>
  <c r="E11" i="2"/>
  <c r="R94" i="2" s="1"/>
  <c r="K125" i="2" s="1"/>
  <c r="E10" i="2"/>
  <c r="B80" i="2" s="1"/>
  <c r="A10" i="2"/>
  <c r="E9" i="2"/>
  <c r="H94" i="2" s="1"/>
  <c r="K124" i="2" s="1"/>
  <c r="E8" i="2"/>
  <c r="B94" i="2" s="1"/>
  <c r="B124" i="2" s="1"/>
  <c r="A8" i="2"/>
  <c r="R7" i="2"/>
  <c r="L7" i="2"/>
  <c r="K6" i="2"/>
  <c r="AE221" i="1"/>
  <c r="AC221" i="1"/>
  <c r="AB221" i="1"/>
  <c r="Z221" i="1"/>
  <c r="Y221" i="1"/>
  <c r="W221" i="1"/>
  <c r="J221" i="1"/>
  <c r="H221" i="1"/>
  <c r="G221" i="1"/>
  <c r="E221" i="1"/>
  <c r="D221" i="1"/>
  <c r="B221" i="1"/>
  <c r="AE220" i="1"/>
  <c r="AE222" i="1" s="1"/>
  <c r="AC220" i="1"/>
  <c r="AB220" i="1"/>
  <c r="Z220" i="1"/>
  <c r="Y220" i="1"/>
  <c r="W220" i="1"/>
  <c r="J220" i="1"/>
  <c r="H220" i="1"/>
  <c r="G220" i="1"/>
  <c r="G222" i="1" s="1"/>
  <c r="E220" i="1"/>
  <c r="D220" i="1"/>
  <c r="B220" i="1"/>
  <c r="AE219" i="1"/>
  <c r="AC219" i="1"/>
  <c r="AC222" i="1" s="1"/>
  <c r="AB219" i="1"/>
  <c r="AB222" i="1" s="1"/>
  <c r="Z219" i="1"/>
  <c r="Y219" i="1"/>
  <c r="Y222" i="1" s="1"/>
  <c r="W219" i="1"/>
  <c r="J219" i="1"/>
  <c r="H219" i="1"/>
  <c r="H222" i="1" s="1"/>
  <c r="G219" i="1"/>
  <c r="E219" i="1"/>
  <c r="E222" i="1" s="1"/>
  <c r="J218" i="1" s="1"/>
  <c r="D219" i="1"/>
  <c r="D222" i="1" s="1"/>
  <c r="B219" i="1"/>
  <c r="A174" i="1"/>
  <c r="AE161" i="1"/>
  <c r="AC161" i="1"/>
  <c r="AB161" i="1"/>
  <c r="Z161" i="1"/>
  <c r="W161" i="1"/>
  <c r="V161" i="1"/>
  <c r="T161" i="1"/>
  <c r="Q161" i="1"/>
  <c r="P161" i="1"/>
  <c r="N161" i="1"/>
  <c r="M161" i="1"/>
  <c r="K161" i="1"/>
  <c r="H161" i="1"/>
  <c r="G161" i="1"/>
  <c r="E161" i="1"/>
  <c r="B161" i="1"/>
  <c r="AE160" i="1"/>
  <c r="AC160" i="1"/>
  <c r="Z160" i="1"/>
  <c r="Y160" i="1"/>
  <c r="W160" i="1"/>
  <c r="V160" i="1"/>
  <c r="T160" i="1"/>
  <c r="S160" i="1"/>
  <c r="P160" i="1"/>
  <c r="N160" i="1"/>
  <c r="K160" i="1"/>
  <c r="J160" i="1"/>
  <c r="H160" i="1"/>
  <c r="E160" i="1"/>
  <c r="D160" i="1"/>
  <c r="B160" i="1"/>
  <c r="AE159" i="1"/>
  <c r="AC159" i="1"/>
  <c r="AB159" i="1"/>
  <c r="Y159" i="1"/>
  <c r="W159" i="1"/>
  <c r="T159" i="1"/>
  <c r="S159" i="1"/>
  <c r="Q159" i="1"/>
  <c r="N159" i="1"/>
  <c r="M159" i="1"/>
  <c r="K159" i="1"/>
  <c r="J159" i="1"/>
  <c r="G159" i="1"/>
  <c r="E159" i="1"/>
  <c r="D159" i="1"/>
  <c r="B159" i="1"/>
  <c r="AC158" i="1"/>
  <c r="AB158" i="1"/>
  <c r="Z158" i="1"/>
  <c r="Y158" i="1"/>
  <c r="W158" i="1"/>
  <c r="V158" i="1"/>
  <c r="S158" i="1"/>
  <c r="Q158" i="1"/>
  <c r="P158" i="1"/>
  <c r="N158" i="1"/>
  <c r="M158" i="1"/>
  <c r="J158" i="1"/>
  <c r="H158" i="1"/>
  <c r="G158" i="1"/>
  <c r="E158" i="1"/>
  <c r="D158" i="1"/>
  <c r="AE157" i="1"/>
  <c r="AB157" i="1"/>
  <c r="Z157" i="1"/>
  <c r="Y157" i="1"/>
  <c r="V157" i="1"/>
  <c r="T157" i="1"/>
  <c r="S157" i="1"/>
  <c r="Q157" i="1"/>
  <c r="P157" i="1"/>
  <c r="M157" i="1"/>
  <c r="K157" i="1"/>
  <c r="J157" i="1"/>
  <c r="H157" i="1"/>
  <c r="G157" i="1"/>
  <c r="D157" i="1"/>
  <c r="B157" i="1"/>
  <c r="AE153" i="1"/>
  <c r="AC153" i="1"/>
  <c r="AB153" i="1"/>
  <c r="Z153" i="1"/>
  <c r="W153" i="1"/>
  <c r="V153" i="1"/>
  <c r="T153" i="1"/>
  <c r="Q153" i="1"/>
  <c r="P153" i="1"/>
  <c r="N153" i="1"/>
  <c r="M153" i="1"/>
  <c r="K153" i="1"/>
  <c r="H153" i="1"/>
  <c r="G153" i="1"/>
  <c r="E153" i="1"/>
  <c r="B153" i="1"/>
  <c r="AE152" i="1"/>
  <c r="AC152" i="1"/>
  <c r="Z152" i="1"/>
  <c r="Y152" i="1"/>
  <c r="W152" i="1"/>
  <c r="V152" i="1"/>
  <c r="T152" i="1"/>
  <c r="S152" i="1"/>
  <c r="P152" i="1"/>
  <c r="N152" i="1"/>
  <c r="K152" i="1"/>
  <c r="J152" i="1"/>
  <c r="H152" i="1"/>
  <c r="E152" i="1"/>
  <c r="D152" i="1"/>
  <c r="B152" i="1"/>
  <c r="AE151" i="1"/>
  <c r="AC151" i="1"/>
  <c r="AB151" i="1"/>
  <c r="Y151" i="1"/>
  <c r="W151" i="1"/>
  <c r="T151" i="1"/>
  <c r="S151" i="1"/>
  <c r="Q151" i="1"/>
  <c r="N151" i="1"/>
  <c r="M151" i="1"/>
  <c r="K151" i="1"/>
  <c r="J151" i="1"/>
  <c r="G151" i="1"/>
  <c r="E151" i="1"/>
  <c r="D151" i="1"/>
  <c r="B151" i="1"/>
  <c r="AC150" i="1"/>
  <c r="AB150" i="1"/>
  <c r="Z150" i="1"/>
  <c r="Y150" i="1"/>
  <c r="W150" i="1"/>
  <c r="V150" i="1"/>
  <c r="S150" i="1"/>
  <c r="Q150" i="1"/>
  <c r="P150" i="1"/>
  <c r="N150" i="1"/>
  <c r="M150" i="1"/>
  <c r="J150" i="1"/>
  <c r="H150" i="1"/>
  <c r="G150" i="1"/>
  <c r="E150" i="1"/>
  <c r="D150" i="1"/>
  <c r="AE149" i="1"/>
  <c r="AB149" i="1"/>
  <c r="Z149" i="1"/>
  <c r="Y149" i="1"/>
  <c r="V149" i="1"/>
  <c r="T149" i="1"/>
  <c r="S149" i="1"/>
  <c r="Q149" i="1"/>
  <c r="P149" i="1"/>
  <c r="M149" i="1"/>
  <c r="K149" i="1"/>
  <c r="J149" i="1"/>
  <c r="H149" i="1"/>
  <c r="G149" i="1"/>
  <c r="D149" i="1"/>
  <c r="B149" i="1"/>
  <c r="AE147" i="1"/>
  <c r="AC147" i="1"/>
  <c r="AB147" i="1"/>
  <c r="Z147" i="1"/>
  <c r="W147" i="1"/>
  <c r="V147" i="1"/>
  <c r="T147" i="1"/>
  <c r="Q147" i="1"/>
  <c r="P147" i="1"/>
  <c r="N147" i="1"/>
  <c r="M147" i="1"/>
  <c r="K147" i="1"/>
  <c r="H147" i="1"/>
  <c r="G147" i="1"/>
  <c r="E147" i="1"/>
  <c r="B147" i="1"/>
  <c r="AE146" i="1"/>
  <c r="AC146" i="1"/>
  <c r="Z146" i="1"/>
  <c r="Y146" i="1"/>
  <c r="W146" i="1"/>
  <c r="V146" i="1"/>
  <c r="T146" i="1"/>
  <c r="S146" i="1"/>
  <c r="P146" i="1"/>
  <c r="N146" i="1"/>
  <c r="K146" i="1"/>
  <c r="J146" i="1"/>
  <c r="H146" i="1"/>
  <c r="E146" i="1"/>
  <c r="D146" i="1"/>
  <c r="B146" i="1"/>
  <c r="AE145" i="1"/>
  <c r="AC145" i="1"/>
  <c r="AB145" i="1"/>
  <c r="Y145" i="1"/>
  <c r="W145" i="1"/>
  <c r="T145" i="1"/>
  <c r="S145" i="1"/>
  <c r="Q145" i="1"/>
  <c r="N145" i="1"/>
  <c r="M145" i="1"/>
  <c r="K145" i="1"/>
  <c r="J145" i="1"/>
  <c r="G145" i="1"/>
  <c r="E145" i="1"/>
  <c r="D145" i="1"/>
  <c r="B145" i="1"/>
  <c r="AC144" i="1"/>
  <c r="AB144" i="1"/>
  <c r="Z144" i="1"/>
  <c r="Y144" i="1"/>
  <c r="W144" i="1"/>
  <c r="V144" i="1"/>
  <c r="S144" i="1"/>
  <c r="Q144" i="1"/>
  <c r="P144" i="1"/>
  <c r="N144" i="1"/>
  <c r="M144" i="1"/>
  <c r="J144" i="1"/>
  <c r="H144" i="1"/>
  <c r="G144" i="1"/>
  <c r="E144" i="1"/>
  <c r="D144" i="1"/>
  <c r="AE143" i="1"/>
  <c r="AB143" i="1"/>
  <c r="Z143" i="1"/>
  <c r="Y143" i="1"/>
  <c r="V143" i="1"/>
  <c r="T143" i="1"/>
  <c r="S143" i="1"/>
  <c r="Q143" i="1"/>
  <c r="P143" i="1"/>
  <c r="M143" i="1"/>
  <c r="K143" i="1"/>
  <c r="J143" i="1"/>
  <c r="H143" i="1"/>
  <c r="G143" i="1"/>
  <c r="D143" i="1"/>
  <c r="B143" i="1"/>
  <c r="AE141" i="1"/>
  <c r="AC141" i="1"/>
  <c r="AB141" i="1"/>
  <c r="Z141" i="1"/>
  <c r="W141" i="1"/>
  <c r="V141" i="1"/>
  <c r="T141" i="1"/>
  <c r="Q141" i="1"/>
  <c r="P141" i="1"/>
  <c r="N141" i="1"/>
  <c r="M141" i="1"/>
  <c r="K141" i="1"/>
  <c r="H141" i="1"/>
  <c r="G141" i="1"/>
  <c r="E141" i="1"/>
  <c r="B141" i="1"/>
  <c r="AE140" i="1"/>
  <c r="AC140" i="1"/>
  <c r="Z140" i="1"/>
  <c r="Y140" i="1"/>
  <c r="W140" i="1"/>
  <c r="V140" i="1"/>
  <c r="T140" i="1"/>
  <c r="S140" i="1"/>
  <c r="P140" i="1"/>
  <c r="N140" i="1"/>
  <c r="K140" i="1"/>
  <c r="J140" i="1"/>
  <c r="H140" i="1"/>
  <c r="E140" i="1"/>
  <c r="D140" i="1"/>
  <c r="B140" i="1"/>
  <c r="AE139" i="1"/>
  <c r="AC139" i="1"/>
  <c r="AB139" i="1"/>
  <c r="Y139" i="1"/>
  <c r="W139" i="1"/>
  <c r="T139" i="1"/>
  <c r="S139" i="1"/>
  <c r="Q139" i="1"/>
  <c r="N139" i="1"/>
  <c r="M139" i="1"/>
  <c r="K139" i="1"/>
  <c r="J139" i="1"/>
  <c r="G139" i="1"/>
  <c r="E139" i="1"/>
  <c r="D139" i="1"/>
  <c r="B139" i="1"/>
  <c r="AC138" i="1"/>
  <c r="AB138" i="1"/>
  <c r="Z138" i="1"/>
  <c r="Y138" i="1"/>
  <c r="W138" i="1"/>
  <c r="V138" i="1"/>
  <c r="S138" i="1"/>
  <c r="Q138" i="1"/>
  <c r="P138" i="1"/>
  <c r="N138" i="1"/>
  <c r="M138" i="1"/>
  <c r="J138" i="1"/>
  <c r="H138" i="1"/>
  <c r="G138" i="1"/>
  <c r="E138" i="1"/>
  <c r="D138" i="1"/>
  <c r="AE137" i="1"/>
  <c r="AB137" i="1"/>
  <c r="Z137" i="1"/>
  <c r="Y137" i="1"/>
  <c r="V137" i="1"/>
  <c r="T137" i="1"/>
  <c r="S137" i="1"/>
  <c r="Q137" i="1"/>
  <c r="P137" i="1"/>
  <c r="M137" i="1"/>
  <c r="K137" i="1"/>
  <c r="J137" i="1"/>
  <c r="H137" i="1"/>
  <c r="G137" i="1"/>
  <c r="D137" i="1"/>
  <c r="B137" i="1"/>
  <c r="AE135" i="1"/>
  <c r="AC135" i="1"/>
  <c r="AB135" i="1"/>
  <c r="Z135" i="1"/>
  <c r="W135" i="1"/>
  <c r="V135" i="1"/>
  <c r="T135" i="1"/>
  <c r="Q135" i="1"/>
  <c r="P135" i="1"/>
  <c r="N135" i="1"/>
  <c r="M135" i="1"/>
  <c r="K135" i="1"/>
  <c r="H135" i="1"/>
  <c r="G135" i="1"/>
  <c r="E135" i="1"/>
  <c r="B135" i="1"/>
  <c r="AE134" i="1"/>
  <c r="AC134" i="1"/>
  <c r="Z134" i="1"/>
  <c r="Y134" i="1"/>
  <c r="W134" i="1"/>
  <c r="V134" i="1"/>
  <c r="T134" i="1"/>
  <c r="S134" i="1"/>
  <c r="P134" i="1"/>
  <c r="N134" i="1"/>
  <c r="K134" i="1"/>
  <c r="J134" i="1"/>
  <c r="H134" i="1"/>
  <c r="E134" i="1"/>
  <c r="D134" i="1"/>
  <c r="B134" i="1"/>
  <c r="AE133" i="1"/>
  <c r="AC133" i="1"/>
  <c r="AB133" i="1"/>
  <c r="Y133" i="1"/>
  <c r="W133" i="1"/>
  <c r="T133" i="1"/>
  <c r="S133" i="1"/>
  <c r="Q133" i="1"/>
  <c r="N133" i="1"/>
  <c r="M133" i="1"/>
  <c r="K133" i="1"/>
  <c r="J133" i="1"/>
  <c r="G133" i="1"/>
  <c r="E133" i="1"/>
  <c r="D133" i="1"/>
  <c r="B133" i="1"/>
  <c r="AC132" i="1"/>
  <c r="AB132" i="1"/>
  <c r="Z132" i="1"/>
  <c r="Y132" i="1"/>
  <c r="W132" i="1"/>
  <c r="V132" i="1"/>
  <c r="S132" i="1"/>
  <c r="Q132" i="1"/>
  <c r="P132" i="1"/>
  <c r="N132" i="1"/>
  <c r="M132" i="1"/>
  <c r="J132" i="1"/>
  <c r="H132" i="1"/>
  <c r="G132" i="1"/>
  <c r="E132" i="1"/>
  <c r="D132" i="1"/>
  <c r="AE131" i="1"/>
  <c r="AB131" i="1"/>
  <c r="Z131" i="1"/>
  <c r="Y131" i="1"/>
  <c r="V131" i="1"/>
  <c r="T131" i="1"/>
  <c r="S131" i="1"/>
  <c r="Q131" i="1"/>
  <c r="P131" i="1"/>
  <c r="M131" i="1"/>
  <c r="K131" i="1"/>
  <c r="J131" i="1"/>
  <c r="H131" i="1"/>
  <c r="G131" i="1"/>
  <c r="D131" i="1"/>
  <c r="B131" i="1"/>
  <c r="AE120" i="1"/>
  <c r="AE128" i="1" s="1"/>
  <c r="AC120" i="1"/>
  <c r="AC128" i="1" s="1"/>
  <c r="AB120" i="1"/>
  <c r="AB128" i="1" s="1"/>
  <c r="Z120" i="1"/>
  <c r="Z128" i="1" s="1"/>
  <c r="Y120" i="1"/>
  <c r="Y128" i="1" s="1"/>
  <c r="W120" i="1"/>
  <c r="W128" i="1" s="1"/>
  <c r="V120" i="1"/>
  <c r="V128" i="1" s="1"/>
  <c r="T120" i="1"/>
  <c r="T128" i="1" s="1"/>
  <c r="S120" i="1"/>
  <c r="S128" i="1" s="1"/>
  <c r="Q120" i="1"/>
  <c r="Q128" i="1" s="1"/>
  <c r="P120" i="1"/>
  <c r="P128" i="1" s="1"/>
  <c r="N120" i="1"/>
  <c r="N128" i="1" s="1"/>
  <c r="M120" i="1"/>
  <c r="M128" i="1" s="1"/>
  <c r="K120" i="1"/>
  <c r="K128" i="1" s="1"/>
  <c r="J120" i="1"/>
  <c r="J128" i="1" s="1"/>
  <c r="H120" i="1"/>
  <c r="H128" i="1" s="1"/>
  <c r="G120" i="1"/>
  <c r="G128" i="1" s="1"/>
  <c r="E120" i="1"/>
  <c r="E128" i="1" s="1"/>
  <c r="D120" i="1"/>
  <c r="D128" i="1" s="1"/>
  <c r="B120" i="1"/>
  <c r="B128" i="1" s="1"/>
  <c r="AE119" i="1"/>
  <c r="AE127" i="1" s="1"/>
  <c r="AC119" i="1"/>
  <c r="AC127" i="1" s="1"/>
  <c r="AB119" i="1"/>
  <c r="AB127" i="1" s="1"/>
  <c r="Z119" i="1"/>
  <c r="Z127" i="1" s="1"/>
  <c r="Y119" i="1"/>
  <c r="Y127" i="1" s="1"/>
  <c r="W119" i="1"/>
  <c r="W127" i="1" s="1"/>
  <c r="V119" i="1"/>
  <c r="V127" i="1" s="1"/>
  <c r="T119" i="1"/>
  <c r="T127" i="1" s="1"/>
  <c r="S119" i="1"/>
  <c r="S127" i="1" s="1"/>
  <c r="Q119" i="1"/>
  <c r="Q127" i="1" s="1"/>
  <c r="P119" i="1"/>
  <c r="P127" i="1" s="1"/>
  <c r="N119" i="1"/>
  <c r="N127" i="1" s="1"/>
  <c r="M119" i="1"/>
  <c r="M127" i="1" s="1"/>
  <c r="K119" i="1"/>
  <c r="K127" i="1" s="1"/>
  <c r="J119" i="1"/>
  <c r="J127" i="1" s="1"/>
  <c r="H119" i="1"/>
  <c r="H127" i="1" s="1"/>
  <c r="G119" i="1"/>
  <c r="G127" i="1" s="1"/>
  <c r="E119" i="1"/>
  <c r="E127" i="1" s="1"/>
  <c r="D119" i="1"/>
  <c r="D127" i="1" s="1"/>
  <c r="B119" i="1"/>
  <c r="B127" i="1" s="1"/>
  <c r="AE118" i="1"/>
  <c r="AE126" i="1" s="1"/>
  <c r="AC118" i="1"/>
  <c r="AC126" i="1" s="1"/>
  <c r="AB118" i="1"/>
  <c r="AB126" i="1" s="1"/>
  <c r="Z118" i="1"/>
  <c r="Z126" i="1" s="1"/>
  <c r="Y118" i="1"/>
  <c r="Y126" i="1" s="1"/>
  <c r="W118" i="1"/>
  <c r="W126" i="1" s="1"/>
  <c r="V118" i="1"/>
  <c r="V126" i="1" s="1"/>
  <c r="T118" i="1"/>
  <c r="T126" i="1" s="1"/>
  <c r="S118" i="1"/>
  <c r="S126" i="1" s="1"/>
  <c r="Q118" i="1"/>
  <c r="Q126" i="1" s="1"/>
  <c r="P118" i="1"/>
  <c r="P126" i="1" s="1"/>
  <c r="N118" i="1"/>
  <c r="N126" i="1" s="1"/>
  <c r="M118" i="1"/>
  <c r="M126" i="1" s="1"/>
  <c r="K118" i="1"/>
  <c r="K126" i="1" s="1"/>
  <c r="J118" i="1"/>
  <c r="J126" i="1" s="1"/>
  <c r="H118" i="1"/>
  <c r="H126" i="1" s="1"/>
  <c r="G118" i="1"/>
  <c r="G126" i="1" s="1"/>
  <c r="E118" i="1"/>
  <c r="E126" i="1" s="1"/>
  <c r="D118" i="1"/>
  <c r="D126" i="1" s="1"/>
  <c r="B118" i="1"/>
  <c r="B126" i="1" s="1"/>
  <c r="AE117" i="1"/>
  <c r="AE125" i="1" s="1"/>
  <c r="AC117" i="1"/>
  <c r="AC125" i="1" s="1"/>
  <c r="AB117" i="1"/>
  <c r="AB125" i="1" s="1"/>
  <c r="Z117" i="1"/>
  <c r="Z125" i="1" s="1"/>
  <c r="Y117" i="1"/>
  <c r="Y125" i="1" s="1"/>
  <c r="W117" i="1"/>
  <c r="W125" i="1" s="1"/>
  <c r="V117" i="1"/>
  <c r="V125" i="1" s="1"/>
  <c r="T117" i="1"/>
  <c r="T125" i="1" s="1"/>
  <c r="S117" i="1"/>
  <c r="S125" i="1" s="1"/>
  <c r="Q117" i="1"/>
  <c r="Q125" i="1" s="1"/>
  <c r="P117" i="1"/>
  <c r="P125" i="1" s="1"/>
  <c r="N117" i="1"/>
  <c r="N125" i="1" s="1"/>
  <c r="M117" i="1"/>
  <c r="M125" i="1" s="1"/>
  <c r="K117" i="1"/>
  <c r="K125" i="1" s="1"/>
  <c r="J117" i="1"/>
  <c r="J125" i="1" s="1"/>
  <c r="H117" i="1"/>
  <c r="H125" i="1" s="1"/>
  <c r="G117" i="1"/>
  <c r="G125" i="1" s="1"/>
  <c r="E117" i="1"/>
  <c r="E125" i="1" s="1"/>
  <c r="D117" i="1"/>
  <c r="D125" i="1" s="1"/>
  <c r="B117" i="1"/>
  <c r="B125" i="1" s="1"/>
  <c r="AE116" i="1"/>
  <c r="AE124" i="1" s="1"/>
  <c r="AC116" i="1"/>
  <c r="AC124" i="1" s="1"/>
  <c r="AB116" i="1"/>
  <c r="Z116" i="1"/>
  <c r="Z151" i="1" s="1"/>
  <c r="Y116" i="1"/>
  <c r="Y124" i="1" s="1"/>
  <c r="W116" i="1"/>
  <c r="W124" i="1" s="1"/>
  <c r="V116" i="1"/>
  <c r="T116" i="1"/>
  <c r="T121" i="1" s="1"/>
  <c r="S116" i="1"/>
  <c r="S124" i="1" s="1"/>
  <c r="Q116" i="1"/>
  <c r="Q152" i="1" s="1"/>
  <c r="P116" i="1"/>
  <c r="P151" i="1" s="1"/>
  <c r="N116" i="1"/>
  <c r="N124" i="1" s="1"/>
  <c r="M116" i="1"/>
  <c r="M152" i="1" s="1"/>
  <c r="K116" i="1"/>
  <c r="K150" i="1" s="1"/>
  <c r="J116" i="1"/>
  <c r="H116" i="1"/>
  <c r="H121" i="1" s="1"/>
  <c r="G116" i="1"/>
  <c r="E116" i="1"/>
  <c r="E124" i="1" s="1"/>
  <c r="D116" i="1"/>
  <c r="D124" i="1" s="1"/>
  <c r="B116" i="1"/>
  <c r="B124" i="1" s="1"/>
  <c r="AE115" i="1"/>
  <c r="AP110" i="1" s="1"/>
  <c r="AC115" i="1"/>
  <c r="AB115" i="1"/>
  <c r="Z115" i="1"/>
  <c r="Y115" i="1"/>
  <c r="AN113" i="1" s="1"/>
  <c r="W115" i="1"/>
  <c r="V115" i="1"/>
  <c r="AM110" i="1" s="1"/>
  <c r="T115" i="1"/>
  <c r="S115" i="1"/>
  <c r="AL113" i="1" s="1"/>
  <c r="Q115" i="1"/>
  <c r="P115" i="1"/>
  <c r="N115" i="1"/>
  <c r="M115" i="1"/>
  <c r="K115" i="1"/>
  <c r="J115" i="1"/>
  <c r="AI113" i="1" s="1"/>
  <c r="H115" i="1"/>
  <c r="G115" i="1"/>
  <c r="AH112" i="1" s="1"/>
  <c r="E115" i="1"/>
  <c r="D115" i="1"/>
  <c r="B115" i="1"/>
  <c r="AD114" i="1"/>
  <c r="AA114" i="1"/>
  <c r="X114" i="1"/>
  <c r="U114" i="1"/>
  <c r="R114" i="1"/>
  <c r="O114" i="1"/>
  <c r="L114" i="1"/>
  <c r="I114" i="1"/>
  <c r="F114" i="1"/>
  <c r="A114" i="1"/>
  <c r="AP113" i="1"/>
  <c r="AO113" i="1"/>
  <c r="AM113" i="1"/>
  <c r="AK113" i="1"/>
  <c r="AJ113" i="1"/>
  <c r="AH113" i="1"/>
  <c r="AG113" i="1"/>
  <c r="AF113" i="1"/>
  <c r="AD113" i="1"/>
  <c r="AA113" i="1"/>
  <c r="X113" i="1"/>
  <c r="U113" i="1"/>
  <c r="R113" i="1"/>
  <c r="O113" i="1"/>
  <c r="L113" i="1"/>
  <c r="I113" i="1"/>
  <c r="F113" i="1"/>
  <c r="A113" i="1"/>
  <c r="AP112" i="1"/>
  <c r="AO112" i="1"/>
  <c r="AN112" i="1"/>
  <c r="AM112" i="1"/>
  <c r="AK112" i="1"/>
  <c r="AJ112" i="1"/>
  <c r="AI112" i="1"/>
  <c r="AG112" i="1"/>
  <c r="AF112" i="1"/>
  <c r="AD112" i="1"/>
  <c r="AA112" i="1"/>
  <c r="X112" i="1"/>
  <c r="U112" i="1"/>
  <c r="R112" i="1"/>
  <c r="O112" i="1"/>
  <c r="L112" i="1"/>
  <c r="I112" i="1"/>
  <c r="F112" i="1"/>
  <c r="A112" i="1"/>
  <c r="AP111" i="1"/>
  <c r="AO111" i="1"/>
  <c r="AN111" i="1"/>
  <c r="AL111" i="1"/>
  <c r="AK111" i="1"/>
  <c r="AJ111" i="1"/>
  <c r="AI111" i="1"/>
  <c r="AH111" i="1"/>
  <c r="AG111" i="1"/>
  <c r="AF111" i="1"/>
  <c r="AD111" i="1"/>
  <c r="AA111" i="1"/>
  <c r="X111" i="1"/>
  <c r="U111" i="1"/>
  <c r="R111" i="1"/>
  <c r="O111" i="1"/>
  <c r="L111" i="1"/>
  <c r="I111" i="1"/>
  <c r="F111" i="1"/>
  <c r="A111" i="1"/>
  <c r="AO110" i="1"/>
  <c r="AN110" i="1"/>
  <c r="AL110" i="1"/>
  <c r="AK110" i="1"/>
  <c r="AJ110" i="1"/>
  <c r="AI110" i="1"/>
  <c r="AH110" i="1"/>
  <c r="AG110" i="1"/>
  <c r="AF110" i="1"/>
  <c r="AD110" i="1"/>
  <c r="AA110" i="1"/>
  <c r="X110" i="1"/>
  <c r="U110" i="1"/>
  <c r="R110" i="1"/>
  <c r="O110" i="1"/>
  <c r="L110" i="1"/>
  <c r="I110" i="1"/>
  <c r="F110" i="1"/>
  <c r="AP109" i="1"/>
  <c r="AO109" i="1"/>
  <c r="AN109" i="1"/>
  <c r="AM109" i="1"/>
  <c r="AL109" i="1"/>
  <c r="AK109" i="1"/>
  <c r="AJ109" i="1"/>
  <c r="AI109" i="1"/>
  <c r="AH109" i="1"/>
  <c r="AG109" i="1"/>
  <c r="AF109" i="1"/>
  <c r="AD109" i="1"/>
  <c r="AA109" i="1"/>
  <c r="X109" i="1"/>
  <c r="U109" i="1"/>
  <c r="R109" i="1"/>
  <c r="O109" i="1"/>
  <c r="L109" i="1"/>
  <c r="I109" i="1"/>
  <c r="F109" i="1"/>
  <c r="AC107" i="1"/>
  <c r="Z107" i="1"/>
  <c r="W107" i="1"/>
  <c r="T107" i="1"/>
  <c r="Q107" i="1"/>
  <c r="N107" i="1"/>
  <c r="K107" i="1"/>
  <c r="H107" i="1"/>
  <c r="E107" i="1"/>
  <c r="E102" i="1"/>
  <c r="R180" i="1" s="1"/>
  <c r="K213" i="1" s="1"/>
  <c r="E101" i="1"/>
  <c r="B168" i="1" s="1"/>
  <c r="A101" i="1"/>
  <c r="E100" i="1"/>
  <c r="AL180" i="1" s="1"/>
  <c r="AG213" i="1" s="1"/>
  <c r="E99" i="1"/>
  <c r="B167" i="1" s="1"/>
  <c r="A99" i="1"/>
  <c r="E98" i="1"/>
  <c r="E97" i="1"/>
  <c r="B166" i="1" s="1"/>
  <c r="A97" i="1"/>
  <c r="E96" i="1"/>
  <c r="H180" i="1" s="1"/>
  <c r="K211" i="1" s="1"/>
  <c r="E95" i="1"/>
  <c r="B180" i="1" s="1"/>
  <c r="B211" i="1" s="1"/>
  <c r="A95" i="1"/>
  <c r="E94" i="1"/>
  <c r="AB180" i="1" s="1"/>
  <c r="AG211" i="1" s="1"/>
  <c r="E93" i="1"/>
  <c r="B164" i="1" s="1"/>
  <c r="A93" i="1"/>
  <c r="R92" i="1"/>
  <c r="L92" i="1"/>
  <c r="K91" i="1"/>
  <c r="A89" i="1"/>
  <c r="AE76" i="1"/>
  <c r="AC76" i="1"/>
  <c r="AB76" i="1"/>
  <c r="Z76" i="1"/>
  <c r="W76" i="1"/>
  <c r="V76" i="1"/>
  <c r="T76" i="1"/>
  <c r="Q76" i="1"/>
  <c r="P76" i="1"/>
  <c r="N76" i="1"/>
  <c r="M76" i="1"/>
  <c r="K76" i="1"/>
  <c r="H76" i="1"/>
  <c r="G76" i="1"/>
  <c r="E76" i="1"/>
  <c r="B76" i="1"/>
  <c r="AE75" i="1"/>
  <c r="AC75" i="1"/>
  <c r="Z75" i="1"/>
  <c r="Y75" i="1"/>
  <c r="W75" i="1"/>
  <c r="V75" i="1"/>
  <c r="T75" i="1"/>
  <c r="S75" i="1"/>
  <c r="P75" i="1"/>
  <c r="N75" i="1"/>
  <c r="K75" i="1"/>
  <c r="J75" i="1"/>
  <c r="H75" i="1"/>
  <c r="E75" i="1"/>
  <c r="D75" i="1"/>
  <c r="B75" i="1"/>
  <c r="AE74" i="1"/>
  <c r="AC74" i="1"/>
  <c r="AB74" i="1"/>
  <c r="Y74" i="1"/>
  <c r="W74" i="1"/>
  <c r="T74" i="1"/>
  <c r="S74" i="1"/>
  <c r="Q74" i="1"/>
  <c r="N74" i="1"/>
  <c r="M74" i="1"/>
  <c r="K74" i="1"/>
  <c r="J74" i="1"/>
  <c r="G74" i="1"/>
  <c r="E74" i="1"/>
  <c r="D74" i="1"/>
  <c r="B74" i="1"/>
  <c r="AC73" i="1"/>
  <c r="AB73" i="1"/>
  <c r="Z73" i="1"/>
  <c r="Y73" i="1"/>
  <c r="W73" i="1"/>
  <c r="V73" i="1"/>
  <c r="S73" i="1"/>
  <c r="Q73" i="1"/>
  <c r="P73" i="1"/>
  <c r="N73" i="1"/>
  <c r="M73" i="1"/>
  <c r="J73" i="1"/>
  <c r="H73" i="1"/>
  <c r="G73" i="1"/>
  <c r="E73" i="1"/>
  <c r="D73" i="1"/>
  <c r="AE72" i="1"/>
  <c r="AB72" i="1"/>
  <c r="Z72" i="1"/>
  <c r="Y72" i="1"/>
  <c r="V72" i="1"/>
  <c r="T72" i="1"/>
  <c r="S72" i="1"/>
  <c r="Q72" i="1"/>
  <c r="P72" i="1"/>
  <c r="M72" i="1"/>
  <c r="K72" i="1"/>
  <c r="J72" i="1"/>
  <c r="H72" i="1"/>
  <c r="G72" i="1"/>
  <c r="D72" i="1"/>
  <c r="B72" i="1"/>
  <c r="AE68" i="1"/>
  <c r="AC68" i="1"/>
  <c r="AB68" i="1"/>
  <c r="Z68" i="1"/>
  <c r="W68" i="1"/>
  <c r="V68" i="1"/>
  <c r="T68" i="1"/>
  <c r="Q68" i="1"/>
  <c r="P68" i="1"/>
  <c r="N68" i="1"/>
  <c r="M68" i="1"/>
  <c r="K68" i="1"/>
  <c r="H68" i="1"/>
  <c r="G68" i="1"/>
  <c r="E68" i="1"/>
  <c r="B68" i="1"/>
  <c r="AE67" i="1"/>
  <c r="AC67" i="1"/>
  <c r="Z67" i="1"/>
  <c r="Y67" i="1"/>
  <c r="W67" i="1"/>
  <c r="V67" i="1"/>
  <c r="T67" i="1"/>
  <c r="S67" i="1"/>
  <c r="P67" i="1"/>
  <c r="N67" i="1"/>
  <c r="K67" i="1"/>
  <c r="J67" i="1"/>
  <c r="H67" i="1"/>
  <c r="E67" i="1"/>
  <c r="D67" i="1"/>
  <c r="B67" i="1"/>
  <c r="AE66" i="1"/>
  <c r="AC66" i="1"/>
  <c r="AB66" i="1"/>
  <c r="Y66" i="1"/>
  <c r="W66" i="1"/>
  <c r="T66" i="1"/>
  <c r="S66" i="1"/>
  <c r="Q66" i="1"/>
  <c r="N66" i="1"/>
  <c r="M66" i="1"/>
  <c r="K66" i="1"/>
  <c r="J66" i="1"/>
  <c r="G66" i="1"/>
  <c r="E66" i="1"/>
  <c r="D66" i="1"/>
  <c r="B66" i="1"/>
  <c r="AC65" i="1"/>
  <c r="AB65" i="1"/>
  <c r="Z65" i="1"/>
  <c r="Y65" i="1"/>
  <c r="W65" i="1"/>
  <c r="V65" i="1"/>
  <c r="S65" i="1"/>
  <c r="Q65" i="1"/>
  <c r="P65" i="1"/>
  <c r="N65" i="1"/>
  <c r="M65" i="1"/>
  <c r="J65" i="1"/>
  <c r="H65" i="1"/>
  <c r="G65" i="1"/>
  <c r="E65" i="1"/>
  <c r="D65" i="1"/>
  <c r="AE64" i="1"/>
  <c r="AB64" i="1"/>
  <c r="Z64" i="1"/>
  <c r="Y64" i="1"/>
  <c r="V64" i="1"/>
  <c r="T64" i="1"/>
  <c r="S64" i="1"/>
  <c r="Q64" i="1"/>
  <c r="P64" i="1"/>
  <c r="M64" i="1"/>
  <c r="K64" i="1"/>
  <c r="J64" i="1"/>
  <c r="H64" i="1"/>
  <c r="G64" i="1"/>
  <c r="D64" i="1"/>
  <c r="B64" i="1"/>
  <c r="AE62" i="1"/>
  <c r="AC62" i="1"/>
  <c r="AB62" i="1"/>
  <c r="Z62" i="1"/>
  <c r="W62" i="1"/>
  <c r="V62" i="1"/>
  <c r="T62" i="1"/>
  <c r="Q62" i="1"/>
  <c r="P62" i="1"/>
  <c r="N62" i="1"/>
  <c r="M62" i="1"/>
  <c r="K62" i="1"/>
  <c r="H62" i="1"/>
  <c r="G62" i="1"/>
  <c r="E62" i="1"/>
  <c r="B62" i="1"/>
  <c r="AE61" i="1"/>
  <c r="AC61" i="1"/>
  <c r="Z61" i="1"/>
  <c r="Y61" i="1"/>
  <c r="W61" i="1"/>
  <c r="V61" i="1"/>
  <c r="T61" i="1"/>
  <c r="S61" i="1"/>
  <c r="P61" i="1"/>
  <c r="N61" i="1"/>
  <c r="K61" i="1"/>
  <c r="J61" i="1"/>
  <c r="H61" i="1"/>
  <c r="E61" i="1"/>
  <c r="D61" i="1"/>
  <c r="B61" i="1"/>
  <c r="AE60" i="1"/>
  <c r="AC60" i="1"/>
  <c r="AB60" i="1"/>
  <c r="Y60" i="1"/>
  <c r="W60" i="1"/>
  <c r="T60" i="1"/>
  <c r="S60" i="1"/>
  <c r="Q60" i="1"/>
  <c r="N60" i="1"/>
  <c r="M60" i="1"/>
  <c r="K60" i="1"/>
  <c r="J60" i="1"/>
  <c r="G60" i="1"/>
  <c r="E60" i="1"/>
  <c r="D60" i="1"/>
  <c r="B60" i="1"/>
  <c r="AC59" i="1"/>
  <c r="AB59" i="1"/>
  <c r="Z59" i="1"/>
  <c r="Y59" i="1"/>
  <c r="W59" i="1"/>
  <c r="V59" i="1"/>
  <c r="S59" i="1"/>
  <c r="Q59" i="1"/>
  <c r="P59" i="1"/>
  <c r="N59" i="1"/>
  <c r="M59" i="1"/>
  <c r="J59" i="1"/>
  <c r="H59" i="1"/>
  <c r="G59" i="1"/>
  <c r="E59" i="1"/>
  <c r="D59" i="1"/>
  <c r="AE58" i="1"/>
  <c r="AB58" i="1"/>
  <c r="Z58" i="1"/>
  <c r="Y58" i="1"/>
  <c r="V58" i="1"/>
  <c r="T58" i="1"/>
  <c r="S58" i="1"/>
  <c r="Q58" i="1"/>
  <c r="P58" i="1"/>
  <c r="M58" i="1"/>
  <c r="K58" i="1"/>
  <c r="J58" i="1"/>
  <c r="H58" i="1"/>
  <c r="G58" i="1"/>
  <c r="D58" i="1"/>
  <c r="B58" i="1"/>
  <c r="AE56" i="1"/>
  <c r="AC56" i="1"/>
  <c r="AB56" i="1"/>
  <c r="Z56" i="1"/>
  <c r="W56" i="1"/>
  <c r="V56" i="1"/>
  <c r="T56" i="1"/>
  <c r="Q56" i="1"/>
  <c r="P56" i="1"/>
  <c r="N56" i="1"/>
  <c r="M56" i="1"/>
  <c r="K56" i="1"/>
  <c r="H56" i="1"/>
  <c r="G56" i="1"/>
  <c r="E56" i="1"/>
  <c r="B56" i="1"/>
  <c r="AE55" i="1"/>
  <c r="AC55" i="1"/>
  <c r="Z55" i="1"/>
  <c r="Y55" i="1"/>
  <c r="W55" i="1"/>
  <c r="V55" i="1"/>
  <c r="T55" i="1"/>
  <c r="S55" i="1"/>
  <c r="P55" i="1"/>
  <c r="N55" i="1"/>
  <c r="K55" i="1"/>
  <c r="J55" i="1"/>
  <c r="H55" i="1"/>
  <c r="E55" i="1"/>
  <c r="D55" i="1"/>
  <c r="B55" i="1"/>
  <c r="AE54" i="1"/>
  <c r="AC54" i="1"/>
  <c r="AB54" i="1"/>
  <c r="Y54" i="1"/>
  <c r="W54" i="1"/>
  <c r="T54" i="1"/>
  <c r="S54" i="1"/>
  <c r="Q54" i="1"/>
  <c r="N54" i="1"/>
  <c r="M54" i="1"/>
  <c r="K54" i="1"/>
  <c r="J54" i="1"/>
  <c r="G54" i="1"/>
  <c r="E54" i="1"/>
  <c r="D54" i="1"/>
  <c r="B54" i="1"/>
  <c r="AC53" i="1"/>
  <c r="AB53" i="1"/>
  <c r="Z53" i="1"/>
  <c r="Y53" i="1"/>
  <c r="W53" i="1"/>
  <c r="V53" i="1"/>
  <c r="S53" i="1"/>
  <c r="Q53" i="1"/>
  <c r="P53" i="1"/>
  <c r="N53" i="1"/>
  <c r="M53" i="1"/>
  <c r="J53" i="1"/>
  <c r="H53" i="1"/>
  <c r="G53" i="1"/>
  <c r="E53" i="1"/>
  <c r="D53" i="1"/>
  <c r="AE52" i="1"/>
  <c r="AB52" i="1"/>
  <c r="Z52" i="1"/>
  <c r="Y52" i="1"/>
  <c r="V52" i="1"/>
  <c r="T52" i="1"/>
  <c r="S52" i="1"/>
  <c r="Q52" i="1"/>
  <c r="P52" i="1"/>
  <c r="M52" i="1"/>
  <c r="K52" i="1"/>
  <c r="J52" i="1"/>
  <c r="H52" i="1"/>
  <c r="G52" i="1"/>
  <c r="D52" i="1"/>
  <c r="B52" i="1"/>
  <c r="AE50" i="1"/>
  <c r="AC50" i="1"/>
  <c r="AB50" i="1"/>
  <c r="Z50" i="1"/>
  <c r="W50" i="1"/>
  <c r="V50" i="1"/>
  <c r="T50" i="1"/>
  <c r="Q50" i="1"/>
  <c r="P50" i="1"/>
  <c r="N50" i="1"/>
  <c r="M50" i="1"/>
  <c r="K50" i="1"/>
  <c r="H50" i="1"/>
  <c r="G50" i="1"/>
  <c r="E50" i="1"/>
  <c r="B50" i="1"/>
  <c r="AE49" i="1"/>
  <c r="AC49" i="1"/>
  <c r="Z49" i="1"/>
  <c r="Y49" i="1"/>
  <c r="W49" i="1"/>
  <c r="V49" i="1"/>
  <c r="T49" i="1"/>
  <c r="S49" i="1"/>
  <c r="P49" i="1"/>
  <c r="N49" i="1"/>
  <c r="K49" i="1"/>
  <c r="J49" i="1"/>
  <c r="H49" i="1"/>
  <c r="E49" i="1"/>
  <c r="D49" i="1"/>
  <c r="B49" i="1"/>
  <c r="AE48" i="1"/>
  <c r="AC48" i="1"/>
  <c r="AB48" i="1"/>
  <c r="Y48" i="1"/>
  <c r="W48" i="1"/>
  <c r="T48" i="1"/>
  <c r="S48" i="1"/>
  <c r="Q48" i="1"/>
  <c r="N48" i="1"/>
  <c r="M48" i="1"/>
  <c r="K48" i="1"/>
  <c r="J48" i="1"/>
  <c r="G48" i="1"/>
  <c r="E48" i="1"/>
  <c r="D48" i="1"/>
  <c r="B48" i="1"/>
  <c r="AC47" i="1"/>
  <c r="AB47" i="1"/>
  <c r="Z47" i="1"/>
  <c r="Y47" i="1"/>
  <c r="W47" i="1"/>
  <c r="V47" i="1"/>
  <c r="S47" i="1"/>
  <c r="Q47" i="1"/>
  <c r="P47" i="1"/>
  <c r="N47" i="1"/>
  <c r="M47" i="1"/>
  <c r="J47" i="1"/>
  <c r="H47" i="1"/>
  <c r="G47" i="1"/>
  <c r="E47" i="1"/>
  <c r="D47" i="1"/>
  <c r="AE46" i="1"/>
  <c r="AB46" i="1"/>
  <c r="Z46" i="1"/>
  <c r="Y46" i="1"/>
  <c r="V46" i="1"/>
  <c r="T46" i="1"/>
  <c r="S46" i="1"/>
  <c r="Q46" i="1"/>
  <c r="P46" i="1"/>
  <c r="M46" i="1"/>
  <c r="K46" i="1"/>
  <c r="J46" i="1"/>
  <c r="H46" i="1"/>
  <c r="G46" i="1"/>
  <c r="D46" i="1"/>
  <c r="B46" i="1"/>
  <c r="AB43" i="1"/>
  <c r="V42" i="1"/>
  <c r="J42" i="1"/>
  <c r="D41" i="1"/>
  <c r="V40" i="1"/>
  <c r="P39" i="1"/>
  <c r="D39" i="1"/>
  <c r="AE35" i="1"/>
  <c r="AE43" i="1" s="1"/>
  <c r="AC35" i="1"/>
  <c r="AC43" i="1" s="1"/>
  <c r="AB35" i="1"/>
  <c r="Z35" i="1"/>
  <c r="Z43" i="1" s="1"/>
  <c r="Y35" i="1"/>
  <c r="Y43" i="1" s="1"/>
  <c r="W35" i="1"/>
  <c r="W43" i="1" s="1"/>
  <c r="V35" i="1"/>
  <c r="V43" i="1" s="1"/>
  <c r="T35" i="1"/>
  <c r="T43" i="1" s="1"/>
  <c r="S35" i="1"/>
  <c r="S43" i="1" s="1"/>
  <c r="Q35" i="1"/>
  <c r="Q43" i="1" s="1"/>
  <c r="P35" i="1"/>
  <c r="P43" i="1" s="1"/>
  <c r="N35" i="1"/>
  <c r="N43" i="1" s="1"/>
  <c r="M35" i="1"/>
  <c r="M43" i="1" s="1"/>
  <c r="K35" i="1"/>
  <c r="K43" i="1" s="1"/>
  <c r="J35" i="1"/>
  <c r="J43" i="1" s="1"/>
  <c r="H35" i="1"/>
  <c r="H43" i="1" s="1"/>
  <c r="G35" i="1"/>
  <c r="G43" i="1" s="1"/>
  <c r="E35" i="1"/>
  <c r="E43" i="1" s="1"/>
  <c r="D35" i="1"/>
  <c r="D43" i="1" s="1"/>
  <c r="B35" i="1"/>
  <c r="B43" i="1" s="1"/>
  <c r="AE34" i="1"/>
  <c r="AE42" i="1" s="1"/>
  <c r="AC34" i="1"/>
  <c r="AC42" i="1" s="1"/>
  <c r="AB34" i="1"/>
  <c r="AB42" i="1" s="1"/>
  <c r="Z34" i="1"/>
  <c r="Z42" i="1" s="1"/>
  <c r="Y34" i="1"/>
  <c r="Y42" i="1" s="1"/>
  <c r="W34" i="1"/>
  <c r="W42" i="1" s="1"/>
  <c r="V34" i="1"/>
  <c r="T34" i="1"/>
  <c r="T42" i="1" s="1"/>
  <c r="S34" i="1"/>
  <c r="S42" i="1" s="1"/>
  <c r="Q34" i="1"/>
  <c r="Q42" i="1" s="1"/>
  <c r="P34" i="1"/>
  <c r="P42" i="1" s="1"/>
  <c r="N34" i="1"/>
  <c r="N42" i="1" s="1"/>
  <c r="M34" i="1"/>
  <c r="M42" i="1" s="1"/>
  <c r="K34" i="1"/>
  <c r="K42" i="1" s="1"/>
  <c r="J34" i="1"/>
  <c r="H34" i="1"/>
  <c r="H42" i="1" s="1"/>
  <c r="G34" i="1"/>
  <c r="G42" i="1" s="1"/>
  <c r="E34" i="1"/>
  <c r="E42" i="1" s="1"/>
  <c r="D34" i="1"/>
  <c r="D42" i="1" s="1"/>
  <c r="B34" i="1"/>
  <c r="B42" i="1" s="1"/>
  <c r="AE33" i="1"/>
  <c r="AE41" i="1" s="1"/>
  <c r="AC33" i="1"/>
  <c r="AC41" i="1" s="1"/>
  <c r="AB33" i="1"/>
  <c r="AB41" i="1" s="1"/>
  <c r="Z33" i="1"/>
  <c r="Z41" i="1" s="1"/>
  <c r="Y33" i="1"/>
  <c r="Y41" i="1" s="1"/>
  <c r="W33" i="1"/>
  <c r="W41" i="1" s="1"/>
  <c r="V33" i="1"/>
  <c r="V41" i="1" s="1"/>
  <c r="T33" i="1"/>
  <c r="T41" i="1" s="1"/>
  <c r="S33" i="1"/>
  <c r="S41" i="1" s="1"/>
  <c r="Q33" i="1"/>
  <c r="Q41" i="1" s="1"/>
  <c r="P33" i="1"/>
  <c r="P41" i="1" s="1"/>
  <c r="N33" i="1"/>
  <c r="N41" i="1" s="1"/>
  <c r="M33" i="1"/>
  <c r="M41" i="1" s="1"/>
  <c r="K33" i="1"/>
  <c r="K41" i="1" s="1"/>
  <c r="J33" i="1"/>
  <c r="J41" i="1" s="1"/>
  <c r="H33" i="1"/>
  <c r="H41" i="1" s="1"/>
  <c r="G33" i="1"/>
  <c r="G41" i="1" s="1"/>
  <c r="E33" i="1"/>
  <c r="E41" i="1" s="1"/>
  <c r="D33" i="1"/>
  <c r="B33" i="1"/>
  <c r="B41" i="1" s="1"/>
  <c r="AE32" i="1"/>
  <c r="AE40" i="1" s="1"/>
  <c r="AC32" i="1"/>
  <c r="AC40" i="1" s="1"/>
  <c r="AB32" i="1"/>
  <c r="Z32" i="1"/>
  <c r="Z40" i="1" s="1"/>
  <c r="Y32" i="1"/>
  <c r="Y40" i="1" s="1"/>
  <c r="W32" i="1"/>
  <c r="V32" i="1"/>
  <c r="T32" i="1"/>
  <c r="T40" i="1" s="1"/>
  <c r="S32" i="1"/>
  <c r="S40" i="1" s="1"/>
  <c r="Q32" i="1"/>
  <c r="Q40" i="1" s="1"/>
  <c r="P32" i="1"/>
  <c r="N32" i="1"/>
  <c r="N40" i="1" s="1"/>
  <c r="M32" i="1"/>
  <c r="M40" i="1" s="1"/>
  <c r="K32" i="1"/>
  <c r="J32" i="1"/>
  <c r="J40" i="1" s="1"/>
  <c r="H32" i="1"/>
  <c r="H40" i="1" s="1"/>
  <c r="G32" i="1"/>
  <c r="G40" i="1" s="1"/>
  <c r="E32" i="1"/>
  <c r="E40" i="1" s="1"/>
  <c r="D32" i="1"/>
  <c r="B32" i="1"/>
  <c r="B40" i="1" s="1"/>
  <c r="AE31" i="1"/>
  <c r="AC31" i="1"/>
  <c r="AB31" i="1"/>
  <c r="AB39" i="1" s="1"/>
  <c r="Z31" i="1"/>
  <c r="Y31" i="1"/>
  <c r="W31" i="1"/>
  <c r="W64" i="1" s="1"/>
  <c r="V31" i="1"/>
  <c r="T31" i="1"/>
  <c r="S31" i="1"/>
  <c r="Q31" i="1"/>
  <c r="P31" i="1"/>
  <c r="N31" i="1"/>
  <c r="M31" i="1"/>
  <c r="K31" i="1"/>
  <c r="K39" i="1" s="1"/>
  <c r="J31" i="1"/>
  <c r="H31" i="1"/>
  <c r="G31" i="1"/>
  <c r="E31" i="1"/>
  <c r="D31" i="1"/>
  <c r="B31" i="1"/>
  <c r="AE30" i="1"/>
  <c r="AC30" i="1"/>
  <c r="AB30" i="1"/>
  <c r="Z30" i="1"/>
  <c r="AO26" i="1" s="1"/>
  <c r="Y30" i="1"/>
  <c r="AN28" i="1" s="1"/>
  <c r="W30" i="1"/>
  <c r="V30" i="1"/>
  <c r="AM25" i="1" s="1"/>
  <c r="T30" i="1"/>
  <c r="S30" i="1"/>
  <c r="Q30" i="1"/>
  <c r="P30" i="1"/>
  <c r="N30" i="1"/>
  <c r="AK24" i="1" s="1"/>
  <c r="M30" i="1"/>
  <c r="AJ27" i="1" s="1"/>
  <c r="K30" i="1"/>
  <c r="J30" i="1"/>
  <c r="AI26" i="1" s="1"/>
  <c r="H30" i="1"/>
  <c r="G30" i="1"/>
  <c r="E30" i="1"/>
  <c r="AH27" i="1" s="1"/>
  <c r="D30" i="1"/>
  <c r="B30" i="1"/>
  <c r="AG25" i="1" s="1"/>
  <c r="AD29" i="1"/>
  <c r="AA29" i="1"/>
  <c r="X29" i="1"/>
  <c r="U29" i="1"/>
  <c r="R29" i="1"/>
  <c r="O29" i="1"/>
  <c r="L29" i="1"/>
  <c r="I29" i="1"/>
  <c r="F29" i="1"/>
  <c r="A29" i="1"/>
  <c r="AP28" i="1"/>
  <c r="AO28" i="1"/>
  <c r="AM28" i="1"/>
  <c r="AK28" i="1"/>
  <c r="AJ28" i="1"/>
  <c r="AH28" i="1"/>
  <c r="AF28" i="1"/>
  <c r="AD28" i="1"/>
  <c r="AA28" i="1"/>
  <c r="X28" i="1"/>
  <c r="U28" i="1"/>
  <c r="R28" i="1"/>
  <c r="O28" i="1"/>
  <c r="L28" i="1"/>
  <c r="I28" i="1"/>
  <c r="F28" i="1"/>
  <c r="A28" i="1"/>
  <c r="AP27" i="1"/>
  <c r="AN27" i="1"/>
  <c r="AM27" i="1"/>
  <c r="AK27" i="1"/>
  <c r="AI27" i="1"/>
  <c r="AG27" i="1"/>
  <c r="AF27" i="1"/>
  <c r="AD27" i="1"/>
  <c r="AA27" i="1"/>
  <c r="X27" i="1"/>
  <c r="U27" i="1"/>
  <c r="R27" i="1"/>
  <c r="O27" i="1"/>
  <c r="L27" i="1"/>
  <c r="I27" i="1"/>
  <c r="F27" i="1"/>
  <c r="A27" i="1"/>
  <c r="AP26" i="1"/>
  <c r="AN26" i="1"/>
  <c r="AL26" i="1"/>
  <c r="AJ26" i="1"/>
  <c r="AH26" i="1"/>
  <c r="AG26" i="1"/>
  <c r="AF26" i="1"/>
  <c r="AD26" i="1"/>
  <c r="AA26" i="1"/>
  <c r="X26" i="1"/>
  <c r="U26" i="1"/>
  <c r="R26" i="1"/>
  <c r="O26" i="1"/>
  <c r="L26" i="1"/>
  <c r="I26" i="1"/>
  <c r="F26" i="1"/>
  <c r="A26" i="1"/>
  <c r="AO25" i="1"/>
  <c r="AN25" i="1"/>
  <c r="AL25" i="1"/>
  <c r="AK25" i="1"/>
  <c r="AI25" i="1"/>
  <c r="AH25" i="1"/>
  <c r="AF25" i="1"/>
  <c r="AD25" i="1"/>
  <c r="AA25" i="1"/>
  <c r="X25" i="1"/>
  <c r="U25" i="1"/>
  <c r="R25" i="1"/>
  <c r="O25" i="1"/>
  <c r="L25" i="1"/>
  <c r="I25" i="1"/>
  <c r="F25" i="1"/>
  <c r="AO24" i="1"/>
  <c r="AN24" i="1"/>
  <c r="AM24" i="1"/>
  <c r="AL24" i="1"/>
  <c r="AJ24" i="1"/>
  <c r="AI24" i="1"/>
  <c r="AG24" i="1"/>
  <c r="AF24" i="1"/>
  <c r="AD24" i="1"/>
  <c r="AA24" i="1"/>
  <c r="X24" i="1"/>
  <c r="U24" i="1"/>
  <c r="R24" i="1"/>
  <c r="O24" i="1"/>
  <c r="L24" i="1"/>
  <c r="I24" i="1"/>
  <c r="F24" i="1"/>
  <c r="AC22" i="1"/>
  <c r="Z22" i="1"/>
  <c r="W22" i="1"/>
  <c r="T22" i="1"/>
  <c r="Q22" i="1"/>
  <c r="N22" i="1"/>
  <c r="K22" i="1"/>
  <c r="H22" i="1"/>
  <c r="E22" i="1"/>
  <c r="E17" i="1"/>
  <c r="E16" i="1"/>
  <c r="B83" i="1" s="1"/>
  <c r="A16" i="1"/>
  <c r="E15" i="1"/>
  <c r="AL179" i="1" s="1"/>
  <c r="AG212" i="1" s="1"/>
  <c r="E14" i="1"/>
  <c r="A14" i="1"/>
  <c r="E13" i="1"/>
  <c r="H179" i="1" s="1"/>
  <c r="K210" i="1" s="1"/>
  <c r="E12" i="1"/>
  <c r="A12" i="1"/>
  <c r="E11" i="1"/>
  <c r="R179" i="1" s="1"/>
  <c r="K212" i="1" s="1"/>
  <c r="E10" i="1"/>
  <c r="A10" i="1"/>
  <c r="E9" i="1"/>
  <c r="AB179" i="1" s="1"/>
  <c r="AG210" i="1" s="1"/>
  <c r="E8" i="1"/>
  <c r="A8" i="1"/>
  <c r="R7" i="1"/>
  <c r="L7" i="1"/>
  <c r="K6" i="1"/>
  <c r="N86" i="12" l="1"/>
  <c r="N87" i="12" s="1"/>
  <c r="N81" i="12" s="1"/>
  <c r="O85" i="12" s="1"/>
  <c r="L86" i="12"/>
  <c r="L87" i="12" s="1"/>
  <c r="N79" i="12" s="1"/>
  <c r="Q79" i="12" s="1"/>
  <c r="R85" i="12" s="1"/>
  <c r="H86" i="12"/>
  <c r="H87" i="12" s="1"/>
  <c r="J80" i="12" s="1"/>
  <c r="N80" i="12" s="1"/>
  <c r="Q80" i="12" s="1"/>
  <c r="T85" i="12" s="1"/>
  <c r="J86" i="12"/>
  <c r="J87" i="12" s="1"/>
  <c r="J82" i="12" s="1"/>
  <c r="N82" i="12" s="1"/>
  <c r="Q85" i="12" s="1"/>
  <c r="L171" i="12"/>
  <c r="L172" i="12" s="1"/>
  <c r="N164" i="12" s="1"/>
  <c r="Q164" i="12" s="1"/>
  <c r="R170" i="12" s="1"/>
  <c r="N171" i="12"/>
  <c r="N172" i="12" s="1"/>
  <c r="N166" i="12" s="1"/>
  <c r="Q170" i="12" s="1"/>
  <c r="J171" i="9"/>
  <c r="J172" i="9" s="1"/>
  <c r="J165" i="9" s="1"/>
  <c r="N165" i="9" s="1"/>
  <c r="O170" i="9" s="1"/>
  <c r="H171" i="9"/>
  <c r="H172" i="9" s="1"/>
  <c r="J164" i="9" s="1"/>
  <c r="L170" i="9" s="1"/>
  <c r="B86" i="9"/>
  <c r="B87" i="9" s="1"/>
  <c r="D80" i="9" s="1"/>
  <c r="G80" i="9" s="1"/>
  <c r="H85" i="9" s="1"/>
  <c r="D86" i="9"/>
  <c r="D87" i="9" s="1"/>
  <c r="D81" i="9" s="1"/>
  <c r="G81" i="9" s="1"/>
  <c r="J81" i="9" s="1"/>
  <c r="N85" i="9" s="1"/>
  <c r="AH24" i="1"/>
  <c r="W39" i="1"/>
  <c r="AQ110" i="1"/>
  <c r="W95" i="1" s="1"/>
  <c r="J222" i="1"/>
  <c r="B44" i="2"/>
  <c r="N44" i="2"/>
  <c r="P60" i="2" s="1"/>
  <c r="AQ26" i="1"/>
  <c r="W12" i="1" s="1"/>
  <c r="AL27" i="1"/>
  <c r="AQ27" i="1" s="1"/>
  <c r="W14" i="1" s="1"/>
  <c r="AI28" i="1"/>
  <c r="AM26" i="1"/>
  <c r="G152" i="1"/>
  <c r="W222" i="1"/>
  <c r="AC218" i="1" s="1"/>
  <c r="AG28" i="2"/>
  <c r="AQ112" i="1"/>
  <c r="W99" i="1" s="1"/>
  <c r="AQ26" i="2"/>
  <c r="W12" i="2" s="1"/>
  <c r="AL27" i="2"/>
  <c r="AG25" i="3"/>
  <c r="AQ25" i="3" s="1"/>
  <c r="W10" i="3" s="1"/>
  <c r="AO27" i="3"/>
  <c r="AL112" i="1"/>
  <c r="AK26" i="1"/>
  <c r="W36" i="1"/>
  <c r="AM111" i="1"/>
  <c r="AQ111" i="1" s="1"/>
  <c r="W97" i="1" s="1"/>
  <c r="J153" i="1"/>
  <c r="V121" i="1"/>
  <c r="V122" i="1" s="1"/>
  <c r="V133" i="1" s="1"/>
  <c r="B222" i="1"/>
  <c r="H218" i="1" s="1"/>
  <c r="Z222" i="1"/>
  <c r="AE218" i="1" s="1"/>
  <c r="G36" i="2"/>
  <c r="S68" i="2"/>
  <c r="AE36" i="2"/>
  <c r="AQ109" i="1"/>
  <c r="W93" i="1" s="1"/>
  <c r="AQ25" i="2"/>
  <c r="W10" i="2" s="1"/>
  <c r="G136" i="2"/>
  <c r="J132" i="2" s="1"/>
  <c r="E136" i="2"/>
  <c r="AQ27" i="3"/>
  <c r="W14" i="3" s="1"/>
  <c r="AP24" i="3"/>
  <c r="AJ25" i="1"/>
  <c r="AG28" i="1"/>
  <c r="AO27" i="1"/>
  <c r="B129" i="1"/>
  <c r="AP25" i="2"/>
  <c r="AH27" i="2"/>
  <c r="AI26" i="3"/>
  <c r="AM26" i="3"/>
  <c r="AB152" i="1"/>
  <c r="AQ26" i="3"/>
  <c r="W12" i="3" s="1"/>
  <c r="J132" i="3"/>
  <c r="A109" i="3"/>
  <c r="B144" i="3"/>
  <c r="C82" i="3"/>
  <c r="D82" i="3" s="1"/>
  <c r="G85" i="3" s="1"/>
  <c r="AT82" i="3"/>
  <c r="AQ24" i="3"/>
  <c r="W8" i="3" s="1"/>
  <c r="L71" i="3"/>
  <c r="AA71" i="3"/>
  <c r="A118" i="3"/>
  <c r="B143" i="3"/>
  <c r="A107" i="3"/>
  <c r="W44" i="3"/>
  <c r="C83" i="3"/>
  <c r="D85" i="3" s="1"/>
  <c r="AT83" i="3"/>
  <c r="R71" i="3"/>
  <c r="B44" i="3"/>
  <c r="N44" i="3"/>
  <c r="H132" i="3"/>
  <c r="A104" i="3"/>
  <c r="B141" i="3"/>
  <c r="AI28" i="3"/>
  <c r="AQ28" i="3" s="1"/>
  <c r="W16" i="3" s="1"/>
  <c r="J36" i="3"/>
  <c r="J37" i="3" s="1"/>
  <c r="J50" i="3" s="1"/>
  <c r="V36" i="3"/>
  <c r="V37" i="3" s="1"/>
  <c r="V48" i="3" s="1"/>
  <c r="G39" i="3"/>
  <c r="E44" i="3" s="1"/>
  <c r="S39" i="3"/>
  <c r="AE39" i="3"/>
  <c r="AC44" i="3" s="1"/>
  <c r="P66" i="3"/>
  <c r="G67" i="3"/>
  <c r="AF67" i="3" s="1"/>
  <c r="L14" i="3" s="1"/>
  <c r="J68" i="3"/>
  <c r="B81" i="3"/>
  <c r="K36" i="3"/>
  <c r="W36" i="3"/>
  <c r="H39" i="3"/>
  <c r="H44" i="3" s="1"/>
  <c r="T39" i="3"/>
  <c r="W64" i="3"/>
  <c r="B65" i="3"/>
  <c r="C71" i="3" s="1"/>
  <c r="L94" i="3"/>
  <c r="B125" i="3" s="1"/>
  <c r="M36" i="3"/>
  <c r="Y36" i="3"/>
  <c r="Y37" i="3" s="1"/>
  <c r="Y50" i="3" s="1"/>
  <c r="V39" i="3"/>
  <c r="Y68" i="3"/>
  <c r="B80" i="3"/>
  <c r="B36" i="3"/>
  <c r="N36" i="3"/>
  <c r="Z36" i="3"/>
  <c r="K39" i="3"/>
  <c r="N64" i="3"/>
  <c r="O71" i="3" s="1"/>
  <c r="H66" i="3"/>
  <c r="AF66" i="3" s="1"/>
  <c r="L12" i="3" s="1"/>
  <c r="D36" i="3"/>
  <c r="P36" i="3"/>
  <c r="AB36" i="3"/>
  <c r="M39" i="3"/>
  <c r="AE65" i="3"/>
  <c r="D68" i="3"/>
  <c r="B79" i="3"/>
  <c r="E36" i="3"/>
  <c r="E37" i="3" s="1"/>
  <c r="Q36" i="3"/>
  <c r="AC36" i="3"/>
  <c r="AC37" i="3" s="1"/>
  <c r="Z39" i="3"/>
  <c r="E64" i="3"/>
  <c r="AC64" i="3"/>
  <c r="AD71" i="3" s="1"/>
  <c r="T65" i="3"/>
  <c r="U71" i="3" s="1"/>
  <c r="S36" i="3"/>
  <c r="AB39" i="3"/>
  <c r="Q39" i="3"/>
  <c r="AT80" i="2"/>
  <c r="C80" i="2"/>
  <c r="B85" i="2" s="1"/>
  <c r="AQ27" i="2"/>
  <c r="W14" i="2" s="1"/>
  <c r="W44" i="2"/>
  <c r="C83" i="2"/>
  <c r="D85" i="2" s="1"/>
  <c r="AT83" i="2"/>
  <c r="L71" i="2"/>
  <c r="AA71" i="2"/>
  <c r="D62" i="2"/>
  <c r="B59" i="2"/>
  <c r="A109" i="2"/>
  <c r="B144" i="2"/>
  <c r="R71" i="2"/>
  <c r="A104" i="2"/>
  <c r="B141" i="2"/>
  <c r="H132" i="2"/>
  <c r="C82" i="2"/>
  <c r="D82" i="2" s="1"/>
  <c r="G85" i="2" s="1"/>
  <c r="AT82" i="2"/>
  <c r="AQ24" i="2"/>
  <c r="W8" i="2" s="1"/>
  <c r="T37" i="2"/>
  <c r="AI28" i="2"/>
  <c r="AQ28" i="2" s="1"/>
  <c r="W16" i="2" s="1"/>
  <c r="J36" i="2"/>
  <c r="J37" i="2" s="1"/>
  <c r="J50" i="2" s="1"/>
  <c r="V36" i="2"/>
  <c r="V37" i="2" s="1"/>
  <c r="V48" i="2" s="1"/>
  <c r="G39" i="2"/>
  <c r="E44" i="2" s="1"/>
  <c r="S39" i="2"/>
  <c r="AE39" i="2"/>
  <c r="AC44" i="2" s="1"/>
  <c r="P66" i="2"/>
  <c r="G67" i="2"/>
  <c r="AF67" i="2" s="1"/>
  <c r="L14" i="2" s="1"/>
  <c r="J68" i="2"/>
  <c r="B81" i="2"/>
  <c r="K36" i="2"/>
  <c r="W36" i="2"/>
  <c r="H39" i="2"/>
  <c r="H44" i="2" s="1"/>
  <c r="T39" i="2"/>
  <c r="W64" i="2"/>
  <c r="B65" i="2"/>
  <c r="L94" i="2"/>
  <c r="B125" i="2" s="1"/>
  <c r="M36" i="2"/>
  <c r="Y36" i="2"/>
  <c r="Y37" i="2" s="1"/>
  <c r="Y50" i="2" s="1"/>
  <c r="V39" i="2"/>
  <c r="Y68" i="2"/>
  <c r="B36" i="2"/>
  <c r="N36" i="2"/>
  <c r="Z36" i="2"/>
  <c r="K39" i="2"/>
  <c r="N64" i="2"/>
  <c r="H66" i="2"/>
  <c r="I71" i="2" s="1"/>
  <c r="V94" i="2"/>
  <c r="B126" i="2" s="1"/>
  <c r="D36" i="2"/>
  <c r="D37" i="2" s="1"/>
  <c r="D50" i="2" s="1"/>
  <c r="P36" i="2"/>
  <c r="AB36" i="2"/>
  <c r="M39" i="2"/>
  <c r="AE65" i="2"/>
  <c r="D68" i="2"/>
  <c r="B79" i="2"/>
  <c r="E36" i="2"/>
  <c r="Q36" i="2"/>
  <c r="AC36" i="2"/>
  <c r="AC37" i="2" s="1"/>
  <c r="Z39" i="2"/>
  <c r="E64" i="2"/>
  <c r="F71" i="2" s="1"/>
  <c r="AC64" i="2"/>
  <c r="AD71" i="2" s="1"/>
  <c r="T65" i="2"/>
  <c r="U71" i="2" s="1"/>
  <c r="S36" i="2"/>
  <c r="AB39" i="2"/>
  <c r="Q39" i="2"/>
  <c r="Q44" i="2" s="1"/>
  <c r="V179" i="1"/>
  <c r="X210" i="1" s="1"/>
  <c r="B79" i="1"/>
  <c r="B179" i="1"/>
  <c r="B210" i="1" s="1"/>
  <c r="F193" i="1" s="1"/>
  <c r="B81" i="1"/>
  <c r="AL28" i="1"/>
  <c r="K65" i="1"/>
  <c r="AP24" i="1"/>
  <c r="AQ24" i="1" s="1"/>
  <c r="W8" i="1" s="1"/>
  <c r="AP25" i="1"/>
  <c r="AQ25" i="1" s="1"/>
  <c r="W10" i="1" s="1"/>
  <c r="M67" i="1"/>
  <c r="M39" i="1"/>
  <c r="M36" i="1"/>
  <c r="Y39" i="1"/>
  <c r="Y68" i="1"/>
  <c r="X71" i="1" s="1"/>
  <c r="Y36" i="1"/>
  <c r="Y37" i="1" s="1"/>
  <c r="Y50" i="1" s="1"/>
  <c r="AF179" i="1"/>
  <c r="X212" i="1" s="1"/>
  <c r="B82" i="1"/>
  <c r="AT83" i="1"/>
  <c r="C83" i="1"/>
  <c r="D85" i="1" s="1"/>
  <c r="B36" i="1"/>
  <c r="B65" i="1"/>
  <c r="B39" i="1"/>
  <c r="N64" i="1"/>
  <c r="N36" i="1"/>
  <c r="N39" i="1"/>
  <c r="Z36" i="1"/>
  <c r="Z66" i="1"/>
  <c r="AA71" i="1" s="1"/>
  <c r="Z39" i="1"/>
  <c r="I71" i="1"/>
  <c r="D68" i="1"/>
  <c r="P66" i="1"/>
  <c r="AB67" i="1"/>
  <c r="L179" i="1"/>
  <c r="B212" i="1" s="1"/>
  <c r="B80" i="1"/>
  <c r="E39" i="1"/>
  <c r="E64" i="1"/>
  <c r="F71" i="1" s="1"/>
  <c r="E36" i="1"/>
  <c r="Q67" i="1"/>
  <c r="Q39" i="1"/>
  <c r="Q36" i="1"/>
  <c r="AC39" i="1"/>
  <c r="AC64" i="1"/>
  <c r="AC36" i="1"/>
  <c r="K36" i="1"/>
  <c r="K37" i="1" s="1"/>
  <c r="K40" i="1"/>
  <c r="L71" i="1"/>
  <c r="G67" i="1"/>
  <c r="AF67" i="1" s="1"/>
  <c r="L14" i="1" s="1"/>
  <c r="G39" i="1"/>
  <c r="G36" i="1"/>
  <c r="G37" i="1" s="1"/>
  <c r="G49" i="1" s="1"/>
  <c r="S39" i="1"/>
  <c r="S68" i="1"/>
  <c r="R71" i="1" s="1"/>
  <c r="S36" i="1"/>
  <c r="AE65" i="1"/>
  <c r="AE39" i="1"/>
  <c r="AE36" i="1"/>
  <c r="H66" i="1"/>
  <c r="H39" i="1"/>
  <c r="H44" i="1" s="1"/>
  <c r="H36" i="1"/>
  <c r="H37" i="1" s="1"/>
  <c r="T39" i="1"/>
  <c r="T36" i="1"/>
  <c r="T65" i="1"/>
  <c r="J39" i="1"/>
  <c r="J68" i="1"/>
  <c r="J36" i="1"/>
  <c r="V66" i="1"/>
  <c r="AF66" i="1" s="1"/>
  <c r="L12" i="1" s="1"/>
  <c r="V39" i="1"/>
  <c r="V36" i="1"/>
  <c r="D36" i="1"/>
  <c r="D40" i="1"/>
  <c r="P36" i="1"/>
  <c r="P37" i="1" s="1"/>
  <c r="P48" i="1" s="1"/>
  <c r="P40" i="1"/>
  <c r="AB36" i="1"/>
  <c r="AB37" i="1" s="1"/>
  <c r="AB49" i="1" s="1"/>
  <c r="AB40" i="1"/>
  <c r="K44" i="1"/>
  <c r="L156" i="1"/>
  <c r="AA156" i="1"/>
  <c r="K223" i="1"/>
  <c r="J198" i="1" s="1"/>
  <c r="AQ113" i="1"/>
  <c r="W101" i="1" s="1"/>
  <c r="AC129" i="1"/>
  <c r="W40" i="1"/>
  <c r="B228" i="1"/>
  <c r="A199" i="1"/>
  <c r="C167" i="1"/>
  <c r="D167" i="1" s="1"/>
  <c r="G170" i="1" s="1"/>
  <c r="AT167" i="1"/>
  <c r="AF152" i="1"/>
  <c r="L99" i="1" s="1"/>
  <c r="W129" i="1"/>
  <c r="F203" i="1"/>
  <c r="AF223" i="1"/>
  <c r="AF198" i="1" s="1"/>
  <c r="AT164" i="1"/>
  <c r="C164" i="1"/>
  <c r="D164" i="1" s="1"/>
  <c r="E170" i="1" s="1"/>
  <c r="AT166" i="1"/>
  <c r="C166" i="1"/>
  <c r="D166" i="1" s="1"/>
  <c r="G166" i="1" s="1"/>
  <c r="H170" i="1" s="1"/>
  <c r="AT168" i="1"/>
  <c r="C168" i="1"/>
  <c r="D170" i="1" s="1"/>
  <c r="D147" i="1"/>
  <c r="B144" i="1"/>
  <c r="K121" i="1"/>
  <c r="W121" i="1"/>
  <c r="H124" i="1"/>
  <c r="T124" i="1"/>
  <c r="W149" i="1"/>
  <c r="B150" i="1"/>
  <c r="C156" i="1" s="1"/>
  <c r="L180" i="1"/>
  <c r="B213" i="1" s="1"/>
  <c r="M121" i="1"/>
  <c r="Y121" i="1"/>
  <c r="Y122" i="1" s="1"/>
  <c r="Y135" i="1" s="1"/>
  <c r="J124" i="1"/>
  <c r="V124" i="1"/>
  <c r="Y153" i="1"/>
  <c r="B165" i="1"/>
  <c r="B121" i="1"/>
  <c r="N121" i="1"/>
  <c r="Z121" i="1"/>
  <c r="K124" i="1"/>
  <c r="N149" i="1"/>
  <c r="O156" i="1" s="1"/>
  <c r="H151" i="1"/>
  <c r="V180" i="1"/>
  <c r="X211" i="1" s="1"/>
  <c r="D121" i="1"/>
  <c r="P121" i="1"/>
  <c r="AB121" i="1"/>
  <c r="M124" i="1"/>
  <c r="AE150" i="1"/>
  <c r="V151" i="1"/>
  <c r="D153" i="1"/>
  <c r="E121" i="1"/>
  <c r="Q121" i="1"/>
  <c r="AC121" i="1"/>
  <c r="Z124" i="1"/>
  <c r="E149" i="1"/>
  <c r="F156" i="1" s="1"/>
  <c r="AC149" i="1"/>
  <c r="AD156" i="1" s="1"/>
  <c r="T150" i="1"/>
  <c r="U156" i="1" s="1"/>
  <c r="AF180" i="1"/>
  <c r="X213" i="1" s="1"/>
  <c r="G121" i="1"/>
  <c r="G122" i="1" s="1"/>
  <c r="G134" i="1" s="1"/>
  <c r="S121" i="1"/>
  <c r="S122" i="1" s="1"/>
  <c r="S135" i="1" s="1"/>
  <c r="AE121" i="1"/>
  <c r="P124" i="1"/>
  <c r="N129" i="1" s="1"/>
  <c r="AB124" i="1"/>
  <c r="S153" i="1"/>
  <c r="R156" i="1" s="1"/>
  <c r="Q124" i="1"/>
  <c r="Q129" i="1" s="1"/>
  <c r="J121" i="1"/>
  <c r="H122" i="1" s="1"/>
  <c r="G124" i="1"/>
  <c r="E129" i="1" s="1"/>
  <c r="T86" i="12" l="1"/>
  <c r="T87" i="12" s="1"/>
  <c r="T80" i="12" s="1"/>
  <c r="W80" i="12" s="1"/>
  <c r="Z80" i="12" s="1"/>
  <c r="AC80" i="12" s="1"/>
  <c r="AF80" i="12" s="1"/>
  <c r="AU80" i="12" s="1"/>
  <c r="AX6" i="12" s="1"/>
  <c r="Y227" i="12" s="1"/>
  <c r="X231" i="12" s="1"/>
  <c r="X233" i="12" s="1"/>
  <c r="Z227" i="12" s="1"/>
  <c r="AC227" i="12" s="1"/>
  <c r="AD231" i="12" s="1"/>
  <c r="AD233" i="12" s="1"/>
  <c r="AF227" i="12" s="1"/>
  <c r="AU230" i="12" s="1"/>
  <c r="AY6" i="12" s="1"/>
  <c r="O86" i="12"/>
  <c r="O87" i="12" s="1"/>
  <c r="Q81" i="12" s="1"/>
  <c r="T81" i="12" s="1"/>
  <c r="W81" i="12" s="1"/>
  <c r="Z81" i="12" s="1"/>
  <c r="AC81" i="12" s="1"/>
  <c r="AF81" i="12" s="1"/>
  <c r="AU81" i="12" s="1"/>
  <c r="AX7" i="12" s="1"/>
  <c r="C227" i="12" s="1"/>
  <c r="B231" i="12" s="1"/>
  <c r="B233" i="12" s="1"/>
  <c r="D227" i="12" s="1"/>
  <c r="G227" i="12" s="1"/>
  <c r="J227" i="12" s="1"/>
  <c r="AU226" i="12" s="1"/>
  <c r="AY7" i="12" s="1"/>
  <c r="Q86" i="12"/>
  <c r="Q87" i="12" s="1"/>
  <c r="Q82" i="12" s="1"/>
  <c r="T82" i="12" s="1"/>
  <c r="W82" i="12" s="1"/>
  <c r="Z82" i="12" s="1"/>
  <c r="AC82" i="12" s="1"/>
  <c r="AF82" i="12" s="1"/>
  <c r="AU82" i="12" s="1"/>
  <c r="AX9" i="12" s="1"/>
  <c r="Y229" i="12" s="1"/>
  <c r="Z229" i="12" s="1"/>
  <c r="AC231" i="12" s="1"/>
  <c r="AC233" i="12" s="1"/>
  <c r="AC229" i="12" s="1"/>
  <c r="AF229" i="12" s="1"/>
  <c r="AU232" i="12" s="1"/>
  <c r="AY9" i="12" s="1"/>
  <c r="Q171" i="12"/>
  <c r="Q172" i="12" s="1"/>
  <c r="Q166" i="12" s="1"/>
  <c r="T166" i="12" s="1"/>
  <c r="R86" i="12"/>
  <c r="R87" i="12" s="1"/>
  <c r="T79" i="12" s="1"/>
  <c r="W79" i="12" s="1"/>
  <c r="Z79" i="12" s="1"/>
  <c r="AC79" i="12" s="1"/>
  <c r="AF79" i="12" s="1"/>
  <c r="AU79" i="12" s="1"/>
  <c r="AX3" i="12" s="1"/>
  <c r="C229" i="12" s="1"/>
  <c r="D229" i="12" s="1"/>
  <c r="G231" i="12" s="1"/>
  <c r="G233" i="12" s="1"/>
  <c r="G229" i="12" s="1"/>
  <c r="J229" i="12" s="1"/>
  <c r="AU228" i="12" s="1"/>
  <c r="AY3" i="12" s="1"/>
  <c r="O171" i="12"/>
  <c r="O172" i="12" s="1"/>
  <c r="Q165" i="12" s="1"/>
  <c r="T170" i="12" s="1"/>
  <c r="N86" i="9"/>
  <c r="N87" i="9" s="1"/>
  <c r="N81" i="9" s="1"/>
  <c r="O85" i="9" s="1"/>
  <c r="L86" i="9"/>
  <c r="L87" i="9" s="1"/>
  <c r="N79" i="9" s="1"/>
  <c r="Q79" i="9" s="1"/>
  <c r="R85" i="9" s="1"/>
  <c r="H86" i="9"/>
  <c r="H87" i="9" s="1"/>
  <c r="J80" i="9" s="1"/>
  <c r="N80" i="9" s="1"/>
  <c r="Q80" i="9" s="1"/>
  <c r="T85" i="9" s="1"/>
  <c r="J86" i="9"/>
  <c r="J87" i="9" s="1"/>
  <c r="J82" i="9" s="1"/>
  <c r="N82" i="9" s="1"/>
  <c r="Q85" i="9" s="1"/>
  <c r="L171" i="9"/>
  <c r="L172" i="9" s="1"/>
  <c r="N164" i="9" s="1"/>
  <c r="Q164" i="9" s="1"/>
  <c r="R170" i="9" s="1"/>
  <c r="N171" i="9"/>
  <c r="N172" i="9" s="1"/>
  <c r="N166" i="9" s="1"/>
  <c r="Q170" i="9" s="1"/>
  <c r="AB37" i="2"/>
  <c r="AB49" i="2" s="1"/>
  <c r="AB122" i="1"/>
  <c r="AB134" i="1" s="1"/>
  <c r="N122" i="1"/>
  <c r="W44" i="1"/>
  <c r="P37" i="2"/>
  <c r="P48" i="2" s="1"/>
  <c r="N58" i="2"/>
  <c r="AF68" i="3"/>
  <c r="L16" i="3" s="1"/>
  <c r="K37" i="3"/>
  <c r="K47" i="3" s="1"/>
  <c r="N44" i="1"/>
  <c r="Q37" i="2"/>
  <c r="Z37" i="3"/>
  <c r="M122" i="1"/>
  <c r="M134" i="1" s="1"/>
  <c r="AE122" i="1"/>
  <c r="AE132" i="1" s="1"/>
  <c r="D122" i="1"/>
  <c r="D135" i="1" s="1"/>
  <c r="E37" i="2"/>
  <c r="E46" i="2" s="1"/>
  <c r="K137" i="2"/>
  <c r="J112" i="2" s="1"/>
  <c r="F71" i="3"/>
  <c r="G37" i="3" s="1"/>
  <c r="O71" i="1"/>
  <c r="U71" i="1"/>
  <c r="AF153" i="1"/>
  <c r="L101" i="1" s="1"/>
  <c r="I156" i="1"/>
  <c r="D37" i="1"/>
  <c r="D50" i="1" s="1"/>
  <c r="W37" i="1"/>
  <c r="W46" i="1" s="1"/>
  <c r="AF68" i="1"/>
  <c r="L16" i="1" s="1"/>
  <c r="AQ28" i="1"/>
  <c r="W16" i="1" s="1"/>
  <c r="C71" i="2"/>
  <c r="O71" i="2"/>
  <c r="M37" i="2"/>
  <c r="M49" i="2" s="1"/>
  <c r="P37" i="3"/>
  <c r="P48" i="3" s="1"/>
  <c r="Q44" i="3"/>
  <c r="Q37" i="3"/>
  <c r="Q49" i="3" s="1"/>
  <c r="D37" i="3"/>
  <c r="D50" i="3" s="1"/>
  <c r="K137" i="3"/>
  <c r="J112" i="3" s="1"/>
  <c r="AC58" i="3"/>
  <c r="AE59" i="3"/>
  <c r="G61" i="3"/>
  <c r="E58" i="3"/>
  <c r="T73" i="3"/>
  <c r="V74" i="3"/>
  <c r="P74" i="3"/>
  <c r="N72" i="3"/>
  <c r="J62" i="3"/>
  <c r="H60" i="3"/>
  <c r="Q75" i="3"/>
  <c r="S76" i="3"/>
  <c r="AC72" i="3"/>
  <c r="AE73" i="3"/>
  <c r="K44" i="3"/>
  <c r="M37" i="3"/>
  <c r="M49" i="3" s="1"/>
  <c r="W37" i="3"/>
  <c r="AF64" i="3"/>
  <c r="L8" i="3" s="1"/>
  <c r="AT143" i="3"/>
  <c r="E72" i="3"/>
  <c r="Z48" i="3"/>
  <c r="A113" i="3"/>
  <c r="B142" i="3"/>
  <c r="AT140" i="3"/>
  <c r="Z44" i="3"/>
  <c r="AB37" i="3"/>
  <c r="AB49" i="3" s="1"/>
  <c r="N37" i="3"/>
  <c r="AT81" i="3"/>
  <c r="C81" i="3"/>
  <c r="D81" i="3" s="1"/>
  <c r="G81" i="3" s="1"/>
  <c r="H85" i="3" s="1"/>
  <c r="P60" i="3"/>
  <c r="N58" i="3"/>
  <c r="Y62" i="3"/>
  <c r="W58" i="3"/>
  <c r="F117" i="3"/>
  <c r="Q61" i="3"/>
  <c r="S62" i="3"/>
  <c r="AC46" i="3"/>
  <c r="B37" i="3"/>
  <c r="D76" i="3"/>
  <c r="B73" i="3"/>
  <c r="D62" i="3"/>
  <c r="AF62" i="3" s="1"/>
  <c r="Z16" i="3" s="1"/>
  <c r="B59" i="3"/>
  <c r="Z74" i="3"/>
  <c r="AB75" i="3"/>
  <c r="I71" i="3"/>
  <c r="H37" i="3" s="1"/>
  <c r="AT80" i="3"/>
  <c r="C80" i="3"/>
  <c r="B85" i="3" s="1"/>
  <c r="AF65" i="3"/>
  <c r="L10" i="3" s="1"/>
  <c r="AT142" i="3"/>
  <c r="K73" i="3"/>
  <c r="M75" i="3"/>
  <c r="E46" i="3"/>
  <c r="X71" i="3"/>
  <c r="F107" i="3"/>
  <c r="T37" i="3"/>
  <c r="S37" i="3"/>
  <c r="S50" i="3" s="1"/>
  <c r="AF50" i="3" s="1"/>
  <c r="C79" i="3"/>
  <c r="D79" i="3" s="1"/>
  <c r="E85" i="3" s="1"/>
  <c r="G86" i="3" s="1"/>
  <c r="G87" i="3" s="1"/>
  <c r="AT79" i="3"/>
  <c r="T44" i="3"/>
  <c r="AE37" i="3"/>
  <c r="AE47" i="3" s="1"/>
  <c r="AC58" i="2"/>
  <c r="AE59" i="2"/>
  <c r="G61" i="2"/>
  <c r="E58" i="2"/>
  <c r="J76" i="2"/>
  <c r="H74" i="2"/>
  <c r="T73" i="2"/>
  <c r="V74" i="2"/>
  <c r="D76" i="2"/>
  <c r="B73" i="2"/>
  <c r="AC72" i="2"/>
  <c r="AE73" i="2"/>
  <c r="P74" i="2"/>
  <c r="N72" i="2"/>
  <c r="T47" i="2"/>
  <c r="U37" i="2"/>
  <c r="AF68" i="2"/>
  <c r="L16" i="2" s="1"/>
  <c r="G75" i="2"/>
  <c r="E72" i="2"/>
  <c r="K44" i="2"/>
  <c r="A113" i="2"/>
  <c r="B142" i="2"/>
  <c r="K37" i="2"/>
  <c r="H37" i="2"/>
  <c r="Z44" i="2"/>
  <c r="Z37" i="2"/>
  <c r="AT81" i="2"/>
  <c r="C81" i="2"/>
  <c r="D81" i="2" s="1"/>
  <c r="G81" i="2" s="1"/>
  <c r="H85" i="2" s="1"/>
  <c r="AF66" i="2"/>
  <c r="L12" i="2" s="1"/>
  <c r="Z74" i="2"/>
  <c r="AB75" i="2"/>
  <c r="Y62" i="2"/>
  <c r="W58" i="2"/>
  <c r="Q61" i="2"/>
  <c r="S62" i="2"/>
  <c r="AC46" i="2"/>
  <c r="N37" i="2"/>
  <c r="Q75" i="2"/>
  <c r="S76" i="2"/>
  <c r="K73" i="2"/>
  <c r="M75" i="2"/>
  <c r="Q49" i="2"/>
  <c r="B37" i="2"/>
  <c r="AF65" i="2"/>
  <c r="L10" i="2" s="1"/>
  <c r="AE37" i="2"/>
  <c r="AE47" i="2" s="1"/>
  <c r="AF64" i="2"/>
  <c r="L8" i="2" s="1"/>
  <c r="B86" i="2"/>
  <c r="B87" i="2" s="1"/>
  <c r="A118" i="2"/>
  <c r="B143" i="2"/>
  <c r="A107" i="2"/>
  <c r="X71" i="2"/>
  <c r="G37" i="2"/>
  <c r="G49" i="2" s="1"/>
  <c r="D86" i="2"/>
  <c r="D87" i="2" s="1"/>
  <c r="S37" i="2"/>
  <c r="S50" i="2" s="1"/>
  <c r="AF50" i="2" s="1"/>
  <c r="C79" i="2"/>
  <c r="D79" i="2" s="1"/>
  <c r="E85" i="2" s="1"/>
  <c r="G86" i="2" s="1"/>
  <c r="G87" i="2" s="1"/>
  <c r="AT79" i="2"/>
  <c r="T44" i="2"/>
  <c r="AT140" i="2"/>
  <c r="F117" i="2"/>
  <c r="J62" i="2"/>
  <c r="H60" i="2"/>
  <c r="F107" i="2"/>
  <c r="AT143" i="2"/>
  <c r="D161" i="1"/>
  <c r="B158" i="1"/>
  <c r="W58" i="1"/>
  <c r="Y62" i="1"/>
  <c r="G146" i="1"/>
  <c r="E143" i="1"/>
  <c r="H133" i="1"/>
  <c r="J161" i="1"/>
  <c r="H159" i="1"/>
  <c r="T73" i="1"/>
  <c r="V74" i="1"/>
  <c r="T158" i="1"/>
  <c r="V159" i="1"/>
  <c r="T122" i="1"/>
  <c r="E171" i="1"/>
  <c r="E172" i="1" s="1"/>
  <c r="W72" i="1"/>
  <c r="Y76" i="1"/>
  <c r="Q160" i="1"/>
  <c r="S161" i="1"/>
  <c r="Q75" i="1"/>
  <c r="S76" i="1"/>
  <c r="P145" i="1"/>
  <c r="N143" i="1"/>
  <c r="T129" i="1"/>
  <c r="Z129" i="1"/>
  <c r="Z122" i="1"/>
  <c r="K122" i="1"/>
  <c r="Z159" i="1"/>
  <c r="AB160" i="1"/>
  <c r="E37" i="1"/>
  <c r="B44" i="1"/>
  <c r="AC122" i="1"/>
  <c r="P122" i="1"/>
  <c r="P133" i="1" s="1"/>
  <c r="AF151" i="1"/>
  <c r="L97" i="1" s="1"/>
  <c r="K158" i="1"/>
  <c r="M160" i="1"/>
  <c r="K47" i="1"/>
  <c r="G75" i="1"/>
  <c r="E72" i="1"/>
  <c r="J76" i="1"/>
  <c r="H74" i="1"/>
  <c r="AF65" i="1"/>
  <c r="L10" i="1" s="1"/>
  <c r="M37" i="1"/>
  <c r="M49" i="1" s="1"/>
  <c r="A195" i="1"/>
  <c r="B230" i="1"/>
  <c r="J122" i="1"/>
  <c r="J135" i="1" s="1"/>
  <c r="AF135" i="1" s="1"/>
  <c r="Q122" i="1"/>
  <c r="B122" i="1"/>
  <c r="G171" i="1"/>
  <c r="G172" i="1" s="1"/>
  <c r="C71" i="1"/>
  <c r="B37" i="1" s="1"/>
  <c r="S37" i="1"/>
  <c r="S50" i="1" s="1"/>
  <c r="AC37" i="1"/>
  <c r="E44" i="1"/>
  <c r="Z44" i="1"/>
  <c r="AT81" i="1"/>
  <c r="C81" i="1"/>
  <c r="D81" i="1" s="1"/>
  <c r="G81" i="1" s="1"/>
  <c r="H85" i="1" s="1"/>
  <c r="O122" i="1"/>
  <c r="N131" i="1"/>
  <c r="Q146" i="1"/>
  <c r="S147" i="1"/>
  <c r="E122" i="1"/>
  <c r="W228" i="1"/>
  <c r="U199" i="1"/>
  <c r="AT165" i="1"/>
  <c r="C165" i="1"/>
  <c r="B170" i="1" s="1"/>
  <c r="D171" i="1" s="1"/>
  <c r="D172" i="1" s="1"/>
  <c r="AF150" i="1"/>
  <c r="L95" i="1" s="1"/>
  <c r="AF149" i="1"/>
  <c r="L93" i="1" s="1"/>
  <c r="V37" i="1"/>
  <c r="V48" i="1" s="1"/>
  <c r="T37" i="1"/>
  <c r="AD71" i="1"/>
  <c r="C80" i="1"/>
  <c r="B85" i="1" s="1"/>
  <c r="D86" i="1" s="1"/>
  <c r="D87" i="1" s="1"/>
  <c r="AT80" i="1"/>
  <c r="B227" i="1"/>
  <c r="A190" i="1"/>
  <c r="W230" i="1"/>
  <c r="U195" i="1"/>
  <c r="X156" i="1"/>
  <c r="W143" i="1"/>
  <c r="Y147" i="1"/>
  <c r="AT227" i="1"/>
  <c r="AC143" i="1"/>
  <c r="AE144" i="1"/>
  <c r="M61" i="1"/>
  <c r="K59" i="1"/>
  <c r="T44" i="1"/>
  <c r="AC44" i="1"/>
  <c r="B229" i="1"/>
  <c r="A204" i="1"/>
  <c r="A193" i="1"/>
  <c r="Z37" i="1"/>
  <c r="AT79" i="1"/>
  <c r="C79" i="1"/>
  <c r="D79" i="1" s="1"/>
  <c r="E85" i="1" s="1"/>
  <c r="H48" i="1"/>
  <c r="AB75" i="1"/>
  <c r="Z74" i="1"/>
  <c r="Q37" i="1"/>
  <c r="N58" i="1"/>
  <c r="P60" i="1"/>
  <c r="AT82" i="1"/>
  <c r="C82" i="1"/>
  <c r="D82" i="1" s="1"/>
  <c r="G85" i="1" s="1"/>
  <c r="U190" i="1"/>
  <c r="W227" i="1"/>
  <c r="AC157" i="1"/>
  <c r="AE158" i="1"/>
  <c r="P159" i="1"/>
  <c r="N157" i="1"/>
  <c r="H129" i="1"/>
  <c r="AB203" i="1"/>
  <c r="AB193" i="1"/>
  <c r="AF64" i="1"/>
  <c r="L8" i="1" s="1"/>
  <c r="J37" i="1"/>
  <c r="J50" i="1" s="1"/>
  <c r="J62" i="1"/>
  <c r="H60" i="1"/>
  <c r="M75" i="1"/>
  <c r="K73" i="1"/>
  <c r="Q44" i="1"/>
  <c r="N37" i="1"/>
  <c r="U204" i="1"/>
  <c r="W229" i="1"/>
  <c r="T193" i="1"/>
  <c r="G160" i="1"/>
  <c r="E157" i="1"/>
  <c r="K129" i="1"/>
  <c r="W122" i="1"/>
  <c r="AE37" i="1"/>
  <c r="AE47" i="1" s="1"/>
  <c r="N72" i="1"/>
  <c r="P74" i="1"/>
  <c r="T171" i="12" l="1"/>
  <c r="T172" i="12" s="1"/>
  <c r="T165" i="12" s="1"/>
  <c r="R171" i="12"/>
  <c r="R172" i="12" s="1"/>
  <c r="T164" i="12" s="1"/>
  <c r="W164" i="12" s="1"/>
  <c r="W170" i="12"/>
  <c r="W166" i="12"/>
  <c r="Z166" i="12" s="1"/>
  <c r="T86" i="9"/>
  <c r="T87" i="9" s="1"/>
  <c r="T80" i="9" s="1"/>
  <c r="W80" i="9" s="1"/>
  <c r="Z80" i="9" s="1"/>
  <c r="AC80" i="9" s="1"/>
  <c r="AF80" i="9" s="1"/>
  <c r="AU80" i="9" s="1"/>
  <c r="AX6" i="9" s="1"/>
  <c r="C227" i="9" s="1"/>
  <c r="B231" i="9" s="1"/>
  <c r="B233" i="9" s="1"/>
  <c r="D227" i="9" s="1"/>
  <c r="G227" i="9" s="1"/>
  <c r="J227" i="9" s="1"/>
  <c r="AU226" i="9" s="1"/>
  <c r="AY6" i="9" s="1"/>
  <c r="O86" i="9"/>
  <c r="O87" i="9" s="1"/>
  <c r="Q81" i="9" s="1"/>
  <c r="T81" i="9" s="1"/>
  <c r="W81" i="9" s="1"/>
  <c r="Z81" i="9" s="1"/>
  <c r="AC81" i="9" s="1"/>
  <c r="AF81" i="9" s="1"/>
  <c r="AU81" i="9" s="1"/>
  <c r="AX7" i="9" s="1"/>
  <c r="Y227" i="9" s="1"/>
  <c r="X231" i="9" s="1"/>
  <c r="X233" i="9" s="1"/>
  <c r="Z227" i="9" s="1"/>
  <c r="AC227" i="9" s="1"/>
  <c r="AD231" i="9" s="1"/>
  <c r="AD233" i="9" s="1"/>
  <c r="AF227" i="9" s="1"/>
  <c r="AU230" i="9" s="1"/>
  <c r="AY7" i="9" s="1"/>
  <c r="Q86" i="9"/>
  <c r="Q87" i="9" s="1"/>
  <c r="Q82" i="9" s="1"/>
  <c r="T82" i="9" s="1"/>
  <c r="W82" i="9" s="1"/>
  <c r="Z82" i="9" s="1"/>
  <c r="AC82" i="9" s="1"/>
  <c r="AF82" i="9" s="1"/>
  <c r="AU82" i="9" s="1"/>
  <c r="AX9" i="9" s="1"/>
  <c r="C229" i="9" s="1"/>
  <c r="D229" i="9" s="1"/>
  <c r="G231" i="9" s="1"/>
  <c r="G233" i="9" s="1"/>
  <c r="G229" i="9" s="1"/>
  <c r="J229" i="9" s="1"/>
  <c r="AU228" i="9" s="1"/>
  <c r="AY9" i="9" s="1"/>
  <c r="Q171" i="9"/>
  <c r="Q172" i="9" s="1"/>
  <c r="Q166" i="9" s="1"/>
  <c r="T166" i="9" s="1"/>
  <c r="R86" i="9"/>
  <c r="R87" i="9" s="1"/>
  <c r="T79" i="9" s="1"/>
  <c r="W79" i="9" s="1"/>
  <c r="Z79" i="9" s="1"/>
  <c r="AC79" i="9" s="1"/>
  <c r="AF79" i="9" s="1"/>
  <c r="AU79" i="9" s="1"/>
  <c r="AX3" i="9" s="1"/>
  <c r="Y229" i="9" s="1"/>
  <c r="Z229" i="9" s="1"/>
  <c r="AC231" i="9" s="1"/>
  <c r="AC233" i="9" s="1"/>
  <c r="AC229" i="9" s="1"/>
  <c r="AF229" i="9" s="1"/>
  <c r="AU232" i="9" s="1"/>
  <c r="AY3" i="9" s="1"/>
  <c r="O171" i="9"/>
  <c r="O172" i="9" s="1"/>
  <c r="Q165" i="9" s="1"/>
  <c r="T170" i="9" s="1"/>
  <c r="G49" i="3"/>
  <c r="AF49" i="3" s="1"/>
  <c r="F37" i="3"/>
  <c r="G75" i="3"/>
  <c r="X37" i="1"/>
  <c r="AF50" i="1"/>
  <c r="L37" i="3"/>
  <c r="M55" i="3" s="1"/>
  <c r="AF62" i="2"/>
  <c r="Z16" i="2" s="1"/>
  <c r="AF49" i="2"/>
  <c r="AD37" i="3"/>
  <c r="AC52" i="3" s="1"/>
  <c r="AD37" i="2"/>
  <c r="I37" i="3"/>
  <c r="H48" i="3"/>
  <c r="AF48" i="3" s="1"/>
  <c r="K59" i="3"/>
  <c r="M61" i="3"/>
  <c r="B47" i="3"/>
  <c r="C37" i="3"/>
  <c r="J76" i="3"/>
  <c r="H74" i="3"/>
  <c r="AE53" i="3"/>
  <c r="AF75" i="3"/>
  <c r="G82" i="3"/>
  <c r="J82" i="3" s="1"/>
  <c r="M85" i="3" s="1"/>
  <c r="T59" i="3"/>
  <c r="AF59" i="3" s="1"/>
  <c r="Z10" i="3" s="1"/>
  <c r="V60" i="3"/>
  <c r="AF58" i="3"/>
  <c r="Z8" i="3" s="1"/>
  <c r="E86" i="3"/>
  <c r="E87" i="3" s="1"/>
  <c r="G79" i="3" s="1"/>
  <c r="J79" i="3" s="1"/>
  <c r="M79" i="3" s="1"/>
  <c r="N85" i="3" s="1"/>
  <c r="AT141" i="3"/>
  <c r="B86" i="3"/>
  <c r="B87" i="3" s="1"/>
  <c r="D80" i="3" s="1"/>
  <c r="G80" i="3" s="1"/>
  <c r="J80" i="3" s="1"/>
  <c r="K85" i="3" s="1"/>
  <c r="O37" i="3"/>
  <c r="N46" i="3"/>
  <c r="AF46" i="3" s="1"/>
  <c r="X37" i="3"/>
  <c r="W46" i="3"/>
  <c r="Y76" i="3"/>
  <c r="W72" i="3"/>
  <c r="AF72" i="3" s="1"/>
  <c r="T47" i="3"/>
  <c r="U37" i="3"/>
  <c r="G55" i="3"/>
  <c r="E52" i="3"/>
  <c r="AF73" i="3"/>
  <c r="AA37" i="3"/>
  <c r="D86" i="3"/>
  <c r="D87" i="3" s="1"/>
  <c r="D83" i="3" s="1"/>
  <c r="G83" i="3" s="1"/>
  <c r="J85" i="3" s="1"/>
  <c r="R37" i="3"/>
  <c r="AF76" i="3"/>
  <c r="Z60" i="3"/>
  <c r="AB61" i="3"/>
  <c r="AF61" i="3" s="1"/>
  <c r="Z14" i="3" s="1"/>
  <c r="AF74" i="2"/>
  <c r="Z48" i="2"/>
  <c r="AA37" i="2"/>
  <c r="AF75" i="2"/>
  <c r="G82" i="2"/>
  <c r="J82" i="2" s="1"/>
  <c r="M85" i="2" s="1"/>
  <c r="AF58" i="2"/>
  <c r="Z8" i="2" s="1"/>
  <c r="Z60" i="2"/>
  <c r="AB61" i="2"/>
  <c r="I37" i="2"/>
  <c r="H48" i="2"/>
  <c r="Y76" i="2"/>
  <c r="W72" i="2"/>
  <c r="D80" i="2"/>
  <c r="G80" i="2" s="1"/>
  <c r="J80" i="2" s="1"/>
  <c r="K85" i="2" s="1"/>
  <c r="AF73" i="2"/>
  <c r="T59" i="2"/>
  <c r="V60" i="2"/>
  <c r="AF60" i="2" s="1"/>
  <c r="Z12" i="2" s="1"/>
  <c r="K47" i="2"/>
  <c r="L37" i="2"/>
  <c r="T53" i="2"/>
  <c r="V54" i="2"/>
  <c r="AF76" i="2"/>
  <c r="D83" i="2"/>
  <c r="G83" i="2" s="1"/>
  <c r="J85" i="2" s="1"/>
  <c r="AT142" i="2"/>
  <c r="O37" i="2"/>
  <c r="N46" i="2"/>
  <c r="AT141" i="2"/>
  <c r="E86" i="2"/>
  <c r="E87" i="2" s="1"/>
  <c r="G79" i="2" s="1"/>
  <c r="J79" i="2" s="1"/>
  <c r="M79" i="2" s="1"/>
  <c r="N85" i="2" s="1"/>
  <c r="B47" i="2"/>
  <c r="C37" i="2"/>
  <c r="AC52" i="2"/>
  <c r="AE53" i="2"/>
  <c r="W37" i="2"/>
  <c r="F37" i="2"/>
  <c r="R37" i="2"/>
  <c r="K59" i="2"/>
  <c r="M61" i="2"/>
  <c r="B47" i="1"/>
  <c r="C37" i="1"/>
  <c r="Y56" i="1"/>
  <c r="W52" i="1"/>
  <c r="AF160" i="1"/>
  <c r="G167" i="1"/>
  <c r="J167" i="1" s="1"/>
  <c r="M170" i="1" s="1"/>
  <c r="E86" i="1"/>
  <c r="E87" i="1" s="1"/>
  <c r="G79" i="1" s="1"/>
  <c r="J79" i="1" s="1"/>
  <c r="M79" i="1" s="1"/>
  <c r="N85" i="1" s="1"/>
  <c r="B86" i="1"/>
  <c r="B87" i="1" s="1"/>
  <c r="AE73" i="1"/>
  <c r="AC72" i="1"/>
  <c r="AF72" i="1" s="1"/>
  <c r="AT231" i="1"/>
  <c r="C122" i="1"/>
  <c r="B132" i="1"/>
  <c r="Z145" i="1"/>
  <c r="AB146" i="1"/>
  <c r="AT232" i="1"/>
  <c r="Q49" i="1"/>
  <c r="AF49" i="1" s="1"/>
  <c r="R37" i="1"/>
  <c r="AA37" i="1"/>
  <c r="Z48" i="1"/>
  <c r="AF48" i="1" s="1"/>
  <c r="AT233" i="1"/>
  <c r="U37" i="1"/>
  <c r="T47" i="1"/>
  <c r="E131" i="1"/>
  <c r="F122" i="1"/>
  <c r="Z60" i="1"/>
  <c r="AB61" i="1"/>
  <c r="Q134" i="1"/>
  <c r="AF134" i="1" s="1"/>
  <c r="R122" i="1"/>
  <c r="AC131" i="1"/>
  <c r="AD122" i="1"/>
  <c r="T144" i="1"/>
  <c r="V145" i="1"/>
  <c r="AF143" i="1"/>
  <c r="Z93" i="1" s="1"/>
  <c r="G61" i="1"/>
  <c r="AF61" i="1" s="1"/>
  <c r="Z14" i="1" s="1"/>
  <c r="E58" i="1"/>
  <c r="AF75" i="1"/>
  <c r="D62" i="1"/>
  <c r="B59" i="1"/>
  <c r="AF159" i="1"/>
  <c r="O37" i="1"/>
  <c r="N46" i="1"/>
  <c r="AT229" i="1"/>
  <c r="F37" i="1"/>
  <c r="E46" i="1"/>
  <c r="AT230" i="1"/>
  <c r="AT226" i="1"/>
  <c r="AD37" i="1"/>
  <c r="AC46" i="1"/>
  <c r="X122" i="1"/>
  <c r="W131" i="1"/>
  <c r="Q61" i="1"/>
  <c r="S62" i="1"/>
  <c r="I37" i="1"/>
  <c r="AT228" i="1"/>
  <c r="L37" i="1"/>
  <c r="M146" i="1"/>
  <c r="AF146" i="1" s="1"/>
  <c r="Z99" i="1" s="1"/>
  <c r="K144" i="1"/>
  <c r="AF144" i="1" s="1"/>
  <c r="Z95" i="1" s="1"/>
  <c r="G86" i="1"/>
  <c r="G87" i="1" s="1"/>
  <c r="G82" i="1" s="1"/>
  <c r="J82" i="1" s="1"/>
  <c r="M85" i="1" s="1"/>
  <c r="AC58" i="1"/>
  <c r="AE59" i="1"/>
  <c r="B171" i="1"/>
  <c r="B172" i="1" s="1"/>
  <c r="D165" i="1" s="1"/>
  <c r="G165" i="1" s="1"/>
  <c r="J165" i="1" s="1"/>
  <c r="K170" i="1" s="1"/>
  <c r="P139" i="1"/>
  <c r="N137" i="1"/>
  <c r="D76" i="1"/>
  <c r="B73" i="1"/>
  <c r="T132" i="1"/>
  <c r="U122" i="1"/>
  <c r="I122" i="1"/>
  <c r="G164" i="1"/>
  <c r="J164" i="1" s="1"/>
  <c r="M164" i="1" s="1"/>
  <c r="N170" i="1" s="1"/>
  <c r="H145" i="1"/>
  <c r="J147" i="1"/>
  <c r="AF147" i="1" s="1"/>
  <c r="Z101" i="1" s="1"/>
  <c r="T59" i="1"/>
  <c r="V60" i="1"/>
  <c r="AF60" i="1" s="1"/>
  <c r="Z12" i="1" s="1"/>
  <c r="K132" i="1"/>
  <c r="L122" i="1"/>
  <c r="AF158" i="1"/>
  <c r="Y161" i="1"/>
  <c r="AF161" i="1" s="1"/>
  <c r="W157" i="1"/>
  <c r="AF74" i="1"/>
  <c r="AA122" i="1"/>
  <c r="Z133" i="1"/>
  <c r="AF133" i="1" s="1"/>
  <c r="D168" i="1"/>
  <c r="G168" i="1" s="1"/>
  <c r="J170" i="1" s="1"/>
  <c r="U170" i="12" l="1"/>
  <c r="W165" i="12"/>
  <c r="Z165" i="12" s="1"/>
  <c r="AC165" i="12" s="1"/>
  <c r="AA170" i="12"/>
  <c r="AC166" i="12"/>
  <c r="AF166" i="12" s="1"/>
  <c r="AU166" i="12" s="1"/>
  <c r="AX8" i="12" s="1"/>
  <c r="C230" i="12" s="1"/>
  <c r="D231" i="12" s="1"/>
  <c r="D233" i="12" s="1"/>
  <c r="D230" i="12" s="1"/>
  <c r="G230" i="12" s="1"/>
  <c r="J230" i="12" s="1"/>
  <c r="AU229" i="12" s="1"/>
  <c r="AY8" i="12" s="1"/>
  <c r="X170" i="12"/>
  <c r="Z164" i="12"/>
  <c r="AC164" i="12" s="1"/>
  <c r="W170" i="9"/>
  <c r="W166" i="9"/>
  <c r="Z166" i="9" s="1"/>
  <c r="T171" i="9"/>
  <c r="T172" i="9" s="1"/>
  <c r="T165" i="9" s="1"/>
  <c r="R171" i="9"/>
  <c r="R172" i="9" s="1"/>
  <c r="T164" i="9" s="1"/>
  <c r="W164" i="9" s="1"/>
  <c r="AF60" i="3"/>
  <c r="Z12" i="3" s="1"/>
  <c r="AF145" i="1"/>
  <c r="Z97" i="1" s="1"/>
  <c r="AF131" i="1"/>
  <c r="AF61" i="2"/>
  <c r="Z14" i="2" s="1"/>
  <c r="AF62" i="1"/>
  <c r="Z16" i="1" s="1"/>
  <c r="AF46" i="1"/>
  <c r="K53" i="3"/>
  <c r="K86" i="3"/>
  <c r="K87" i="3" s="1"/>
  <c r="M80" i="3" s="1"/>
  <c r="P80" i="3" s="1"/>
  <c r="S80" i="3" s="1"/>
  <c r="T85" i="3" s="1"/>
  <c r="AC8" i="3"/>
  <c r="AG64" i="3"/>
  <c r="R8" i="3" s="1"/>
  <c r="J86" i="3"/>
  <c r="J87" i="3" s="1"/>
  <c r="J83" i="3" s="1"/>
  <c r="M83" i="3" s="1"/>
  <c r="P83" i="3" s="1"/>
  <c r="S85" i="3" s="1"/>
  <c r="H86" i="3"/>
  <c r="H87" i="3" s="1"/>
  <c r="J81" i="3" s="1"/>
  <c r="M81" i="3" s="1"/>
  <c r="P85" i="3" s="1"/>
  <c r="AG65" i="3"/>
  <c r="R10" i="3" s="1"/>
  <c r="AC10" i="3"/>
  <c r="D56" i="3"/>
  <c r="B53" i="3"/>
  <c r="M86" i="3"/>
  <c r="M87" i="3" s="1"/>
  <c r="M82" i="3" s="1"/>
  <c r="P82" i="3" s="1"/>
  <c r="Q85" i="3" s="1"/>
  <c r="AF47" i="3"/>
  <c r="W52" i="3"/>
  <c r="Y56" i="3"/>
  <c r="AG67" i="3"/>
  <c r="R14" i="3" s="1"/>
  <c r="AC14" i="3"/>
  <c r="AC16" i="3"/>
  <c r="AG68" i="3"/>
  <c r="R16" i="3" s="1"/>
  <c r="T53" i="3"/>
  <c r="V54" i="3"/>
  <c r="P54" i="3"/>
  <c r="N52" i="3"/>
  <c r="Q55" i="3"/>
  <c r="S56" i="3"/>
  <c r="AF74" i="3"/>
  <c r="Z54" i="3"/>
  <c r="AB55" i="3"/>
  <c r="AF55" i="3" s="1"/>
  <c r="AG49" i="3" s="1"/>
  <c r="H54" i="3"/>
  <c r="J56" i="3"/>
  <c r="J86" i="2"/>
  <c r="J87" i="2" s="1"/>
  <c r="J83" i="2" s="1"/>
  <c r="M83" i="2" s="1"/>
  <c r="P83" i="2" s="1"/>
  <c r="S85" i="2" s="1"/>
  <c r="X37" i="2"/>
  <c r="W46" i="2"/>
  <c r="AF46" i="2" s="1"/>
  <c r="K86" i="2"/>
  <c r="K87" i="2" s="1"/>
  <c r="M80" i="2" s="1"/>
  <c r="P80" i="2" s="1"/>
  <c r="S80" i="2" s="1"/>
  <c r="T85" i="2" s="1"/>
  <c r="M86" i="2"/>
  <c r="M87" i="2" s="1"/>
  <c r="M82" i="2" s="1"/>
  <c r="P82" i="2" s="1"/>
  <c r="Q85" i="2" s="1"/>
  <c r="D56" i="2"/>
  <c r="B53" i="2"/>
  <c r="AF48" i="2"/>
  <c r="AG67" i="2"/>
  <c r="R14" i="2" s="1"/>
  <c r="AC14" i="2"/>
  <c r="M55" i="2"/>
  <c r="K53" i="2"/>
  <c r="AF72" i="2"/>
  <c r="AF59" i="2"/>
  <c r="Z10" i="2" s="1"/>
  <c r="AF47" i="2"/>
  <c r="H54" i="2"/>
  <c r="J56" i="2"/>
  <c r="Z54" i="2"/>
  <c r="AB55" i="2"/>
  <c r="AG66" i="2"/>
  <c r="R12" i="2" s="1"/>
  <c r="AC12" i="2"/>
  <c r="Q55" i="2"/>
  <c r="S56" i="2"/>
  <c r="P54" i="2"/>
  <c r="N52" i="2"/>
  <c r="G55" i="2"/>
  <c r="E52" i="2"/>
  <c r="AC16" i="2"/>
  <c r="AG68" i="2"/>
  <c r="R16" i="2" s="1"/>
  <c r="H86" i="2"/>
  <c r="H87" i="2" s="1"/>
  <c r="J81" i="2" s="1"/>
  <c r="M81" i="2" s="1"/>
  <c r="P85" i="2" s="1"/>
  <c r="N86" i="2" s="1"/>
  <c r="N87" i="2" s="1"/>
  <c r="P79" i="2" s="1"/>
  <c r="S79" i="2" s="1"/>
  <c r="V79" i="2" s="1"/>
  <c r="W85" i="2" s="1"/>
  <c r="AG65" i="2"/>
  <c r="R10" i="2" s="1"/>
  <c r="AC10" i="2"/>
  <c r="K171" i="1"/>
  <c r="K172" i="1" s="1"/>
  <c r="M165" i="1" s="1"/>
  <c r="P165" i="1" s="1"/>
  <c r="S165" i="1" s="1"/>
  <c r="T170" i="1" s="1"/>
  <c r="AG67" i="1"/>
  <c r="R14" i="1" s="1"/>
  <c r="AC14" i="1"/>
  <c r="AG153" i="1"/>
  <c r="R101" i="1" s="1"/>
  <c r="AC101" i="1"/>
  <c r="AF157" i="1"/>
  <c r="AF58" i="1"/>
  <c r="Z8" i="1" s="1"/>
  <c r="Z54" i="1"/>
  <c r="AB55" i="1"/>
  <c r="D80" i="1"/>
  <c r="G80" i="1" s="1"/>
  <c r="J80" i="1" s="1"/>
  <c r="K85" i="1" s="1"/>
  <c r="M86" i="1" s="1"/>
  <c r="M87" i="1" s="1"/>
  <c r="M82" i="1" s="1"/>
  <c r="P82" i="1" s="1"/>
  <c r="Q85" i="1" s="1"/>
  <c r="AF73" i="1"/>
  <c r="AG151" i="1"/>
  <c r="R97" i="1" s="1"/>
  <c r="AC97" i="1"/>
  <c r="AC137" i="1"/>
  <c r="AE138" i="1"/>
  <c r="G140" i="1"/>
  <c r="E137" i="1"/>
  <c r="Q55" i="1"/>
  <c r="S56" i="1"/>
  <c r="M171" i="1"/>
  <c r="M172" i="1" s="1"/>
  <c r="M167" i="1" s="1"/>
  <c r="P167" i="1" s="1"/>
  <c r="Q170" i="1" s="1"/>
  <c r="AF76" i="1"/>
  <c r="D83" i="1"/>
  <c r="G83" i="1" s="1"/>
  <c r="J85" i="1" s="1"/>
  <c r="K53" i="1"/>
  <c r="M55" i="1"/>
  <c r="G55" i="1"/>
  <c r="E52" i="1"/>
  <c r="AF52" i="1" s="1"/>
  <c r="AG46" i="1" s="1"/>
  <c r="AG152" i="1"/>
  <c r="R99" i="1" s="1"/>
  <c r="AC99" i="1"/>
  <c r="W137" i="1"/>
  <c r="Y141" i="1"/>
  <c r="AG64" i="1"/>
  <c r="R8" i="1" s="1"/>
  <c r="AC8" i="1"/>
  <c r="AF132" i="1"/>
  <c r="AG150" i="1"/>
  <c r="R95" i="1" s="1"/>
  <c r="AC95" i="1"/>
  <c r="H139" i="1"/>
  <c r="J141" i="1"/>
  <c r="AC52" i="1"/>
  <c r="AE53" i="1"/>
  <c r="Z139" i="1"/>
  <c r="AB140" i="1"/>
  <c r="V139" i="1"/>
  <c r="T138" i="1"/>
  <c r="AF59" i="1"/>
  <c r="Z10" i="1" s="1"/>
  <c r="T53" i="1"/>
  <c r="V54" i="1"/>
  <c r="D141" i="1"/>
  <c r="B138" i="1"/>
  <c r="S141" i="1"/>
  <c r="Q140" i="1"/>
  <c r="D56" i="1"/>
  <c r="B53" i="1"/>
  <c r="AG66" i="1"/>
  <c r="R12" i="1" s="1"/>
  <c r="AC12" i="1"/>
  <c r="J56" i="1"/>
  <c r="H54" i="1"/>
  <c r="M140" i="1"/>
  <c r="K138" i="1"/>
  <c r="J171" i="1"/>
  <c r="J172" i="1" s="1"/>
  <c r="J168" i="1" s="1"/>
  <c r="M168" i="1" s="1"/>
  <c r="P168" i="1" s="1"/>
  <c r="S170" i="1" s="1"/>
  <c r="H171" i="1"/>
  <c r="H172" i="1" s="1"/>
  <c r="J166" i="1" s="1"/>
  <c r="M166" i="1" s="1"/>
  <c r="P170" i="1" s="1"/>
  <c r="P54" i="1"/>
  <c r="N52" i="1"/>
  <c r="AF47" i="1"/>
  <c r="AD170" i="12" l="1"/>
  <c r="AF164" i="12"/>
  <c r="AU164" i="12" s="1"/>
  <c r="AX4" i="12" s="1"/>
  <c r="C228" i="12" s="1"/>
  <c r="D228" i="12" s="1"/>
  <c r="E231" i="12" s="1"/>
  <c r="E233" i="12" s="1"/>
  <c r="G228" i="12" s="1"/>
  <c r="J228" i="12" s="1"/>
  <c r="AU227" i="12" s="1"/>
  <c r="AY4" i="12" s="1"/>
  <c r="X171" i="12"/>
  <c r="X172" i="12" s="1"/>
  <c r="Z171" i="12"/>
  <c r="Z172" i="12" s="1"/>
  <c r="U171" i="12"/>
  <c r="U172" i="12" s="1"/>
  <c r="W171" i="12"/>
  <c r="W172" i="12" s="1"/>
  <c r="AA171" i="12"/>
  <c r="AA172" i="12" s="1"/>
  <c r="AC171" i="12"/>
  <c r="AC172" i="12" s="1"/>
  <c r="AF170" i="12"/>
  <c r="AF165" i="12"/>
  <c r="AU165" i="12" s="1"/>
  <c r="AX5" i="12" s="1"/>
  <c r="Y228" i="12" s="1"/>
  <c r="Z228" i="12" s="1"/>
  <c r="AA231" i="12" s="1"/>
  <c r="AA233" i="12" s="1"/>
  <c r="AC228" i="12" s="1"/>
  <c r="AF228" i="12" s="1"/>
  <c r="AU231" i="12" s="1"/>
  <c r="AY5" i="12" s="1"/>
  <c r="U170" i="9"/>
  <c r="W171" i="9" s="1"/>
  <c r="W172" i="9" s="1"/>
  <c r="W165" i="9"/>
  <c r="Z165" i="9" s="1"/>
  <c r="AC165" i="9" s="1"/>
  <c r="X170" i="9"/>
  <c r="Z164" i="9"/>
  <c r="AC164" i="9" s="1"/>
  <c r="AA170" i="9"/>
  <c r="AC166" i="9"/>
  <c r="AF166" i="9" s="1"/>
  <c r="AU166" i="9" s="1"/>
  <c r="AX8" i="9" s="1"/>
  <c r="C228" i="9" s="1"/>
  <c r="D228" i="9" s="1"/>
  <c r="E231" i="9" s="1"/>
  <c r="E233" i="9" s="1"/>
  <c r="G228" i="9" s="1"/>
  <c r="J228" i="9" s="1"/>
  <c r="AU227" i="9" s="1"/>
  <c r="AY8" i="9" s="1"/>
  <c r="AF52" i="3"/>
  <c r="AG46" i="3" s="1"/>
  <c r="AF139" i="1"/>
  <c r="AG133" i="1" s="1"/>
  <c r="Q86" i="3"/>
  <c r="Q87" i="3" s="1"/>
  <c r="S82" i="3" s="1"/>
  <c r="V82" i="3" s="1"/>
  <c r="Y82" i="3" s="1"/>
  <c r="AB85" i="3" s="1"/>
  <c r="P86" i="3"/>
  <c r="P87" i="3" s="1"/>
  <c r="P81" i="3" s="1"/>
  <c r="S81" i="3" s="1"/>
  <c r="V85" i="3" s="1"/>
  <c r="N86" i="3"/>
  <c r="N87" i="3" s="1"/>
  <c r="P79" i="3" s="1"/>
  <c r="S79" i="3" s="1"/>
  <c r="V79" i="3" s="1"/>
  <c r="W85" i="3" s="1"/>
  <c r="S86" i="3"/>
  <c r="S87" i="3" s="1"/>
  <c r="S83" i="3" s="1"/>
  <c r="V83" i="3" s="1"/>
  <c r="Y85" i="3" s="1"/>
  <c r="AF54" i="3"/>
  <c r="AG48" i="3" s="1"/>
  <c r="AF53" i="3"/>
  <c r="AG47" i="3" s="1"/>
  <c r="AF56" i="3"/>
  <c r="AG50" i="3" s="1"/>
  <c r="AG66" i="3"/>
  <c r="R12" i="3" s="1"/>
  <c r="AC12" i="3"/>
  <c r="S86" i="2"/>
  <c r="S87" i="2" s="1"/>
  <c r="S83" i="2" s="1"/>
  <c r="V83" i="2" s="1"/>
  <c r="Y85" i="2" s="1"/>
  <c r="W86" i="2" s="1"/>
  <c r="W87" i="2" s="1"/>
  <c r="Y79" i="2" s="1"/>
  <c r="AB79" i="2" s="1"/>
  <c r="AC85" i="2" s="1"/>
  <c r="AF53" i="2"/>
  <c r="AG47" i="2" s="1"/>
  <c r="Q86" i="2"/>
  <c r="Q87" i="2" s="1"/>
  <c r="S82" i="2" s="1"/>
  <c r="V82" i="2" s="1"/>
  <c r="Y82" i="2" s="1"/>
  <c r="AB85" i="2" s="1"/>
  <c r="W52" i="2"/>
  <c r="AF52" i="2" s="1"/>
  <c r="AG46" i="2" s="1"/>
  <c r="Y56" i="2"/>
  <c r="AF56" i="2" s="1"/>
  <c r="AG50" i="2" s="1"/>
  <c r="AC8" i="2"/>
  <c r="AG64" i="2"/>
  <c r="R8" i="2" s="1"/>
  <c r="AF55" i="2"/>
  <c r="AG49" i="2" s="1"/>
  <c r="P86" i="2"/>
  <c r="P87" i="2" s="1"/>
  <c r="P81" i="2" s="1"/>
  <c r="S81" i="2" s="1"/>
  <c r="V85" i="2" s="1"/>
  <c r="AF54" i="2"/>
  <c r="AG48" i="2" s="1"/>
  <c r="S171" i="1"/>
  <c r="S172" i="1" s="1"/>
  <c r="S168" i="1" s="1"/>
  <c r="V168" i="1" s="1"/>
  <c r="Y170" i="1" s="1"/>
  <c r="P171" i="1"/>
  <c r="P172" i="1" s="1"/>
  <c r="P166" i="1" s="1"/>
  <c r="S166" i="1" s="1"/>
  <c r="V170" i="1" s="1"/>
  <c r="AF53" i="1"/>
  <c r="AG47" i="1" s="1"/>
  <c r="AF137" i="1"/>
  <c r="AG131" i="1" s="1"/>
  <c r="AF56" i="1"/>
  <c r="AG50" i="1" s="1"/>
  <c r="AG68" i="1"/>
  <c r="R16" i="1" s="1"/>
  <c r="AC16" i="1"/>
  <c r="AF140" i="1"/>
  <c r="AG134" i="1" s="1"/>
  <c r="N171" i="1"/>
  <c r="N172" i="1" s="1"/>
  <c r="P164" i="1" s="1"/>
  <c r="S164" i="1" s="1"/>
  <c r="V164" i="1" s="1"/>
  <c r="W170" i="1" s="1"/>
  <c r="AF138" i="1"/>
  <c r="AG132" i="1" s="1"/>
  <c r="AF54" i="1"/>
  <c r="AG48" i="1" s="1"/>
  <c r="Q171" i="1"/>
  <c r="Q172" i="1" s="1"/>
  <c r="S167" i="1" s="1"/>
  <c r="V167" i="1" s="1"/>
  <c r="Y167" i="1" s="1"/>
  <c r="AB170" i="1" s="1"/>
  <c r="AG149" i="1"/>
  <c r="R93" i="1" s="1"/>
  <c r="AC93" i="1"/>
  <c r="AF141" i="1"/>
  <c r="AG135" i="1" s="1"/>
  <c r="AF55" i="1"/>
  <c r="AG49" i="1" s="1"/>
  <c r="AG65" i="1"/>
  <c r="R10" i="1" s="1"/>
  <c r="AC10" i="1"/>
  <c r="K86" i="1"/>
  <c r="K87" i="1" s="1"/>
  <c r="M80" i="1" s="1"/>
  <c r="P80" i="1" s="1"/>
  <c r="S80" i="1" s="1"/>
  <c r="T85" i="1" s="1"/>
  <c r="J86" i="1"/>
  <c r="J87" i="1" s="1"/>
  <c r="J83" i="1" s="1"/>
  <c r="M83" i="1" s="1"/>
  <c r="P83" i="1" s="1"/>
  <c r="S85" i="1" s="1"/>
  <c r="H86" i="1"/>
  <c r="H87" i="1" s="1"/>
  <c r="J81" i="1" s="1"/>
  <c r="M81" i="1" s="1"/>
  <c r="P85" i="1" s="1"/>
  <c r="AD171" i="12" l="1"/>
  <c r="AD172" i="12" s="1"/>
  <c r="AF171" i="12"/>
  <c r="AF172" i="12" s="1"/>
  <c r="AA171" i="9"/>
  <c r="AA172" i="9" s="1"/>
  <c r="AC171" i="9"/>
  <c r="AC172" i="9" s="1"/>
  <c r="AD170" i="9"/>
  <c r="AF164" i="9"/>
  <c r="AU164" i="9" s="1"/>
  <c r="AX4" i="9" s="1"/>
  <c r="C230" i="9" s="1"/>
  <c r="D231" i="9" s="1"/>
  <c r="D233" i="9" s="1"/>
  <c r="D230" i="9" s="1"/>
  <c r="G230" i="9" s="1"/>
  <c r="J230" i="9" s="1"/>
  <c r="AU229" i="9" s="1"/>
  <c r="AY4" i="9" s="1"/>
  <c r="X171" i="9"/>
  <c r="X172" i="9" s="1"/>
  <c r="Z171" i="9"/>
  <c r="Z172" i="9" s="1"/>
  <c r="AF170" i="9"/>
  <c r="AF165" i="9"/>
  <c r="AU165" i="9" s="1"/>
  <c r="AX5" i="9" s="1"/>
  <c r="Y228" i="9" s="1"/>
  <c r="Z228" i="9" s="1"/>
  <c r="AA231" i="9" s="1"/>
  <c r="AA233" i="9" s="1"/>
  <c r="AC228" i="9" s="1"/>
  <c r="AF228" i="9" s="1"/>
  <c r="AU231" i="9" s="1"/>
  <c r="AY5" i="9" s="1"/>
  <c r="U171" i="9"/>
  <c r="U172" i="9" s="1"/>
  <c r="V86" i="3"/>
  <c r="V87" i="3" s="1"/>
  <c r="V81" i="3" s="1"/>
  <c r="Y81" i="3" s="1"/>
  <c r="Z85" i="3" s="1"/>
  <c r="T86" i="3"/>
  <c r="T87" i="3" s="1"/>
  <c r="V80" i="3" s="1"/>
  <c r="Y80" i="3" s="1"/>
  <c r="AB80" i="3" s="1"/>
  <c r="AE85" i="3" s="1"/>
  <c r="Y86" i="3"/>
  <c r="Y87" i="3" s="1"/>
  <c r="Y83" i="3" s="1"/>
  <c r="AB83" i="3" s="1"/>
  <c r="AE83" i="3" s="1"/>
  <c r="AU83" i="3" s="1"/>
  <c r="AX7" i="3" s="1"/>
  <c r="AY7" i="3" s="1"/>
  <c r="W86" i="3"/>
  <c r="W87" i="3" s="1"/>
  <c r="Y79" i="3" s="1"/>
  <c r="AB79" i="3" s="1"/>
  <c r="AC85" i="3" s="1"/>
  <c r="V86" i="2"/>
  <c r="V87" i="2" s="1"/>
  <c r="V81" i="2" s="1"/>
  <c r="Y81" i="2" s="1"/>
  <c r="Z85" i="2" s="1"/>
  <c r="T86" i="2"/>
  <c r="T87" i="2" s="1"/>
  <c r="V80" i="2" s="1"/>
  <c r="Y80" i="2" s="1"/>
  <c r="AB80" i="2" s="1"/>
  <c r="AE85" i="2" s="1"/>
  <c r="AC86" i="2" s="1"/>
  <c r="AC87" i="2" s="1"/>
  <c r="AE79" i="2" s="1"/>
  <c r="AU79" i="2" s="1"/>
  <c r="AX3" i="2" s="1"/>
  <c r="C141" i="2" s="1"/>
  <c r="B145" i="2" s="1"/>
  <c r="Y86" i="2"/>
  <c r="Y87" i="2" s="1"/>
  <c r="Y83" i="2" s="1"/>
  <c r="AB83" i="2" s="1"/>
  <c r="AE83" i="2" s="1"/>
  <c r="AU83" i="2" s="1"/>
  <c r="AX7" i="2" s="1"/>
  <c r="AY7" i="2" s="1"/>
  <c r="V171" i="1"/>
  <c r="V172" i="1" s="1"/>
  <c r="V166" i="1" s="1"/>
  <c r="Y166" i="1" s="1"/>
  <c r="Z170" i="1" s="1"/>
  <c r="AB171" i="1" s="1"/>
  <c r="AB172" i="1" s="1"/>
  <c r="AB167" i="1" s="1"/>
  <c r="AE167" i="1" s="1"/>
  <c r="AU167" i="1" s="1"/>
  <c r="AX9" i="1" s="1"/>
  <c r="X230" i="1" s="1"/>
  <c r="Y231" i="1" s="1"/>
  <c r="T171" i="1"/>
  <c r="T172" i="1" s="1"/>
  <c r="V165" i="1" s="1"/>
  <c r="Y165" i="1" s="1"/>
  <c r="AB165" i="1" s="1"/>
  <c r="AE170" i="1" s="1"/>
  <c r="Y171" i="1"/>
  <c r="Y172" i="1" s="1"/>
  <c r="Y168" i="1" s="1"/>
  <c r="AB168" i="1" s="1"/>
  <c r="AE168" i="1" s="1"/>
  <c r="AU168" i="1" s="1"/>
  <c r="AX12" i="1" s="1"/>
  <c r="C230" i="1" s="1"/>
  <c r="D231" i="1" s="1"/>
  <c r="S86" i="1"/>
  <c r="S87" i="1" s="1"/>
  <c r="S83" i="1" s="1"/>
  <c r="V83" i="1" s="1"/>
  <c r="Y85" i="1" s="1"/>
  <c r="Q86" i="1"/>
  <c r="Q87" i="1" s="1"/>
  <c r="S82" i="1" s="1"/>
  <c r="V82" i="1" s="1"/>
  <c r="Y82" i="1" s="1"/>
  <c r="AB85" i="1" s="1"/>
  <c r="W171" i="1"/>
  <c r="W172" i="1" s="1"/>
  <c r="Y164" i="1" s="1"/>
  <c r="AB164" i="1" s="1"/>
  <c r="AC170" i="1" s="1"/>
  <c r="P86" i="1"/>
  <c r="P87" i="1" s="1"/>
  <c r="P81" i="1" s="1"/>
  <c r="S81" i="1" s="1"/>
  <c r="V85" i="1" s="1"/>
  <c r="N86" i="1"/>
  <c r="N87" i="1" s="1"/>
  <c r="P79" i="1" s="1"/>
  <c r="S79" i="1" s="1"/>
  <c r="V79" i="1" s="1"/>
  <c r="W85" i="1" s="1"/>
  <c r="AD171" i="9" l="1"/>
  <c r="AD172" i="9" s="1"/>
  <c r="AF171" i="9"/>
  <c r="AF172" i="9" s="1"/>
  <c r="Z86" i="3"/>
  <c r="Z87" i="3" s="1"/>
  <c r="AB81" i="3" s="1"/>
  <c r="AE81" i="3" s="1"/>
  <c r="AU81" i="3" s="1"/>
  <c r="AX5" i="3" s="1"/>
  <c r="C141" i="3" s="1"/>
  <c r="B145" i="3" s="1"/>
  <c r="AB86" i="3"/>
  <c r="AB87" i="3" s="1"/>
  <c r="AB82" i="3" s="1"/>
  <c r="AE82" i="3" s="1"/>
  <c r="AU82" i="3" s="1"/>
  <c r="AX6" i="3" s="1"/>
  <c r="C142" i="3" s="1"/>
  <c r="D142" i="3" s="1"/>
  <c r="E145" i="3" s="1"/>
  <c r="AE86" i="3"/>
  <c r="AE87" i="3" s="1"/>
  <c r="AE80" i="3" s="1"/>
  <c r="AU80" i="3" s="1"/>
  <c r="AX4" i="3" s="1"/>
  <c r="C143" i="3" s="1"/>
  <c r="D143" i="3" s="1"/>
  <c r="G145" i="3" s="1"/>
  <c r="AC86" i="3"/>
  <c r="AC87" i="3" s="1"/>
  <c r="AE79" i="3" s="1"/>
  <c r="AU79" i="3" s="1"/>
  <c r="AX3" i="3" s="1"/>
  <c r="C144" i="3" s="1"/>
  <c r="D145" i="3" s="1"/>
  <c r="Z86" i="2"/>
  <c r="Z87" i="2" s="1"/>
  <c r="AB81" i="2" s="1"/>
  <c r="AE81" i="2" s="1"/>
  <c r="AU81" i="2" s="1"/>
  <c r="AX5" i="2" s="1"/>
  <c r="C144" i="2" s="1"/>
  <c r="D145" i="2" s="1"/>
  <c r="AB86" i="2"/>
  <c r="AB87" i="2" s="1"/>
  <c r="AB82" i="2" s="1"/>
  <c r="AE82" i="2" s="1"/>
  <c r="AU82" i="2" s="1"/>
  <c r="AX6" i="2" s="1"/>
  <c r="C143" i="2" s="1"/>
  <c r="D143" i="2" s="1"/>
  <c r="G145" i="2" s="1"/>
  <c r="AE86" i="2"/>
  <c r="AE87" i="2" s="1"/>
  <c r="AE80" i="2" s="1"/>
  <c r="AU80" i="2" s="1"/>
  <c r="AX4" i="2" s="1"/>
  <c r="C142" i="2" s="1"/>
  <c r="D142" i="2" s="1"/>
  <c r="E145" i="2" s="1"/>
  <c r="AC171" i="1"/>
  <c r="AC172" i="1" s="1"/>
  <c r="AE164" i="1" s="1"/>
  <c r="AU164" i="1" s="1"/>
  <c r="AX4" i="1" s="1"/>
  <c r="X228" i="1" s="1"/>
  <c r="Y228" i="1" s="1"/>
  <c r="Z231" i="1" s="1"/>
  <c r="Y86" i="1"/>
  <c r="Y87" i="1" s="1"/>
  <c r="Y83" i="1" s="1"/>
  <c r="AB83" i="1" s="1"/>
  <c r="AE83" i="1" s="1"/>
  <c r="AU83" i="1" s="1"/>
  <c r="AX11" i="1" s="1"/>
  <c r="AY11" i="1" s="1"/>
  <c r="V86" i="1"/>
  <c r="V87" i="1" s="1"/>
  <c r="V81" i="1" s="1"/>
  <c r="Y81" i="1" s="1"/>
  <c r="Z85" i="1" s="1"/>
  <c r="AB86" i="1" s="1"/>
  <c r="AB87" i="1" s="1"/>
  <c r="AB82" i="1" s="1"/>
  <c r="AE82" i="1" s="1"/>
  <c r="AU82" i="1" s="1"/>
  <c r="AX10" i="1" s="1"/>
  <c r="X229" i="1" s="1"/>
  <c r="Y229" i="1" s="1"/>
  <c r="AB231" i="1" s="1"/>
  <c r="T86" i="1"/>
  <c r="T87" i="1" s="1"/>
  <c r="V80" i="1" s="1"/>
  <c r="Y80" i="1" s="1"/>
  <c r="AB80" i="1" s="1"/>
  <c r="AE85" i="1" s="1"/>
  <c r="W86" i="1"/>
  <c r="W87" i="1" s="1"/>
  <c r="Y79" i="1" s="1"/>
  <c r="AB79" i="1" s="1"/>
  <c r="AC85" i="1" s="1"/>
  <c r="AE171" i="1"/>
  <c r="AE172" i="1" s="1"/>
  <c r="AE165" i="1" s="1"/>
  <c r="AU165" i="1" s="1"/>
  <c r="AX5" i="1" s="1"/>
  <c r="C228" i="1" s="1"/>
  <c r="D228" i="1" s="1"/>
  <c r="E231" i="1" s="1"/>
  <c r="Z171" i="1"/>
  <c r="Z172" i="1" s="1"/>
  <c r="AB166" i="1" s="1"/>
  <c r="AE166" i="1" s="1"/>
  <c r="AU166" i="1" s="1"/>
  <c r="AX8" i="1" s="1"/>
  <c r="AY8" i="1" s="1"/>
  <c r="G146" i="3" l="1"/>
  <c r="G147" i="3" s="1"/>
  <c r="G143" i="3" s="1"/>
  <c r="J145" i="3" s="1"/>
  <c r="D146" i="3"/>
  <c r="D147" i="3" s="1"/>
  <c r="D144" i="3" s="1"/>
  <c r="G144" i="3" s="1"/>
  <c r="J144" i="3" s="1"/>
  <c r="AU143" i="3" s="1"/>
  <c r="AY3" i="3" s="1"/>
  <c r="B146" i="3"/>
  <c r="B147" i="3" s="1"/>
  <c r="D141" i="3" s="1"/>
  <c r="G141" i="3" s="1"/>
  <c r="H145" i="3" s="1"/>
  <c r="E146" i="3"/>
  <c r="E147" i="3" s="1"/>
  <c r="G142" i="3" s="1"/>
  <c r="J142" i="3" s="1"/>
  <c r="AU141" i="3" s="1"/>
  <c r="AY6" i="3" s="1"/>
  <c r="D146" i="2"/>
  <c r="D147" i="2" s="1"/>
  <c r="D144" i="2" s="1"/>
  <c r="G144" i="2" s="1"/>
  <c r="J144" i="2" s="1"/>
  <c r="AU143" i="2" s="1"/>
  <c r="AY5" i="2" s="1"/>
  <c r="B146" i="2"/>
  <c r="B147" i="2" s="1"/>
  <c r="D141" i="2" s="1"/>
  <c r="G141" i="2" s="1"/>
  <c r="H145" i="2" s="1"/>
  <c r="E146" i="2"/>
  <c r="E147" i="2" s="1"/>
  <c r="G142" i="2" s="1"/>
  <c r="J145" i="2" s="1"/>
  <c r="G146" i="2"/>
  <c r="G147" i="2" s="1"/>
  <c r="G143" i="2" s="1"/>
  <c r="J143" i="2" s="1"/>
  <c r="AU142" i="2" s="1"/>
  <c r="AY6" i="2" s="1"/>
  <c r="AB232" i="1"/>
  <c r="AB233" i="1" s="1"/>
  <c r="AB229" i="1" s="1"/>
  <c r="AE229" i="1" s="1"/>
  <c r="AU232" i="1" s="1"/>
  <c r="AY10" i="1" s="1"/>
  <c r="Z232" i="1"/>
  <c r="Z233" i="1" s="1"/>
  <c r="AB228" i="1" s="1"/>
  <c r="AE231" i="1" s="1"/>
  <c r="AE86" i="1"/>
  <c r="AE87" i="1" s="1"/>
  <c r="AE80" i="1" s="1"/>
  <c r="AU80" i="1" s="1"/>
  <c r="AX6" i="1" s="1"/>
  <c r="C229" i="1" s="1"/>
  <c r="D229" i="1" s="1"/>
  <c r="G231" i="1" s="1"/>
  <c r="Z86" i="1"/>
  <c r="Z87" i="1" s="1"/>
  <c r="AB81" i="1" s="1"/>
  <c r="AE81" i="1" s="1"/>
  <c r="AU81" i="1" s="1"/>
  <c r="AX7" i="1" s="1"/>
  <c r="C227" i="1" s="1"/>
  <c r="B231" i="1" s="1"/>
  <c r="AC86" i="1"/>
  <c r="AC87" i="1" s="1"/>
  <c r="AE79" i="1" s="1"/>
  <c r="AU79" i="1" s="1"/>
  <c r="AX3" i="1" s="1"/>
  <c r="X227" i="1" s="1"/>
  <c r="W231" i="1" s="1"/>
  <c r="J146" i="3" l="1"/>
  <c r="J147" i="3" s="1"/>
  <c r="J143" i="3" s="1"/>
  <c r="AU142" i="3" s="1"/>
  <c r="AY4" i="3" s="1"/>
  <c r="H146" i="3"/>
  <c r="H147" i="3" s="1"/>
  <c r="J141" i="3" s="1"/>
  <c r="AU140" i="3" s="1"/>
  <c r="AY5" i="3" s="1"/>
  <c r="J146" i="2"/>
  <c r="J147" i="2" s="1"/>
  <c r="J142" i="2" s="1"/>
  <c r="AU141" i="2" s="1"/>
  <c r="AY4" i="2" s="1"/>
  <c r="H146" i="2"/>
  <c r="H147" i="2" s="1"/>
  <c r="J141" i="2" s="1"/>
  <c r="AU140" i="2" s="1"/>
  <c r="AY3" i="2" s="1"/>
  <c r="W232" i="1"/>
  <c r="W233" i="1" s="1"/>
  <c r="Y227" i="1" s="1"/>
  <c r="AB227" i="1" s="1"/>
  <c r="AE227" i="1" s="1"/>
  <c r="AU230" i="1" s="1"/>
  <c r="AY3" i="1" s="1"/>
  <c r="Y232" i="1"/>
  <c r="Y233" i="1" s="1"/>
  <c r="Y230" i="1" s="1"/>
  <c r="AB230" i="1" s="1"/>
  <c r="AC231" i="1" s="1"/>
  <c r="G232" i="1"/>
  <c r="G233" i="1" s="1"/>
  <c r="G229" i="1" s="1"/>
  <c r="J229" i="1" s="1"/>
  <c r="AU228" i="1" s="1"/>
  <c r="AY6" i="1" s="1"/>
  <c r="E232" i="1"/>
  <c r="E233" i="1" s="1"/>
  <c r="G228" i="1" s="1"/>
  <c r="J231" i="1" s="1"/>
  <c r="B232" i="1"/>
  <c r="B233" i="1" s="1"/>
  <c r="D227" i="1" s="1"/>
  <c r="G227" i="1" s="1"/>
  <c r="H231" i="1" s="1"/>
  <c r="D232" i="1"/>
  <c r="D233" i="1" s="1"/>
  <c r="D230" i="1" s="1"/>
  <c r="G230" i="1" s="1"/>
  <c r="J230" i="1" s="1"/>
  <c r="AU229" i="1" s="1"/>
  <c r="AY12" i="1" s="1"/>
  <c r="H232" i="1" l="1"/>
  <c r="H233" i="1" s="1"/>
  <c r="J227" i="1" s="1"/>
  <c r="AU226" i="1" s="1"/>
  <c r="AY7" i="1" s="1"/>
  <c r="J232" i="1"/>
  <c r="J233" i="1" s="1"/>
  <c r="J228" i="1" s="1"/>
  <c r="AU227" i="1" s="1"/>
  <c r="AY5" i="1" s="1"/>
  <c r="AC232" i="1"/>
  <c r="AC233" i="1" s="1"/>
  <c r="AE230" i="1" s="1"/>
  <c r="AU233" i="1" s="1"/>
  <c r="AY9" i="1" s="1"/>
  <c r="AE232" i="1"/>
  <c r="AE233" i="1" s="1"/>
  <c r="AE228" i="1" s="1"/>
  <c r="AU231" i="1" s="1"/>
  <c r="AY4" i="1" s="1"/>
  <c r="C92" i="21" l="1"/>
  <c r="C93" i="21"/>
  <c r="C94" i="21"/>
  <c r="C95" i="21"/>
  <c r="C96" i="21"/>
  <c r="C97" i="21"/>
  <c r="C98" i="21"/>
  <c r="C99" i="21"/>
  <c r="C100" i="21"/>
  <c r="C101" i="21"/>
  <c r="C102" i="21"/>
  <c r="C103" i="21"/>
  <c r="C104" i="21"/>
  <c r="C105" i="21"/>
  <c r="C106" i="21"/>
  <c r="C107" i="21"/>
  <c r="C108" i="21"/>
  <c r="C109" i="21"/>
  <c r="C110" i="21"/>
  <c r="C111" i="21"/>
  <c r="C112" i="21"/>
  <c r="C113" i="21"/>
  <c r="C114" i="21"/>
  <c r="C115" i="21"/>
  <c r="C116" i="21"/>
  <c r="C117" i="21"/>
  <c r="C118" i="21"/>
  <c r="C119" i="21"/>
  <c r="C120" i="21"/>
  <c r="C121" i="21"/>
  <c r="C122" i="21"/>
  <c r="C123" i="21"/>
  <c r="C124" i="21"/>
  <c r="C125" i="21"/>
  <c r="C126" i="21"/>
  <c r="C127" i="21"/>
  <c r="C128" i="21"/>
  <c r="C129" i="21"/>
  <c r="C130" i="21"/>
  <c r="C131" i="21"/>
  <c r="C132" i="21"/>
  <c r="C133" i="21"/>
  <c r="C134" i="21"/>
  <c r="C135" i="21"/>
  <c r="C136" i="21"/>
  <c r="C137" i="21"/>
  <c r="C138" i="21"/>
  <c r="C139" i="21"/>
  <c r="C140" i="21"/>
  <c r="D140" i="21"/>
  <c r="D141" i="21"/>
  <c r="D142" i="21"/>
  <c r="D143" i="21"/>
  <c r="D125" i="21"/>
  <c r="D126" i="21"/>
  <c r="D127" i="21"/>
  <c r="D119" i="21"/>
  <c r="D120" i="21"/>
  <c r="D121" i="21"/>
  <c r="D122" i="21"/>
  <c r="D128" i="21"/>
  <c r="D123" i="21"/>
  <c r="D116" i="21"/>
  <c r="D129" i="21"/>
  <c r="D133" i="21"/>
  <c r="D134" i="21"/>
  <c r="D135" i="21"/>
  <c r="D136" i="21"/>
  <c r="D137" i="21"/>
  <c r="D138" i="21"/>
  <c r="D130" i="21"/>
  <c r="D131" i="21"/>
  <c r="D144" i="21"/>
  <c r="D145" i="21"/>
  <c r="C8" i="21"/>
  <c r="C9" i="21"/>
  <c r="C10" i="21"/>
  <c r="C11" i="21"/>
  <c r="C12" i="21"/>
  <c r="C13" i="21"/>
  <c r="C14" i="21"/>
  <c r="C15" i="21"/>
  <c r="C16" i="21"/>
  <c r="C17" i="21"/>
  <c r="C18" i="21"/>
  <c r="C19" i="21"/>
  <c r="C20" i="21"/>
  <c r="C21" i="21"/>
  <c r="C22" i="21"/>
  <c r="C23" i="21"/>
  <c r="C24" i="21"/>
  <c r="C25" i="21"/>
  <c r="C26" i="21"/>
  <c r="C27" i="21"/>
  <c r="C28" i="21"/>
  <c r="C29" i="21"/>
  <c r="C30" i="21"/>
  <c r="C31" i="21"/>
  <c r="C32" i="21"/>
  <c r="C33" i="21"/>
  <c r="D33" i="21"/>
  <c r="C34" i="21"/>
  <c r="C35" i="21"/>
  <c r="C36" i="21"/>
  <c r="D36" i="21"/>
  <c r="D37" i="21"/>
  <c r="D38" i="21"/>
  <c r="D39" i="21"/>
  <c r="D30" i="21"/>
  <c r="C37" i="21"/>
  <c r="C38" i="21"/>
  <c r="C39" i="21"/>
  <c r="C40" i="21"/>
  <c r="C41" i="21"/>
  <c r="C42" i="21"/>
  <c r="D42" i="21"/>
  <c r="C46" i="21"/>
  <c r="C47" i="21"/>
  <c r="C48" i="21"/>
  <c r="C49" i="21"/>
  <c r="C50" i="21"/>
  <c r="C51" i="21"/>
  <c r="C52" i="21"/>
  <c r="C53" i="21"/>
  <c r="C54" i="21"/>
  <c r="C55" i="21"/>
  <c r="C56" i="21"/>
  <c r="C57" i="21"/>
  <c r="C58" i="21"/>
  <c r="C59" i="21"/>
  <c r="C60" i="21"/>
  <c r="C61" i="21"/>
  <c r="C62" i="21"/>
  <c r="C63" i="21"/>
  <c r="C64" i="21"/>
  <c r="C65" i="21"/>
  <c r="C66" i="21"/>
  <c r="C67" i="21"/>
  <c r="C68" i="21"/>
  <c r="C69" i="21"/>
  <c r="C70" i="21"/>
  <c r="C71" i="21"/>
  <c r="C72" i="21"/>
  <c r="C73" i="21"/>
  <c r="C74" i="21"/>
  <c r="C75" i="21"/>
  <c r="C76" i="21"/>
  <c r="C77" i="21"/>
  <c r="C78" i="21"/>
  <c r="C79" i="21"/>
  <c r="C80" i="21"/>
  <c r="C81" i="21"/>
  <c r="C82" i="21"/>
  <c r="C83" i="21"/>
  <c r="C84" i="21"/>
  <c r="D84" i="21"/>
  <c r="D85" i="21"/>
  <c r="D86" i="21"/>
  <c r="D87" i="21"/>
  <c r="D88" i="21"/>
  <c r="D89" i="21"/>
  <c r="D67" i="21"/>
  <c r="D68" i="21"/>
  <c r="D69" i="21"/>
  <c r="D70" i="21"/>
  <c r="D71" i="21"/>
  <c r="D72" i="21"/>
  <c r="D73" i="21"/>
  <c r="D74" i="21"/>
  <c r="D75" i="21"/>
  <c r="D76" i="21"/>
  <c r="D77" i="21"/>
  <c r="D78" i="21"/>
  <c r="D79" i="21"/>
  <c r="D80" i="21"/>
  <c r="D58" i="21"/>
  <c r="D64" i="21"/>
  <c r="D65" i="21"/>
  <c r="D81" i="21"/>
  <c r="D82" i="21"/>
  <c r="D90" i="21"/>
  <c r="D91" i="21"/>
  <c r="C221" i="21"/>
  <c r="C222" i="21"/>
  <c r="C223" i="21"/>
  <c r="C224" i="21"/>
  <c r="C225" i="21"/>
  <c r="C226" i="21"/>
  <c r="C227" i="21"/>
  <c r="C228" i="21"/>
  <c r="C229" i="21"/>
  <c r="C230" i="21"/>
  <c r="C231" i="21"/>
  <c r="C232" i="21"/>
  <c r="C233" i="21"/>
  <c r="C234" i="21"/>
  <c r="C235" i="21"/>
  <c r="C236" i="21"/>
  <c r="C237" i="21"/>
  <c r="C238" i="21"/>
  <c r="C239" i="21"/>
  <c r="C240" i="21"/>
  <c r="C241" i="21"/>
  <c r="C242" i="21"/>
  <c r="C243" i="21"/>
  <c r="C244" i="21"/>
  <c r="C245" i="21"/>
  <c r="C246" i="21"/>
  <c r="C247" i="21"/>
  <c r="D247" i="21"/>
  <c r="D248" i="21"/>
  <c r="D249" i="21"/>
  <c r="D250" i="21"/>
  <c r="D244" i="21"/>
  <c r="D240" i="21"/>
  <c r="D241" i="21"/>
  <c r="C248" i="21"/>
  <c r="C249" i="21"/>
  <c r="C250" i="21"/>
  <c r="C141" i="21"/>
  <c r="C142" i="21"/>
  <c r="C143" i="21"/>
  <c r="C146" i="21"/>
  <c r="C147" i="21"/>
  <c r="C148" i="21"/>
  <c r="C149" i="21"/>
  <c r="C150" i="21"/>
  <c r="C151" i="21"/>
  <c r="C152" i="21"/>
  <c r="C153" i="21"/>
  <c r="C154" i="21"/>
  <c r="C155" i="21"/>
  <c r="C156" i="21"/>
  <c r="C157" i="21"/>
  <c r="C158" i="21"/>
  <c r="C159" i="21"/>
  <c r="C160" i="21"/>
  <c r="C161" i="21"/>
  <c r="C162" i="21"/>
  <c r="C163" i="21"/>
  <c r="C164" i="21"/>
  <c r="C165" i="21"/>
  <c r="C166" i="21"/>
  <c r="C167" i="21"/>
  <c r="C168" i="21"/>
  <c r="C169" i="21"/>
  <c r="C170" i="21"/>
  <c r="C171" i="21"/>
  <c r="C172" i="21"/>
  <c r="C173" i="21"/>
  <c r="C174" i="21"/>
  <c r="D174" i="21"/>
  <c r="C175" i="21"/>
  <c r="C176" i="21"/>
  <c r="C177" i="21"/>
  <c r="C178" i="21"/>
  <c r="C179" i="21"/>
  <c r="C180" i="21"/>
  <c r="D180" i="21"/>
  <c r="D181" i="21"/>
  <c r="D182" i="21"/>
  <c r="D183" i="21"/>
  <c r="D184" i="21"/>
  <c r="D185" i="21"/>
  <c r="D186" i="21"/>
  <c r="C181" i="21"/>
  <c r="C182" i="21"/>
  <c r="C183" i="21"/>
  <c r="C184" i="21"/>
  <c r="C185" i="21"/>
  <c r="C186" i="21"/>
  <c r="C85" i="21"/>
  <c r="C86" i="21"/>
  <c r="C87" i="21"/>
  <c r="C88" i="21"/>
  <c r="C89" i="21"/>
  <c r="C90" i="21"/>
  <c r="C191" i="21"/>
  <c r="C192" i="21"/>
  <c r="C193" i="21"/>
  <c r="C194" i="21"/>
  <c r="C195" i="21"/>
  <c r="C196" i="21"/>
  <c r="C197" i="21"/>
  <c r="C198" i="21"/>
  <c r="C199" i="21"/>
  <c r="C200" i="21"/>
  <c r="C201" i="21"/>
  <c r="C202" i="21"/>
  <c r="C203" i="21"/>
  <c r="C204" i="21"/>
  <c r="C205" i="21"/>
  <c r="C206" i="21"/>
  <c r="C207" i="21"/>
  <c r="C208" i="21"/>
  <c r="C209" i="21"/>
  <c r="C210" i="21"/>
  <c r="C211" i="21"/>
  <c r="C212" i="21"/>
  <c r="C213" i="21"/>
  <c r="D213" i="21"/>
  <c r="D214" i="21"/>
  <c r="D215" i="21"/>
  <c r="D216" i="21"/>
  <c r="D217" i="21"/>
  <c r="D218" i="21"/>
  <c r="D219" i="21"/>
  <c r="D220" i="21"/>
  <c r="D208" i="21"/>
  <c r="C43" i="21"/>
  <c r="C44" i="21"/>
  <c r="D43" i="21"/>
  <c r="D44" i="21"/>
  <c r="D132" i="21"/>
  <c r="D139" i="21"/>
  <c r="C91" i="21"/>
  <c r="D11" i="21"/>
  <c r="D14" i="21"/>
  <c r="D8" i="21"/>
  <c r="D12" i="21"/>
  <c r="D31" i="21"/>
  <c r="D24" i="21"/>
  <c r="D25" i="21"/>
  <c r="D26" i="21"/>
  <c r="D27" i="21"/>
  <c r="D28" i="21"/>
  <c r="D15" i="21"/>
  <c r="D16" i="21"/>
  <c r="D17" i="21"/>
  <c r="D18" i="21"/>
  <c r="D19" i="21"/>
  <c r="D20" i="21"/>
  <c r="D21" i="21"/>
  <c r="D40" i="21"/>
  <c r="C214" i="21"/>
  <c r="C215" i="21"/>
  <c r="C216" i="21"/>
  <c r="C217" i="21"/>
  <c r="C218" i="21"/>
  <c r="C219" i="21"/>
  <c r="C220" i="21"/>
  <c r="C144" i="21"/>
  <c r="C145" i="21"/>
  <c r="D124" i="21"/>
  <c r="D232" i="21"/>
  <c r="D187" i="21"/>
  <c r="D188" i="21"/>
  <c r="D189" i="21"/>
  <c r="D177" i="21"/>
  <c r="D178" i="21"/>
  <c r="D23" i="21"/>
  <c r="C3" i="21"/>
  <c r="C4" i="21"/>
  <c r="C5" i="21"/>
  <c r="C6" i="21"/>
  <c r="C7" i="21"/>
  <c r="D7" i="21"/>
  <c r="D3" i="21"/>
  <c r="D4" i="21"/>
  <c r="D103" i="21"/>
  <c r="D212" i="21"/>
  <c r="D41" i="21"/>
  <c r="D34" i="21"/>
  <c r="D35" i="21"/>
  <c r="D32" i="21"/>
  <c r="D22" i="21"/>
  <c r="D29" i="21"/>
  <c r="C251" i="21"/>
  <c r="D251" i="21"/>
  <c r="D171" i="21"/>
  <c r="C187" i="21"/>
  <c r="C188" i="21"/>
  <c r="C189" i="21"/>
  <c r="D61" i="21"/>
  <c r="D63" i="21"/>
  <c r="D246" i="21"/>
  <c r="D98" i="21"/>
  <c r="D112" i="21"/>
  <c r="D175" i="21"/>
  <c r="D10" i="21"/>
  <c r="C252" i="21"/>
  <c r="C253" i="21"/>
  <c r="C254" i="21"/>
  <c r="C255" i="21"/>
  <c r="C256" i="21"/>
  <c r="C257" i="21"/>
  <c r="C258" i="21"/>
  <c r="C259" i="21"/>
  <c r="C260" i="21"/>
  <c r="C261" i="21"/>
  <c r="C262" i="21"/>
  <c r="C263" i="21"/>
  <c r="C264" i="21"/>
  <c r="C265" i="21"/>
  <c r="C266" i="21"/>
  <c r="C267" i="21"/>
  <c r="D62" i="21"/>
  <c r="D265" i="21"/>
  <c r="D266" i="21"/>
  <c r="D267" i="21"/>
  <c r="D268" i="21"/>
  <c r="D13" i="21"/>
  <c r="D9" i="21"/>
  <c r="D60" i="21"/>
  <c r="C268" i="21"/>
  <c r="C269" i="21"/>
  <c r="D269" i="21"/>
  <c r="D165" i="21"/>
  <c r="D169" i="21"/>
  <c r="D243" i="21"/>
  <c r="D245" i="21"/>
  <c r="D236" i="21"/>
  <c r="D238" i="21"/>
  <c r="D233" i="21"/>
  <c r="D115" i="21"/>
  <c r="D6" i="21"/>
  <c r="D59" i="21"/>
  <c r="D83" i="21"/>
  <c r="D66" i="21"/>
  <c r="D205" i="21"/>
  <c r="D207" i="21"/>
  <c r="D191" i="21"/>
  <c r="D192" i="21"/>
  <c r="D193" i="21"/>
  <c r="D194" i="21"/>
  <c r="D195" i="21"/>
  <c r="D196" i="21"/>
  <c r="D197" i="21"/>
  <c r="D198" i="21"/>
  <c r="D199" i="21"/>
  <c r="D200" i="21"/>
  <c r="D201" i="21"/>
  <c r="D202" i="21"/>
  <c r="D203" i="21"/>
  <c r="D209" i="21"/>
  <c r="D204" i="21"/>
  <c r="D146" i="21"/>
  <c r="D147" i="21"/>
  <c r="D148" i="21"/>
  <c r="D149" i="21"/>
  <c r="D150" i="21"/>
  <c r="D151" i="21"/>
  <c r="D152" i="21"/>
  <c r="D166" i="21"/>
  <c r="D153" i="21"/>
  <c r="D154" i="21"/>
  <c r="D155" i="21"/>
  <c r="D156" i="21"/>
  <c r="D157" i="21"/>
  <c r="D158" i="21"/>
  <c r="D159" i="21"/>
  <c r="D160" i="21"/>
  <c r="D161" i="21"/>
  <c r="D162" i="21"/>
  <c r="D163" i="21"/>
  <c r="D164" i="21"/>
  <c r="D167" i="21"/>
  <c r="D168" i="21"/>
  <c r="D172" i="21"/>
  <c r="D170" i="21"/>
  <c r="D173" i="21"/>
  <c r="D118" i="21"/>
  <c r="D211" i="21"/>
  <c r="D176" i="21"/>
  <c r="D221" i="21"/>
  <c r="D222" i="21"/>
  <c r="D223" i="21"/>
  <c r="D224" i="21"/>
  <c r="D225" i="21"/>
  <c r="D242" i="21"/>
  <c r="D226" i="21"/>
  <c r="D227" i="21"/>
  <c r="D228" i="21"/>
  <c r="D234" i="21"/>
  <c r="D235" i="21"/>
  <c r="D237" i="21"/>
  <c r="D229" i="21"/>
  <c r="D230" i="21"/>
  <c r="D231" i="21"/>
  <c r="D239" i="21"/>
  <c r="D210" i="21"/>
  <c r="D263" i="21"/>
  <c r="D252" i="21"/>
  <c r="D253" i="21"/>
  <c r="D254" i="21"/>
  <c r="D255" i="21"/>
  <c r="D256" i="21"/>
  <c r="D257" i="21"/>
  <c r="D258" i="21"/>
  <c r="D259" i="21"/>
  <c r="D260" i="21"/>
  <c r="D261" i="21"/>
  <c r="D51" i="21"/>
  <c r="D52" i="21"/>
  <c r="D53" i="21"/>
  <c r="D54" i="21"/>
  <c r="D55" i="21"/>
  <c r="D45" i="21"/>
  <c r="D46" i="21"/>
  <c r="D47" i="21"/>
  <c r="D48" i="21"/>
  <c r="D49" i="21"/>
  <c r="D56" i="21"/>
  <c r="D57" i="21"/>
  <c r="D264" i="21"/>
  <c r="D262" i="21"/>
  <c r="D5" i="21"/>
  <c r="D206" i="21"/>
  <c r="D50" i="21"/>
  <c r="D100" i="21"/>
  <c r="D104" i="21"/>
  <c r="D105" i="21"/>
  <c r="D106" i="21"/>
  <c r="D107" i="21"/>
  <c r="D108" i="21"/>
  <c r="D109" i="21"/>
  <c r="D92" i="21"/>
  <c r="D93" i="21"/>
  <c r="D94" i="21"/>
  <c r="D95" i="21"/>
  <c r="D96" i="21"/>
  <c r="D110" i="21"/>
  <c r="D111" i="21"/>
  <c r="D101" i="21"/>
  <c r="D102" i="21"/>
  <c r="D97" i="21"/>
  <c r="D117" i="21"/>
  <c r="D113" i="21"/>
  <c r="D114" i="21"/>
  <c r="D99" i="21"/>
  <c r="D179" i="21"/>
</calcChain>
</file>

<file path=xl/sharedStrings.xml><?xml version="1.0" encoding="utf-8"?>
<sst xmlns="http://schemas.openxmlformats.org/spreadsheetml/2006/main" count="8926" uniqueCount="1162">
  <si>
    <t>copywrited program: May not be used or reproduced without the consent of Chip Moseley</t>
  </si>
  <si>
    <t>Version : 5.1</t>
  </si>
  <si>
    <t>Seeding</t>
  </si>
  <si>
    <t>Final Ranking</t>
  </si>
  <si>
    <t xml:space="preserve">Pool Ranking Multiplier = </t>
  </si>
  <si>
    <t>Tournament Name</t>
  </si>
  <si>
    <t>Winter Heat</t>
  </si>
  <si>
    <t>Date</t>
  </si>
  <si>
    <t>Feb 20th</t>
  </si>
  <si>
    <t>#</t>
  </si>
  <si>
    <t>Team Name</t>
  </si>
  <si>
    <t>Team Code</t>
  </si>
  <si>
    <t>Initial Ranking</t>
  </si>
  <si>
    <t>Pool Play</t>
  </si>
  <si>
    <t>Finals</t>
  </si>
  <si>
    <t xml:space="preserve">Playoff Ranking Multiplier = </t>
  </si>
  <si>
    <t>Site:</t>
  </si>
  <si>
    <t>Evans HS</t>
  </si>
  <si>
    <t>Age</t>
  </si>
  <si>
    <t>Division</t>
  </si>
  <si>
    <t>Club</t>
  </si>
  <si>
    <t>Power</t>
  </si>
  <si>
    <t>Augusta Elite 17U</t>
  </si>
  <si>
    <t>fj7aelit1pm</t>
  </si>
  <si>
    <t>Gym Supervisor</t>
  </si>
  <si>
    <t>See worksheet</t>
  </si>
  <si>
    <t>Supr e-mail:</t>
  </si>
  <si>
    <t xml:space="preserve">Supr Cell #: </t>
  </si>
  <si>
    <t>Coastal 17 Cyclones</t>
  </si>
  <si>
    <t>fj7ccoas1pm</t>
  </si>
  <si>
    <t xml:space="preserve"> </t>
  </si>
  <si>
    <t>V-1 Academy SAV 17 Jon</t>
  </si>
  <si>
    <t>fj7vosav1so</t>
  </si>
  <si>
    <t>POOL:</t>
  </si>
  <si>
    <t>A</t>
  </si>
  <si>
    <t>COURT:</t>
  </si>
  <si>
    <t>Foothills 17</t>
  </si>
  <si>
    <t>fj7footh7pm</t>
  </si>
  <si>
    <t>Team #</t>
  </si>
  <si>
    <t>Total Pool Net Points</t>
  </si>
  <si>
    <t>% Total
Net Points</t>
  </si>
  <si>
    <t>Game Win %</t>
  </si>
  <si>
    <t>Pool Finish</t>
  </si>
  <si>
    <t>Playoff Finish</t>
  </si>
  <si>
    <t>Games per Match (1-5)</t>
  </si>
  <si>
    <t>Vision 17 Regional</t>
  </si>
  <si>
    <t>fj7vison1pm</t>
  </si>
  <si>
    <t>Matches (1-10)</t>
  </si>
  <si>
    <t>Magnum Aiken 17 Yellow</t>
  </si>
  <si>
    <t>fj7magnm3pm</t>
  </si>
  <si>
    <t>Teams in Pool (1-5)</t>
  </si>
  <si>
    <t>Magnum Greenwood 17 Gold</t>
  </si>
  <si>
    <t>fj7magnm4pm</t>
  </si>
  <si>
    <t>0-Count Games 1-Count Matches</t>
  </si>
  <si>
    <t>OLC 17s Purple</t>
  </si>
  <si>
    <t>fj6ladyc1pm</t>
  </si>
  <si>
    <t>Game Win % 0 = No  1 = Yes</t>
  </si>
  <si>
    <t>SC Midlands 17 Black</t>
  </si>
  <si>
    <t>fj7scmid2pm</t>
  </si>
  <si>
    <t># of Matches/Games per Team</t>
  </si>
  <si>
    <t>Sumter VBC 17</t>
  </si>
  <si>
    <t>fj7sumtr1pm</t>
  </si>
  <si>
    <t>Warning -- Do not use CUT/PASTE to move teams in table.  Only use COPY/PASTE or seeded cells will be corrupted.</t>
  </si>
  <si>
    <t xml:space="preserve"> POOL PLAY FORMAT:  Two games to 25, start at 6. Warmups 3-3-1  2pt cap</t>
  </si>
  <si>
    <t>Sch Start</t>
  </si>
  <si>
    <t>Note: The Pool Finish Summary at the bottom of the sheet will fill in AUTOMATICALLY once the POOL FINISH column (at left) is filled in.</t>
  </si>
  <si>
    <t>Actual Start</t>
  </si>
  <si>
    <t>End Time</t>
  </si>
  <si>
    <t>Match 1</t>
  </si>
  <si>
    <t>4 refs</t>
  </si>
  <si>
    <t>3 refs</t>
  </si>
  <si>
    <t>1 refs</t>
  </si>
  <si>
    <t>5 refs</t>
  </si>
  <si>
    <t>2 refs</t>
  </si>
  <si>
    <t>Net Points</t>
  </si>
  <si>
    <t>Total</t>
  </si>
  <si>
    <t>v</t>
  </si>
  <si>
    <t>Game 1</t>
  </si>
  <si>
    <t>/</t>
  </si>
  <si>
    <t>Gm1 Win</t>
  </si>
  <si>
    <t>Gm2 Win</t>
  </si>
  <si>
    <t>Gm3 Win</t>
  </si>
  <si>
    <t>Gm4 Win</t>
  </si>
  <si>
    <t>Gm5 Win</t>
  </si>
  <si>
    <t>Sum Game Win/Loss</t>
  </si>
  <si>
    <t>Match Won/Lost</t>
  </si>
  <si>
    <t>Gm1 Pts</t>
  </si>
  <si>
    <t>Gm2 Pts</t>
  </si>
  <si>
    <t>Gm3 Pts</t>
  </si>
  <si>
    <t>Gm4 Pts</t>
  </si>
  <si>
    <t>Gm5 Pts</t>
  </si>
  <si>
    <t>Sum Match Points</t>
  </si>
  <si>
    <t>Matches</t>
  </si>
  <si>
    <t>Match Wins by Team</t>
  </si>
  <si>
    <t>Match Losses by Team</t>
  </si>
  <si>
    <t>Tm1 Wins</t>
  </si>
  <si>
    <t>Tm2 Wins</t>
  </si>
  <si>
    <t>Tm3 Wins</t>
  </si>
  <si>
    <t>Tm4 Wins</t>
  </si>
  <si>
    <t>Tm5 Wins</t>
  </si>
  <si>
    <t>Matches played by team</t>
  </si>
  <si>
    <t>Tm1 Play</t>
  </si>
  <si>
    <t>Tm2 Play</t>
  </si>
  <si>
    <t>Tm3 Play</t>
  </si>
  <si>
    <t>Tm4 Play</t>
  </si>
  <si>
    <t>Tm5 Play</t>
  </si>
  <si>
    <t>Total Points played by team</t>
  </si>
  <si>
    <t>Games</t>
  </si>
  <si>
    <t>Game Wins by Team</t>
  </si>
  <si>
    <t>Game Losses by Team</t>
  </si>
  <si>
    <t>Games Played this Match</t>
  </si>
  <si>
    <t>Games played by team</t>
  </si>
  <si>
    <t>Init</t>
  </si>
  <si>
    <t>End of Pool</t>
  </si>
  <si>
    <t>Init Rating</t>
  </si>
  <si>
    <t>Exp wins</t>
  </si>
  <si>
    <t>New Rating</t>
  </si>
  <si>
    <t>B</t>
  </si>
  <si>
    <t>POOL FINISH SUMMARY</t>
  </si>
  <si>
    <t>Enter Pool Name</t>
  </si>
  <si>
    <t>First</t>
  </si>
  <si>
    <t>Second</t>
  </si>
  <si>
    <t>Third</t>
  </si>
  <si>
    <t>Fourth</t>
  </si>
  <si>
    <t>Code</t>
  </si>
  <si>
    <t>Court 1</t>
  </si>
  <si>
    <t>Court 2</t>
  </si>
  <si>
    <t>TOURNAMENT PLAYOFF</t>
  </si>
  <si>
    <t>Playoff Format : All teams Before 4pm 25-25-15 start at 6.  If after 4pm, semi's 1 game to 25, finals 25-25-15 start at 6- no cap.  
Warmups 3-3-1     All one game playoffs and third sets to 15 start at 0</t>
  </si>
  <si>
    <t xml:space="preserve">                                   5th place from each pool does not advance, will be 9th &amp; 10th  place overall based on net pts</t>
  </si>
  <si>
    <t>Record each teams name and 11 digit code</t>
  </si>
  <si>
    <t>GOLD DIVISION</t>
  </si>
  <si>
    <t>SILVER DIVISION</t>
  </si>
  <si>
    <t>1st Place  Crt 1</t>
  </si>
  <si>
    <t>3rd Place  Crt 1</t>
  </si>
  <si>
    <t>Loser is 3rd place</t>
  </si>
  <si>
    <t>Loser is 7th place</t>
  </si>
  <si>
    <t>2nd Place Crt 2</t>
  </si>
  <si>
    <t>4th Place Crt 2</t>
  </si>
  <si>
    <t>Loser M2 refs</t>
  </si>
  <si>
    <t>Loser is 2nd place</t>
  </si>
  <si>
    <t xml:space="preserve"> Gold Champ 1st place</t>
  </si>
  <si>
    <t>Loser is 6th place</t>
  </si>
  <si>
    <t xml:space="preserve"> Silver Champ 5th place</t>
  </si>
  <si>
    <t>1st Place Crt 2</t>
  </si>
  <si>
    <t>3rd Place Crt 2</t>
  </si>
  <si>
    <t>Winner M1 refs</t>
  </si>
  <si>
    <t>2nd Place Crt 1</t>
  </si>
  <si>
    <t>4th Place Crt 1</t>
  </si>
  <si>
    <t>GOLD DIVISION PLAYOFFS</t>
  </si>
  <si>
    <t>SILVER DIVISION PLAYOFFS</t>
  </si>
  <si>
    <t>TEAM</t>
  </si>
  <si>
    <t>Enter Playoff Team Names</t>
  </si>
  <si>
    <t>Enter Playoff Team Codes</t>
  </si>
  <si>
    <t>Semi Final</t>
  </si>
  <si>
    <t>Make sure to complete
"Playoff Finish"
on Pool Sheet</t>
  </si>
  <si>
    <t>Offic. Team</t>
  </si>
  <si>
    <t>Win M1</t>
  </si>
  <si>
    <t>Loser M2</t>
  </si>
  <si>
    <t>Match 2</t>
  </si>
  <si>
    <t>Match 3</t>
  </si>
  <si>
    <t>Winner</t>
  </si>
  <si>
    <t>Game 2</t>
  </si>
  <si>
    <t>Game 3</t>
  </si>
  <si>
    <t>M1</t>
  </si>
  <si>
    <t>M2</t>
  </si>
  <si>
    <t>M3</t>
  </si>
  <si>
    <t>If match is a BYE enter B for opponent</t>
  </si>
  <si>
    <t>Feb. 20th</t>
  </si>
  <si>
    <t>Kroc Center Crt 1</t>
  </si>
  <si>
    <t>KVC 17</t>
  </si>
  <si>
    <t>fj7kvcjr1pm</t>
  </si>
  <si>
    <t>SVBC Blazers 18</t>
  </si>
  <si>
    <t>fj8sandh1pm</t>
  </si>
  <si>
    <t>Branchville Juniors 18U</t>
  </si>
  <si>
    <t>fj8branc3pm</t>
  </si>
  <si>
    <t>Sumter VBC 18</t>
  </si>
  <si>
    <t>fj8sumtr1pm</t>
  </si>
  <si>
    <t>Beaufort 18 Club</t>
  </si>
  <si>
    <t>fj8beauf1pm</t>
  </si>
  <si>
    <t xml:space="preserve">                                   5th place from pool does not advance, will be 5th place overall</t>
  </si>
  <si>
    <t>1st Place Pool Play</t>
  </si>
  <si>
    <t>4th Place Pool Play</t>
  </si>
  <si>
    <t>2nd Place Pool Play</t>
  </si>
  <si>
    <t>3rd Place Pool Play</t>
  </si>
  <si>
    <t>Kroc Center Crt 2</t>
  </si>
  <si>
    <t>OLC 15s Purple</t>
  </si>
  <si>
    <t>fj5ladyc1pm</t>
  </si>
  <si>
    <t>Kershaw 15 Black</t>
  </si>
  <si>
    <t>fj5kersh1pm</t>
  </si>
  <si>
    <t>Intense 15 Regional Elite</t>
  </si>
  <si>
    <t>fj5inten2pm</t>
  </si>
  <si>
    <t>Augusta Elite 15U</t>
  </si>
  <si>
    <t>fj5aelit1pm</t>
  </si>
  <si>
    <t>CSRA Heat 15 Red</t>
  </si>
  <si>
    <t>fj5csrah3pm</t>
  </si>
  <si>
    <t>Entries</t>
  </si>
  <si>
    <t>R</t>
  </si>
  <si>
    <t>Rank</t>
  </si>
  <si>
    <t>Region</t>
  </si>
  <si>
    <t>Team cod</t>
  </si>
  <si>
    <t>Club name</t>
  </si>
  <si>
    <t>Current Rating</t>
  </si>
  <si>
    <t>1/2/16
Rating</t>
  </si>
  <si>
    <t>1/9/16
Rating</t>
  </si>
  <si>
    <t>1/16/16
Rating</t>
  </si>
  <si>
    <t>1/30/16
Rating</t>
  </si>
  <si>
    <t>2/6/16
Rating</t>
  </si>
  <si>
    <t>2/13/16
Rating</t>
  </si>
  <si>
    <t>2/20/16
Rating</t>
  </si>
  <si>
    <t>2/27/16
 Rating</t>
  </si>
  <si>
    <t>3/5/16
Rating</t>
  </si>
  <si>
    <t>3/12/16
Rating</t>
  </si>
  <si>
    <t>3/16/16
Rating</t>
  </si>
  <si>
    <t>3/26/16
Rating</t>
  </si>
  <si>
    <t>4/3/16
Rating</t>
  </si>
  <si>
    <t>fj1crone1pm</t>
  </si>
  <si>
    <t>Carolina One</t>
  </si>
  <si>
    <t>C1VB 11 State Greenville</t>
  </si>
  <si>
    <t>fj1mvpjc1pm</t>
  </si>
  <si>
    <t>MVP</t>
  </si>
  <si>
    <t>MVP 11-Gold</t>
  </si>
  <si>
    <t>fj1motoj1pm</t>
  </si>
  <si>
    <t>MOTO</t>
  </si>
  <si>
    <t>MOTO 12'1</t>
  </si>
  <si>
    <t>fj1magnm1pm</t>
  </si>
  <si>
    <t>Magnum Volleyball Club</t>
  </si>
  <si>
    <t>Magnum 11 Black</t>
  </si>
  <si>
    <t>fj1biltm1cr</t>
  </si>
  <si>
    <t>Biltmore Volleyball Academy</t>
  </si>
  <si>
    <t>BVA 11</t>
  </si>
  <si>
    <t>fj1scmid1pm</t>
  </si>
  <si>
    <t>SC Midlands Volleyball</t>
  </si>
  <si>
    <t>SC Midlands KP Black</t>
  </si>
  <si>
    <t>fj1scmid2pm</t>
  </si>
  <si>
    <t>SC Midlands KP Garnet</t>
  </si>
  <si>
    <t>fj1scmid4pm</t>
  </si>
  <si>
    <t>SC Midlands KP Silver</t>
  </si>
  <si>
    <t>fj2upwrd2pm</t>
  </si>
  <si>
    <t>Upward Stars</t>
  </si>
  <si>
    <t>Upward Stars 12 Candi</t>
  </si>
  <si>
    <t>fj2mvpjc1pm</t>
  </si>
  <si>
    <t>MVP 12-Gold</t>
  </si>
  <si>
    <t>fj2atlbm1so</t>
  </si>
  <si>
    <t>Atlanta Boom Volleyball Institute</t>
  </si>
  <si>
    <t>ATL Boom 12 Orange Rox</t>
  </si>
  <si>
    <t>fj2caris1pm</t>
  </si>
  <si>
    <t>Carolina Islanders</t>
  </si>
  <si>
    <t>Car. Islanders 12 Elite</t>
  </si>
  <si>
    <t>fj2crone6pm</t>
  </si>
  <si>
    <t>C1VB Juniors Black</t>
  </si>
  <si>
    <t>fj2inten1pm</t>
  </si>
  <si>
    <t>Intense Volleyball</t>
  </si>
  <si>
    <t>Intense 12 National Elite</t>
  </si>
  <si>
    <t>fj2mvpjc2pm</t>
  </si>
  <si>
    <t>MVP 12-Black</t>
  </si>
  <si>
    <t>fj2magnm1pm</t>
  </si>
  <si>
    <t>Magnum 12 Black</t>
  </si>
  <si>
    <t>fj2excel1pm</t>
  </si>
  <si>
    <t>Excell Sports</t>
  </si>
  <si>
    <t>Excell U12 Club</t>
  </si>
  <si>
    <t>fj2biltm1cr</t>
  </si>
  <si>
    <t>BVA 12</t>
  </si>
  <si>
    <t>fj2caris2pm</t>
  </si>
  <si>
    <t>Car. Islanders 12 Power</t>
  </si>
  <si>
    <t>fj2caris3pm</t>
  </si>
  <si>
    <t>Car.Islanders Itsy Bitsy</t>
  </si>
  <si>
    <t>fj2charl1pm</t>
  </si>
  <si>
    <t>Charleston Juniors</t>
  </si>
  <si>
    <t>Chas Jrs 12 Red</t>
  </si>
  <si>
    <t>fj2crone1pm</t>
  </si>
  <si>
    <t>C1VB 12 Regional Grvl</t>
  </si>
  <si>
    <t>fj2crone2pm</t>
  </si>
  <si>
    <t>C1VB 12 Reg Black Pickens</t>
  </si>
  <si>
    <t>fj2crone3pm</t>
  </si>
  <si>
    <t>C1VB 12 Reg Royal Pickens</t>
  </si>
  <si>
    <t>fj2crone4pm</t>
  </si>
  <si>
    <t>C1VB 12 State Greenville</t>
  </si>
  <si>
    <t>fj2crone5pm</t>
  </si>
  <si>
    <t>C1VB 12 State Pickens</t>
  </si>
  <si>
    <t>fj2crosf1pm</t>
  </si>
  <si>
    <t>Crossfire Volleyball</t>
  </si>
  <si>
    <t>Crossfire 12</t>
  </si>
  <si>
    <t>fj2csrah1pm</t>
  </si>
  <si>
    <t>CSRA Heat</t>
  </si>
  <si>
    <t>CSRA Heat 12 Gold</t>
  </si>
  <si>
    <t>fj2footh1pm</t>
  </si>
  <si>
    <t>Foothills Volleyball Club</t>
  </si>
  <si>
    <t>Foothills 12U King</t>
  </si>
  <si>
    <t>fj2fortm1pm</t>
  </si>
  <si>
    <t>Fort Mill VBC</t>
  </si>
  <si>
    <t>Fort Mill VBC 12 Purple</t>
  </si>
  <si>
    <t>fj2hvelo1pm</t>
  </si>
  <si>
    <t>High Velocity VBC</t>
  </si>
  <si>
    <t>High Velocity 12's</t>
  </si>
  <si>
    <t>fj2kersh1pm</t>
  </si>
  <si>
    <t>Kershaw County Juniors</t>
  </si>
  <si>
    <t>Kershaw 12 Black</t>
  </si>
  <si>
    <t>fj2kersh2pm</t>
  </si>
  <si>
    <t>Kershaw 12 White</t>
  </si>
  <si>
    <t>fj2ladyc1pm</t>
  </si>
  <si>
    <t>Orangeburg Lady Cubs</t>
  </si>
  <si>
    <t>OLC 12s Purple</t>
  </si>
  <si>
    <t>fj2lavaf1cr</t>
  </si>
  <si>
    <t>LAVA</t>
  </si>
  <si>
    <t>LAVA Flames 12</t>
  </si>
  <si>
    <t>fj2magnm2pm</t>
  </si>
  <si>
    <t>Magnum Aiken 12 Green</t>
  </si>
  <si>
    <t>fj2magnm3pm</t>
  </si>
  <si>
    <t>Magnum 12 Red</t>
  </si>
  <si>
    <t>fj2magnm4pm</t>
  </si>
  <si>
    <t>Magnum 12 Blue</t>
  </si>
  <si>
    <t>fj2magnm5pm</t>
  </si>
  <si>
    <t>Magnum Aiken 12 Yellow</t>
  </si>
  <si>
    <t>fj2pstri1pm</t>
  </si>
  <si>
    <t>Palmetto Strikers</t>
  </si>
  <si>
    <t>Palm Strikers 12 Platinum</t>
  </si>
  <si>
    <t>fj2rockh1pm</t>
  </si>
  <si>
    <t>Rock Hill Volleyball Club</t>
  </si>
  <si>
    <t>RHVC 12 Club Brooke</t>
  </si>
  <si>
    <t>fj2scmid1pm</t>
  </si>
  <si>
    <t>SC Midlands 12 Black</t>
  </si>
  <si>
    <t>fj2soarj1pm</t>
  </si>
  <si>
    <t>Soar VBC</t>
  </si>
  <si>
    <t>SOAR RISE 12U</t>
  </si>
  <si>
    <t>fj2soarj2pm</t>
  </si>
  <si>
    <t>Soar Court 12U</t>
  </si>
  <si>
    <t>fj2unsel1cr</t>
  </si>
  <si>
    <t>Union Select Academy</t>
  </si>
  <si>
    <t>USA 12 Blue</t>
  </si>
  <si>
    <t>fj2unsel2cr</t>
  </si>
  <si>
    <t>USA 12 Purple</t>
  </si>
  <si>
    <t>fj2lakem1pm</t>
  </si>
  <si>
    <t>Lake Murray Volleyball Club</t>
  </si>
  <si>
    <t>Lake Murray 12 Black</t>
  </si>
  <si>
    <t>fj2excel2pm</t>
  </si>
  <si>
    <t>Excell U12 Devel</t>
  </si>
  <si>
    <t>fj2crone7pm</t>
  </si>
  <si>
    <t>C1VB Juniors Royal</t>
  </si>
  <si>
    <t>fj2crone8pm</t>
  </si>
  <si>
    <t>C1VB Juniors White</t>
  </si>
  <si>
    <t>fj2footh2pm</t>
  </si>
  <si>
    <t>Foothills Vanessa</t>
  </si>
  <si>
    <t>fj2footh3pm</t>
  </si>
  <si>
    <t>Foothills Skylar</t>
  </si>
  <si>
    <t>fj2inten2pm</t>
  </si>
  <si>
    <t>Intense Kids power Gvl</t>
  </si>
  <si>
    <t>fj2inten3pm</t>
  </si>
  <si>
    <t>Intense kids power col</t>
  </si>
  <si>
    <t>fj2kersh4pm</t>
  </si>
  <si>
    <t>Kershaw Dev 12 Black</t>
  </si>
  <si>
    <t>fj2netvc2so</t>
  </si>
  <si>
    <t>NETVC</t>
  </si>
  <si>
    <t>NETVC 12MA</t>
  </si>
  <si>
    <t>fj2scmid2pm</t>
  </si>
  <si>
    <t>SC Midlands KP White</t>
  </si>
  <si>
    <t>fj2scmid3pm</t>
  </si>
  <si>
    <t>SC Midlands KP Boys</t>
  </si>
  <si>
    <t>fj2scmid4pm</t>
  </si>
  <si>
    <t>SC Midlands KP Gray</t>
  </si>
  <si>
    <t>fj2starl1pm</t>
  </si>
  <si>
    <t>Columbia SC Starlings</t>
  </si>
  <si>
    <t>Columbia SC Starlings 12</t>
  </si>
  <si>
    <t>mj2caris1pm</t>
  </si>
  <si>
    <t>Car. Islanders Boys 12</t>
  </si>
  <si>
    <t>fj3alexa1cr</t>
  </si>
  <si>
    <t>Alexander Aces</t>
  </si>
  <si>
    <t>Alexander Aces 13's</t>
  </si>
  <si>
    <t>fj3atlbm1so</t>
  </si>
  <si>
    <t>ATL Boom 13 DiamondRox</t>
  </si>
  <si>
    <t>fj3charl1pm</t>
  </si>
  <si>
    <t>Chas Jrs 13 Red</t>
  </si>
  <si>
    <t>fj3cjvvb1cr</t>
  </si>
  <si>
    <t>Carolina Juniors Volleyball</t>
  </si>
  <si>
    <t>CJV 13 - 1</t>
  </si>
  <si>
    <t>fj3crone1pm</t>
  </si>
  <si>
    <t>C1VB 13 Power Grvl</t>
  </si>
  <si>
    <t>fj3csrah1pm</t>
  </si>
  <si>
    <t>CSRA Heat 13 Gold</t>
  </si>
  <si>
    <t>fj3fortm1pm</t>
  </si>
  <si>
    <t>Fort Mill VBC 13 Purple</t>
  </si>
  <si>
    <t>fj3grand1pm</t>
  </si>
  <si>
    <t>GRAND STRAND JUNIORS VOLLEYBALL</t>
  </si>
  <si>
    <t>GSJ 13 Randy</t>
  </si>
  <si>
    <t>fj3lowco1pm</t>
  </si>
  <si>
    <t>Low Country Volleyball Club</t>
  </si>
  <si>
    <t>Low Country 13 Open</t>
  </si>
  <si>
    <t>fj3magnm1pm</t>
  </si>
  <si>
    <t>Magnum 13 Mizuno</t>
  </si>
  <si>
    <t>fj3magnm2pm</t>
  </si>
  <si>
    <t>Magnum 13 Black</t>
  </si>
  <si>
    <t>fj3magnm3pm</t>
  </si>
  <si>
    <t>Magnum Aiken 13 Green</t>
  </si>
  <si>
    <t>fj3pstri1pm</t>
  </si>
  <si>
    <t>Palm Strikers 13 Platinum</t>
  </si>
  <si>
    <t>fj3pstri2pm</t>
  </si>
  <si>
    <t>Palm Strikers 13 Premier</t>
  </si>
  <si>
    <t>fj3ruvjr1od</t>
  </si>
  <si>
    <t>Roanoke United</t>
  </si>
  <si>
    <t>Roanoke 13 Red</t>
  </si>
  <si>
    <t>fj3scmid1pm</t>
  </si>
  <si>
    <t>SC Midlands 13 Nat Elite</t>
  </si>
  <si>
    <t>fj3setpt1cr</t>
  </si>
  <si>
    <t>Set Point Volleyball Club</t>
  </si>
  <si>
    <t>Set Point 13 Black</t>
  </si>
  <si>
    <t>fj3unsel1cr</t>
  </si>
  <si>
    <t>USA 13 Blue</t>
  </si>
  <si>
    <t>fj3upwrd2pm</t>
  </si>
  <si>
    <t>Upward Stars 13 Becky</t>
  </si>
  <si>
    <t>fj3upwrd3pm</t>
  </si>
  <si>
    <t>Upward Stars 13 BrittanyL</t>
  </si>
  <si>
    <t>fj3upwrd4pm</t>
  </si>
  <si>
    <t>Upward Stars 13 Emily</t>
  </si>
  <si>
    <t>fj3upwrd5pm</t>
  </si>
  <si>
    <t>Upward Stars 13 Abbey</t>
  </si>
  <si>
    <t>fj3vison1pm</t>
  </si>
  <si>
    <t>Vision</t>
  </si>
  <si>
    <t>Vision 13 National</t>
  </si>
  <si>
    <t>fj3inten1pm</t>
  </si>
  <si>
    <t>Intense13 national Elite</t>
  </si>
  <si>
    <t>fj3inten2pm</t>
  </si>
  <si>
    <t>Intense 13 Pro Elite</t>
  </si>
  <si>
    <t>fj3196891pm</t>
  </si>
  <si>
    <t>Carolina Express</t>
  </si>
  <si>
    <t>fj3sptac1cr</t>
  </si>
  <si>
    <t>SPORTS ACADEMY</t>
  </si>
  <si>
    <t>Sports Academy 13 Fire</t>
  </si>
  <si>
    <t>fj3motojapm</t>
  </si>
  <si>
    <t>MOTO 13-1 IGNITE</t>
  </si>
  <si>
    <t>fj3charl2pm</t>
  </si>
  <si>
    <t>Chas Jrs 13 Blue</t>
  </si>
  <si>
    <t>fj3magnm4pm</t>
  </si>
  <si>
    <t>Magnum 13 Blue</t>
  </si>
  <si>
    <t>fj3prage1pm</t>
  </si>
  <si>
    <t>Palmetto Rage Volleyball Club</t>
  </si>
  <si>
    <t>PRV - 13U Bayley</t>
  </si>
  <si>
    <t>fj3prage2pm</t>
  </si>
  <si>
    <t>PRV - 13U Brittany</t>
  </si>
  <si>
    <t>fj3biltm1cr</t>
  </si>
  <si>
    <t>BVA 13 Black</t>
  </si>
  <si>
    <t>fj3biltm2cr</t>
  </si>
  <si>
    <t>BVA 13 White</t>
  </si>
  <si>
    <t>fj3biltm3cr</t>
  </si>
  <si>
    <t>BVA 13 Purple</t>
  </si>
  <si>
    <t>fj3ccoas1pm</t>
  </si>
  <si>
    <t>club coastal volleyball</t>
  </si>
  <si>
    <t>Coastal 13 Wave</t>
  </si>
  <si>
    <t>fj3charl3pm</t>
  </si>
  <si>
    <t>Chas Jrs 13 White</t>
  </si>
  <si>
    <t>fj3crone2pm</t>
  </si>
  <si>
    <t>C1VB 13 Regional Grvl</t>
  </si>
  <si>
    <t>fj3crone3pm</t>
  </si>
  <si>
    <t>C1VB 13 State Black Grvl</t>
  </si>
  <si>
    <t>fj3crone4pm</t>
  </si>
  <si>
    <t>C1VB 13 State Royal Grvl</t>
  </si>
  <si>
    <t>fj3crosf1pm</t>
  </si>
  <si>
    <t>Crossfire 13</t>
  </si>
  <si>
    <t>fj3csrah2pm</t>
  </si>
  <si>
    <t>CSRA Heat 13 Black</t>
  </si>
  <si>
    <t>fj3csrah3pm</t>
  </si>
  <si>
    <t>CSRA Heat 13 Red</t>
  </si>
  <si>
    <t>fj3extvb1so</t>
  </si>
  <si>
    <t>Extreme Volleyball Club</t>
  </si>
  <si>
    <t>Extreme 13-1</t>
  </si>
  <si>
    <t>fj3extvb2so</t>
  </si>
  <si>
    <t>Extreme 13-2</t>
  </si>
  <si>
    <t>fj3footh1pm</t>
  </si>
  <si>
    <t>Foothills 13 May</t>
  </si>
  <si>
    <t>fj3hvelo1pm</t>
  </si>
  <si>
    <t>High Velocity 13's</t>
  </si>
  <si>
    <t>fj3kersh1pm</t>
  </si>
  <si>
    <t>Kershaw 13 Black</t>
  </si>
  <si>
    <t>fj3kvcjr1pm</t>
  </si>
  <si>
    <t>KVC Jrs</t>
  </si>
  <si>
    <t>KVC 13</t>
  </si>
  <si>
    <t>fj3kvctn1so</t>
  </si>
  <si>
    <t>Kingsport Volleyball Club</t>
  </si>
  <si>
    <t>KVC 13-1</t>
  </si>
  <si>
    <t>fj3ladyc1pm</t>
  </si>
  <si>
    <t>OLC 13s Purple</t>
  </si>
  <si>
    <t>fj3lakem2pm</t>
  </si>
  <si>
    <t>Lake Murray 13 Black</t>
  </si>
  <si>
    <t>fj3lavaf1cr</t>
  </si>
  <si>
    <t>LAVA 13U Purple</t>
  </si>
  <si>
    <t>fj3lavaf2cr</t>
  </si>
  <si>
    <t>LAVA 13U White</t>
  </si>
  <si>
    <t>fj3magnm5pm</t>
  </si>
  <si>
    <t>Magnum 13 Red</t>
  </si>
  <si>
    <t>fj3magnm6pm</t>
  </si>
  <si>
    <t>Magnum Aiken 13 Yellow</t>
  </si>
  <si>
    <t>fj3magnm7pm</t>
  </si>
  <si>
    <t>Magnum 13 Grey</t>
  </si>
  <si>
    <t>fj3magnm8pm</t>
  </si>
  <si>
    <t>Magnum 13 Orange</t>
  </si>
  <si>
    <t>fj3motoj2pm</t>
  </si>
  <si>
    <t>MOTO 13-2 IGNITE</t>
  </si>
  <si>
    <t>fj3mtnel1pm</t>
  </si>
  <si>
    <t>Mountain Elite Volleyball Club</t>
  </si>
  <si>
    <t>MEVC13U</t>
  </si>
  <si>
    <t>fj3netvc1so</t>
  </si>
  <si>
    <t>NETVC 13Van</t>
  </si>
  <si>
    <t>fj3netvc2so</t>
  </si>
  <si>
    <t>NETVC 13HS</t>
  </si>
  <si>
    <t>fj3rockh1pm</t>
  </si>
  <si>
    <t>RHVC 13 Club Jade</t>
  </si>
  <si>
    <t>fj3scmid2pm</t>
  </si>
  <si>
    <t>SC Midlands 13 Black</t>
  </si>
  <si>
    <t>fj3scmid3pm</t>
  </si>
  <si>
    <t>SC Midlands 13 Garnet</t>
  </si>
  <si>
    <t>fj3soarj1pm</t>
  </si>
  <si>
    <t>SOAR WINGS 13U</t>
  </si>
  <si>
    <t>fj3sumtr1pm</t>
  </si>
  <si>
    <t>Sumter VBC</t>
  </si>
  <si>
    <t>Sumter VBC 13</t>
  </si>
  <si>
    <t>fj3vison2pm</t>
  </si>
  <si>
    <t>Vision 13 Regional Ben</t>
  </si>
  <si>
    <t>fj3vison3pm</t>
  </si>
  <si>
    <t>Vision 13 Regional</t>
  </si>
  <si>
    <t>fj4afive4so</t>
  </si>
  <si>
    <t>A5 Volleyball Club</t>
  </si>
  <si>
    <t>A5 Mizuno 14-4 Michelle</t>
  </si>
  <si>
    <t>fj4atlbm1so</t>
  </si>
  <si>
    <t>ATL Boom 14 Orange Rox</t>
  </si>
  <si>
    <t>fj4biltm1cr</t>
  </si>
  <si>
    <t>BVA 14N</t>
  </si>
  <si>
    <t>fj4charl1pm</t>
  </si>
  <si>
    <t>Chas Jrs 14 Red</t>
  </si>
  <si>
    <t>fj4charl2pm</t>
  </si>
  <si>
    <t>Chas Jrs 14 Blue</t>
  </si>
  <si>
    <t>fj4crone1pm</t>
  </si>
  <si>
    <t>C1VB 14 Elite Greenville</t>
  </si>
  <si>
    <t>fj4crone2pm</t>
  </si>
  <si>
    <t>C1VB 14 Power Grvl</t>
  </si>
  <si>
    <t>fj4crone3pm</t>
  </si>
  <si>
    <t>C1VB 14 Power Pickens</t>
  </si>
  <si>
    <t>fj4csrah1pm</t>
  </si>
  <si>
    <t>CSRA Heat 14 Gold</t>
  </si>
  <si>
    <t>fj4excel1pm</t>
  </si>
  <si>
    <t>Excell U14 Elite</t>
  </si>
  <si>
    <t>fj4grand1pm</t>
  </si>
  <si>
    <t>GSJ 14 Aly</t>
  </si>
  <si>
    <t>fj4grand2pm</t>
  </si>
  <si>
    <t>GSJ 14 Kristin</t>
  </si>
  <si>
    <t>fj4hrock1cr</t>
  </si>
  <si>
    <t>High Rock VBC</t>
  </si>
  <si>
    <t>HRVC TEAM RICOCHET</t>
  </si>
  <si>
    <t>fj4hrock2cr</t>
  </si>
  <si>
    <t>HRVC SIDE OUT</t>
  </si>
  <si>
    <t>fj4kersh1pm</t>
  </si>
  <si>
    <t>Kershaw 14 Black</t>
  </si>
  <si>
    <t>fj4lakem1pm</t>
  </si>
  <si>
    <t>Lake Murray 14 Red</t>
  </si>
  <si>
    <t>fj4lowco1pm</t>
  </si>
  <si>
    <t>Low Country 14 Power</t>
  </si>
  <si>
    <t>fj4magnm1pm</t>
  </si>
  <si>
    <t>Magnum 14 Mizuno</t>
  </si>
  <si>
    <t>fj4magnm2pm</t>
  </si>
  <si>
    <t>Magnum 14 Elite</t>
  </si>
  <si>
    <t>fj4magnm3pm</t>
  </si>
  <si>
    <t>Magnum Aiken 14 Green</t>
  </si>
  <si>
    <t>fj4metro1so</t>
  </si>
  <si>
    <t>Metro Volleyball Club</t>
  </si>
  <si>
    <t>METRO-ATL 14 ELITE</t>
  </si>
  <si>
    <t>fj4netvc2so</t>
  </si>
  <si>
    <t>NETVC 14SK</t>
  </si>
  <si>
    <t>fj4pjvbc1od</t>
  </si>
  <si>
    <t>Peninsula Juniors Volleyball Club (ODR)</t>
  </si>
  <si>
    <t>PJVBC 14 Mizuno</t>
  </si>
  <si>
    <t>fj4prage1pm</t>
  </si>
  <si>
    <t>PRV -14U Janice</t>
  </si>
  <si>
    <t>fj4pstri1pm</t>
  </si>
  <si>
    <t>Palm Strikers 14 Platinum</t>
  </si>
  <si>
    <t>fj4rockh1pm</t>
  </si>
  <si>
    <t>RHVC 14 Power</t>
  </si>
  <si>
    <t>fj4scmid1pm</t>
  </si>
  <si>
    <t>SC Midlands 14 Nat Elite</t>
  </si>
  <si>
    <t>fj4scmid2pm</t>
  </si>
  <si>
    <t>SC Midlands 14 Pro Elite</t>
  </si>
  <si>
    <t>fj4setpt1cr</t>
  </si>
  <si>
    <t>Set Point 14 Black</t>
  </si>
  <si>
    <t>fj4setpt2cr</t>
  </si>
  <si>
    <t>Set Point 14 Gold</t>
  </si>
  <si>
    <t>fj4soarj1pm</t>
  </si>
  <si>
    <t>SOAR BLUE 14UP</t>
  </si>
  <si>
    <t>fj4unsel1cr</t>
  </si>
  <si>
    <t>USA 14 Purple</t>
  </si>
  <si>
    <t>fj4upsvc1pm</t>
  </si>
  <si>
    <t>Upstate Volleyball Club</t>
  </si>
  <si>
    <t>Upstate 14-1 Power</t>
  </si>
  <si>
    <t>fj4upwrd2pm</t>
  </si>
  <si>
    <t>Upward Stars 14 Bridgette</t>
  </si>
  <si>
    <t>fj4vison1pm</t>
  </si>
  <si>
    <t>Vision 14 National</t>
  </si>
  <si>
    <t>fj4inten1pm</t>
  </si>
  <si>
    <t>Intense 14 National Elite</t>
  </si>
  <si>
    <t>fj4ccoas1pm</t>
  </si>
  <si>
    <t>Coastal 14 Storm</t>
  </si>
  <si>
    <t>fj4inten2pm</t>
  </si>
  <si>
    <t>Intense 14 Pro Elite</t>
  </si>
  <si>
    <t>fj4kvcjr1pm</t>
  </si>
  <si>
    <t>KVC 14</t>
  </si>
  <si>
    <t>fj4mtnel1pm</t>
  </si>
  <si>
    <t>MEVC14Power</t>
  </si>
  <si>
    <t>fj4beauf1pm</t>
  </si>
  <si>
    <t>Beaufort Volleyball Club</t>
  </si>
  <si>
    <t>Beaufort 14 National</t>
  </si>
  <si>
    <t>fj4motoj1pm</t>
  </si>
  <si>
    <t>MOTO 14's</t>
  </si>
  <si>
    <t>fj4mbeac2pm</t>
  </si>
  <si>
    <t>MBVC</t>
  </si>
  <si>
    <t>MBVC 14 Red</t>
  </si>
  <si>
    <t>fj4upsvc2pm</t>
  </si>
  <si>
    <t>Upstate 14-2 Club</t>
  </si>
  <si>
    <t>fj4beauf2pm</t>
  </si>
  <si>
    <t>Beaufort 14 Club</t>
  </si>
  <si>
    <t>fj4biltm2cr</t>
  </si>
  <si>
    <t>BVA 14 Black</t>
  </si>
  <si>
    <t>fj4biltm3cr</t>
  </si>
  <si>
    <t>BVA 14W</t>
  </si>
  <si>
    <t>fj4branc3pm</t>
  </si>
  <si>
    <t>Branchville Juniors</t>
  </si>
  <si>
    <t>Branchville U14 Juniors</t>
  </si>
  <si>
    <t>fj4caris3pm</t>
  </si>
  <si>
    <t>Car. Islanders 14 Perform</t>
  </si>
  <si>
    <t>fj4charl3pm</t>
  </si>
  <si>
    <t>Chas Jrs 14 White</t>
  </si>
  <si>
    <t>fj4clebl1cr</t>
  </si>
  <si>
    <t>Cleveland County Blitz VBc</t>
  </si>
  <si>
    <t>Blitz14 Black</t>
  </si>
  <si>
    <t>fj4crone4pm</t>
  </si>
  <si>
    <t>C1VB 14 Reg Black Grvl</t>
  </si>
  <si>
    <t>fj4crone5pm</t>
  </si>
  <si>
    <t>C1VB 14 Reg Royal Grvl</t>
  </si>
  <si>
    <t>fj4crone6pm</t>
  </si>
  <si>
    <t>C1VB 14 Regional Pickens</t>
  </si>
  <si>
    <t>fj4crone7pm</t>
  </si>
  <si>
    <t>C1VB 14 State Grvl</t>
  </si>
  <si>
    <t>fj4csrah2pm</t>
  </si>
  <si>
    <t>CSRA Heat 14 Black</t>
  </si>
  <si>
    <t>fj4extvb1so</t>
  </si>
  <si>
    <t>Extreme 14-1</t>
  </si>
  <si>
    <t>fj4extvb2so</t>
  </si>
  <si>
    <t>Extreme 14-2</t>
  </si>
  <si>
    <t>fj4footh1pm</t>
  </si>
  <si>
    <t>Foothills 14 Holland</t>
  </si>
  <si>
    <t>fj4inten3pm</t>
  </si>
  <si>
    <t>Intense 14 Region Elite</t>
  </si>
  <si>
    <t>fj4kersh2pm</t>
  </si>
  <si>
    <t>Kershaw 14 White</t>
  </si>
  <si>
    <t>fj4lakem2pm</t>
  </si>
  <si>
    <t>Lake Murray 14 Black</t>
  </si>
  <si>
    <t>fj4lavaf1cr</t>
  </si>
  <si>
    <t>LAVA 14U Purple</t>
  </si>
  <si>
    <t>fj4magnm4pm</t>
  </si>
  <si>
    <t>Magnum Greenwood 14 Gold</t>
  </si>
  <si>
    <t>fj4magnm5pm</t>
  </si>
  <si>
    <t>Magnum 14 Black</t>
  </si>
  <si>
    <t>fj4magnm6pm</t>
  </si>
  <si>
    <t>Magnum Aiken 14 Yellow</t>
  </si>
  <si>
    <t>fj4magnm7pm</t>
  </si>
  <si>
    <t>Magnum Greenwood 14 White</t>
  </si>
  <si>
    <t>fj4magnm8pm</t>
  </si>
  <si>
    <t>Magnum Gilbert 14 Gray</t>
  </si>
  <si>
    <t>fj4magnm9pm</t>
  </si>
  <si>
    <t>Magnum Greenwood 14 Purpl</t>
  </si>
  <si>
    <t>fj4mbeac1pm</t>
  </si>
  <si>
    <t>MBVC 14 Black</t>
  </si>
  <si>
    <t>fj4netvc3so</t>
  </si>
  <si>
    <t>NETVC 14AMy</t>
  </si>
  <si>
    <t>fj4pstri2pm</t>
  </si>
  <si>
    <t>Palm Strikers 14 Select</t>
  </si>
  <si>
    <t>fj4rockh2pm</t>
  </si>
  <si>
    <t>RHVC 14 Club Hunter</t>
  </si>
  <si>
    <t>fj4scmid3pm</t>
  </si>
  <si>
    <t>SC Midlands 14 Black</t>
  </si>
  <si>
    <t>fj4scmid4pm</t>
  </si>
  <si>
    <t>SC Midlands 14 Garnet</t>
  </si>
  <si>
    <t>fj4shlby1cr</t>
  </si>
  <si>
    <t>Shelby Strikers</t>
  </si>
  <si>
    <t>fj4smvbc1cr</t>
  </si>
  <si>
    <t>Smoky Mountain Volleyball Club</t>
  </si>
  <si>
    <t>SMVC Royals 14</t>
  </si>
  <si>
    <t>fj4soarj2pm</t>
  </si>
  <si>
    <t>SOAR EAGLES 14U</t>
  </si>
  <si>
    <t>fj4sumtr1pm</t>
  </si>
  <si>
    <t>Sumter VBC 14</t>
  </si>
  <si>
    <t>fj4triex1so</t>
  </si>
  <si>
    <t>Tri-Cities Extreme Velocity</t>
  </si>
  <si>
    <t>Extreme 14 Amber</t>
  </si>
  <si>
    <t>fj4triex2so</t>
  </si>
  <si>
    <t>Extreme 14 Miranda</t>
  </si>
  <si>
    <t>fj4vison2pm</t>
  </si>
  <si>
    <t>Vision 14 Regional</t>
  </si>
  <si>
    <t>fj5scmid1pm</t>
  </si>
  <si>
    <t>SC Midlands 15 Nat Elite</t>
  </si>
  <si>
    <t>fj5ccoas2pm</t>
  </si>
  <si>
    <t>Coastal 16 Hurricanes</t>
  </si>
  <si>
    <t>fj5atlbm1so</t>
  </si>
  <si>
    <t>ATL Boom 15DiamondRox</t>
  </si>
  <si>
    <t>fj5biltm1cr</t>
  </si>
  <si>
    <t>Biltmore 15 Elite</t>
  </si>
  <si>
    <t>fj5biltm2cr</t>
  </si>
  <si>
    <t>BVA 15 National</t>
  </si>
  <si>
    <t>fj5bvcal1so</t>
  </si>
  <si>
    <t>Birmingham Volleyball Club</t>
  </si>
  <si>
    <t>BVC 15 Black</t>
  </si>
  <si>
    <t>fj5charl1pm</t>
  </si>
  <si>
    <t>Chas Jrs 15 Red</t>
  </si>
  <si>
    <t>fj5chavb1cr</t>
  </si>
  <si>
    <t>Chapel Hill Area Volleyball Club</t>
  </si>
  <si>
    <t>CHAVC 15 National</t>
  </si>
  <si>
    <t>fj5crone1pm</t>
  </si>
  <si>
    <t>C1VB 15 Elite Pickens</t>
  </si>
  <si>
    <t>fj5crone2pm</t>
  </si>
  <si>
    <t>C1VB 15 Elite Greenville</t>
  </si>
  <si>
    <t>fj5crone3pm</t>
  </si>
  <si>
    <t>C1VB 15 Power Grvl</t>
  </si>
  <si>
    <t>fj5crosf1pm</t>
  </si>
  <si>
    <t>Crossfire 15 Power</t>
  </si>
  <si>
    <t>fj5csrah1pm</t>
  </si>
  <si>
    <t>CSRA Heat 15 Gold</t>
  </si>
  <si>
    <t>fj5fortm1pm</t>
  </si>
  <si>
    <t>Fort Mill VBC 15 Purple</t>
  </si>
  <si>
    <t>fj5grand1pm</t>
  </si>
  <si>
    <t>GSJ 15 Alex</t>
  </si>
  <si>
    <t>fj5grand2pm</t>
  </si>
  <si>
    <t>GSJ 15 Jason</t>
  </si>
  <si>
    <t>fj5hrock2cr</t>
  </si>
  <si>
    <t>HRVC LEGACY</t>
  </si>
  <si>
    <t>fj5hurrc1pm</t>
  </si>
  <si>
    <t>Hurricane Volleyball Club</t>
  </si>
  <si>
    <t>Hurricane VBC 15 Riptide</t>
  </si>
  <si>
    <t>fj5hvelo1pm</t>
  </si>
  <si>
    <t>High Velocity 15's</t>
  </si>
  <si>
    <t>fj5lakem1pm</t>
  </si>
  <si>
    <t>Lake Murray 15 Red</t>
  </si>
  <si>
    <t>fj5lburg1cr</t>
  </si>
  <si>
    <t>Louisburg Volleyball Club</t>
  </si>
  <si>
    <t>Louisburg Bombers15 Black</t>
  </si>
  <si>
    <t>fj5lowco1pm</t>
  </si>
  <si>
    <t>Low Country 15 Open</t>
  </si>
  <si>
    <t>fj5lynch1od</t>
  </si>
  <si>
    <t>Lynchburg volleyball academy</t>
  </si>
  <si>
    <t>Lynchburg Volleyball</t>
  </si>
  <si>
    <t>fj5magnm1pm</t>
  </si>
  <si>
    <t>Magnum 15 Mizuno</t>
  </si>
  <si>
    <t>fj5magnm2pm</t>
  </si>
  <si>
    <t>Magnum 15 Elite</t>
  </si>
  <si>
    <t>fj5magnm3pm</t>
  </si>
  <si>
    <t>Magnum Aiken 15 Green</t>
  </si>
  <si>
    <t>fj5magnm5pm</t>
  </si>
  <si>
    <t>Magnum 15 Black</t>
  </si>
  <si>
    <t>fj5metro1so</t>
  </si>
  <si>
    <t>METRO-ATL 15 ELITE</t>
  </si>
  <si>
    <t>fj5prage1pm</t>
  </si>
  <si>
    <t>PRV -15U Lisa</t>
  </si>
  <si>
    <t>fj5prage2pm</t>
  </si>
  <si>
    <t>PRV - 15U Emily</t>
  </si>
  <si>
    <t>fj5pstri1pm</t>
  </si>
  <si>
    <t>Palm Strikers 15 National</t>
  </si>
  <si>
    <t>fj5rockh1pm</t>
  </si>
  <si>
    <t>RHVC 15 Power Black</t>
  </si>
  <si>
    <t>fj5rockh2pm</t>
  </si>
  <si>
    <t>RHVC 15 Power Red</t>
  </si>
  <si>
    <t>fj5scmid2pm</t>
  </si>
  <si>
    <t>SC Midlands 15 Pro Elite</t>
  </si>
  <si>
    <t>fj5sctwo1cr</t>
  </si>
  <si>
    <t>(SC)2</t>
  </si>
  <si>
    <t>(SC)2 15u White</t>
  </si>
  <si>
    <t>fj5sctwo2cr</t>
  </si>
  <si>
    <t>(SC)2 15u Grey</t>
  </si>
  <si>
    <t>fj5setpt2cr</t>
  </si>
  <si>
    <t>Set Point 15 Gold</t>
  </si>
  <si>
    <t>fj5tlife1cr</t>
  </si>
  <si>
    <t>Team Life Volleyball Club</t>
  </si>
  <si>
    <t>TLVC 15</t>
  </si>
  <si>
    <t>fj5trcvb2cr</t>
  </si>
  <si>
    <t>TriCounty Volleyball Club</t>
  </si>
  <si>
    <t>TCV 15 Kaos</t>
  </si>
  <si>
    <t>fj5upsvc1pm</t>
  </si>
  <si>
    <t>Upstate 15-1 National</t>
  </si>
  <si>
    <t>fj5upsvc2pm</t>
  </si>
  <si>
    <t>Upstate 15-2 Power</t>
  </si>
  <si>
    <t>fj5upwrd2pm</t>
  </si>
  <si>
    <t>Upward Stars 15 Taylor</t>
  </si>
  <si>
    <t>fj5upwrd3pm</t>
  </si>
  <si>
    <t>Upward Stars 15 Mark</t>
  </si>
  <si>
    <t>fj5vison1pm</t>
  </si>
  <si>
    <t>Vision 15 National</t>
  </si>
  <si>
    <t>fj5csrah2pm</t>
  </si>
  <si>
    <t>CSRA Heat 15 Black</t>
  </si>
  <si>
    <t>fj5inten1pm</t>
  </si>
  <si>
    <t>Intense 15 National Elite</t>
  </si>
  <si>
    <t>fj5pstri2pm</t>
  </si>
  <si>
    <t>Palm Strikers 15 Plat LH</t>
  </si>
  <si>
    <t>fj5motoj2pm</t>
  </si>
  <si>
    <t>MOTO 15's</t>
  </si>
  <si>
    <t>fj5beauf1pm</t>
  </si>
  <si>
    <t>Beaufort 15 U</t>
  </si>
  <si>
    <t>fj5vosav1so</t>
  </si>
  <si>
    <t>V-1 Academy</t>
  </si>
  <si>
    <t>V-1 Academy SAV 15 Lucas</t>
  </si>
  <si>
    <t>Augusta Elite</t>
  </si>
  <si>
    <t>fj5aevbc1cr</t>
  </si>
  <si>
    <t>Alamance Eagles Volleyball Club</t>
  </si>
  <si>
    <t>ALAMANCE EAGLES</t>
  </si>
  <si>
    <t>fj5atown1pm</t>
  </si>
  <si>
    <t>ATown Volleyball Academy</t>
  </si>
  <si>
    <t>ATown 15 Black</t>
  </si>
  <si>
    <t>fj5biltm3cr</t>
  </si>
  <si>
    <t>BVA 15 R</t>
  </si>
  <si>
    <t>fj5caris2pm</t>
  </si>
  <si>
    <t>Car. Islanders 15 Power</t>
  </si>
  <si>
    <t>fj5charl2pm</t>
  </si>
  <si>
    <t>Chas Jrs 15 Blue</t>
  </si>
  <si>
    <t>fj5cjvvb3cr</t>
  </si>
  <si>
    <t>CJV 15 R South</t>
  </si>
  <si>
    <t>fj5crone4pm</t>
  </si>
  <si>
    <t>C1VB 15 Regional Grvl</t>
  </si>
  <si>
    <t>fj5footh1pm</t>
  </si>
  <si>
    <t>Foothills 15 CJ</t>
  </si>
  <si>
    <t>fj5ladyc2pm</t>
  </si>
  <si>
    <t>OLC 15s White</t>
  </si>
  <si>
    <t>fj5lakem2pm</t>
  </si>
  <si>
    <t>Lake Murray 15 Black</t>
  </si>
  <si>
    <t>fj5lavaf1cr</t>
  </si>
  <si>
    <t>LAVA 15U Purple</t>
  </si>
  <si>
    <t>fj5magnm4pm</t>
  </si>
  <si>
    <t>Magnum Aiken 15 Yellow</t>
  </si>
  <si>
    <t>fj5magnm6pm</t>
  </si>
  <si>
    <t>Magnum Greenwood 15 Gold</t>
  </si>
  <si>
    <t>fj5scmid3pm</t>
  </si>
  <si>
    <t>SC Midlands 15 Black</t>
  </si>
  <si>
    <t>fj5triex1so</t>
  </si>
  <si>
    <t>Extreme 15 Meredith</t>
  </si>
  <si>
    <t>fj6atlbm1so</t>
  </si>
  <si>
    <t>ATL Boom 16DiamondRox</t>
  </si>
  <si>
    <t>fj6biltm1cr</t>
  </si>
  <si>
    <t>BVA 16 Elite</t>
  </si>
  <si>
    <t>fj6biltm2cr</t>
  </si>
  <si>
    <t>BVA 16 National</t>
  </si>
  <si>
    <t>fj6charl1pm</t>
  </si>
  <si>
    <t>Chas Jrs 16 Red</t>
  </si>
  <si>
    <t>fj6chavb1cr</t>
  </si>
  <si>
    <t>CHAVC 16 National</t>
  </si>
  <si>
    <t>fj6crone1pm</t>
  </si>
  <si>
    <t>C1VB 16 Power Grvl</t>
  </si>
  <si>
    <t>fj6crosf1pm</t>
  </si>
  <si>
    <t>Crossfire 16 Power</t>
  </si>
  <si>
    <t>fj6csrah1pm</t>
  </si>
  <si>
    <t>CSRA Heat 16 Gold</t>
  </si>
  <si>
    <t>fj6excel1pm</t>
  </si>
  <si>
    <t>Excell U16 Power</t>
  </si>
  <si>
    <t>fj6fortm1pm</t>
  </si>
  <si>
    <t>Fort Mill VBC 16 Purple</t>
  </si>
  <si>
    <t>fj6grand1pm</t>
  </si>
  <si>
    <t>GSJ 16 Chris</t>
  </si>
  <si>
    <t>fj6grand2pm</t>
  </si>
  <si>
    <t>GSJ 16 Lee</t>
  </si>
  <si>
    <t>fj6hurrc1pm</t>
  </si>
  <si>
    <t>Hurricane VBC 16 Tsunami</t>
  </si>
  <si>
    <t>fj6hvelo1pm</t>
  </si>
  <si>
    <t>High Velocity 16's</t>
  </si>
  <si>
    <t>fj6lakem1pm</t>
  </si>
  <si>
    <t>Lake Murray 16 Red</t>
  </si>
  <si>
    <t>fj6magnm1pm</t>
  </si>
  <si>
    <t>Magnum 16 Mizuno</t>
  </si>
  <si>
    <t>fj6magnm2pm</t>
  </si>
  <si>
    <t>Magnum 16 Elite</t>
  </si>
  <si>
    <t>fj6magnm3pm</t>
  </si>
  <si>
    <t>Magnum Aiken 16 Green</t>
  </si>
  <si>
    <t>fj6metro1so</t>
  </si>
  <si>
    <t>METRO-ATL 16 ELITE</t>
  </si>
  <si>
    <t>fj6prage1pm</t>
  </si>
  <si>
    <t>PRV -16U Alicia</t>
  </si>
  <si>
    <t>fj6scmid1pm</t>
  </si>
  <si>
    <t>SC Midlands 16 Nat Elite</t>
  </si>
  <si>
    <t>fj6scmid2pm</t>
  </si>
  <si>
    <t>SC Midlands 16 Pro Elite</t>
  </si>
  <si>
    <t>fj6setpt2cr</t>
  </si>
  <si>
    <t>Set Point 16 Gold</t>
  </si>
  <si>
    <t>fj6soarj1pm</t>
  </si>
  <si>
    <t>Soar Rockets 16U</t>
  </si>
  <si>
    <t>fj6syngy1cr</t>
  </si>
  <si>
    <t>Synergy</t>
  </si>
  <si>
    <t>Club Synergy16U</t>
  </si>
  <si>
    <t>fj6tlife1cr</t>
  </si>
  <si>
    <t>TLVC 16</t>
  </si>
  <si>
    <t>fj6triex2so</t>
  </si>
  <si>
    <t>Extreme 16 Taylor</t>
  </si>
  <si>
    <t>fj6upsvc1pm</t>
  </si>
  <si>
    <t>Upstate 16-1 National</t>
  </si>
  <si>
    <t>fj6upsvc2pm</t>
  </si>
  <si>
    <t>Upstate 16-2 Power</t>
  </si>
  <si>
    <t>fj6upwrd2pm</t>
  </si>
  <si>
    <t>Upward Stars 16 Andrew</t>
  </si>
  <si>
    <t>fj6upwrd3pm</t>
  </si>
  <si>
    <t>Upward Stars 16 Leslie</t>
  </si>
  <si>
    <t>fj6upwrd4pm</t>
  </si>
  <si>
    <t>Upward Stars 16 Brandon</t>
  </si>
  <si>
    <t>fj6vison1pm</t>
  </si>
  <si>
    <t>Vision 16 National</t>
  </si>
  <si>
    <t>fj6ccoas1pm</t>
  </si>
  <si>
    <t>Coastal 16 Elite</t>
  </si>
  <si>
    <t>fj6csrah2pm</t>
  </si>
  <si>
    <t>CSRA Heat 16 Black</t>
  </si>
  <si>
    <t>fj6pstri1pm</t>
  </si>
  <si>
    <t>Palm Strikers 16 National</t>
  </si>
  <si>
    <t>fj6motoj1pm</t>
  </si>
  <si>
    <t>MOTO 16</t>
  </si>
  <si>
    <t>fj6agema1pm</t>
  </si>
  <si>
    <t>AGEMA</t>
  </si>
  <si>
    <t>Agema16U</t>
  </si>
  <si>
    <t>fj6beauf1pm</t>
  </si>
  <si>
    <t>Beaufort16 Club</t>
  </si>
  <si>
    <t>fj6caris2pm</t>
  </si>
  <si>
    <t>Car.Islanders 16 Power</t>
  </si>
  <si>
    <t>fj6csrah3pm</t>
  </si>
  <si>
    <t>CSRA Heat 16 Red</t>
  </si>
  <si>
    <t>fj6kvctn1so</t>
  </si>
  <si>
    <t>KVC16-1</t>
  </si>
  <si>
    <t>fj6kvctn2so</t>
  </si>
  <si>
    <t>KVC16-2</t>
  </si>
  <si>
    <t>fj6lavaf1cr</t>
  </si>
  <si>
    <t>LAVA 16U Purple</t>
  </si>
  <si>
    <t>fj6lavaf2cr</t>
  </si>
  <si>
    <t>LAVA 16 White</t>
  </si>
  <si>
    <t>fj6mcdow1cr</t>
  </si>
  <si>
    <t>McDowell Volleyball</t>
  </si>
  <si>
    <t>Aftershock</t>
  </si>
  <si>
    <t>fj6netvc1so</t>
  </si>
  <si>
    <t>NETVC 16</t>
  </si>
  <si>
    <t>fj6sandh1cr</t>
  </si>
  <si>
    <t>Sandhills Volleyball Club</t>
  </si>
  <si>
    <t>Lightning 16 Black</t>
  </si>
  <si>
    <t>fj6scmid3pm</t>
  </si>
  <si>
    <t>SC Midlands 16 Black</t>
  </si>
  <si>
    <t>fj6scmid4pm</t>
  </si>
  <si>
    <t>SC Midlands 16 Garnet</t>
  </si>
  <si>
    <t>fj6starl1pm</t>
  </si>
  <si>
    <t>Columbia SC Starlings 16</t>
  </si>
  <si>
    <t>fj6storm2cr</t>
  </si>
  <si>
    <t>Carolina Storm Volleyball</t>
  </si>
  <si>
    <t>Carolina Storm 16 Blue</t>
  </si>
  <si>
    <t>fj6sumtr1pm</t>
  </si>
  <si>
    <t>Sumter VBC 16 Heath</t>
  </si>
  <si>
    <t>fj6sumtr2pm</t>
  </si>
  <si>
    <t>Sumter VBC 16 Gwin</t>
  </si>
  <si>
    <t>fj6triex3so</t>
  </si>
  <si>
    <t>Extreme 16 Devyn</t>
  </si>
  <si>
    <t>fj6triex4so</t>
  </si>
  <si>
    <t>Extreme 16 Emily</t>
  </si>
  <si>
    <t>fj6triex5so</t>
  </si>
  <si>
    <t>Extreme 16 Heather</t>
  </si>
  <si>
    <t>fj6vison2pm</t>
  </si>
  <si>
    <t>Vision 16 Regional</t>
  </si>
  <si>
    <t>fj7apexp1cr</t>
  </si>
  <si>
    <t>Apex Performance Volleyball Club</t>
  </si>
  <si>
    <t>Apex Stars 17</t>
  </si>
  <si>
    <t>fj7biltm1cr</t>
  </si>
  <si>
    <t>BVA 17 National</t>
  </si>
  <si>
    <t>fj7carcr1cr</t>
  </si>
  <si>
    <t>Carolina Crush Volleyball Club</t>
  </si>
  <si>
    <t>Crush 17</t>
  </si>
  <si>
    <t>fj7chavb1cr</t>
  </si>
  <si>
    <t>CHAVC 17 National</t>
  </si>
  <si>
    <t>fj7cltpw1cr</t>
  </si>
  <si>
    <t>Charlotte Powerhouse Volleyball Club</t>
  </si>
  <si>
    <t>Charottle Powerhouse 17</t>
  </si>
  <si>
    <t>fj7crone1pm</t>
  </si>
  <si>
    <t>C1VB 17 Elite Greenville</t>
  </si>
  <si>
    <t>fj7crone2pm</t>
  </si>
  <si>
    <t>C1VB 17 Power Pickens</t>
  </si>
  <si>
    <t>fj7dupln1cr</t>
  </si>
  <si>
    <t>Duplin Volleyball Club</t>
  </si>
  <si>
    <t>Impact</t>
  </si>
  <si>
    <t>fj7grand1pm</t>
  </si>
  <si>
    <t>GSJ 17 National Steve</t>
  </si>
  <si>
    <t>fj7hurrc1pm</t>
  </si>
  <si>
    <t>Hurricane VBC 17 Cyclones</t>
  </si>
  <si>
    <t>fj7kc11j1pm</t>
  </si>
  <si>
    <t>KC11 Volleyball Club</t>
  </si>
  <si>
    <t>KC11 17's</t>
  </si>
  <si>
    <t>fj7kersh1pm</t>
  </si>
  <si>
    <t>Kershaw 17 Black</t>
  </si>
  <si>
    <t>fj7lakem1pm</t>
  </si>
  <si>
    <t>Lake Murray 17 Red</t>
  </si>
  <si>
    <t>fj7lburg1cr</t>
  </si>
  <si>
    <t>Louisburg Bombers17 Black</t>
  </si>
  <si>
    <t>fj7lowco1pm</t>
  </si>
  <si>
    <t>Low Country 17 Open</t>
  </si>
  <si>
    <t>fj7magnm1pm</t>
  </si>
  <si>
    <t>Magnum 17 Mizuno</t>
  </si>
  <si>
    <t>fj7magnm2pm</t>
  </si>
  <si>
    <t>Magnum 17 Black</t>
  </si>
  <si>
    <t>fj7metro1so</t>
  </si>
  <si>
    <t>METRO-ATL 17 ELITE</t>
  </si>
  <si>
    <t>fj7mtnel1pm</t>
  </si>
  <si>
    <t>MEVC17Power</t>
  </si>
  <si>
    <t>fj7pjvbc1od</t>
  </si>
  <si>
    <t>PJVBC 17 Mizuno</t>
  </si>
  <si>
    <t>fj7prage1pm</t>
  </si>
  <si>
    <t>PRV -17U Tony</t>
  </si>
  <si>
    <t>fj7rockh1pm</t>
  </si>
  <si>
    <t>RHVC 17 Power Black</t>
  </si>
  <si>
    <t>fj7rockh2pm</t>
  </si>
  <si>
    <t>RHVC 17 Power Red</t>
  </si>
  <si>
    <t>fj7upsvc1pm</t>
  </si>
  <si>
    <t>Upstate 17-1 National</t>
  </si>
  <si>
    <t>fj7upwrd2pm</t>
  </si>
  <si>
    <t>Upward Stars 17 Melissa</t>
  </si>
  <si>
    <t>fj7inten1pm</t>
  </si>
  <si>
    <t>Intense 17 National Elite</t>
  </si>
  <si>
    <t>fj7scmid1pm</t>
  </si>
  <si>
    <t>SC Midlands 17 Nat Elite</t>
  </si>
  <si>
    <t>fj7csrah1pm</t>
  </si>
  <si>
    <t>CSRA Heat 17 Gold</t>
  </si>
  <si>
    <t>fj7hhbtc1pm</t>
  </si>
  <si>
    <t>HHI SHARKS</t>
  </si>
  <si>
    <t>HHI SHARKS 17</t>
  </si>
  <si>
    <t>fj7inten2pm</t>
  </si>
  <si>
    <t>Intense 17 Pro Elite</t>
  </si>
  <si>
    <t>fj7triex1so</t>
  </si>
  <si>
    <t>Extreme 17 Summer</t>
  </si>
  <si>
    <t>fj7starl1pm</t>
  </si>
  <si>
    <t>Columbia SC Starlings 17</t>
  </si>
  <si>
    <t>fj7mbeac1pm</t>
  </si>
  <si>
    <t>MBVC 17 Red</t>
  </si>
  <si>
    <t>fj7biltm2cr</t>
  </si>
  <si>
    <t>BVA 17 Regional</t>
  </si>
  <si>
    <t>fj7kersh2pm</t>
  </si>
  <si>
    <t>Kershaw 17 White</t>
  </si>
  <si>
    <t>fj7kvctn1so</t>
  </si>
  <si>
    <t>KVC17-1</t>
  </si>
  <si>
    <t>fj7netvc1so</t>
  </si>
  <si>
    <t>NETVC 17Tori</t>
  </si>
  <si>
    <t>fj7smvbc1cr</t>
  </si>
  <si>
    <t>SMVC Royals 17</t>
  </si>
  <si>
    <t>fj7unitd1pm</t>
  </si>
  <si>
    <t>united vbc</t>
  </si>
  <si>
    <t>united vbc 17 u</t>
  </si>
  <si>
    <t>fj8atlbm1so</t>
  </si>
  <si>
    <t>ATLBoom 18 DiamondRox</t>
  </si>
  <si>
    <t>fj8atlbm2so</t>
  </si>
  <si>
    <t>ATL Boom 18 Orange</t>
  </si>
  <si>
    <t>fj8charl1pm</t>
  </si>
  <si>
    <t>Chas Jrs 18 Red</t>
  </si>
  <si>
    <t>fj8cltpw1cr</t>
  </si>
  <si>
    <t>Charottle Powerhouse 18</t>
  </si>
  <si>
    <t>fj8crone1pm</t>
  </si>
  <si>
    <t>C1VB 18 National</t>
  </si>
  <si>
    <t>fj8excel1pm</t>
  </si>
  <si>
    <t>Excell U18 Elite</t>
  </si>
  <si>
    <t>fj8extvb1so</t>
  </si>
  <si>
    <t>Extreme 18-1</t>
  </si>
  <si>
    <t>fj8grand1pm</t>
  </si>
  <si>
    <t>GSJ 18 National Larry</t>
  </si>
  <si>
    <t>fj8hurrc1pm</t>
  </si>
  <si>
    <t>Hurricane VBC 18 Storm</t>
  </si>
  <si>
    <t>fj8hvelo1pm</t>
  </si>
  <si>
    <t>High Velocity 18's</t>
  </si>
  <si>
    <t>fj8lakem1pm</t>
  </si>
  <si>
    <t>Lake Murray 18 Red</t>
  </si>
  <si>
    <t>fj8lynch1od</t>
  </si>
  <si>
    <t>fj8magnm1pm</t>
  </si>
  <si>
    <t>Magnum 18 Mizuno</t>
  </si>
  <si>
    <t>fj8magnm2pm</t>
  </si>
  <si>
    <t>Magnum Aiken 18 Green</t>
  </si>
  <si>
    <t>fj8metro2so</t>
  </si>
  <si>
    <t>METRO-ATL 18-17 POWER</t>
  </si>
  <si>
    <t>fj8pjvbc1od</t>
  </si>
  <si>
    <t>PJVBC 18 Mizuno</t>
  </si>
  <si>
    <t>fj8rchvc1so</t>
  </si>
  <si>
    <t>Rocket City Volleyball Club</t>
  </si>
  <si>
    <t>RCVC 181</t>
  </si>
  <si>
    <t>fj8scmid1pm</t>
  </si>
  <si>
    <t>SC Midlands 18 Nat Elite</t>
  </si>
  <si>
    <t>fj8sctwo1cr</t>
  </si>
  <si>
    <t>(SC)2 18u Black</t>
  </si>
  <si>
    <t>fj8sctwo2cr</t>
  </si>
  <si>
    <t>(SC)2 18u Blue</t>
  </si>
  <si>
    <t>fj8tlife1cr</t>
  </si>
  <si>
    <t>TLVC 18U</t>
  </si>
  <si>
    <t>fj8upsvc1pm</t>
  </si>
  <si>
    <t>Upstate 18-1 Power</t>
  </si>
  <si>
    <t>fj8upwrd2pm</t>
  </si>
  <si>
    <t>Upward Stars 18 Amy</t>
  </si>
  <si>
    <t>fj8upwrd3pm</t>
  </si>
  <si>
    <t>Upward Stars 18 BC</t>
  </si>
  <si>
    <t>fj8upwrd4pm</t>
  </si>
  <si>
    <t>Upward Stars 18 Vickie</t>
  </si>
  <si>
    <t>fj8colva1pm</t>
  </si>
  <si>
    <t>Columbia Volleyball Academy</t>
  </si>
  <si>
    <t>CVA Black</t>
  </si>
  <si>
    <t>fj8footh1pm</t>
  </si>
  <si>
    <t>Foothills 18 Penni</t>
  </si>
  <si>
    <t>fj8ladyc2pm</t>
  </si>
  <si>
    <t>OLC 18's Purple</t>
  </si>
  <si>
    <t>fj8lavaf1cr</t>
  </si>
  <si>
    <t>LAVA Flames 18</t>
  </si>
  <si>
    <t>fj8netvc2so</t>
  </si>
  <si>
    <t>NETVC 18D</t>
  </si>
  <si>
    <t>fj8sandh1cr</t>
  </si>
  <si>
    <t>Lightning 18</t>
  </si>
  <si>
    <t>fj8swarm1pm</t>
  </si>
  <si>
    <t>Swarm VBC</t>
  </si>
  <si>
    <t>SWARM18U</t>
  </si>
  <si>
    <t>fj6sbrun1cr</t>
  </si>
  <si>
    <t>Breakers</t>
  </si>
  <si>
    <t>fj6setpt1cr</t>
  </si>
  <si>
    <t>Set Point 16 Black</t>
  </si>
  <si>
    <t>Set Point</t>
  </si>
  <si>
    <t>fj7capef1cr</t>
  </si>
  <si>
    <t>Cape Fear 17-Riptide Chan</t>
  </si>
  <si>
    <t>Cape Fear</t>
  </si>
  <si>
    <t>Augusta Prep Crt 3-4</t>
  </si>
  <si>
    <t xml:space="preserve"> 5th place from each pool does not advance, will be 9th &amp; 10th  place overall based on net pts</t>
  </si>
  <si>
    <t>5  refs</t>
  </si>
  <si>
    <t>POOL PLAY FORMAT: Best of 3 (25-25-15) 2 pt cap  Start at 0</t>
  </si>
  <si>
    <t>POOL PLAY FORMAT: Best of 3 (25-25-15) 2 pt cap.  Start at 0</t>
  </si>
  <si>
    <t>Augusta Prep Crt 1-2</t>
  </si>
  <si>
    <t>Version : 6.0</t>
  </si>
  <si>
    <t>Greenbrier HS</t>
  </si>
  <si>
    <t>13 Division A</t>
  </si>
  <si>
    <t>loriluluburd@gmail.com</t>
  </si>
  <si>
    <t>770-653-2087</t>
  </si>
  <si>
    <t xml:space="preserve"> 8:49</t>
  </si>
  <si>
    <t>Version : 5</t>
  </si>
  <si>
    <t>POOL PLAY FORMAT: Best of 3 (25-25-15) 2 pt cap</t>
  </si>
  <si>
    <t>30 Minute Break</t>
  </si>
  <si>
    <r>
      <t xml:space="preserve">Playoff Format : All teams </t>
    </r>
    <r>
      <rPr>
        <sz val="11"/>
        <color theme="1"/>
        <rFont val="Calibri"/>
        <family val="2"/>
        <scheme val="minor"/>
      </rPr>
      <t>Before 4pm 25-25-15 start at 4.  If after 4pm, semi's 1 game to 25, finals 25-25-15 start at 4- no cap.  Warmups 3-3-1</t>
    </r>
  </si>
  <si>
    <t>BYE</t>
  </si>
  <si>
    <t>C1VB Juniors Grey</t>
  </si>
  <si>
    <t>Patriots Park Crt 3-4</t>
  </si>
  <si>
    <t>13 Division B</t>
  </si>
  <si>
    <t>TLVC 14 Gray</t>
  </si>
  <si>
    <t>fj4tlife2cr</t>
  </si>
  <si>
    <t>Patriots Park  Crt 1-2</t>
  </si>
  <si>
    <t>14 Division A</t>
  </si>
  <si>
    <t>TLVC</t>
  </si>
  <si>
    <t>Grovetown HS</t>
  </si>
  <si>
    <t xml:space="preserve"> POOL PLAY FORMAT:  Two games to 25, start at 6. Warmups 3-3-2  2pt cap</t>
  </si>
  <si>
    <t>7tm Kidz AM r2</t>
  </si>
  <si>
    <t>7tm Kidz AM r1</t>
  </si>
  <si>
    <t>7tm PM r2</t>
  </si>
  <si>
    <t>7tm Kidz PM r1</t>
  </si>
  <si>
    <t xml:space="preserve"> 12 Club 10 tm pool </t>
  </si>
  <si>
    <t xml:space="preserve">13 Club Div A 10 tm pool </t>
  </si>
  <si>
    <t>13 Club Div B 8 tm pool</t>
  </si>
  <si>
    <t xml:space="preserve">14 Club Div A 10 tm pool  </t>
  </si>
  <si>
    <t xml:space="preserve">14 Club Div B 10 tm pool </t>
  </si>
  <si>
    <t xml:space="preserve">15 Club Div B  5 tm pool </t>
  </si>
  <si>
    <t xml:space="preserve">16 Club 10 tm Pool </t>
  </si>
  <si>
    <t>17 Club 10 tm Pool</t>
  </si>
  <si>
    <t>18 Club  5 tm pool</t>
  </si>
  <si>
    <t>Paul Knox MS</t>
  </si>
  <si>
    <t>15 Club - A</t>
  </si>
  <si>
    <t>SSCVB-15U</t>
  </si>
  <si>
    <t>fj5ssvbc1so</t>
  </si>
  <si>
    <t>9"10</t>
  </si>
  <si>
    <t>Southern Slammers</t>
  </si>
  <si>
    <t>15 Club Div A 10 tm pool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</si>
</sst>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0.0%"/>
    <numFmt numFmtId="165" formatCode="0.##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sz val="18"/>
      <name val="Arial"/>
      <family val="2"/>
    </font>
    <font>
      <sz val="10"/>
      <color indexed="55"/>
      <name val="Arial"/>
      <family val="2"/>
    </font>
    <font>
      <sz val="5"/>
      <name val="Arial"/>
      <family val="2"/>
    </font>
    <font>
      <sz val="16"/>
      <name val="Arial"/>
      <family val="2"/>
    </font>
    <font>
      <sz val="6"/>
      <name val="Arial"/>
      <family val="2"/>
    </font>
    <font>
      <sz val="10"/>
      <color theme="0"/>
      <name val="Arial"/>
      <family val="2"/>
    </font>
    <font>
      <sz val="20"/>
      <name val="Arial"/>
      <family val="2"/>
    </font>
    <font>
      <u/>
      <sz val="10"/>
      <color indexed="12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name val="Arial"/>
    </font>
  </fonts>
  <fills count="17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</fills>
  <borders count="6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3">
    <xf numFmtId="0" fontId="0" fillId="0" borderId="0"/>
    <xf numFmtId="0" fontId="4" fillId="0" borderId="0"/>
    <xf numFmtId="44" fontId="4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/>
    <xf numFmtId="0" fontId="2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24" fillId="0" borderId="0"/>
  </cellStyleXfs>
  <cellXfs count="1633">
    <xf numFmtId="0" fontId="0" fillId="0" borderId="0" xfId="0"/>
    <xf numFmtId="0" fontId="4" fillId="2" borderId="0" xfId="1" applyFill="1" applyProtection="1"/>
    <xf numFmtId="0" fontId="4" fillId="2" borderId="0" xfId="1" applyFont="1" applyFill="1" applyAlignment="1" applyProtection="1">
      <alignment horizontal="center"/>
    </xf>
    <xf numFmtId="0" fontId="4" fillId="0" borderId="0" xfId="1" applyFill="1"/>
    <xf numFmtId="0" fontId="4" fillId="0" borderId="0" xfId="1"/>
    <xf numFmtId="0" fontId="4" fillId="0" borderId="0" xfId="1" applyAlignment="1">
      <alignment horizontal="right"/>
    </xf>
    <xf numFmtId="0" fontId="4" fillId="0" borderId="0" xfId="1" applyProtection="1">
      <protection locked="0"/>
    </xf>
    <xf numFmtId="0" fontId="4" fillId="2" borderId="0" xfId="1" applyFill="1"/>
    <xf numFmtId="0" fontId="4" fillId="0" borderId="5" xfId="1" applyFont="1" applyBorder="1" applyAlignment="1" applyProtection="1">
      <alignment horizontal="center"/>
      <protection locked="0"/>
    </xf>
    <xf numFmtId="0" fontId="5" fillId="0" borderId="7" xfId="1" applyFont="1" applyBorder="1" applyAlignment="1" applyProtection="1">
      <alignment horizontal="center"/>
      <protection locked="0"/>
    </xf>
    <xf numFmtId="0" fontId="5" fillId="0" borderId="8" xfId="1" applyFont="1" applyBorder="1" applyAlignment="1" applyProtection="1">
      <alignment horizontal="center"/>
      <protection locked="0"/>
    </xf>
    <xf numFmtId="0" fontId="5" fillId="0" borderId="6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0" fontId="8" fillId="3" borderId="10" xfId="1" applyFont="1" applyFill="1" applyBorder="1" applyAlignment="1" applyProtection="1">
      <alignment horizontal="center" vertical="center" wrapText="1"/>
      <protection locked="0"/>
    </xf>
    <xf numFmtId="0" fontId="4" fillId="0" borderId="13" xfId="1" applyFont="1" applyBorder="1" applyAlignment="1" applyProtection="1">
      <alignment horizontal="center"/>
      <protection locked="0"/>
    </xf>
    <xf numFmtId="0" fontId="4" fillId="0" borderId="14" xfId="1" applyFont="1" applyBorder="1" applyAlignment="1" applyProtection="1">
      <alignment vertical="top"/>
      <protection locked="0"/>
    </xf>
    <xf numFmtId="2" fontId="4" fillId="0" borderId="16" xfId="1" applyNumberFormat="1" applyBorder="1" applyAlignment="1">
      <alignment horizontal="center"/>
    </xf>
    <xf numFmtId="2" fontId="4" fillId="0" borderId="17" xfId="1" applyNumberFormat="1" applyBorder="1" applyAlignment="1">
      <alignment horizontal="center"/>
    </xf>
    <xf numFmtId="0" fontId="4" fillId="0" borderId="18" xfId="1" applyFont="1" applyBorder="1" applyAlignment="1" applyProtection="1">
      <alignment horizontal="center"/>
      <protection locked="0"/>
    </xf>
    <xf numFmtId="2" fontId="4" fillId="0" borderId="18" xfId="1" applyNumberFormat="1" applyBorder="1" applyAlignment="1">
      <alignment horizontal="center"/>
    </xf>
    <xf numFmtId="2" fontId="4" fillId="0" borderId="19" xfId="1" applyNumberFormat="1" applyBorder="1" applyAlignment="1">
      <alignment horizontal="center"/>
    </xf>
    <xf numFmtId="0" fontId="5" fillId="0" borderId="10" xfId="1" applyFont="1" applyBorder="1" applyAlignment="1" applyProtection="1">
      <alignment horizontal="center" vertical="center"/>
    </xf>
    <xf numFmtId="0" fontId="9" fillId="0" borderId="10" xfId="1" applyFont="1" applyBorder="1" applyAlignment="1" applyProtection="1">
      <alignment horizontal="center" vertical="center"/>
      <protection locked="0"/>
    </xf>
    <xf numFmtId="0" fontId="5" fillId="3" borderId="10" xfId="1" applyFont="1" applyFill="1" applyBorder="1" applyAlignment="1">
      <alignment horizontal="center" vertical="center"/>
    </xf>
    <xf numFmtId="0" fontId="5" fillId="3" borderId="10" xfId="1" applyFont="1" applyFill="1" applyBorder="1" applyAlignment="1">
      <alignment horizontal="center" vertical="center" wrapText="1"/>
    </xf>
    <xf numFmtId="0" fontId="7" fillId="3" borderId="10" xfId="1" applyFont="1" applyFill="1" applyBorder="1" applyAlignment="1">
      <alignment horizontal="center" vertical="center"/>
    </xf>
    <xf numFmtId="0" fontId="4" fillId="2" borderId="0" xfId="1" applyFill="1" applyBorder="1" applyAlignment="1"/>
    <xf numFmtId="0" fontId="11" fillId="2" borderId="0" xfId="1" applyFont="1" applyFill="1" applyAlignment="1" applyProtection="1">
      <alignment horizontal="center"/>
      <protection locked="0"/>
    </xf>
    <xf numFmtId="0" fontId="11" fillId="2" borderId="0" xfId="1" applyFont="1" applyFill="1" applyBorder="1" applyAlignment="1"/>
    <xf numFmtId="0" fontId="11" fillId="0" borderId="0" xfId="1" applyFont="1" applyFill="1" applyBorder="1" applyAlignment="1"/>
    <xf numFmtId="0" fontId="4" fillId="2" borderId="0" xfId="1" applyFill="1" applyAlignment="1"/>
    <xf numFmtId="0" fontId="11" fillId="2" borderId="0" xfId="1" applyFont="1" applyFill="1"/>
    <xf numFmtId="0" fontId="4" fillId="0" borderId="38" xfId="1" applyFont="1" applyBorder="1" applyAlignment="1" applyProtection="1">
      <alignment horizontal="center"/>
      <protection locked="0"/>
    </xf>
    <xf numFmtId="2" fontId="4" fillId="0" borderId="38" xfId="1" applyNumberFormat="1" applyBorder="1" applyAlignment="1">
      <alignment horizontal="center"/>
    </xf>
    <xf numFmtId="2" fontId="4" fillId="0" borderId="40" xfId="1" applyNumberFormat="1" applyBorder="1" applyAlignment="1">
      <alignment horizontal="center"/>
    </xf>
    <xf numFmtId="0" fontId="7" fillId="2" borderId="0" xfId="1" applyFont="1" applyFill="1" applyBorder="1" applyAlignment="1" applyProtection="1">
      <alignment vertical="center" wrapText="1"/>
      <protection locked="0"/>
    </xf>
    <xf numFmtId="0" fontId="5" fillId="2" borderId="0" xfId="1" applyFont="1" applyFill="1" applyBorder="1" applyAlignment="1" applyProtection="1">
      <alignment vertical="center" wrapText="1"/>
      <protection locked="0"/>
    </xf>
    <xf numFmtId="0" fontId="4" fillId="0" borderId="0" xfId="1" applyBorder="1" applyAlignment="1" applyProtection="1">
      <alignment horizontal="center"/>
      <protection locked="0"/>
    </xf>
    <xf numFmtId="0" fontId="4" fillId="0" borderId="0" xfId="1" applyFont="1" applyBorder="1" applyAlignment="1" applyProtection="1">
      <alignment horizontal="center"/>
      <protection locked="0"/>
    </xf>
    <xf numFmtId="0" fontId="4" fillId="2" borderId="0" xfId="1" applyFill="1" applyBorder="1" applyAlignment="1">
      <alignment horizontal="center" vertical="center"/>
    </xf>
    <xf numFmtId="0" fontId="12" fillId="0" borderId="0" xfId="1" applyFont="1" applyAlignment="1">
      <alignment horizontal="right"/>
    </xf>
    <xf numFmtId="0" fontId="4" fillId="3" borderId="53" xfId="1" applyFill="1" applyBorder="1" applyAlignment="1">
      <alignment horizontal="center" vertical="center"/>
    </xf>
    <xf numFmtId="0" fontId="4" fillId="6" borderId="54" xfId="1" applyFill="1" applyBorder="1" applyAlignment="1">
      <alignment horizontal="center"/>
    </xf>
    <xf numFmtId="0" fontId="4" fillId="3" borderId="54" xfId="1" applyFill="1" applyBorder="1" applyAlignment="1">
      <alignment horizontal="center" vertical="center"/>
    </xf>
    <xf numFmtId="0" fontId="7" fillId="3" borderId="54" xfId="1" applyFont="1" applyFill="1" applyBorder="1" applyProtection="1">
      <protection locked="0"/>
    </xf>
    <xf numFmtId="0" fontId="7" fillId="2" borderId="54" xfId="1" applyFont="1" applyFill="1" applyBorder="1" applyAlignment="1">
      <alignment horizontal="center"/>
    </xf>
    <xf numFmtId="0" fontId="7" fillId="3" borderId="54" xfId="1" applyFont="1" applyFill="1" applyBorder="1" applyAlignment="1" applyProtection="1">
      <alignment horizontal="left"/>
      <protection locked="0"/>
    </xf>
    <xf numFmtId="0" fontId="4" fillId="0" borderId="54" xfId="1" applyBorder="1" applyAlignment="1">
      <alignment horizontal="center" vertical="center"/>
    </xf>
    <xf numFmtId="0" fontId="9" fillId="0" borderId="51" xfId="1" applyFont="1" applyFill="1" applyBorder="1" applyProtection="1">
      <protection locked="0"/>
    </xf>
    <xf numFmtId="0" fontId="4" fillId="2" borderId="52" xfId="1" applyFill="1" applyBorder="1" applyAlignment="1">
      <alignment horizontal="center"/>
    </xf>
    <xf numFmtId="0" fontId="9" fillId="0" borderId="53" xfId="1" applyFont="1" applyFill="1" applyBorder="1" applyAlignment="1" applyProtection="1">
      <alignment horizontal="left"/>
      <protection locked="0"/>
    </xf>
    <xf numFmtId="0" fontId="4" fillId="0" borderId="53" xfId="1" applyBorder="1" applyAlignment="1">
      <alignment horizontal="center" vertical="center"/>
    </xf>
    <xf numFmtId="0" fontId="14" fillId="2" borderId="0" xfId="1" applyFont="1" applyFill="1"/>
    <xf numFmtId="0" fontId="4" fillId="0" borderId="0" xfId="1" applyAlignment="1">
      <alignment horizontal="center"/>
    </xf>
    <xf numFmtId="0" fontId="4" fillId="0" borderId="0" xfId="1" applyFill="1" applyProtection="1">
      <protection hidden="1"/>
    </xf>
    <xf numFmtId="0" fontId="4" fillId="6" borderId="0" xfId="1" applyFill="1" applyProtection="1">
      <protection hidden="1"/>
    </xf>
    <xf numFmtId="0" fontId="4" fillId="6" borderId="0" xfId="1" applyFill="1" applyAlignment="1" applyProtection="1">
      <alignment horizontal="left"/>
      <protection hidden="1"/>
    </xf>
    <xf numFmtId="0" fontId="4" fillId="0" borderId="0" xfId="1" applyFill="1" applyAlignment="1" applyProtection="1">
      <alignment horizontal="center"/>
      <protection hidden="1"/>
    </xf>
    <xf numFmtId="0" fontId="4" fillId="0" borderId="0" xfId="1" applyFill="1" applyAlignment="1" applyProtection="1">
      <alignment wrapText="1"/>
      <protection hidden="1"/>
    </xf>
    <xf numFmtId="0" fontId="4" fillId="0" borderId="0" xfId="1" applyFill="1" applyAlignment="1" applyProtection="1">
      <alignment horizontal="left"/>
      <protection hidden="1"/>
    </xf>
    <xf numFmtId="0" fontId="4" fillId="0" borderId="0" xfId="1" applyAlignment="1" applyProtection="1">
      <alignment horizontal="left"/>
    </xf>
    <xf numFmtId="0" fontId="4" fillId="0" borderId="0" xfId="1" applyAlignment="1" applyProtection="1">
      <alignment horizontal="center"/>
      <protection locked="0"/>
    </xf>
    <xf numFmtId="0" fontId="4" fillId="0" borderId="0" xfId="1" applyProtection="1">
      <protection hidden="1"/>
    </xf>
    <xf numFmtId="0" fontId="5" fillId="0" borderId="0" xfId="1" applyFont="1"/>
    <xf numFmtId="0" fontId="5" fillId="0" borderId="0" xfId="1" applyFont="1" applyProtection="1">
      <protection hidden="1"/>
    </xf>
    <xf numFmtId="0" fontId="4" fillId="0" borderId="0" xfId="1" applyAlignment="1" applyProtection="1">
      <alignment horizontal="center"/>
      <protection hidden="1"/>
    </xf>
    <xf numFmtId="0" fontId="15" fillId="0" borderId="0" xfId="1" applyFont="1"/>
    <xf numFmtId="2" fontId="15" fillId="0" borderId="0" xfId="1" applyNumberFormat="1" applyFont="1"/>
    <xf numFmtId="2" fontId="4" fillId="0" borderId="0" xfId="1" applyNumberFormat="1"/>
    <xf numFmtId="2" fontId="4" fillId="0" borderId="0" xfId="1" applyNumberFormat="1" applyAlignment="1" applyProtection="1">
      <alignment horizontal="left"/>
    </xf>
    <xf numFmtId="2" fontId="4" fillId="0" borderId="0" xfId="1" applyNumberFormat="1" applyAlignment="1" applyProtection="1">
      <alignment horizontal="center"/>
      <protection locked="0"/>
    </xf>
    <xf numFmtId="2" fontId="4" fillId="0" borderId="0" xfId="1" applyNumberFormat="1" applyProtection="1">
      <protection hidden="1"/>
    </xf>
    <xf numFmtId="2" fontId="4" fillId="0" borderId="0" xfId="1" applyNumberFormat="1" applyAlignment="1" applyProtection="1">
      <alignment horizontal="center"/>
      <protection hidden="1"/>
    </xf>
    <xf numFmtId="1" fontId="15" fillId="0" borderId="0" xfId="1" applyNumberFormat="1" applyFont="1"/>
    <xf numFmtId="1" fontId="4" fillId="0" borderId="0" xfId="1" applyNumberFormat="1"/>
    <xf numFmtId="1" fontId="4" fillId="0" borderId="0" xfId="1" applyNumberFormat="1" applyAlignment="1" applyProtection="1">
      <alignment horizontal="left"/>
    </xf>
    <xf numFmtId="1" fontId="4" fillId="0" borderId="0" xfId="1" applyNumberFormat="1" applyAlignment="1" applyProtection="1">
      <alignment horizontal="center"/>
      <protection locked="0"/>
    </xf>
    <xf numFmtId="1" fontId="4" fillId="0" borderId="0" xfId="1" applyNumberFormat="1" applyProtection="1">
      <protection hidden="1"/>
    </xf>
    <xf numFmtId="1" fontId="4" fillId="0" borderId="0" xfId="1" applyNumberFormat="1" applyAlignment="1" applyProtection="1">
      <alignment horizontal="center"/>
      <protection hidden="1"/>
    </xf>
    <xf numFmtId="0" fontId="4" fillId="0" borderId="0" xfId="1" applyAlignment="1" applyProtection="1">
      <alignment horizontal="left"/>
    </xf>
    <xf numFmtId="0" fontId="4" fillId="0" borderId="0" xfId="1" applyAlignment="1" applyProtection="1">
      <alignment horizontal="center"/>
      <protection locked="0"/>
    </xf>
    <xf numFmtId="0" fontId="4" fillId="0" borderId="43" xfId="1" applyBorder="1" applyProtection="1">
      <protection locked="0"/>
    </xf>
    <xf numFmtId="0" fontId="4" fillId="0" borderId="11" xfId="1" applyBorder="1" applyProtection="1">
      <protection locked="0"/>
    </xf>
    <xf numFmtId="0" fontId="4" fillId="0" borderId="0" xfId="1" applyFill="1" applyProtection="1">
      <protection locked="0"/>
    </xf>
    <xf numFmtId="0" fontId="17" fillId="0" borderId="0" xfId="1" applyFont="1" applyFill="1" applyBorder="1" applyAlignment="1">
      <alignment horizontal="center"/>
    </xf>
    <xf numFmtId="0" fontId="4" fillId="0" borderId="0" xfId="1" applyFont="1" applyAlignment="1">
      <alignment horizontal="left"/>
    </xf>
    <xf numFmtId="0" fontId="12" fillId="0" borderId="0" xfId="1" applyFont="1"/>
    <xf numFmtId="0" fontId="4" fillId="0" borderId="0" xfId="1" applyBorder="1"/>
    <xf numFmtId="0" fontId="4" fillId="0" borderId="0" xfId="1" applyBorder="1" applyAlignment="1">
      <alignment horizontal="center"/>
    </xf>
    <xf numFmtId="0" fontId="4" fillId="0" borderId="43" xfId="1" applyBorder="1"/>
    <xf numFmtId="0" fontId="12" fillId="0" borderId="0" xfId="1" applyFont="1" applyBorder="1" applyAlignment="1" applyProtection="1">
      <alignment horizontal="center"/>
      <protection locked="0"/>
    </xf>
    <xf numFmtId="0" fontId="4" fillId="0" borderId="44" xfId="1" applyBorder="1"/>
    <xf numFmtId="0" fontId="4" fillId="0" borderId="0" xfId="1" applyBorder="1" applyAlignment="1" applyProtection="1">
      <protection locked="0"/>
    </xf>
    <xf numFmtId="0" fontId="4" fillId="0" borderId="0" xfId="1" applyBorder="1" applyProtection="1">
      <protection locked="0"/>
    </xf>
    <xf numFmtId="0" fontId="17" fillId="0" borderId="0" xfId="1" applyFont="1" applyBorder="1" applyAlignment="1" applyProtection="1">
      <protection locked="0"/>
    </xf>
    <xf numFmtId="0" fontId="12" fillId="0" borderId="0" xfId="1" applyFont="1" applyBorder="1" applyAlignment="1" applyProtection="1">
      <protection locked="0"/>
    </xf>
    <xf numFmtId="0" fontId="4" fillId="0" borderId="0" xfId="1" applyBorder="1" applyAlignment="1" applyProtection="1">
      <alignment horizontal="center"/>
      <protection locked="0"/>
    </xf>
    <xf numFmtId="0" fontId="4" fillId="0" borderId="0" xfId="1" applyBorder="1" applyAlignment="1"/>
    <xf numFmtId="0" fontId="4" fillId="0" borderId="44" xfId="1" applyBorder="1" applyAlignment="1"/>
    <xf numFmtId="0" fontId="7" fillId="0" borderId="0" xfId="1" applyFont="1" applyAlignment="1">
      <alignment horizontal="center"/>
    </xf>
    <xf numFmtId="0" fontId="4" fillId="0" borderId="10" xfId="1" applyBorder="1" applyAlignment="1">
      <alignment horizontal="center"/>
    </xf>
    <xf numFmtId="0" fontId="4" fillId="0" borderId="0" xfId="1" applyFill="1" applyBorder="1"/>
    <xf numFmtId="0" fontId="5" fillId="3" borderId="18" xfId="1" applyFont="1" applyFill="1" applyBorder="1" applyAlignment="1" applyProtection="1">
      <alignment horizontal="right"/>
      <protection locked="0"/>
    </xf>
    <xf numFmtId="0" fontId="5" fillId="2" borderId="54" xfId="1" applyFont="1" applyFill="1" applyBorder="1" applyAlignment="1">
      <alignment horizontal="center"/>
    </xf>
    <xf numFmtId="0" fontId="5" fillId="3" borderId="54" xfId="1" applyFont="1" applyFill="1" applyBorder="1" applyAlignment="1" applyProtection="1">
      <alignment horizontal="left"/>
      <protection locked="0"/>
    </xf>
    <xf numFmtId="0" fontId="5" fillId="3" borderId="54" xfId="1" applyFont="1" applyFill="1" applyBorder="1" applyProtection="1">
      <protection locked="0"/>
    </xf>
    <xf numFmtId="0" fontId="5" fillId="3" borderId="54" xfId="1" applyFont="1" applyFill="1" applyBorder="1" applyProtection="1"/>
    <xf numFmtId="0" fontId="5" fillId="2" borderId="54" xfId="1" applyFont="1" applyFill="1" applyBorder="1" applyAlignment="1" applyProtection="1">
      <alignment horizontal="center"/>
    </xf>
    <xf numFmtId="0" fontId="5" fillId="3" borderId="19" xfId="1" applyFont="1" applyFill="1" applyBorder="1" applyAlignment="1" applyProtection="1">
      <alignment horizontal="left"/>
    </xf>
    <xf numFmtId="0" fontId="5" fillId="3" borderId="55" xfId="1" applyFont="1" applyFill="1" applyBorder="1" applyAlignment="1" applyProtection="1">
      <alignment horizontal="right"/>
      <protection locked="0"/>
    </xf>
    <xf numFmtId="0" fontId="5" fillId="2" borderId="52" xfId="1" applyFont="1" applyFill="1" applyBorder="1" applyAlignment="1">
      <alignment horizontal="center"/>
    </xf>
    <xf numFmtId="0" fontId="5" fillId="3" borderId="52" xfId="1" applyFont="1" applyFill="1" applyBorder="1" applyAlignment="1" applyProtection="1">
      <alignment horizontal="left"/>
      <protection locked="0"/>
    </xf>
    <xf numFmtId="0" fontId="5" fillId="0" borderId="27" xfId="1" applyFont="1" applyFill="1" applyBorder="1" applyAlignment="1">
      <alignment horizontal="center"/>
    </xf>
    <xf numFmtId="0" fontId="5" fillId="0" borderId="28" xfId="1" applyFont="1" applyFill="1" applyBorder="1" applyAlignment="1">
      <alignment horizontal="center"/>
    </xf>
    <xf numFmtId="0" fontId="5" fillId="0" borderId="29" xfId="1" applyFont="1" applyFill="1" applyBorder="1" applyAlignment="1">
      <alignment horizontal="center"/>
    </xf>
    <xf numFmtId="0" fontId="5" fillId="0" borderId="2" xfId="1" applyFont="1" applyFill="1" applyBorder="1" applyAlignment="1">
      <alignment horizontal="center"/>
    </xf>
    <xf numFmtId="0" fontId="5" fillId="0" borderId="4" xfId="1" applyFont="1" applyFill="1" applyBorder="1" applyAlignment="1">
      <alignment horizontal="center"/>
    </xf>
    <xf numFmtId="0" fontId="4" fillId="0" borderId="55" xfId="1" applyFill="1" applyBorder="1" applyProtection="1">
      <protection locked="0"/>
    </xf>
    <xf numFmtId="0" fontId="4" fillId="0" borderId="53" xfId="1" applyFill="1" applyBorder="1" applyAlignment="1" applyProtection="1">
      <alignment horizontal="left"/>
      <protection locked="0"/>
    </xf>
    <xf numFmtId="0" fontId="4" fillId="0" borderId="51" xfId="1" applyFill="1" applyBorder="1" applyProtection="1">
      <protection locked="0"/>
    </xf>
    <xf numFmtId="0" fontId="4" fillId="0" borderId="56" xfId="1" applyFill="1" applyBorder="1" applyAlignment="1" applyProtection="1">
      <alignment horizontal="left"/>
      <protection locked="0"/>
    </xf>
    <xf numFmtId="0" fontId="4" fillId="0" borderId="0" xfId="1" applyFill="1" applyBorder="1" applyAlignment="1"/>
    <xf numFmtId="0" fontId="4" fillId="0" borderId="31" xfId="1" applyFill="1" applyBorder="1" applyProtection="1">
      <protection locked="0"/>
    </xf>
    <xf numFmtId="0" fontId="4" fillId="2" borderId="32" xfId="1" applyFill="1" applyBorder="1" applyAlignment="1">
      <alignment horizontal="center"/>
    </xf>
    <xf numFmtId="0" fontId="4" fillId="0" borderId="33" xfId="1" applyFill="1" applyBorder="1" applyAlignment="1" applyProtection="1">
      <alignment horizontal="left"/>
      <protection locked="0"/>
    </xf>
    <xf numFmtId="0" fontId="4" fillId="0" borderId="57" xfId="1" applyFill="1" applyBorder="1" applyProtection="1">
      <protection locked="0"/>
    </xf>
    <xf numFmtId="0" fontId="4" fillId="0" borderId="58" xfId="1" applyFill="1" applyBorder="1" applyAlignment="1" applyProtection="1">
      <alignment horizontal="left"/>
      <protection locked="0"/>
    </xf>
    <xf numFmtId="0" fontId="4" fillId="0" borderId="0" xfId="1" applyFill="1" applyBorder="1" applyAlignment="1">
      <alignment horizontal="center"/>
    </xf>
    <xf numFmtId="0" fontId="4" fillId="0" borderId="0" xfId="1" applyAlignment="1"/>
    <xf numFmtId="0" fontId="4" fillId="0" borderId="0" xfId="1" applyAlignment="1">
      <alignment horizontal="center"/>
    </xf>
    <xf numFmtId="0" fontId="4" fillId="0" borderId="0" xfId="1" applyBorder="1" applyAlignment="1">
      <alignment horizontal="center"/>
    </xf>
    <xf numFmtId="0" fontId="23" fillId="2" borderId="0" xfId="11" applyFill="1" applyProtection="1"/>
    <xf numFmtId="0" fontId="23" fillId="2" borderId="0" xfId="11" applyFont="1" applyFill="1" applyAlignment="1" applyProtection="1">
      <alignment horizontal="center"/>
    </xf>
    <xf numFmtId="0" fontId="23" fillId="0" borderId="0" xfId="11" applyFill="1"/>
    <xf numFmtId="0" fontId="23" fillId="0" borderId="0" xfId="11"/>
    <xf numFmtId="0" fontId="5" fillId="0" borderId="6" xfId="11" applyFont="1" applyBorder="1" applyAlignment="1" applyProtection="1">
      <protection locked="0"/>
    </xf>
    <xf numFmtId="0" fontId="23" fillId="0" borderId="0" xfId="11" applyAlignment="1">
      <alignment horizontal="right"/>
    </xf>
    <xf numFmtId="0" fontId="23" fillId="0" borderId="0" xfId="11" applyProtection="1">
      <protection locked="0"/>
    </xf>
    <xf numFmtId="0" fontId="23" fillId="2" borderId="0" xfId="11" applyFill="1"/>
    <xf numFmtId="0" fontId="23" fillId="0" borderId="5" xfId="11" applyFont="1" applyBorder="1" applyAlignment="1" applyProtection="1">
      <alignment horizontal="center"/>
      <protection locked="0"/>
    </xf>
    <xf numFmtId="0" fontId="5" fillId="0" borderId="7" xfId="11" applyFont="1" applyBorder="1" applyAlignment="1" applyProtection="1">
      <alignment horizontal="center"/>
      <protection locked="0"/>
    </xf>
    <xf numFmtId="0" fontId="5" fillId="0" borderId="8" xfId="11" applyFont="1" applyBorder="1" applyAlignment="1" applyProtection="1">
      <alignment horizontal="center"/>
      <protection locked="0"/>
    </xf>
    <xf numFmtId="0" fontId="5" fillId="0" borderId="6" xfId="11" applyFont="1" applyBorder="1" applyAlignment="1">
      <alignment horizontal="center"/>
    </xf>
    <xf numFmtId="0" fontId="5" fillId="0" borderId="9" xfId="11" applyFont="1" applyBorder="1" applyAlignment="1">
      <alignment horizontal="center"/>
    </xf>
    <xf numFmtId="0" fontId="8" fillId="3" borderId="10" xfId="11" applyFont="1" applyFill="1" applyBorder="1" applyAlignment="1" applyProtection="1">
      <alignment horizontal="center" vertical="center" wrapText="1"/>
      <protection locked="0"/>
    </xf>
    <xf numFmtId="0" fontId="23" fillId="0" borderId="13" xfId="11" applyFont="1" applyBorder="1" applyAlignment="1" applyProtection="1">
      <alignment horizontal="center"/>
      <protection locked="0"/>
    </xf>
    <xf numFmtId="0" fontId="23" fillId="0" borderId="14" xfId="6" applyFont="1" applyBorder="1" applyAlignment="1" applyProtection="1">
      <alignment vertical="top"/>
      <protection locked="0"/>
    </xf>
    <xf numFmtId="0" fontId="23" fillId="0" borderId="15" xfId="11" applyBorder="1" applyAlignment="1" applyProtection="1">
      <alignment horizontal="center"/>
      <protection locked="0"/>
    </xf>
    <xf numFmtId="2" fontId="23" fillId="0" borderId="16" xfId="11" applyNumberFormat="1" applyBorder="1" applyAlignment="1">
      <alignment horizontal="center"/>
    </xf>
    <xf numFmtId="2" fontId="23" fillId="0" borderId="17" xfId="11" applyNumberFormat="1" applyBorder="1" applyAlignment="1">
      <alignment horizontal="center"/>
    </xf>
    <xf numFmtId="0" fontId="23" fillId="0" borderId="18" xfId="11" applyFont="1" applyBorder="1" applyAlignment="1" applyProtection="1">
      <alignment horizontal="center"/>
      <protection locked="0"/>
    </xf>
    <xf numFmtId="2" fontId="23" fillId="0" borderId="18" xfId="11" applyNumberFormat="1" applyBorder="1" applyAlignment="1">
      <alignment horizontal="center"/>
    </xf>
    <xf numFmtId="2" fontId="23" fillId="0" borderId="19" xfId="11" applyNumberFormat="1" applyBorder="1" applyAlignment="1">
      <alignment horizontal="center"/>
    </xf>
    <xf numFmtId="0" fontId="5" fillId="0" borderId="10" xfId="11" applyFont="1" applyBorder="1" applyAlignment="1" applyProtection="1">
      <alignment horizontal="center" vertical="center"/>
    </xf>
    <xf numFmtId="0" fontId="9" fillId="0" borderId="10" xfId="11" applyFont="1" applyBorder="1" applyAlignment="1" applyProtection="1">
      <alignment horizontal="center" vertical="center"/>
      <protection locked="0"/>
    </xf>
    <xf numFmtId="0" fontId="5" fillId="3" borderId="10" xfId="11" applyFont="1" applyFill="1" applyBorder="1" applyAlignment="1">
      <alignment horizontal="center" vertical="center"/>
    </xf>
    <xf numFmtId="0" fontId="5" fillId="3" borderId="10" xfId="11" applyFont="1" applyFill="1" applyBorder="1" applyAlignment="1">
      <alignment horizontal="center" vertical="center" wrapText="1"/>
    </xf>
    <xf numFmtId="0" fontId="7" fillId="3" borderId="10" xfId="11" applyFont="1" applyFill="1" applyBorder="1" applyAlignment="1">
      <alignment horizontal="center" vertical="center"/>
    </xf>
    <xf numFmtId="0" fontId="23" fillId="2" borderId="0" xfId="11" applyFill="1" applyBorder="1" applyAlignment="1"/>
    <xf numFmtId="0" fontId="11" fillId="2" borderId="0" xfId="11" applyFont="1" applyFill="1" applyAlignment="1" applyProtection="1">
      <alignment horizontal="center"/>
      <protection locked="0"/>
    </xf>
    <xf numFmtId="0" fontId="11" fillId="2" borderId="0" xfId="11" applyFont="1" applyFill="1" applyBorder="1" applyAlignment="1"/>
    <xf numFmtId="0" fontId="11" fillId="0" borderId="0" xfId="11" applyFont="1" applyFill="1" applyBorder="1" applyAlignment="1"/>
    <xf numFmtId="0" fontId="23" fillId="0" borderId="38" xfId="11" applyFont="1" applyBorder="1" applyAlignment="1" applyProtection="1">
      <alignment horizontal="center"/>
      <protection locked="0"/>
    </xf>
    <xf numFmtId="2" fontId="23" fillId="0" borderId="38" xfId="11" applyNumberFormat="1" applyBorder="1" applyAlignment="1">
      <alignment horizontal="center"/>
    </xf>
    <xf numFmtId="2" fontId="23" fillId="0" borderId="40" xfId="11" applyNumberFormat="1" applyBorder="1" applyAlignment="1">
      <alignment horizontal="center"/>
    </xf>
    <xf numFmtId="0" fontId="23" fillId="0" borderId="0" xfId="11" applyFont="1" applyBorder="1" applyAlignment="1" applyProtection="1">
      <alignment horizontal="center"/>
      <protection locked="0"/>
    </xf>
    <xf numFmtId="0" fontId="23" fillId="0" borderId="0" xfId="11" applyBorder="1" applyAlignment="1" applyProtection="1">
      <alignment horizontal="center"/>
      <protection locked="0"/>
    </xf>
    <xf numFmtId="0" fontId="23" fillId="2" borderId="0" xfId="11" applyFill="1" applyAlignment="1"/>
    <xf numFmtId="0" fontId="11" fillId="2" borderId="0" xfId="11" applyFont="1" applyFill="1"/>
    <xf numFmtId="0" fontId="7" fillId="2" borderId="0" xfId="11" applyFont="1" applyFill="1" applyBorder="1" applyAlignment="1" applyProtection="1">
      <alignment vertical="center" wrapText="1"/>
      <protection locked="0"/>
    </xf>
    <xf numFmtId="0" fontId="5" fillId="2" borderId="0" xfId="11" applyFont="1" applyFill="1" applyBorder="1" applyAlignment="1" applyProtection="1">
      <alignment vertical="center" wrapText="1"/>
      <protection locked="0"/>
    </xf>
    <xf numFmtId="0" fontId="23" fillId="0" borderId="0" xfId="11" applyFont="1" applyBorder="1" applyAlignment="1">
      <alignment horizontal="center"/>
    </xf>
    <xf numFmtId="0" fontId="23" fillId="2" borderId="0" xfId="11" applyFill="1" applyBorder="1" applyAlignment="1">
      <alignment horizontal="center" vertical="center"/>
    </xf>
    <xf numFmtId="0" fontId="12" fillId="0" borderId="0" xfId="11" applyFont="1" applyAlignment="1">
      <alignment horizontal="right"/>
    </xf>
    <xf numFmtId="0" fontId="23" fillId="3" borderId="53" xfId="11" applyFill="1" applyBorder="1" applyAlignment="1">
      <alignment horizontal="center" vertical="center"/>
    </xf>
    <xf numFmtId="0" fontId="23" fillId="6" borderId="54" xfId="11" applyFill="1" applyBorder="1" applyAlignment="1">
      <alignment horizontal="center"/>
    </xf>
    <xf numFmtId="0" fontId="23" fillId="3" borderId="54" xfId="11" applyFill="1" applyBorder="1" applyAlignment="1">
      <alignment horizontal="center" vertical="center"/>
    </xf>
    <xf numFmtId="0" fontId="7" fillId="3" borderId="54" xfId="11" applyFont="1" applyFill="1" applyBorder="1" applyProtection="1">
      <protection locked="0"/>
    </xf>
    <xf numFmtId="0" fontId="7" fillId="2" borderId="54" xfId="11" applyFont="1" applyFill="1" applyBorder="1" applyAlignment="1">
      <alignment horizontal="center"/>
    </xf>
    <xf numFmtId="0" fontId="7" fillId="3" borderId="54" xfId="11" applyFont="1" applyFill="1" applyBorder="1" applyAlignment="1" applyProtection="1">
      <alignment horizontal="left"/>
      <protection locked="0"/>
    </xf>
    <xf numFmtId="0" fontId="23" fillId="0" borderId="54" xfId="11" applyBorder="1" applyAlignment="1">
      <alignment horizontal="center" vertical="center"/>
    </xf>
    <xf numFmtId="0" fontId="9" fillId="0" borderId="51" xfId="11" applyFont="1" applyFill="1" applyBorder="1" applyProtection="1">
      <protection locked="0"/>
    </xf>
    <xf numFmtId="0" fontId="23" fillId="2" borderId="52" xfId="11" applyFill="1" applyBorder="1" applyAlignment="1">
      <alignment horizontal="center"/>
    </xf>
    <xf numFmtId="0" fontId="9" fillId="0" borderId="53" xfId="11" applyFont="1" applyFill="1" applyBorder="1" applyAlignment="1" applyProtection="1">
      <alignment horizontal="left"/>
      <protection locked="0"/>
    </xf>
    <xf numFmtId="0" fontId="23" fillId="0" borderId="53" xfId="11" applyBorder="1" applyAlignment="1">
      <alignment horizontal="center" vertical="center"/>
    </xf>
    <xf numFmtId="0" fontId="14" fillId="2" borderId="0" xfId="11" applyFont="1" applyFill="1"/>
    <xf numFmtId="0" fontId="23" fillId="0" borderId="0" xfId="11" applyFill="1" applyProtection="1">
      <protection hidden="1"/>
    </xf>
    <xf numFmtId="0" fontId="23" fillId="6" borderId="0" xfId="11" applyFill="1" applyProtection="1">
      <protection hidden="1"/>
    </xf>
    <xf numFmtId="0" fontId="23" fillId="6" borderId="0" xfId="11" applyFill="1" applyAlignment="1" applyProtection="1">
      <alignment horizontal="left"/>
      <protection hidden="1"/>
    </xf>
    <xf numFmtId="0" fontId="23" fillId="0" borderId="0" xfId="11" applyFill="1" applyAlignment="1" applyProtection="1">
      <alignment wrapText="1"/>
      <protection hidden="1"/>
    </xf>
    <xf numFmtId="0" fontId="23" fillId="0" borderId="0" xfId="11" applyFill="1" applyAlignment="1" applyProtection="1">
      <alignment horizontal="left"/>
      <protection hidden="1"/>
    </xf>
    <xf numFmtId="0" fontId="23" fillId="0" borderId="0" xfId="11" applyAlignment="1" applyProtection="1">
      <alignment horizontal="left"/>
    </xf>
    <xf numFmtId="0" fontId="23" fillId="0" borderId="0" xfId="11" applyAlignment="1" applyProtection="1">
      <alignment horizontal="center"/>
      <protection locked="0"/>
    </xf>
    <xf numFmtId="0" fontId="23" fillId="0" borderId="0" xfId="11" applyProtection="1">
      <protection hidden="1"/>
    </xf>
    <xf numFmtId="0" fontId="23" fillId="0" borderId="0" xfId="11" applyAlignment="1">
      <alignment horizontal="center"/>
    </xf>
    <xf numFmtId="0" fontId="5" fillId="0" borderId="0" xfId="11" applyFont="1"/>
    <xf numFmtId="0" fontId="5" fillId="0" borderId="0" xfId="11" applyFont="1" applyProtection="1">
      <protection hidden="1"/>
    </xf>
    <xf numFmtId="0" fontId="23" fillId="0" borderId="0" xfId="11" applyAlignment="1" applyProtection="1">
      <alignment horizontal="center"/>
      <protection hidden="1"/>
    </xf>
    <xf numFmtId="0" fontId="15" fillId="0" borderId="0" xfId="11" applyFont="1"/>
    <xf numFmtId="2" fontId="15" fillId="0" borderId="0" xfId="11" applyNumberFormat="1" applyFont="1"/>
    <xf numFmtId="2" fontId="23" fillId="0" borderId="0" xfId="11" applyNumberFormat="1"/>
    <xf numFmtId="2" fontId="23" fillId="0" borderId="0" xfId="11" applyNumberFormat="1" applyAlignment="1" applyProtection="1">
      <alignment horizontal="left"/>
    </xf>
    <xf numFmtId="2" fontId="23" fillId="0" borderId="0" xfId="11" applyNumberFormat="1" applyAlignment="1" applyProtection="1">
      <alignment horizontal="center"/>
      <protection locked="0"/>
    </xf>
    <xf numFmtId="2" fontId="23" fillId="0" borderId="0" xfId="11" applyNumberFormat="1" applyProtection="1">
      <protection hidden="1"/>
    </xf>
    <xf numFmtId="2" fontId="23" fillId="0" borderId="0" xfId="11" applyNumberFormat="1" applyAlignment="1" applyProtection="1">
      <alignment horizontal="center"/>
      <protection hidden="1"/>
    </xf>
    <xf numFmtId="1" fontId="15" fillId="0" borderId="0" xfId="11" applyNumberFormat="1" applyFont="1"/>
    <xf numFmtId="1" fontId="23" fillId="0" borderId="0" xfId="11" applyNumberFormat="1"/>
    <xf numFmtId="1" fontId="23" fillId="0" borderId="0" xfId="11" applyNumberFormat="1" applyAlignment="1" applyProtection="1">
      <alignment horizontal="left"/>
    </xf>
    <xf numFmtId="1" fontId="23" fillId="0" borderId="0" xfId="11" applyNumberFormat="1" applyAlignment="1" applyProtection="1">
      <alignment horizontal="center"/>
      <protection locked="0"/>
    </xf>
    <xf numFmtId="1" fontId="23" fillId="0" borderId="0" xfId="11" applyNumberFormat="1" applyProtection="1">
      <protection hidden="1"/>
    </xf>
    <xf numFmtId="1" fontId="23" fillId="0" borderId="0" xfId="11" applyNumberFormat="1" applyAlignment="1" applyProtection="1">
      <alignment horizontal="center"/>
      <protection hidden="1"/>
    </xf>
    <xf numFmtId="0" fontId="23" fillId="0" borderId="11" xfId="11" applyBorder="1" applyProtection="1">
      <protection locked="0"/>
    </xf>
    <xf numFmtId="0" fontId="23" fillId="0" borderId="0" xfId="11" applyFill="1" applyProtection="1">
      <protection locked="0"/>
    </xf>
    <xf numFmtId="0" fontId="17" fillId="0" borderId="0" xfId="11" applyFont="1" applyFill="1" applyBorder="1" applyAlignment="1">
      <alignment horizontal="center"/>
    </xf>
    <xf numFmtId="0" fontId="23" fillId="0" borderId="0" xfId="11" applyFont="1" applyAlignment="1">
      <alignment horizontal="left"/>
    </xf>
    <xf numFmtId="0" fontId="12" fillId="0" borderId="0" xfId="11" applyFont="1"/>
    <xf numFmtId="0" fontId="23" fillId="0" borderId="0" xfId="11" applyFill="1" applyBorder="1"/>
    <xf numFmtId="0" fontId="23" fillId="0" borderId="0" xfId="11" applyFill="1" applyBorder="1" applyAlignment="1"/>
    <xf numFmtId="0" fontId="23" fillId="0" borderId="0" xfId="11" applyFill="1" applyBorder="1" applyAlignment="1" applyProtection="1">
      <protection locked="0"/>
    </xf>
    <xf numFmtId="0" fontId="23" fillId="0" borderId="0" xfId="11" applyBorder="1"/>
    <xf numFmtId="0" fontId="23" fillId="0" borderId="0" xfId="11" applyBorder="1" applyAlignment="1">
      <alignment horizontal="center"/>
    </xf>
    <xf numFmtId="0" fontId="23" fillId="0" borderId="0" xfId="11" applyFill="1" applyBorder="1" applyAlignment="1">
      <alignment horizontal="center"/>
    </xf>
    <xf numFmtId="0" fontId="23" fillId="0" borderId="43" xfId="11" applyBorder="1"/>
    <xf numFmtId="0" fontId="12" fillId="0" borderId="0" xfId="11" applyFont="1" applyBorder="1" applyAlignment="1" applyProtection="1">
      <alignment horizontal="center"/>
      <protection locked="0"/>
    </xf>
    <xf numFmtId="0" fontId="12" fillId="0" borderId="0" xfId="11" applyFont="1" applyFill="1" applyBorder="1" applyAlignment="1" applyProtection="1">
      <alignment horizontal="center"/>
      <protection locked="0"/>
    </xf>
    <xf numFmtId="0" fontId="12" fillId="0" borderId="0" xfId="11" applyFont="1" applyFill="1" applyBorder="1" applyAlignment="1" applyProtection="1">
      <protection locked="0"/>
    </xf>
    <xf numFmtId="0" fontId="23" fillId="0" borderId="0" xfId="11" applyBorder="1" applyProtection="1">
      <protection locked="0"/>
    </xf>
    <xf numFmtId="0" fontId="23" fillId="0" borderId="0" xfId="11" applyBorder="1" applyAlignment="1" applyProtection="1">
      <protection locked="0"/>
    </xf>
    <xf numFmtId="0" fontId="17" fillId="0" borderId="0" xfId="11" applyFont="1" applyBorder="1" applyAlignment="1" applyProtection="1">
      <protection locked="0"/>
    </xf>
    <xf numFmtId="0" fontId="17" fillId="0" borderId="0" xfId="11" applyFont="1" applyFill="1" applyBorder="1" applyAlignment="1"/>
    <xf numFmtId="0" fontId="12" fillId="0" borderId="0" xfId="11" applyFont="1" applyBorder="1" applyAlignment="1" applyProtection="1">
      <protection locked="0"/>
    </xf>
    <xf numFmtId="0" fontId="23" fillId="0" borderId="0" xfId="11" applyFill="1" applyBorder="1" applyAlignment="1" applyProtection="1"/>
    <xf numFmtId="0" fontId="23" fillId="0" borderId="0" xfId="11" applyBorder="1" applyAlignment="1"/>
    <xf numFmtId="0" fontId="17" fillId="0" borderId="0" xfId="11" applyFont="1" applyFill="1" applyBorder="1" applyAlignment="1" applyProtection="1">
      <protection locked="0"/>
    </xf>
    <xf numFmtId="0" fontId="7" fillId="0" borderId="0" xfId="11" applyFont="1" applyAlignment="1">
      <alignment horizontal="center"/>
    </xf>
    <xf numFmtId="0" fontId="7" fillId="0" borderId="0" xfId="11" applyFont="1" applyFill="1" applyBorder="1" applyAlignment="1" applyProtection="1">
      <protection locked="0"/>
    </xf>
    <xf numFmtId="0" fontId="23" fillId="0" borderId="10" xfId="11" applyBorder="1" applyAlignment="1">
      <alignment horizontal="center"/>
    </xf>
    <xf numFmtId="20" fontId="23" fillId="0" borderId="0" xfId="11" applyNumberFormat="1" applyFill="1" applyBorder="1" applyAlignment="1" applyProtection="1">
      <protection locked="0"/>
    </xf>
    <xf numFmtId="0" fontId="12" fillId="0" borderId="0" xfId="11" applyFont="1" applyFill="1" applyBorder="1" applyAlignment="1"/>
    <xf numFmtId="1" fontId="23" fillId="0" borderId="0" xfId="11" applyNumberFormat="1" applyFill="1" applyBorder="1" applyAlignment="1" applyProtection="1">
      <protection locked="0"/>
    </xf>
    <xf numFmtId="0" fontId="5" fillId="0" borderId="0" xfId="11" applyFont="1" applyFill="1" applyBorder="1" applyAlignment="1"/>
    <xf numFmtId="0" fontId="5" fillId="3" borderId="18" xfId="11" applyFont="1" applyFill="1" applyBorder="1" applyAlignment="1" applyProtection="1">
      <alignment horizontal="right"/>
      <protection locked="0"/>
    </xf>
    <xf numFmtId="0" fontId="5" fillId="2" borderId="54" xfId="11" applyFont="1" applyFill="1" applyBorder="1" applyAlignment="1">
      <alignment horizontal="center"/>
    </xf>
    <xf numFmtId="0" fontId="5" fillId="3" borderId="54" xfId="11" applyFont="1" applyFill="1" applyBorder="1" applyAlignment="1" applyProtection="1">
      <alignment horizontal="left"/>
      <protection locked="0"/>
    </xf>
    <xf numFmtId="0" fontId="5" fillId="3" borderId="54" xfId="11" applyFont="1" applyFill="1" applyBorder="1" applyProtection="1">
      <protection locked="0"/>
    </xf>
    <xf numFmtId="0" fontId="5" fillId="3" borderId="54" xfId="11" applyFont="1" applyFill="1" applyBorder="1" applyProtection="1"/>
    <xf numFmtId="0" fontId="5" fillId="2" borderId="54" xfId="11" applyFont="1" applyFill="1" applyBorder="1" applyAlignment="1" applyProtection="1">
      <alignment horizontal="center"/>
    </xf>
    <xf numFmtId="0" fontId="5" fillId="3" borderId="19" xfId="11" applyFont="1" applyFill="1" applyBorder="1" applyAlignment="1" applyProtection="1">
      <alignment horizontal="left"/>
    </xf>
    <xf numFmtId="0" fontId="5" fillId="0" borderId="0" xfId="11" applyFont="1" applyFill="1" applyBorder="1" applyAlignment="1" applyProtection="1">
      <alignment horizontal="right"/>
      <protection locked="0"/>
    </xf>
    <xf numFmtId="0" fontId="5" fillId="0" borderId="0" xfId="11" applyFont="1" applyFill="1" applyBorder="1" applyAlignment="1">
      <alignment horizontal="center"/>
    </xf>
    <xf numFmtId="0" fontId="5" fillId="0" borderId="0" xfId="11" applyFont="1" applyFill="1" applyBorder="1" applyAlignment="1" applyProtection="1">
      <alignment horizontal="left"/>
      <protection locked="0"/>
    </xf>
    <xf numFmtId="0" fontId="5" fillId="0" borderId="0" xfId="11" applyFont="1" applyFill="1" applyBorder="1" applyProtection="1">
      <protection locked="0"/>
    </xf>
    <xf numFmtId="0" fontId="5" fillId="0" borderId="0" xfId="11" applyFont="1" applyFill="1" applyBorder="1" applyProtection="1"/>
    <xf numFmtId="0" fontId="5" fillId="0" borderId="0" xfId="11" applyFont="1" applyFill="1" applyBorder="1" applyAlignment="1" applyProtection="1">
      <alignment horizontal="center"/>
    </xf>
    <xf numFmtId="0" fontId="5" fillId="0" borderId="0" xfId="11" applyFont="1" applyFill="1" applyBorder="1" applyAlignment="1" applyProtection="1">
      <alignment horizontal="left"/>
    </xf>
    <xf numFmtId="0" fontId="5" fillId="3" borderId="55" xfId="11" applyFont="1" applyFill="1" applyBorder="1" applyAlignment="1" applyProtection="1">
      <alignment horizontal="right"/>
      <protection locked="0"/>
    </xf>
    <xf numFmtId="0" fontId="5" fillId="2" borderId="52" xfId="11" applyFont="1" applyFill="1" applyBorder="1" applyAlignment="1">
      <alignment horizontal="center"/>
    </xf>
    <xf numFmtId="0" fontId="5" fillId="3" borderId="52" xfId="11" applyFont="1" applyFill="1" applyBorder="1" applyAlignment="1" applyProtection="1">
      <alignment horizontal="left"/>
      <protection locked="0"/>
    </xf>
    <xf numFmtId="0" fontId="5" fillId="0" borderId="27" xfId="11" applyFont="1" applyFill="1" applyBorder="1" applyAlignment="1">
      <alignment horizontal="center"/>
    </xf>
    <xf numFmtId="0" fontId="5" fillId="0" borderId="28" xfId="11" applyFont="1" applyFill="1" applyBorder="1" applyAlignment="1">
      <alignment horizontal="center"/>
    </xf>
    <xf numFmtId="0" fontId="5" fillId="0" borderId="29" xfId="11" applyFont="1" applyFill="1" applyBorder="1" applyAlignment="1">
      <alignment horizontal="center"/>
    </xf>
    <xf numFmtId="0" fontId="23" fillId="0" borderId="55" xfId="11" applyFill="1" applyBorder="1" applyProtection="1">
      <protection locked="0"/>
    </xf>
    <xf numFmtId="0" fontId="23" fillId="0" borderId="53" xfId="11" applyFill="1" applyBorder="1" applyAlignment="1" applyProtection="1">
      <alignment horizontal="left"/>
      <protection locked="0"/>
    </xf>
    <xf numFmtId="0" fontId="23" fillId="0" borderId="51" xfId="11" applyFill="1" applyBorder="1" applyProtection="1">
      <protection locked="0"/>
    </xf>
    <xf numFmtId="0" fontId="23" fillId="0" borderId="56" xfId="11" applyFill="1" applyBorder="1" applyAlignment="1" applyProtection="1">
      <alignment horizontal="left"/>
      <protection locked="0"/>
    </xf>
    <xf numFmtId="0" fontId="23" fillId="0" borderId="0" xfId="11" applyFill="1" applyBorder="1" applyAlignment="1">
      <alignment horizontal="right"/>
    </xf>
    <xf numFmtId="0" fontId="23" fillId="0" borderId="0" xfId="11" applyFill="1" applyBorder="1" applyProtection="1">
      <protection locked="0"/>
    </xf>
    <xf numFmtId="0" fontId="23" fillId="0" borderId="0" xfId="11" applyFill="1" applyBorder="1" applyAlignment="1" applyProtection="1">
      <alignment horizontal="left"/>
      <protection locked="0"/>
    </xf>
    <xf numFmtId="0" fontId="19" fillId="0" borderId="0" xfId="11" applyFont="1" applyFill="1" applyBorder="1" applyAlignment="1" applyProtection="1">
      <alignment vertical="center"/>
    </xf>
    <xf numFmtId="0" fontId="23" fillId="0" borderId="31" xfId="11" applyFill="1" applyBorder="1" applyProtection="1">
      <protection locked="0"/>
    </xf>
    <xf numFmtId="0" fontId="23" fillId="2" borderId="32" xfId="11" applyFill="1" applyBorder="1" applyAlignment="1">
      <alignment horizontal="center"/>
    </xf>
    <xf numFmtId="0" fontId="23" fillId="0" borderId="33" xfId="11" applyFill="1" applyBorder="1" applyAlignment="1" applyProtection="1">
      <alignment horizontal="left"/>
      <protection locked="0"/>
    </xf>
    <xf numFmtId="0" fontId="23" fillId="0" borderId="57" xfId="11" applyFill="1" applyBorder="1" applyProtection="1">
      <protection locked="0"/>
    </xf>
    <xf numFmtId="0" fontId="23" fillId="0" borderId="58" xfId="11" applyFill="1" applyBorder="1" applyAlignment="1" applyProtection="1">
      <alignment horizontal="left"/>
      <protection locked="0"/>
    </xf>
    <xf numFmtId="0" fontId="23" fillId="0" borderId="0" xfId="11" applyFill="1" applyAlignment="1" applyProtection="1">
      <alignment horizontal="center"/>
      <protection hidden="1"/>
    </xf>
    <xf numFmtId="0" fontId="3" fillId="14" borderId="0" xfId="10" applyFont="1" applyFill="1" applyBorder="1"/>
    <xf numFmtId="165" fontId="3" fillId="14" borderId="0" xfId="10" applyNumberFormat="1" applyFont="1" applyFill="1" applyBorder="1"/>
    <xf numFmtId="0" fontId="3" fillId="14" borderId="0" xfId="10" applyFont="1" applyFill="1" applyBorder="1" applyAlignment="1">
      <alignment wrapText="1"/>
    </xf>
    <xf numFmtId="0" fontId="1" fillId="14" borderId="0" xfId="10" applyFill="1" applyBorder="1"/>
    <xf numFmtId="165" fontId="1" fillId="14" borderId="0" xfId="10" applyNumberFormat="1" applyFill="1" applyBorder="1"/>
    <xf numFmtId="0" fontId="0" fillId="14" borderId="0" xfId="10" applyFont="1" applyFill="1" applyBorder="1"/>
    <xf numFmtId="165" fontId="2" fillId="14" borderId="0" xfId="10" applyNumberFormat="1" applyFont="1" applyFill="1" applyBorder="1"/>
    <xf numFmtId="0" fontId="0" fillId="0" borderId="0" xfId="0" applyNumberFormat="1" applyFont="1" applyFill="1" applyBorder="1" applyAlignment="1" applyProtection="1">
      <alignment horizontal="left" vertical="center"/>
    </xf>
    <xf numFmtId="0" fontId="23" fillId="0" borderId="0" xfId="11" applyAlignment="1"/>
    <xf numFmtId="0" fontId="5" fillId="0" borderId="4" xfId="11" applyFont="1" applyFill="1" applyBorder="1" applyAlignment="1">
      <alignment horizontal="center"/>
    </xf>
    <xf numFmtId="0" fontId="5" fillId="0" borderId="2" xfId="11" applyFont="1" applyFill="1" applyBorder="1" applyAlignment="1">
      <alignment horizontal="center"/>
    </xf>
    <xf numFmtId="0" fontId="23" fillId="0" borderId="44" xfId="11" applyBorder="1"/>
    <xf numFmtId="0" fontId="23" fillId="0" borderId="44" xfId="11" applyBorder="1" applyAlignment="1"/>
    <xf numFmtId="0" fontId="23" fillId="0" borderId="0" xfId="11" applyAlignment="1">
      <alignment wrapText="1"/>
    </xf>
    <xf numFmtId="0" fontId="23" fillId="0" borderId="0" xfId="11" applyAlignment="1">
      <alignment horizontal="center" wrapText="1"/>
    </xf>
    <xf numFmtId="0" fontId="23" fillId="0" borderId="43" xfId="11" applyBorder="1" applyProtection="1">
      <protection locked="0"/>
    </xf>
    <xf numFmtId="0" fontId="23" fillId="0" borderId="14" xfId="11" applyFont="1" applyBorder="1" applyAlignment="1" applyProtection="1">
      <alignment vertical="top"/>
      <protection locked="0"/>
    </xf>
    <xf numFmtId="2" fontId="23" fillId="15" borderId="40" xfId="11" applyNumberFormat="1" applyFill="1" applyBorder="1" applyAlignment="1">
      <alignment horizontal="center"/>
    </xf>
    <xf numFmtId="2" fontId="23" fillId="15" borderId="38" xfId="11" applyNumberFormat="1" applyFill="1" applyBorder="1" applyAlignment="1">
      <alignment horizontal="center"/>
    </xf>
    <xf numFmtId="0" fontId="23" fillId="15" borderId="40" xfId="11" applyFill="1" applyBorder="1" applyAlignment="1" applyProtection="1">
      <alignment horizontal="center"/>
      <protection locked="0"/>
    </xf>
    <xf numFmtId="0" fontId="23" fillId="15" borderId="59" xfId="11" applyFill="1" applyBorder="1" applyAlignment="1" applyProtection="1">
      <alignment horizontal="center"/>
      <protection locked="0"/>
    </xf>
    <xf numFmtId="0" fontId="23" fillId="15" borderId="41" xfId="11" applyFill="1" applyBorder="1" applyAlignment="1" applyProtection="1">
      <alignment horizontal="center"/>
      <protection locked="0"/>
    </xf>
    <xf numFmtId="0" fontId="23" fillId="15" borderId="38" xfId="11" applyFont="1" applyFill="1" applyBorder="1" applyAlignment="1" applyProtection="1">
      <alignment horizontal="center"/>
      <protection locked="0"/>
    </xf>
    <xf numFmtId="2" fontId="23" fillId="15" borderId="19" xfId="11" applyNumberFormat="1" applyFill="1" applyBorder="1" applyAlignment="1">
      <alignment horizontal="center"/>
    </xf>
    <xf numFmtId="2" fontId="23" fillId="15" borderId="18" xfId="11" applyNumberFormat="1" applyFill="1" applyBorder="1" applyAlignment="1">
      <alignment horizontal="center"/>
    </xf>
    <xf numFmtId="0" fontId="23" fillId="15" borderId="19" xfId="11" applyFill="1" applyBorder="1" applyAlignment="1" applyProtection="1">
      <alignment horizontal="center"/>
      <protection locked="0"/>
    </xf>
    <xf numFmtId="0" fontId="23" fillId="15" borderId="51" xfId="11" applyFill="1" applyBorder="1" applyAlignment="1" applyProtection="1">
      <alignment horizontal="center"/>
      <protection locked="0"/>
    </xf>
    <xf numFmtId="0" fontId="23" fillId="15" borderId="54" xfId="11" applyFill="1" applyBorder="1" applyAlignment="1" applyProtection="1">
      <alignment horizontal="center"/>
      <protection locked="0"/>
    </xf>
    <xf numFmtId="0" fontId="23" fillId="15" borderId="18" xfId="11" applyFont="1" applyFill="1" applyBorder="1" applyAlignment="1" applyProtection="1">
      <alignment horizontal="center"/>
      <protection locked="0"/>
    </xf>
    <xf numFmtId="0" fontId="23" fillId="0" borderId="51" xfId="11" applyBorder="1" applyAlignment="1" applyProtection="1">
      <alignment horizontal="center"/>
      <protection locked="0"/>
    </xf>
    <xf numFmtId="0" fontId="23" fillId="0" borderId="54" xfId="11" applyBorder="1" applyAlignment="1" applyProtection="1">
      <alignment horizontal="center"/>
      <protection locked="0"/>
    </xf>
    <xf numFmtId="0" fontId="23" fillId="0" borderId="48" xfId="11" applyBorder="1" applyAlignment="1" applyProtection="1">
      <alignment horizontal="center"/>
      <protection locked="0"/>
    </xf>
    <xf numFmtId="0" fontId="23" fillId="0" borderId="60" xfId="11" applyBorder="1" applyAlignment="1" applyProtection="1">
      <alignment horizontal="center"/>
      <protection locked="0"/>
    </xf>
    <xf numFmtId="0" fontId="23" fillId="2" borderId="1" xfId="11" applyFill="1" applyBorder="1" applyAlignment="1" applyProtection="1">
      <alignment horizontal="center"/>
    </xf>
    <xf numFmtId="0" fontId="5" fillId="0" borderId="2" xfId="11" applyFont="1" applyBorder="1" applyAlignment="1" applyProtection="1">
      <alignment horizontal="center"/>
      <protection locked="0"/>
    </xf>
    <xf numFmtId="0" fontId="5" fillId="0" borderId="3" xfId="11" applyFont="1" applyBorder="1" applyAlignment="1" applyProtection="1">
      <alignment horizontal="center"/>
      <protection locked="0"/>
    </xf>
    <xf numFmtId="0" fontId="5" fillId="0" borderId="4" xfId="11" applyFont="1" applyBorder="1" applyAlignment="1" applyProtection="1">
      <alignment horizontal="center"/>
      <protection locked="0"/>
    </xf>
    <xf numFmtId="0" fontId="5" fillId="0" borderId="5" xfId="11" applyFont="1" applyBorder="1" applyAlignment="1">
      <alignment horizontal="center"/>
    </xf>
    <xf numFmtId="0" fontId="5" fillId="0" borderId="6" xfId="11" applyFont="1" applyBorder="1" applyAlignment="1">
      <alignment horizontal="center"/>
    </xf>
    <xf numFmtId="0" fontId="6" fillId="3" borderId="2" xfId="11" applyFont="1" applyFill="1" applyBorder="1" applyAlignment="1" applyProtection="1">
      <alignment horizontal="center"/>
      <protection locked="0"/>
    </xf>
    <xf numFmtId="0" fontId="6" fillId="3" borderId="3" xfId="11" applyFont="1" applyFill="1" applyBorder="1" applyAlignment="1" applyProtection="1">
      <alignment horizontal="center"/>
      <protection locked="0"/>
    </xf>
    <xf numFmtId="0" fontId="6" fillId="3" borderId="4" xfId="11" applyFont="1" applyFill="1" applyBorder="1" applyAlignment="1" applyProtection="1">
      <alignment horizontal="center"/>
      <protection locked="0"/>
    </xf>
    <xf numFmtId="0" fontId="7" fillId="0" borderId="2" xfId="11" applyFont="1" applyBorder="1" applyAlignment="1" applyProtection="1">
      <alignment horizontal="center" vertical="center"/>
      <protection locked="0"/>
    </xf>
    <xf numFmtId="0" fontId="7" fillId="0" borderId="3" xfId="11" applyFont="1" applyBorder="1" applyAlignment="1" applyProtection="1">
      <alignment horizontal="center" vertical="center"/>
      <protection locked="0"/>
    </xf>
    <xf numFmtId="0" fontId="7" fillId="0" borderId="4" xfId="11" applyFont="1" applyBorder="1" applyAlignment="1" applyProtection="1">
      <alignment horizontal="center" vertical="center"/>
      <protection locked="0"/>
    </xf>
    <xf numFmtId="0" fontId="8" fillId="3" borderId="2" xfId="11" applyFont="1" applyFill="1" applyBorder="1" applyAlignment="1" applyProtection="1">
      <alignment horizontal="center"/>
      <protection locked="0"/>
    </xf>
    <xf numFmtId="0" fontId="8" fillId="3" borderId="3" xfId="11" applyFont="1" applyFill="1" applyBorder="1" applyAlignment="1" applyProtection="1">
      <alignment horizontal="center"/>
      <protection locked="0"/>
    </xf>
    <xf numFmtId="0" fontId="8" fillId="3" borderId="4" xfId="11" applyFont="1" applyFill="1" applyBorder="1" applyAlignment="1" applyProtection="1">
      <alignment horizontal="center"/>
      <protection locked="0"/>
    </xf>
    <xf numFmtId="0" fontId="23" fillId="0" borderId="3" xfId="11" applyBorder="1" applyAlignment="1" applyProtection="1">
      <alignment horizontal="center"/>
      <protection locked="0"/>
    </xf>
    <xf numFmtId="0" fontId="23" fillId="0" borderId="4" xfId="11" applyBorder="1" applyAlignment="1" applyProtection="1">
      <alignment horizontal="center"/>
      <protection locked="0"/>
    </xf>
    <xf numFmtId="0" fontId="8" fillId="0" borderId="2" xfId="11" applyFont="1" applyFill="1" applyBorder="1" applyAlignment="1" applyProtection="1">
      <alignment horizontal="center" wrapText="1"/>
      <protection locked="0"/>
    </xf>
    <xf numFmtId="0" fontId="8" fillId="0" borderId="3" xfId="11" applyFont="1" applyFill="1" applyBorder="1" applyAlignment="1" applyProtection="1">
      <alignment horizontal="center" wrapText="1"/>
      <protection locked="0"/>
    </xf>
    <xf numFmtId="0" fontId="8" fillId="0" borderId="4" xfId="11" applyFont="1" applyFill="1" applyBorder="1" applyAlignment="1" applyProtection="1">
      <alignment horizontal="center" wrapText="1"/>
      <protection locked="0"/>
    </xf>
    <xf numFmtId="0" fontId="8" fillId="3" borderId="11" xfId="11" applyFont="1" applyFill="1" applyBorder="1" applyAlignment="1" applyProtection="1">
      <alignment horizontal="center" vertical="center" wrapText="1"/>
      <protection locked="0"/>
    </xf>
    <xf numFmtId="0" fontId="8" fillId="3" borderId="1" xfId="11" applyFont="1" applyFill="1" applyBorder="1" applyAlignment="1" applyProtection="1">
      <alignment horizontal="center" vertical="center" wrapText="1"/>
      <protection locked="0"/>
    </xf>
    <xf numFmtId="0" fontId="23" fillId="0" borderId="11" xfId="11" applyBorder="1" applyAlignment="1" applyProtection="1">
      <alignment horizontal="center"/>
      <protection locked="0"/>
    </xf>
    <xf numFmtId="0" fontId="23" fillId="0" borderId="1" xfId="11" applyBorder="1" applyAlignment="1" applyProtection="1">
      <alignment horizontal="center"/>
      <protection locked="0"/>
    </xf>
    <xf numFmtId="0" fontId="23" fillId="0" borderId="12" xfId="11" applyBorder="1" applyAlignment="1" applyProtection="1">
      <alignment horizontal="center"/>
      <protection locked="0"/>
    </xf>
    <xf numFmtId="0" fontId="8" fillId="3" borderId="2" xfId="11" applyFont="1" applyFill="1" applyBorder="1" applyAlignment="1" applyProtection="1">
      <alignment horizontal="center" wrapText="1"/>
      <protection locked="0"/>
    </xf>
    <xf numFmtId="0" fontId="8" fillId="3" borderId="3" xfId="11" applyFont="1" applyFill="1" applyBorder="1" applyAlignment="1" applyProtection="1">
      <alignment horizontal="center" wrapText="1"/>
      <protection locked="0"/>
    </xf>
    <xf numFmtId="0" fontId="8" fillId="3" borderId="4" xfId="11" applyFont="1" applyFill="1" applyBorder="1" applyAlignment="1" applyProtection="1">
      <alignment horizontal="center" wrapText="1"/>
      <protection locked="0"/>
    </xf>
    <xf numFmtId="0" fontId="23" fillId="4" borderId="2" xfId="11" applyFill="1" applyBorder="1" applyAlignment="1" applyProtection="1">
      <alignment horizontal="center" vertical="center" wrapText="1"/>
      <protection locked="0"/>
    </xf>
    <xf numFmtId="0" fontId="23" fillId="4" borderId="3" xfId="11" applyFill="1" applyBorder="1" applyAlignment="1" applyProtection="1">
      <alignment horizontal="center" vertical="center" wrapText="1"/>
      <protection locked="0"/>
    </xf>
    <xf numFmtId="0" fontId="23" fillId="0" borderId="3" xfId="11" applyBorder="1" applyAlignment="1" applyProtection="1">
      <alignment horizontal="center" vertical="center" wrapText="1"/>
      <protection locked="0"/>
    </xf>
    <xf numFmtId="0" fontId="23" fillId="0" borderId="4" xfId="11" applyBorder="1" applyAlignment="1" applyProtection="1">
      <alignment horizontal="center" vertical="center" wrapText="1"/>
      <protection locked="0"/>
    </xf>
    <xf numFmtId="0" fontId="5" fillId="3" borderId="2" xfId="11" applyFont="1" applyFill="1" applyBorder="1" applyAlignment="1" applyProtection="1">
      <alignment horizontal="center" vertical="center"/>
      <protection locked="0"/>
    </xf>
    <xf numFmtId="0" fontId="5" fillId="3" borderId="3" xfId="11" applyFont="1" applyFill="1" applyBorder="1" applyAlignment="1" applyProtection="1">
      <alignment horizontal="center" vertical="center"/>
      <protection locked="0"/>
    </xf>
    <xf numFmtId="0" fontId="5" fillId="3" borderId="4" xfId="11" applyFont="1" applyFill="1" applyBorder="1" applyAlignment="1" applyProtection="1">
      <alignment horizontal="center" vertical="center"/>
      <protection locked="0"/>
    </xf>
    <xf numFmtId="0" fontId="5" fillId="0" borderId="2" xfId="11" applyFont="1" applyFill="1" applyBorder="1" applyAlignment="1" applyProtection="1">
      <alignment horizontal="center" vertical="center"/>
      <protection locked="0"/>
    </xf>
    <xf numFmtId="0" fontId="5" fillId="0" borderId="3" xfId="11" applyFont="1" applyFill="1" applyBorder="1" applyAlignment="1" applyProtection="1">
      <alignment horizontal="center" vertical="center"/>
      <protection locked="0"/>
    </xf>
    <xf numFmtId="0" fontId="5" fillId="0" borderId="4" xfId="11" applyFont="1" applyFill="1" applyBorder="1" applyAlignment="1" applyProtection="1">
      <alignment horizontal="center" vertical="center"/>
      <protection locked="0"/>
    </xf>
    <xf numFmtId="0" fontId="23" fillId="0" borderId="2" xfId="11" applyBorder="1" applyAlignment="1" applyProtection="1">
      <alignment horizontal="center"/>
      <protection locked="0"/>
    </xf>
    <xf numFmtId="0" fontId="9" fillId="2" borderId="1" xfId="11" applyFont="1" applyFill="1" applyBorder="1" applyAlignment="1" applyProtection="1">
      <alignment horizontal="left"/>
    </xf>
    <xf numFmtId="0" fontId="9" fillId="2" borderId="0" xfId="11" applyFont="1" applyFill="1" applyBorder="1" applyAlignment="1" applyProtection="1">
      <alignment horizontal="left"/>
    </xf>
    <xf numFmtId="0" fontId="23" fillId="2" borderId="0" xfId="11" applyFill="1" applyBorder="1" applyAlignment="1" applyProtection="1">
      <alignment horizontal="center"/>
    </xf>
    <xf numFmtId="0" fontId="5" fillId="0" borderId="2" xfId="11" applyFont="1" applyBorder="1" applyAlignment="1">
      <alignment horizontal="center" vertical="center"/>
    </xf>
    <xf numFmtId="0" fontId="5" fillId="0" borderId="3" xfId="11" applyFont="1" applyBorder="1" applyAlignment="1">
      <alignment horizontal="center" vertical="center"/>
    </xf>
    <xf numFmtId="0" fontId="5" fillId="0" borderId="4" xfId="11" applyFont="1" applyBorder="1" applyAlignment="1">
      <alignment horizontal="center" vertical="center"/>
    </xf>
    <xf numFmtId="0" fontId="9" fillId="0" borderId="2" xfId="11" applyFont="1" applyBorder="1" applyAlignment="1" applyProtection="1">
      <alignment horizontal="center" vertical="center"/>
      <protection locked="0"/>
    </xf>
    <xf numFmtId="0" fontId="9" fillId="0" borderId="4" xfId="11" applyFont="1" applyBorder="1" applyAlignment="1" applyProtection="1">
      <alignment horizontal="center" vertical="center"/>
      <protection locked="0"/>
    </xf>
    <xf numFmtId="0" fontId="7" fillId="5" borderId="2" xfId="11" applyFont="1" applyFill="1" applyBorder="1" applyAlignment="1">
      <alignment horizontal="center" vertical="center" shrinkToFit="1"/>
    </xf>
    <xf numFmtId="0" fontId="7" fillId="5" borderId="3" xfId="11" applyFont="1" applyFill="1" applyBorder="1" applyAlignment="1">
      <alignment horizontal="center" vertical="center" shrinkToFit="1"/>
    </xf>
    <xf numFmtId="0" fontId="7" fillId="5" borderId="4" xfId="11" applyFont="1" applyFill="1" applyBorder="1" applyAlignment="1">
      <alignment horizontal="center" vertical="center" shrinkToFit="1"/>
    </xf>
    <xf numFmtId="0" fontId="5" fillId="3" borderId="2" xfId="11" applyFont="1" applyFill="1" applyBorder="1" applyAlignment="1">
      <alignment horizontal="center" vertical="center"/>
    </xf>
    <xf numFmtId="0" fontId="5" fillId="3" borderId="3" xfId="11" applyFont="1" applyFill="1" applyBorder="1" applyAlignment="1">
      <alignment horizontal="center" vertical="center"/>
    </xf>
    <xf numFmtId="0" fontId="5" fillId="2" borderId="20" xfId="11" applyFont="1" applyFill="1" applyBorder="1" applyAlignment="1">
      <alignment horizontal="center" vertical="center"/>
    </xf>
    <xf numFmtId="0" fontId="23" fillId="0" borderId="3" xfId="11" applyBorder="1"/>
    <xf numFmtId="0" fontId="23" fillId="0" borderId="4" xfId="11" applyBorder="1"/>
    <xf numFmtId="0" fontId="10" fillId="3" borderId="2" xfId="11" applyFont="1" applyFill="1" applyBorder="1" applyAlignment="1">
      <alignment horizontal="center" vertical="center" wrapText="1"/>
    </xf>
    <xf numFmtId="0" fontId="10" fillId="3" borderId="3" xfId="11" applyFont="1" applyFill="1" applyBorder="1" applyAlignment="1">
      <alignment horizontal="center" vertical="center" wrapText="1"/>
    </xf>
    <xf numFmtId="0" fontId="10" fillId="3" borderId="4" xfId="11" applyFont="1" applyFill="1" applyBorder="1" applyAlignment="1">
      <alignment horizontal="center" vertical="center" wrapText="1"/>
    </xf>
    <xf numFmtId="0" fontId="5" fillId="3" borderId="2" xfId="11" applyFont="1" applyFill="1" applyBorder="1" applyAlignment="1">
      <alignment horizontal="center" vertical="center" wrapText="1"/>
    </xf>
    <xf numFmtId="0" fontId="5" fillId="3" borderId="3" xfId="11" applyFont="1" applyFill="1" applyBorder="1" applyAlignment="1">
      <alignment horizontal="center" vertical="center" wrapText="1"/>
    </xf>
    <xf numFmtId="0" fontId="5" fillId="3" borderId="4" xfId="11" applyFont="1" applyFill="1" applyBorder="1" applyAlignment="1">
      <alignment horizontal="center" vertical="center" wrapText="1"/>
    </xf>
    <xf numFmtId="0" fontId="5" fillId="6" borderId="2" xfId="11" applyFont="1" applyFill="1" applyBorder="1" applyAlignment="1">
      <alignment horizontal="center" vertical="center" wrapText="1"/>
    </xf>
    <xf numFmtId="0" fontId="5" fillId="6" borderId="4" xfId="11" applyFont="1" applyFill="1" applyBorder="1" applyAlignment="1">
      <alignment horizontal="center" vertical="center" wrapText="1"/>
    </xf>
    <xf numFmtId="0" fontId="8" fillId="0" borderId="21" xfId="11" applyFont="1" applyBorder="1" applyAlignment="1">
      <alignment horizontal="center" vertical="center"/>
    </xf>
    <xf numFmtId="0" fontId="8" fillId="0" borderId="30" xfId="11" applyFont="1" applyBorder="1" applyAlignment="1">
      <alignment horizontal="center" vertical="center"/>
    </xf>
    <xf numFmtId="0" fontId="12" fillId="0" borderId="22" xfId="11" applyFont="1" applyBorder="1" applyAlignment="1" applyProtection="1">
      <alignment horizontal="center" vertical="center"/>
    </xf>
    <xf numFmtId="0" fontId="12" fillId="0" borderId="23" xfId="11" applyFont="1" applyBorder="1" applyAlignment="1" applyProtection="1">
      <alignment horizontal="center" vertical="center"/>
    </xf>
    <xf numFmtId="0" fontId="12" fillId="0" borderId="24" xfId="11" applyFont="1" applyBorder="1" applyAlignment="1" applyProtection="1">
      <alignment horizontal="center" vertical="center"/>
    </xf>
    <xf numFmtId="0" fontId="5" fillId="0" borderId="25" xfId="11" applyFont="1" applyBorder="1" applyAlignment="1" applyProtection="1">
      <alignment horizontal="center" vertical="center" shrinkToFit="1"/>
    </xf>
    <xf numFmtId="0" fontId="5" fillId="0" borderId="23" xfId="11" applyFont="1" applyBorder="1" applyAlignment="1" applyProtection="1">
      <alignment horizontal="center" vertical="center" shrinkToFit="1"/>
    </xf>
    <xf numFmtId="0" fontId="5" fillId="0" borderId="26" xfId="11" applyFont="1" applyBorder="1" applyAlignment="1" applyProtection="1">
      <alignment horizontal="center" vertical="center" shrinkToFit="1"/>
    </xf>
    <xf numFmtId="0" fontId="13" fillId="0" borderId="27" xfId="11" applyFont="1" applyBorder="1" applyAlignment="1">
      <alignment horizontal="center" vertical="center"/>
    </xf>
    <xf numFmtId="0" fontId="13" fillId="0" borderId="28" xfId="11" applyFont="1" applyBorder="1" applyAlignment="1">
      <alignment horizontal="center" vertical="center"/>
    </xf>
    <xf numFmtId="0" fontId="13" fillId="0" borderId="11" xfId="11" applyFont="1" applyBorder="1" applyAlignment="1">
      <alignment horizontal="center" vertical="center"/>
    </xf>
    <xf numFmtId="0" fontId="13" fillId="0" borderId="1" xfId="11" applyFont="1" applyBorder="1" applyAlignment="1">
      <alignment horizontal="center" vertical="center"/>
    </xf>
    <xf numFmtId="10" fontId="23" fillId="0" borderId="27" xfId="11" applyNumberFormat="1" applyFont="1" applyBorder="1" applyAlignment="1">
      <alignment horizontal="center" vertical="center"/>
    </xf>
    <xf numFmtId="10" fontId="23" fillId="0" borderId="28" xfId="11" applyNumberFormat="1" applyFont="1" applyBorder="1" applyAlignment="1">
      <alignment horizontal="center" vertical="center"/>
    </xf>
    <xf numFmtId="10" fontId="23" fillId="0" borderId="11" xfId="11" applyNumberFormat="1" applyFont="1" applyBorder="1" applyAlignment="1">
      <alignment horizontal="center" vertical="center"/>
    </xf>
    <xf numFmtId="10" fontId="23" fillId="0" borderId="1" xfId="11" applyNumberFormat="1" applyFont="1" applyBorder="1" applyAlignment="1">
      <alignment horizontal="center" vertical="center"/>
    </xf>
    <xf numFmtId="164" fontId="23" fillId="0" borderId="27" xfId="11" applyNumberFormat="1" applyFont="1" applyBorder="1" applyAlignment="1" applyProtection="1">
      <alignment horizontal="center" vertical="center"/>
    </xf>
    <xf numFmtId="164" fontId="23" fillId="0" borderId="28" xfId="11" applyNumberFormat="1" applyFont="1" applyBorder="1" applyAlignment="1" applyProtection="1">
      <alignment horizontal="center" vertical="center"/>
    </xf>
    <xf numFmtId="164" fontId="23" fillId="0" borderId="29" xfId="11" applyNumberFormat="1" applyFont="1" applyBorder="1" applyAlignment="1" applyProtection="1">
      <alignment horizontal="center" vertical="center"/>
    </xf>
    <xf numFmtId="164" fontId="23" fillId="0" borderId="11" xfId="11" applyNumberFormat="1" applyFont="1" applyBorder="1" applyAlignment="1" applyProtection="1">
      <alignment horizontal="center" vertical="center"/>
    </xf>
    <xf numFmtId="164" fontId="23" fillId="0" borderId="1" xfId="11" applyNumberFormat="1" applyFont="1" applyBorder="1" applyAlignment="1" applyProtection="1">
      <alignment horizontal="center" vertical="center"/>
    </xf>
    <xf numFmtId="164" fontId="23" fillId="0" borderId="12" xfId="11" applyNumberFormat="1" applyFont="1" applyBorder="1" applyAlignment="1" applyProtection="1">
      <alignment horizontal="center" vertical="center"/>
    </xf>
    <xf numFmtId="0" fontId="13" fillId="0" borderId="21" xfId="11" applyFont="1" applyBorder="1" applyAlignment="1" applyProtection="1">
      <alignment horizontal="center" vertical="center"/>
      <protection locked="0"/>
    </xf>
    <xf numFmtId="0" fontId="13" fillId="0" borderId="30" xfId="11" applyFont="1" applyBorder="1" applyAlignment="1" applyProtection="1">
      <alignment horizontal="center" vertical="center"/>
      <protection locked="0"/>
    </xf>
    <xf numFmtId="0" fontId="13" fillId="6" borderId="27" xfId="11" applyFont="1" applyFill="1" applyBorder="1" applyAlignment="1" applyProtection="1">
      <alignment horizontal="center" vertical="center"/>
      <protection locked="0"/>
    </xf>
    <xf numFmtId="0" fontId="13" fillId="6" borderId="29" xfId="11" applyFont="1" applyFill="1" applyBorder="1" applyAlignment="1" applyProtection="1">
      <alignment horizontal="center" vertical="center"/>
      <protection locked="0"/>
    </xf>
    <xf numFmtId="0" fontId="13" fillId="6" borderId="11" xfId="11" applyFont="1" applyFill="1" applyBorder="1" applyAlignment="1" applyProtection="1">
      <alignment horizontal="center" vertical="center"/>
      <protection locked="0"/>
    </xf>
    <xf numFmtId="0" fontId="13" fillId="6" borderId="12" xfId="11" applyFont="1" applyFill="1" applyBorder="1" applyAlignment="1" applyProtection="1">
      <alignment horizontal="center" vertical="center"/>
      <protection locked="0"/>
    </xf>
    <xf numFmtId="0" fontId="12" fillId="0" borderId="31" xfId="11" applyFont="1" applyBorder="1" applyAlignment="1" applyProtection="1">
      <alignment horizontal="center" vertical="center"/>
    </xf>
    <xf numFmtId="0" fontId="12" fillId="0" borderId="32" xfId="11" applyFont="1" applyBorder="1" applyAlignment="1" applyProtection="1">
      <alignment horizontal="center" vertical="center"/>
    </xf>
    <xf numFmtId="0" fontId="12" fillId="0" borderId="33" xfId="11" applyFont="1" applyBorder="1" applyAlignment="1" applyProtection="1">
      <alignment horizontal="center" vertical="center"/>
    </xf>
    <xf numFmtId="0" fontId="23" fillId="0" borderId="34" xfId="11" applyFont="1" applyBorder="1" applyAlignment="1" applyProtection="1">
      <alignment horizontal="center" vertical="center" shrinkToFit="1"/>
    </xf>
    <xf numFmtId="0" fontId="23" fillId="0" borderId="1" xfId="11" applyFont="1" applyBorder="1" applyAlignment="1" applyProtection="1">
      <alignment horizontal="center" vertical="center" shrinkToFit="1"/>
    </xf>
    <xf numFmtId="0" fontId="12" fillId="0" borderId="35" xfId="11" applyFont="1" applyBorder="1" applyAlignment="1" applyProtection="1">
      <alignment horizontal="center" vertical="center"/>
    </xf>
    <xf numFmtId="0" fontId="12" fillId="0" borderId="36" xfId="11" applyFont="1" applyBorder="1" applyAlignment="1" applyProtection="1">
      <alignment horizontal="center" vertical="center"/>
    </xf>
    <xf numFmtId="0" fontId="12" fillId="0" borderId="16" xfId="11" applyFont="1" applyBorder="1" applyAlignment="1" applyProtection="1">
      <alignment horizontal="center" vertical="center"/>
    </xf>
    <xf numFmtId="0" fontId="12" fillId="0" borderId="37" xfId="11" applyFont="1" applyBorder="1" applyAlignment="1" applyProtection="1">
      <alignment horizontal="center" vertical="center"/>
    </xf>
    <xf numFmtId="0" fontId="11" fillId="7" borderId="27" xfId="11" applyFont="1" applyFill="1" applyBorder="1" applyAlignment="1" applyProtection="1">
      <alignment horizontal="center" vertical="center" wrapText="1"/>
    </xf>
    <xf numFmtId="0" fontId="11" fillId="7" borderId="28" xfId="11" applyFont="1" applyFill="1" applyBorder="1" applyAlignment="1" applyProtection="1">
      <alignment horizontal="center" vertical="center" wrapText="1"/>
    </xf>
    <xf numFmtId="0" fontId="11" fillId="7" borderId="29" xfId="11" applyFont="1" applyFill="1" applyBorder="1" applyAlignment="1" applyProtection="1">
      <alignment horizontal="center" vertical="center" wrapText="1"/>
    </xf>
    <xf numFmtId="0" fontId="11" fillId="7" borderId="11" xfId="11" applyFont="1" applyFill="1" applyBorder="1" applyAlignment="1" applyProtection="1">
      <alignment horizontal="center" vertical="center" wrapText="1"/>
    </xf>
    <xf numFmtId="0" fontId="11" fillId="7" borderId="1" xfId="11" applyFont="1" applyFill="1" applyBorder="1" applyAlignment="1" applyProtection="1">
      <alignment horizontal="center" vertical="center" wrapText="1"/>
    </xf>
    <xf numFmtId="0" fontId="11" fillId="7" borderId="12" xfId="11" applyFont="1" applyFill="1" applyBorder="1" applyAlignment="1" applyProtection="1">
      <alignment horizontal="center" vertical="center" wrapText="1"/>
    </xf>
    <xf numFmtId="0" fontId="13" fillId="0" borderId="43" xfId="11" applyFont="1" applyBorder="1" applyAlignment="1">
      <alignment horizontal="center" vertical="center"/>
    </xf>
    <xf numFmtId="0" fontId="13" fillId="0" borderId="0" xfId="11" applyFont="1" applyBorder="1" applyAlignment="1">
      <alignment horizontal="center" vertical="center"/>
    </xf>
    <xf numFmtId="10" fontId="23" fillId="0" borderId="43" xfId="11" applyNumberFormat="1" applyFont="1" applyBorder="1" applyAlignment="1">
      <alignment horizontal="center" vertical="center"/>
    </xf>
    <xf numFmtId="10" fontId="23" fillId="0" borderId="0" xfId="11" applyNumberFormat="1" applyFont="1" applyBorder="1" applyAlignment="1">
      <alignment horizontal="center" vertical="center"/>
    </xf>
    <xf numFmtId="164" fontId="23" fillId="0" borderId="43" xfId="11" applyNumberFormat="1" applyFont="1" applyBorder="1" applyAlignment="1" applyProtection="1">
      <alignment horizontal="center" vertical="center"/>
    </xf>
    <xf numFmtId="164" fontId="23" fillId="0" borderId="0" xfId="11" applyNumberFormat="1" applyFont="1" applyBorder="1" applyAlignment="1" applyProtection="1">
      <alignment horizontal="center" vertical="center"/>
    </xf>
    <xf numFmtId="164" fontId="23" fillId="0" borderId="44" xfId="11" applyNumberFormat="1" applyFont="1" applyBorder="1" applyAlignment="1" applyProtection="1">
      <alignment horizontal="center" vertical="center"/>
    </xf>
    <xf numFmtId="0" fontId="13" fillId="0" borderId="20" xfId="11" applyFont="1" applyBorder="1" applyAlignment="1" applyProtection="1">
      <alignment horizontal="center" vertical="center"/>
      <protection locked="0"/>
    </xf>
    <xf numFmtId="0" fontId="13" fillId="6" borderId="43" xfId="11" applyFont="1" applyFill="1" applyBorder="1" applyAlignment="1" applyProtection="1">
      <alignment horizontal="center" vertical="center"/>
      <protection locked="0"/>
    </xf>
    <xf numFmtId="0" fontId="13" fillId="6" borderId="44" xfId="11" applyFont="1" applyFill="1" applyBorder="1" applyAlignment="1" applyProtection="1">
      <alignment horizontal="center" vertical="center"/>
      <protection locked="0"/>
    </xf>
    <xf numFmtId="0" fontId="12" fillId="0" borderId="38" xfId="11" applyFont="1" applyBorder="1" applyAlignment="1" applyProtection="1">
      <alignment horizontal="center" vertical="center"/>
    </xf>
    <xf numFmtId="0" fontId="12" fillId="0" borderId="41" xfId="11" applyFont="1" applyBorder="1" applyAlignment="1" applyProtection="1">
      <alignment horizontal="center" vertical="center"/>
    </xf>
    <xf numFmtId="0" fontId="23" fillId="0" borderId="42" xfId="11" applyFont="1" applyBorder="1" applyAlignment="1" applyProtection="1">
      <alignment horizontal="center" vertical="center" shrinkToFit="1"/>
    </xf>
    <xf numFmtId="0" fontId="23" fillId="0" borderId="0" xfId="11" applyFont="1" applyBorder="1" applyAlignment="1" applyProtection="1">
      <alignment horizontal="center" vertical="center" shrinkToFit="1"/>
    </xf>
    <xf numFmtId="0" fontId="8" fillId="8" borderId="45" xfId="11" applyFont="1" applyFill="1" applyBorder="1" applyAlignment="1" applyProtection="1">
      <alignment horizontal="left" vertical="center" wrapText="1"/>
      <protection locked="0"/>
    </xf>
    <xf numFmtId="0" fontId="8" fillId="8" borderId="46" xfId="11" applyFont="1" applyFill="1" applyBorder="1" applyAlignment="1" applyProtection="1">
      <alignment vertical="center" wrapText="1"/>
      <protection locked="0"/>
    </xf>
    <xf numFmtId="0" fontId="8" fillId="8" borderId="47" xfId="11" applyFont="1" applyFill="1" applyBorder="1" applyAlignment="1" applyProtection="1">
      <alignment vertical="center" wrapText="1"/>
      <protection locked="0"/>
    </xf>
    <xf numFmtId="20" fontId="23" fillId="0" borderId="48" xfId="11" applyNumberFormat="1" applyFill="1" applyBorder="1" applyAlignment="1" applyProtection="1">
      <alignment horizontal="center"/>
      <protection locked="0"/>
    </xf>
    <xf numFmtId="0" fontId="23" fillId="0" borderId="49" xfId="11" applyFill="1" applyBorder="1" applyAlignment="1" applyProtection="1">
      <alignment horizontal="center"/>
      <protection locked="0"/>
    </xf>
    <xf numFmtId="0" fontId="23" fillId="0" borderId="50" xfId="11" applyFill="1" applyBorder="1" applyAlignment="1" applyProtection="1">
      <alignment horizontal="center"/>
      <protection locked="0"/>
    </xf>
    <xf numFmtId="0" fontId="5" fillId="9" borderId="43" xfId="11" applyFont="1" applyFill="1" applyBorder="1" applyAlignment="1">
      <alignment horizontal="center" vertical="center" wrapText="1"/>
    </xf>
    <xf numFmtId="0" fontId="5" fillId="9" borderId="0" xfId="11" applyFont="1" applyFill="1" applyBorder="1" applyAlignment="1">
      <alignment horizontal="center" vertical="center" wrapText="1"/>
    </xf>
    <xf numFmtId="0" fontId="5" fillId="9" borderId="28" xfId="11" applyFont="1" applyFill="1" applyBorder="1" applyAlignment="1">
      <alignment horizontal="center" vertical="center" wrapText="1"/>
    </xf>
    <xf numFmtId="0" fontId="5" fillId="9" borderId="29" xfId="11" applyFont="1" applyFill="1" applyBorder="1" applyAlignment="1">
      <alignment horizontal="center" vertical="center" wrapText="1"/>
    </xf>
    <xf numFmtId="0" fontId="5" fillId="9" borderId="44" xfId="11" applyFont="1" applyFill="1" applyBorder="1" applyAlignment="1">
      <alignment horizontal="center" vertical="center" wrapText="1"/>
    </xf>
    <xf numFmtId="0" fontId="5" fillId="9" borderId="11" xfId="11" applyFont="1" applyFill="1" applyBorder="1" applyAlignment="1">
      <alignment horizontal="center" vertical="center" wrapText="1"/>
    </xf>
    <xf numFmtId="0" fontId="5" fillId="9" borderId="1" xfId="11" applyFont="1" applyFill="1" applyBorder="1" applyAlignment="1">
      <alignment horizontal="center" vertical="center" wrapText="1"/>
    </xf>
    <xf numFmtId="0" fontId="5" fillId="9" borderId="12" xfId="11" applyFont="1" applyFill="1" applyBorder="1" applyAlignment="1">
      <alignment horizontal="center" vertical="center" wrapText="1"/>
    </xf>
    <xf numFmtId="20" fontId="23" fillId="0" borderId="51" xfId="11" applyNumberFormat="1" applyFill="1" applyBorder="1" applyAlignment="1" applyProtection="1">
      <alignment horizontal="center"/>
      <protection locked="0"/>
    </xf>
    <xf numFmtId="20" fontId="23" fillId="0" borderId="52" xfId="11" applyNumberFormat="1" applyFill="1" applyBorder="1" applyAlignment="1" applyProtection="1">
      <alignment horizontal="center"/>
      <protection locked="0"/>
    </xf>
    <xf numFmtId="20" fontId="23" fillId="0" borderId="53" xfId="11" applyNumberFormat="1" applyFill="1" applyBorder="1" applyAlignment="1" applyProtection="1">
      <alignment horizontal="center"/>
      <protection locked="0"/>
    </xf>
    <xf numFmtId="0" fontId="5" fillId="6" borderId="51" xfId="11" applyFont="1" applyFill="1" applyBorder="1" applyAlignment="1">
      <alignment horizontal="center"/>
    </xf>
    <xf numFmtId="0" fontId="5" fillId="6" borderId="52" xfId="11" applyFont="1" applyFill="1" applyBorder="1" applyAlignment="1">
      <alignment horizontal="center"/>
    </xf>
    <xf numFmtId="0" fontId="5" fillId="6" borderId="53" xfId="11" applyFont="1" applyFill="1" applyBorder="1" applyAlignment="1">
      <alignment horizontal="center"/>
    </xf>
    <xf numFmtId="0" fontId="7" fillId="6" borderId="51" xfId="11" applyFont="1" applyFill="1" applyBorder="1" applyAlignment="1" applyProtection="1">
      <alignment horizontal="center"/>
      <protection locked="0"/>
    </xf>
    <xf numFmtId="0" fontId="7" fillId="6" borderId="52" xfId="11" applyFont="1" applyFill="1" applyBorder="1" applyAlignment="1" applyProtection="1">
      <alignment horizontal="center"/>
      <protection locked="0"/>
    </xf>
    <xf numFmtId="0" fontId="7" fillId="6" borderId="53" xfId="11" applyFont="1" applyFill="1" applyBorder="1" applyAlignment="1" applyProtection="1">
      <alignment horizontal="center"/>
      <protection locked="0"/>
    </xf>
    <xf numFmtId="0" fontId="23" fillId="0" borderId="0" xfId="11" applyFill="1" applyAlignment="1" applyProtection="1">
      <alignment horizontal="center" wrapText="1"/>
      <protection hidden="1"/>
    </xf>
    <xf numFmtId="0" fontId="23" fillId="0" borderId="0" xfId="11" applyAlignment="1" applyProtection="1">
      <alignment horizontal="left"/>
    </xf>
    <xf numFmtId="0" fontId="23" fillId="0" borderId="0" xfId="11" applyAlignment="1" applyProtection="1">
      <alignment horizontal="center"/>
      <protection locked="0"/>
    </xf>
    <xf numFmtId="0" fontId="23" fillId="0" borderId="0" xfId="11" applyAlignment="1" applyProtection="1">
      <alignment horizontal="left"/>
      <protection locked="0"/>
    </xf>
    <xf numFmtId="0" fontId="16" fillId="0" borderId="0" xfId="11" applyFont="1" applyAlignment="1">
      <alignment horizontal="center"/>
    </xf>
    <xf numFmtId="0" fontId="12" fillId="10" borderId="21" xfId="11" applyFont="1" applyFill="1" applyBorder="1" applyAlignment="1">
      <alignment horizontal="center" wrapText="1"/>
    </xf>
    <xf numFmtId="0" fontId="12" fillId="10" borderId="30" xfId="11" applyFont="1" applyFill="1" applyBorder="1" applyAlignment="1">
      <alignment horizontal="center" wrapText="1"/>
    </xf>
    <xf numFmtId="0" fontId="23" fillId="11" borderId="2" xfId="11" applyFill="1" applyBorder="1" applyAlignment="1">
      <alignment horizontal="center"/>
    </xf>
    <xf numFmtId="0" fontId="23" fillId="11" borderId="3" xfId="11" applyFill="1" applyBorder="1" applyAlignment="1">
      <alignment horizontal="center"/>
    </xf>
    <xf numFmtId="0" fontId="23" fillId="11" borderId="4" xfId="11" applyFill="1" applyBorder="1" applyAlignment="1">
      <alignment horizontal="center"/>
    </xf>
    <xf numFmtId="0" fontId="23" fillId="3" borderId="2" xfId="11" applyFill="1" applyBorder="1" applyAlignment="1">
      <alignment horizontal="center"/>
    </xf>
    <xf numFmtId="0" fontId="23" fillId="3" borderId="3" xfId="11" applyFill="1" applyBorder="1" applyAlignment="1">
      <alignment horizontal="center"/>
    </xf>
    <xf numFmtId="0" fontId="23" fillId="3" borderId="4" xfId="11" applyFill="1" applyBorder="1" applyAlignment="1">
      <alignment horizontal="center"/>
    </xf>
    <xf numFmtId="0" fontId="17" fillId="0" borderId="16" xfId="11" applyFont="1" applyFill="1" applyBorder="1" applyAlignment="1">
      <alignment horizontal="center" shrinkToFit="1"/>
    </xf>
    <xf numFmtId="0" fontId="17" fillId="0" borderId="37" xfId="11" applyFont="1" applyFill="1" applyBorder="1" applyAlignment="1">
      <alignment horizontal="center" shrinkToFit="1"/>
    </xf>
    <xf numFmtId="0" fontId="17" fillId="0" borderId="37" xfId="11" applyFont="1" applyFill="1" applyBorder="1" applyAlignment="1">
      <alignment horizontal="center"/>
    </xf>
    <xf numFmtId="0" fontId="17" fillId="0" borderId="17" xfId="11" applyFont="1" applyFill="1" applyBorder="1" applyAlignment="1">
      <alignment horizontal="center"/>
    </xf>
    <xf numFmtId="0" fontId="17" fillId="0" borderId="35" xfId="11" applyFont="1" applyFill="1" applyBorder="1" applyAlignment="1">
      <alignment horizontal="center" shrinkToFit="1"/>
    </xf>
    <xf numFmtId="0" fontId="17" fillId="0" borderId="36" xfId="11" applyFont="1" applyFill="1" applyBorder="1" applyAlignment="1">
      <alignment horizontal="center" shrinkToFit="1"/>
    </xf>
    <xf numFmtId="0" fontId="17" fillId="0" borderId="36" xfId="11" applyFont="1" applyFill="1" applyBorder="1" applyAlignment="1">
      <alignment horizontal="center"/>
    </xf>
    <xf numFmtId="0" fontId="17" fillId="0" borderId="39" xfId="11" applyFont="1" applyFill="1" applyBorder="1" applyAlignment="1">
      <alignment horizontal="center"/>
    </xf>
    <xf numFmtId="0" fontId="7" fillId="0" borderId="0" xfId="11" applyFont="1" applyAlignment="1">
      <alignment horizontal="center"/>
    </xf>
    <xf numFmtId="0" fontId="8" fillId="0" borderId="0" xfId="11" applyFont="1" applyAlignment="1" applyProtection="1">
      <alignment horizontal="left" wrapText="1"/>
      <protection locked="0"/>
    </xf>
    <xf numFmtId="0" fontId="8" fillId="0" borderId="0" xfId="11" applyFont="1" applyAlignment="1" applyProtection="1">
      <alignment horizontal="left"/>
      <protection locked="0"/>
    </xf>
    <xf numFmtId="0" fontId="23" fillId="0" borderId="0" xfId="11" applyFill="1" applyAlignment="1" applyProtection="1">
      <alignment horizontal="left"/>
      <protection locked="0"/>
    </xf>
    <xf numFmtId="0" fontId="5" fillId="12" borderId="0" xfId="11" applyFont="1" applyFill="1" applyAlignment="1">
      <alignment horizontal="center"/>
    </xf>
    <xf numFmtId="0" fontId="23" fillId="0" borderId="1" xfId="11" applyBorder="1" applyAlignment="1">
      <alignment horizontal="center" shrinkToFit="1"/>
    </xf>
    <xf numFmtId="0" fontId="12" fillId="0" borderId="28" xfId="11" applyFont="1" applyBorder="1" applyAlignment="1" applyProtection="1">
      <alignment horizontal="center" shrinkToFit="1"/>
      <protection locked="0"/>
    </xf>
    <xf numFmtId="0" fontId="12" fillId="0" borderId="0" xfId="11" applyFont="1" applyBorder="1" applyAlignment="1" applyProtection="1">
      <alignment horizontal="center" shrinkToFit="1"/>
      <protection locked="0"/>
    </xf>
    <xf numFmtId="0" fontId="12" fillId="0" borderId="44" xfId="11" applyFont="1" applyBorder="1" applyAlignment="1" applyProtection="1">
      <alignment horizontal="center" shrinkToFit="1"/>
      <protection locked="0"/>
    </xf>
    <xf numFmtId="0" fontId="23" fillId="0" borderId="43" xfId="11" applyBorder="1" applyAlignment="1">
      <alignment horizontal="left" shrinkToFit="1"/>
    </xf>
    <xf numFmtId="0" fontId="23" fillId="0" borderId="0" xfId="11" applyBorder="1" applyAlignment="1">
      <alignment horizontal="left" shrinkToFit="1"/>
    </xf>
    <xf numFmtId="0" fontId="17" fillId="0" borderId="0" xfId="11" applyFont="1" applyBorder="1" applyAlignment="1" applyProtection="1">
      <alignment horizontal="center"/>
      <protection locked="0"/>
    </xf>
    <xf numFmtId="0" fontId="23" fillId="0" borderId="27" xfId="11" applyBorder="1" applyAlignment="1" applyProtection="1">
      <alignment horizontal="left"/>
      <protection locked="0"/>
    </xf>
    <xf numFmtId="0" fontId="23" fillId="0" borderId="28" xfId="11" applyBorder="1" applyAlignment="1" applyProtection="1">
      <alignment horizontal="left"/>
      <protection locked="0"/>
    </xf>
    <xf numFmtId="0" fontId="23" fillId="0" borderId="29" xfId="11" applyBorder="1" applyAlignment="1" applyProtection="1">
      <alignment horizontal="left"/>
      <protection locked="0"/>
    </xf>
    <xf numFmtId="0" fontId="23" fillId="0" borderId="43" xfId="11" applyBorder="1" applyAlignment="1" applyProtection="1">
      <alignment horizontal="left"/>
      <protection locked="0"/>
    </xf>
    <xf numFmtId="0" fontId="23" fillId="0" borderId="0" xfId="11" applyBorder="1" applyAlignment="1" applyProtection="1">
      <alignment horizontal="left"/>
      <protection locked="0"/>
    </xf>
    <xf numFmtId="0" fontId="17" fillId="0" borderId="0" xfId="11" applyFont="1" applyBorder="1" applyAlignment="1">
      <alignment horizontal="center"/>
    </xf>
    <xf numFmtId="0" fontId="23" fillId="0" borderId="12" xfId="11" applyBorder="1" applyAlignment="1">
      <alignment horizontal="center" shrinkToFit="1"/>
    </xf>
    <xf numFmtId="0" fontId="12" fillId="0" borderId="0" xfId="11" applyFont="1" applyAlignment="1" applyProtection="1">
      <alignment horizontal="center" shrinkToFit="1"/>
      <protection locked="0"/>
    </xf>
    <xf numFmtId="0" fontId="23" fillId="0" borderId="0" xfId="11" applyBorder="1" applyAlignment="1" applyProtection="1">
      <alignment horizontal="center"/>
      <protection locked="0"/>
    </xf>
    <xf numFmtId="0" fontId="23" fillId="0" borderId="44" xfId="11" applyBorder="1" applyAlignment="1" applyProtection="1">
      <alignment horizontal="center"/>
      <protection locked="0"/>
    </xf>
    <xf numFmtId="0" fontId="23" fillId="0" borderId="11" xfId="11" applyBorder="1" applyAlignment="1" applyProtection="1">
      <alignment horizontal="center" shrinkToFit="1"/>
    </xf>
    <xf numFmtId="0" fontId="23" fillId="0" borderId="1" xfId="11" applyBorder="1" applyAlignment="1" applyProtection="1">
      <alignment horizontal="center" shrinkToFit="1"/>
    </xf>
    <xf numFmtId="0" fontId="23" fillId="0" borderId="43" xfId="11" applyBorder="1" applyAlignment="1" applyProtection="1">
      <alignment horizontal="center"/>
      <protection locked="0"/>
    </xf>
    <xf numFmtId="0" fontId="17" fillId="0" borderId="44" xfId="11" applyFont="1" applyBorder="1" applyAlignment="1" applyProtection="1">
      <alignment horizontal="center"/>
      <protection locked="0"/>
    </xf>
    <xf numFmtId="0" fontId="23" fillId="0" borderId="27" xfId="11" applyBorder="1" applyAlignment="1" applyProtection="1">
      <alignment horizontal="center"/>
      <protection locked="0"/>
    </xf>
    <xf numFmtId="0" fontId="23" fillId="0" borderId="28" xfId="11" applyBorder="1" applyAlignment="1" applyProtection="1">
      <alignment horizontal="center"/>
      <protection locked="0"/>
    </xf>
    <xf numFmtId="0" fontId="23" fillId="0" borderId="11" xfId="11" applyBorder="1" applyAlignment="1" applyProtection="1">
      <alignment horizontal="left"/>
      <protection locked="0"/>
    </xf>
    <xf numFmtId="0" fontId="23" fillId="0" borderId="1" xfId="11" applyBorder="1" applyAlignment="1" applyProtection="1">
      <alignment horizontal="left"/>
      <protection locked="0"/>
    </xf>
    <xf numFmtId="0" fontId="23" fillId="0" borderId="12" xfId="11" applyBorder="1" applyAlignment="1" applyProtection="1">
      <alignment horizontal="left"/>
      <protection locked="0"/>
    </xf>
    <xf numFmtId="0" fontId="7" fillId="0" borderId="0" xfId="11" applyFont="1" applyAlignment="1" applyProtection="1">
      <alignment horizontal="center"/>
      <protection locked="0"/>
    </xf>
    <xf numFmtId="0" fontId="23" fillId="13" borderId="2" xfId="11" applyFill="1" applyBorder="1" applyAlignment="1">
      <alignment horizontal="center"/>
    </xf>
    <xf numFmtId="0" fontId="23" fillId="13" borderId="3" xfId="11" applyFill="1" applyBorder="1" applyAlignment="1">
      <alignment horizontal="center"/>
    </xf>
    <xf numFmtId="0" fontId="23" fillId="13" borderId="4" xfId="11" applyFill="1" applyBorder="1" applyAlignment="1">
      <alignment horizontal="center"/>
    </xf>
    <xf numFmtId="0" fontId="23" fillId="10" borderId="2" xfId="11" applyFill="1" applyBorder="1" applyAlignment="1">
      <alignment horizontal="center"/>
    </xf>
    <xf numFmtId="0" fontId="23" fillId="10" borderId="3" xfId="11" applyFill="1" applyBorder="1" applyAlignment="1">
      <alignment horizontal="center"/>
    </xf>
    <xf numFmtId="0" fontId="23" fillId="10" borderId="4" xfId="11" applyFill="1" applyBorder="1" applyAlignment="1">
      <alignment horizontal="center"/>
    </xf>
    <xf numFmtId="0" fontId="23" fillId="0" borderId="2" xfId="11" applyBorder="1" applyAlignment="1">
      <alignment horizontal="center"/>
    </xf>
    <xf numFmtId="0" fontId="23" fillId="0" borderId="3" xfId="11" applyBorder="1" applyAlignment="1">
      <alignment horizontal="center"/>
    </xf>
    <xf numFmtId="0" fontId="23" fillId="0" borderId="4" xfId="11" applyBorder="1" applyAlignment="1">
      <alignment horizontal="center"/>
    </xf>
    <xf numFmtId="0" fontId="23" fillId="0" borderId="2" xfId="11" applyBorder="1" applyAlignment="1" applyProtection="1">
      <alignment horizontal="center" shrinkToFit="1"/>
    </xf>
    <xf numFmtId="0" fontId="23" fillId="0" borderId="3" xfId="11" applyBorder="1" applyAlignment="1" applyProtection="1">
      <alignment horizontal="center" shrinkToFit="1"/>
    </xf>
    <xf numFmtId="0" fontId="23" fillId="0" borderId="4" xfId="11" applyBorder="1" applyAlignment="1" applyProtection="1">
      <alignment horizontal="center" shrinkToFit="1"/>
    </xf>
    <xf numFmtId="0" fontId="23" fillId="0" borderId="2" xfId="11" applyBorder="1" applyAlignment="1" applyProtection="1">
      <alignment horizontal="center"/>
    </xf>
    <xf numFmtId="0" fontId="23" fillId="0" borderId="3" xfId="11" applyBorder="1" applyAlignment="1" applyProtection="1">
      <alignment horizontal="center"/>
    </xf>
    <xf numFmtId="0" fontId="23" fillId="0" borderId="4" xfId="11" applyBorder="1" applyAlignment="1" applyProtection="1">
      <alignment horizontal="center"/>
    </xf>
    <xf numFmtId="20" fontId="23" fillId="0" borderId="22" xfId="11" applyNumberFormat="1" applyFill="1" applyBorder="1" applyAlignment="1" applyProtection="1">
      <alignment horizontal="center"/>
      <protection locked="0"/>
    </xf>
    <xf numFmtId="0" fontId="23" fillId="0" borderId="23" xfId="11" applyFill="1" applyBorder="1" applyAlignment="1" applyProtection="1">
      <alignment horizontal="center"/>
      <protection locked="0"/>
    </xf>
    <xf numFmtId="0" fontId="23" fillId="0" borderId="24" xfId="11" applyFill="1" applyBorder="1" applyAlignment="1" applyProtection="1">
      <alignment horizontal="center"/>
      <protection locked="0"/>
    </xf>
    <xf numFmtId="20" fontId="23" fillId="0" borderId="25" xfId="11" applyNumberFormat="1" applyFill="1" applyBorder="1" applyAlignment="1" applyProtection="1">
      <alignment horizontal="center"/>
      <protection locked="0"/>
    </xf>
    <xf numFmtId="0" fontId="23" fillId="0" borderId="26" xfId="11" applyFill="1" applyBorder="1" applyAlignment="1" applyProtection="1">
      <alignment horizontal="center"/>
      <protection locked="0"/>
    </xf>
    <xf numFmtId="0" fontId="18" fillId="4" borderId="27" xfId="11" applyFont="1" applyFill="1" applyBorder="1" applyAlignment="1" applyProtection="1">
      <alignment horizontal="center" vertical="center" wrapText="1"/>
    </xf>
    <xf numFmtId="0" fontId="23" fillId="4" borderId="28" xfId="11" applyFill="1" applyBorder="1" applyAlignment="1" applyProtection="1">
      <alignment vertical="center"/>
    </xf>
    <xf numFmtId="0" fontId="23" fillId="4" borderId="29" xfId="11" applyFill="1" applyBorder="1" applyAlignment="1" applyProtection="1">
      <alignment vertical="center"/>
    </xf>
    <xf numFmtId="0" fontId="23" fillId="4" borderId="43" xfId="11" applyFill="1" applyBorder="1" applyAlignment="1" applyProtection="1">
      <alignment vertical="center"/>
    </xf>
    <xf numFmtId="0" fontId="23" fillId="4" borderId="0" xfId="11" applyFill="1" applyAlignment="1" applyProtection="1">
      <alignment vertical="center"/>
    </xf>
    <xf numFmtId="0" fontId="23" fillId="4" borderId="44" xfId="11" applyFill="1" applyBorder="1" applyAlignment="1" applyProtection="1">
      <alignment vertical="center"/>
    </xf>
    <xf numFmtId="0" fontId="23" fillId="4" borderId="11" xfId="11" applyFill="1" applyBorder="1" applyAlignment="1" applyProtection="1">
      <alignment vertical="center"/>
    </xf>
    <xf numFmtId="0" fontId="23" fillId="4" borderId="1" xfId="11" applyFill="1" applyBorder="1" applyAlignment="1" applyProtection="1">
      <alignment vertical="center"/>
    </xf>
    <xf numFmtId="0" fontId="23" fillId="4" borderId="12" xfId="11" applyFill="1" applyBorder="1" applyAlignment="1" applyProtection="1">
      <alignment vertical="center"/>
    </xf>
    <xf numFmtId="0" fontId="18" fillId="4" borderId="28" xfId="11" applyFont="1" applyFill="1" applyBorder="1" applyAlignment="1" applyProtection="1">
      <alignment horizontal="center" vertical="center" wrapText="1"/>
    </xf>
    <xf numFmtId="0" fontId="18" fillId="4" borderId="29" xfId="11" applyFont="1" applyFill="1" applyBorder="1" applyAlignment="1" applyProtection="1">
      <alignment horizontal="center" vertical="center" wrapText="1"/>
    </xf>
    <xf numFmtId="0" fontId="18" fillId="4" borderId="43" xfId="11" applyFont="1" applyFill="1" applyBorder="1" applyAlignment="1" applyProtection="1">
      <alignment horizontal="center" vertical="center" wrapText="1"/>
    </xf>
    <xf numFmtId="0" fontId="18" fillId="4" borderId="0" xfId="11" applyFont="1" applyFill="1" applyBorder="1" applyAlignment="1" applyProtection="1">
      <alignment horizontal="center" vertical="center" wrapText="1"/>
    </xf>
    <xf numFmtId="0" fontId="18" fillId="4" borderId="44" xfId="11" applyFont="1" applyFill="1" applyBorder="1" applyAlignment="1" applyProtection="1">
      <alignment horizontal="center" vertical="center" wrapText="1"/>
    </xf>
    <xf numFmtId="0" fontId="18" fillId="4" borderId="11" xfId="11" applyFont="1" applyFill="1" applyBorder="1" applyAlignment="1" applyProtection="1">
      <alignment horizontal="center" vertical="center" wrapText="1"/>
    </xf>
    <xf numFmtId="0" fontId="18" fillId="4" borderId="1" xfId="11" applyFont="1" applyFill="1" applyBorder="1" applyAlignment="1" applyProtection="1">
      <alignment horizontal="center" vertical="center" wrapText="1"/>
    </xf>
    <xf numFmtId="0" fontId="18" fillId="4" borderId="12" xfId="11" applyFont="1" applyFill="1" applyBorder="1" applyAlignment="1" applyProtection="1">
      <alignment horizontal="center" vertical="center" wrapText="1"/>
    </xf>
    <xf numFmtId="1" fontId="23" fillId="0" borderId="55" xfId="11" applyNumberFormat="1" applyFill="1" applyBorder="1" applyAlignment="1" applyProtection="1">
      <alignment horizontal="center"/>
      <protection locked="0"/>
    </xf>
    <xf numFmtId="1" fontId="23" fillId="0" borderId="52" xfId="11" applyNumberFormat="1" applyFill="1" applyBorder="1" applyAlignment="1" applyProtection="1">
      <alignment horizontal="center"/>
      <protection locked="0"/>
    </xf>
    <xf numFmtId="1" fontId="23" fillId="0" borderId="53" xfId="11" applyNumberFormat="1" applyFill="1" applyBorder="1" applyAlignment="1" applyProtection="1">
      <alignment horizontal="center"/>
      <protection locked="0"/>
    </xf>
    <xf numFmtId="1" fontId="23" fillId="0" borderId="51" xfId="11" applyNumberFormat="1" applyFill="1" applyBorder="1" applyAlignment="1" applyProtection="1">
      <alignment horizontal="center"/>
      <protection locked="0"/>
    </xf>
    <xf numFmtId="1" fontId="23" fillId="0" borderId="56" xfId="11" applyNumberFormat="1" applyFill="1" applyBorder="1" applyAlignment="1" applyProtection="1">
      <alignment horizontal="center"/>
      <protection locked="0"/>
    </xf>
    <xf numFmtId="0" fontId="12" fillId="0" borderId="0" xfId="11" applyFont="1" applyAlignment="1">
      <alignment horizontal="center"/>
    </xf>
    <xf numFmtId="0" fontId="12" fillId="0" borderId="44" xfId="11" applyFont="1" applyBorder="1" applyAlignment="1">
      <alignment horizontal="center"/>
    </xf>
    <xf numFmtId="0" fontId="5" fillId="6" borderId="55" xfId="11" applyFont="1" applyFill="1" applyBorder="1" applyAlignment="1">
      <alignment horizontal="center"/>
    </xf>
    <xf numFmtId="0" fontId="5" fillId="6" borderId="56" xfId="11" applyFont="1" applyFill="1" applyBorder="1" applyAlignment="1">
      <alignment horizontal="center"/>
    </xf>
    <xf numFmtId="0" fontId="23" fillId="2" borderId="0" xfId="11" applyFill="1" applyBorder="1" applyAlignment="1">
      <alignment horizontal="center"/>
    </xf>
    <xf numFmtId="0" fontId="23" fillId="2" borderId="44" xfId="11" applyFill="1" applyBorder="1" applyAlignment="1">
      <alignment horizontal="center"/>
    </xf>
    <xf numFmtId="0" fontId="5" fillId="0" borderId="2" xfId="11" applyFont="1" applyFill="1" applyBorder="1" applyAlignment="1">
      <alignment horizontal="center"/>
    </xf>
    <xf numFmtId="0" fontId="5" fillId="0" borderId="3" xfId="11" applyFont="1" applyFill="1" applyBorder="1" applyAlignment="1">
      <alignment horizontal="center"/>
    </xf>
    <xf numFmtId="0" fontId="5" fillId="0" borderId="4" xfId="11" applyFont="1" applyFill="1" applyBorder="1" applyAlignment="1">
      <alignment horizontal="center"/>
    </xf>
    <xf numFmtId="1" fontId="23" fillId="0" borderId="0" xfId="11" applyNumberFormat="1" applyAlignment="1">
      <alignment horizontal="center"/>
    </xf>
    <xf numFmtId="0" fontId="23" fillId="0" borderId="0" xfId="11" applyBorder="1" applyAlignment="1">
      <alignment horizontal="center"/>
    </xf>
    <xf numFmtId="0" fontId="19" fillId="5" borderId="27" xfId="11" applyFont="1" applyFill="1" applyBorder="1" applyAlignment="1" applyProtection="1">
      <alignment horizontal="center" vertical="center"/>
    </xf>
    <xf numFmtId="0" fontId="19" fillId="5" borderId="28" xfId="11" applyFont="1" applyFill="1" applyBorder="1" applyAlignment="1" applyProtection="1">
      <alignment horizontal="center" vertical="center"/>
    </xf>
    <xf numFmtId="0" fontId="19" fillId="5" borderId="29" xfId="11" applyFont="1" applyFill="1" applyBorder="1" applyAlignment="1" applyProtection="1">
      <alignment horizontal="center" vertical="center"/>
    </xf>
    <xf numFmtId="0" fontId="19" fillId="5" borderId="43" xfId="11" applyFont="1" applyFill="1" applyBorder="1" applyAlignment="1" applyProtection="1">
      <alignment horizontal="center" vertical="center"/>
    </xf>
    <xf numFmtId="0" fontId="19" fillId="5" borderId="0" xfId="11" applyFont="1" applyFill="1" applyBorder="1" applyAlignment="1" applyProtection="1">
      <alignment horizontal="center" vertical="center"/>
    </xf>
    <xf numFmtId="0" fontId="19" fillId="5" borderId="44" xfId="11" applyFont="1" applyFill="1" applyBorder="1" applyAlignment="1" applyProtection="1">
      <alignment horizontal="center" vertical="center"/>
    </xf>
    <xf numFmtId="0" fontId="19" fillId="5" borderId="11" xfId="11" applyFont="1" applyFill="1" applyBorder="1" applyAlignment="1" applyProtection="1">
      <alignment horizontal="center" vertical="center"/>
    </xf>
    <xf numFmtId="0" fontId="19" fillId="5" borderId="1" xfId="11" applyFont="1" applyFill="1" applyBorder="1" applyAlignment="1" applyProtection="1">
      <alignment horizontal="center" vertical="center"/>
    </xf>
    <xf numFmtId="0" fontId="19" fillId="5" borderId="12" xfId="11" applyFont="1" applyFill="1" applyBorder="1" applyAlignment="1" applyProtection="1">
      <alignment horizontal="center" vertical="center"/>
    </xf>
    <xf numFmtId="0" fontId="23" fillId="0" borderId="0" xfId="11" applyAlignment="1">
      <alignment horizontal="center"/>
    </xf>
    <xf numFmtId="2" fontId="23" fillId="0" borderId="0" xfId="11" applyNumberFormat="1" applyAlignment="1">
      <alignment horizontal="center"/>
    </xf>
    <xf numFmtId="14" fontId="23" fillId="0" borderId="3" xfId="11" applyNumberFormat="1" applyBorder="1" applyAlignment="1" applyProtection="1">
      <alignment horizontal="center"/>
      <protection locked="0"/>
    </xf>
    <xf numFmtId="0" fontId="23" fillId="0" borderId="0" xfId="11" applyBorder="1" applyAlignment="1" applyProtection="1">
      <alignment horizontal="center" shrinkToFit="1"/>
      <protection locked="0"/>
    </xf>
    <xf numFmtId="0" fontId="17" fillId="0" borderId="0" xfId="11" applyFont="1" applyBorder="1" applyAlignment="1" applyProtection="1">
      <alignment horizontal="center" shrinkToFit="1"/>
      <protection locked="0"/>
    </xf>
    <xf numFmtId="0" fontId="17" fillId="0" borderId="44" xfId="11" applyFont="1" applyBorder="1" applyAlignment="1" applyProtection="1">
      <alignment horizontal="center" shrinkToFit="1"/>
      <protection locked="0"/>
    </xf>
    <xf numFmtId="0" fontId="23" fillId="0" borderId="5" xfId="11" applyBorder="1" applyAlignment="1" applyProtection="1">
      <alignment horizontal="center" shrinkToFit="1"/>
    </xf>
    <xf numFmtId="0" fontId="23" fillId="0" borderId="7" xfId="11" applyBorder="1" applyAlignment="1" applyProtection="1">
      <alignment horizontal="center" shrinkToFit="1"/>
    </xf>
    <xf numFmtId="0" fontId="23" fillId="0" borderId="6" xfId="11" applyBorder="1" applyAlignment="1" applyProtection="1">
      <alignment horizontal="center" shrinkToFit="1"/>
    </xf>
    <xf numFmtId="0" fontId="17" fillId="0" borderId="5" xfId="11" applyFont="1" applyFill="1" applyBorder="1" applyAlignment="1">
      <alignment horizontal="center" shrinkToFit="1"/>
    </xf>
    <xf numFmtId="0" fontId="17" fillId="0" borderId="7" xfId="11" applyFont="1" applyFill="1" applyBorder="1" applyAlignment="1">
      <alignment horizontal="center" shrinkToFit="1"/>
    </xf>
    <xf numFmtId="0" fontId="17" fillId="0" borderId="7" xfId="11" applyFont="1" applyFill="1" applyBorder="1" applyAlignment="1">
      <alignment horizontal="center"/>
    </xf>
    <xf numFmtId="0" fontId="17" fillId="0" borderId="6" xfId="11" applyFont="1" applyFill="1" applyBorder="1" applyAlignment="1">
      <alignment horizontal="center"/>
    </xf>
    <xf numFmtId="0" fontId="5" fillId="0" borderId="5" xfId="11" applyFont="1" applyBorder="1" applyAlignment="1" applyProtection="1">
      <alignment horizontal="center"/>
      <protection locked="0"/>
    </xf>
    <xf numFmtId="0" fontId="5" fillId="0" borderId="7" xfId="11" applyFont="1" applyBorder="1" applyAlignment="1" applyProtection="1">
      <alignment horizontal="center"/>
      <protection locked="0"/>
    </xf>
    <xf numFmtId="0" fontId="5" fillId="0" borderId="8" xfId="11" applyFont="1" applyBorder="1" applyAlignment="1" applyProtection="1">
      <alignment horizontal="center"/>
      <protection locked="0"/>
    </xf>
    <xf numFmtId="1" fontId="4" fillId="0" borderId="0" xfId="1" applyNumberFormat="1" applyAlignment="1">
      <alignment horizontal="center"/>
    </xf>
    <xf numFmtId="0" fontId="4" fillId="0" borderId="0" xfId="1" applyBorder="1" applyAlignment="1">
      <alignment horizontal="center"/>
    </xf>
    <xf numFmtId="0" fontId="4" fillId="2" borderId="0" xfId="1" applyFill="1" applyBorder="1" applyAlignment="1">
      <alignment horizontal="center"/>
    </xf>
    <xf numFmtId="0" fontId="4" fillId="2" borderId="44" xfId="1" applyFill="1" applyBorder="1" applyAlignment="1">
      <alignment horizontal="center"/>
    </xf>
    <xf numFmtId="0" fontId="19" fillId="5" borderId="27" xfId="1" applyFont="1" applyFill="1" applyBorder="1" applyAlignment="1" applyProtection="1">
      <alignment horizontal="center" vertical="center"/>
    </xf>
    <xf numFmtId="0" fontId="19" fillId="5" borderId="28" xfId="1" applyFont="1" applyFill="1" applyBorder="1" applyAlignment="1" applyProtection="1">
      <alignment horizontal="center" vertical="center"/>
    </xf>
    <xf numFmtId="0" fontId="19" fillId="5" borderId="29" xfId="1" applyFont="1" applyFill="1" applyBorder="1" applyAlignment="1" applyProtection="1">
      <alignment horizontal="center" vertical="center"/>
    </xf>
    <xf numFmtId="0" fontId="19" fillId="5" borderId="43" xfId="1" applyFont="1" applyFill="1" applyBorder="1" applyAlignment="1" applyProtection="1">
      <alignment horizontal="center" vertical="center"/>
    </xf>
    <xf numFmtId="0" fontId="19" fillId="5" borderId="0" xfId="1" applyFont="1" applyFill="1" applyBorder="1" applyAlignment="1" applyProtection="1">
      <alignment horizontal="center" vertical="center"/>
    </xf>
    <xf numFmtId="0" fontId="19" fillId="5" borderId="44" xfId="1" applyFont="1" applyFill="1" applyBorder="1" applyAlignment="1" applyProtection="1">
      <alignment horizontal="center" vertical="center"/>
    </xf>
    <xf numFmtId="0" fontId="19" fillId="5" borderId="11" xfId="1" applyFont="1" applyFill="1" applyBorder="1" applyAlignment="1" applyProtection="1">
      <alignment horizontal="center" vertical="center"/>
    </xf>
    <xf numFmtId="0" fontId="19" fillId="5" borderId="1" xfId="1" applyFont="1" applyFill="1" applyBorder="1" applyAlignment="1" applyProtection="1">
      <alignment horizontal="center" vertical="center"/>
    </xf>
    <xf numFmtId="0" fontId="19" fillId="5" borderId="12" xfId="1" applyFont="1" applyFill="1" applyBorder="1" applyAlignment="1" applyProtection="1">
      <alignment horizontal="center" vertical="center"/>
    </xf>
    <xf numFmtId="0" fontId="4" fillId="0" borderId="0" xfId="1" applyAlignment="1">
      <alignment horizontal="center"/>
    </xf>
    <xf numFmtId="2" fontId="4" fillId="0" borderId="0" xfId="1" applyNumberFormat="1" applyAlignment="1">
      <alignment horizontal="center"/>
    </xf>
    <xf numFmtId="0" fontId="5" fillId="6" borderId="51" xfId="1" applyFont="1" applyFill="1" applyBorder="1" applyAlignment="1">
      <alignment horizontal="center"/>
    </xf>
    <xf numFmtId="0" fontId="5" fillId="6" borderId="52" xfId="1" applyFont="1" applyFill="1" applyBorder="1" applyAlignment="1">
      <alignment horizontal="center"/>
    </xf>
    <xf numFmtId="0" fontId="5" fillId="6" borderId="56" xfId="1" applyFont="1" applyFill="1" applyBorder="1" applyAlignment="1">
      <alignment horizontal="center"/>
    </xf>
    <xf numFmtId="0" fontId="5" fillId="0" borderId="2" xfId="1" applyFont="1" applyFill="1" applyBorder="1" applyAlignment="1">
      <alignment horizontal="center"/>
    </xf>
    <xf numFmtId="0" fontId="5" fillId="0" borderId="3" xfId="1" applyFont="1" applyFill="1" applyBorder="1" applyAlignment="1">
      <alignment horizontal="center"/>
    </xf>
    <xf numFmtId="0" fontId="5" fillId="0" borderId="4" xfId="1" applyFont="1" applyFill="1" applyBorder="1" applyAlignment="1">
      <alignment horizontal="center"/>
    </xf>
    <xf numFmtId="0" fontId="5" fillId="6" borderId="55" xfId="1" applyFont="1" applyFill="1" applyBorder="1" applyAlignment="1">
      <alignment horizontal="center"/>
    </xf>
    <xf numFmtId="0" fontId="5" fillId="6" borderId="53" xfId="1" applyFont="1" applyFill="1" applyBorder="1" applyAlignment="1">
      <alignment horizontal="center"/>
    </xf>
    <xf numFmtId="20" fontId="4" fillId="0" borderId="25" xfId="1" applyNumberFormat="1" applyFill="1" applyBorder="1" applyAlignment="1" applyProtection="1">
      <alignment horizontal="center"/>
      <protection locked="0"/>
    </xf>
    <xf numFmtId="0" fontId="4" fillId="0" borderId="23" xfId="1" applyFill="1" applyBorder="1" applyAlignment="1" applyProtection="1">
      <alignment horizontal="center"/>
      <protection locked="0"/>
    </xf>
    <xf numFmtId="0" fontId="4" fillId="0" borderId="24" xfId="1" applyFill="1" applyBorder="1" applyAlignment="1" applyProtection="1">
      <alignment horizontal="center"/>
      <protection locked="0"/>
    </xf>
    <xf numFmtId="0" fontId="4" fillId="0" borderId="26" xfId="1" applyFill="1" applyBorder="1" applyAlignment="1" applyProtection="1">
      <alignment horizontal="center"/>
      <protection locked="0"/>
    </xf>
    <xf numFmtId="0" fontId="18" fillId="4" borderId="27" xfId="1" applyFont="1" applyFill="1" applyBorder="1" applyAlignment="1" applyProtection="1">
      <alignment horizontal="center" vertical="center" wrapText="1"/>
    </xf>
    <xf numFmtId="0" fontId="18" fillId="4" borderId="28" xfId="1" applyFont="1" applyFill="1" applyBorder="1" applyAlignment="1" applyProtection="1">
      <alignment horizontal="center" vertical="center" wrapText="1"/>
    </xf>
    <xf numFmtId="0" fontId="18" fillId="4" borderId="29" xfId="1" applyFont="1" applyFill="1" applyBorder="1" applyAlignment="1" applyProtection="1">
      <alignment horizontal="center" vertical="center" wrapText="1"/>
    </xf>
    <xf numFmtId="0" fontId="18" fillId="4" borderId="43" xfId="1" applyFont="1" applyFill="1" applyBorder="1" applyAlignment="1" applyProtection="1">
      <alignment horizontal="center" vertical="center" wrapText="1"/>
    </xf>
    <xf numFmtId="0" fontId="18" fillId="4" borderId="0" xfId="1" applyFont="1" applyFill="1" applyBorder="1" applyAlignment="1" applyProtection="1">
      <alignment horizontal="center" vertical="center" wrapText="1"/>
    </xf>
    <xf numFmtId="0" fontId="18" fillId="4" borderId="44" xfId="1" applyFont="1" applyFill="1" applyBorder="1" applyAlignment="1" applyProtection="1">
      <alignment horizontal="center" vertical="center" wrapText="1"/>
    </xf>
    <xf numFmtId="0" fontId="18" fillId="4" borderId="11" xfId="1" applyFont="1" applyFill="1" applyBorder="1" applyAlignment="1" applyProtection="1">
      <alignment horizontal="center" vertical="center" wrapText="1"/>
    </xf>
    <xf numFmtId="0" fontId="18" fillId="4" borderId="1" xfId="1" applyFont="1" applyFill="1" applyBorder="1" applyAlignment="1" applyProtection="1">
      <alignment horizontal="center" vertical="center" wrapText="1"/>
    </xf>
    <xf numFmtId="0" fontId="18" fillId="4" borderId="12" xfId="1" applyFont="1" applyFill="1" applyBorder="1" applyAlignment="1" applyProtection="1">
      <alignment horizontal="center" vertical="center" wrapText="1"/>
    </xf>
    <xf numFmtId="1" fontId="4" fillId="0" borderId="55" xfId="1" applyNumberFormat="1" applyFill="1" applyBorder="1" applyAlignment="1" applyProtection="1">
      <alignment horizontal="center"/>
      <protection locked="0"/>
    </xf>
    <xf numFmtId="1" fontId="4" fillId="0" borderId="52" xfId="1" applyNumberFormat="1" applyFill="1" applyBorder="1" applyAlignment="1" applyProtection="1">
      <alignment horizontal="center"/>
      <protection locked="0"/>
    </xf>
    <xf numFmtId="1" fontId="4" fillId="0" borderId="53" xfId="1" applyNumberFormat="1" applyFill="1" applyBorder="1" applyAlignment="1" applyProtection="1">
      <alignment horizontal="center"/>
      <protection locked="0"/>
    </xf>
    <xf numFmtId="1" fontId="4" fillId="0" borderId="51" xfId="1" applyNumberFormat="1" applyFill="1" applyBorder="1" applyAlignment="1" applyProtection="1">
      <alignment horizontal="center"/>
      <protection locked="0"/>
    </xf>
    <xf numFmtId="1" fontId="4" fillId="0" borderId="56" xfId="1" applyNumberFormat="1" applyFill="1" applyBorder="1" applyAlignment="1" applyProtection="1">
      <alignment horizontal="center"/>
      <protection locked="0"/>
    </xf>
    <xf numFmtId="0" fontId="12" fillId="0" borderId="0" xfId="1" applyFont="1" applyAlignment="1">
      <alignment horizontal="center"/>
    </xf>
    <xf numFmtId="0" fontId="12" fillId="0" borderId="44" xfId="1" applyFont="1" applyBorder="1" applyAlignment="1">
      <alignment horizontal="center"/>
    </xf>
    <xf numFmtId="0" fontId="4" fillId="0" borderId="2" xfId="1" applyBorder="1" applyAlignment="1" applyProtection="1">
      <alignment horizontal="center" shrinkToFit="1"/>
    </xf>
    <xf numFmtId="0" fontId="4" fillId="0" borderId="3" xfId="1" applyBorder="1" applyAlignment="1" applyProtection="1">
      <alignment horizontal="center" shrinkToFit="1"/>
    </xf>
    <xf numFmtId="0" fontId="4" fillId="0" borderId="4" xfId="1" applyBorder="1" applyAlignment="1" applyProtection="1">
      <alignment horizontal="center" shrinkToFit="1"/>
    </xf>
    <xf numFmtId="0" fontId="4" fillId="0" borderId="2" xfId="1" applyBorder="1" applyAlignment="1" applyProtection="1">
      <alignment horizontal="center"/>
    </xf>
    <xf numFmtId="0" fontId="4" fillId="0" borderId="3" xfId="1" applyBorder="1" applyAlignment="1" applyProtection="1">
      <alignment horizontal="center"/>
    </xf>
    <xf numFmtId="0" fontId="4" fillId="0" borderId="4" xfId="1" applyBorder="1" applyAlignment="1" applyProtection="1">
      <alignment horizontal="center"/>
    </xf>
    <xf numFmtId="0" fontId="4" fillId="0" borderId="2" xfId="1" applyBorder="1" applyAlignment="1">
      <alignment horizontal="center"/>
    </xf>
    <xf numFmtId="0" fontId="4" fillId="0" borderId="3" xfId="1" applyBorder="1" applyAlignment="1">
      <alignment horizontal="center"/>
    </xf>
    <xf numFmtId="0" fontId="4" fillId="0" borderId="4" xfId="1" applyBorder="1" applyAlignment="1">
      <alignment horizontal="center"/>
    </xf>
    <xf numFmtId="20" fontId="4" fillId="0" borderId="22" xfId="1" applyNumberFormat="1" applyFill="1" applyBorder="1" applyAlignment="1" applyProtection="1">
      <alignment horizontal="center"/>
      <protection locked="0"/>
    </xf>
    <xf numFmtId="0" fontId="4" fillId="4" borderId="28" xfId="1" applyFill="1" applyBorder="1" applyAlignment="1" applyProtection="1">
      <alignment vertical="center"/>
    </xf>
    <xf numFmtId="0" fontId="4" fillId="4" borderId="29" xfId="1" applyFill="1" applyBorder="1" applyAlignment="1" applyProtection="1">
      <alignment vertical="center"/>
    </xf>
    <xf numFmtId="0" fontId="4" fillId="4" borderId="43" xfId="1" applyFill="1" applyBorder="1" applyAlignment="1" applyProtection="1">
      <alignment vertical="center"/>
    </xf>
    <xf numFmtId="0" fontId="4" fillId="4" borderId="0" xfId="1" applyFill="1" applyAlignment="1" applyProtection="1">
      <alignment vertical="center"/>
    </xf>
    <xf numFmtId="0" fontId="4" fillId="4" borderId="44" xfId="1" applyFill="1" applyBorder="1" applyAlignment="1" applyProtection="1">
      <alignment vertical="center"/>
    </xf>
    <xf numFmtId="0" fontId="4" fillId="4" borderId="11" xfId="1" applyFill="1" applyBorder="1" applyAlignment="1" applyProtection="1">
      <alignment vertical="center"/>
    </xf>
    <xf numFmtId="0" fontId="4" fillId="4" borderId="1" xfId="1" applyFill="1" applyBorder="1" applyAlignment="1" applyProtection="1">
      <alignment vertical="center"/>
    </xf>
    <xf numFmtId="0" fontId="4" fillId="4" borderId="12" xfId="1" applyFill="1" applyBorder="1" applyAlignment="1" applyProtection="1">
      <alignment vertical="center"/>
    </xf>
    <xf numFmtId="0" fontId="4" fillId="13" borderId="2" xfId="1" applyFill="1" applyBorder="1" applyAlignment="1">
      <alignment horizontal="center"/>
    </xf>
    <xf numFmtId="0" fontId="4" fillId="13" borderId="3" xfId="1" applyFill="1" applyBorder="1" applyAlignment="1">
      <alignment horizontal="center"/>
    </xf>
    <xf numFmtId="0" fontId="4" fillId="13" borderId="4" xfId="1" applyFill="1" applyBorder="1" applyAlignment="1">
      <alignment horizontal="center"/>
    </xf>
    <xf numFmtId="0" fontId="4" fillId="10" borderId="2" xfId="1" applyFill="1" applyBorder="1" applyAlignment="1">
      <alignment horizontal="center"/>
    </xf>
    <xf numFmtId="0" fontId="4" fillId="10" borderId="3" xfId="1" applyFill="1" applyBorder="1" applyAlignment="1">
      <alignment horizontal="center"/>
    </xf>
    <xf numFmtId="0" fontId="4" fillId="10" borderId="4" xfId="1" applyFill="1" applyBorder="1" applyAlignment="1">
      <alignment horizontal="center"/>
    </xf>
    <xf numFmtId="0" fontId="4" fillId="0" borderId="1" xfId="1" applyBorder="1" applyAlignment="1">
      <alignment horizontal="center" shrinkToFit="1"/>
    </xf>
    <xf numFmtId="0" fontId="4" fillId="0" borderId="12" xfId="1" applyBorder="1" applyAlignment="1">
      <alignment horizontal="center" shrinkToFit="1"/>
    </xf>
    <xf numFmtId="0" fontId="12" fillId="0" borderId="28" xfId="1" applyFont="1" applyBorder="1" applyAlignment="1" applyProtection="1">
      <alignment horizontal="center" shrinkToFit="1"/>
      <protection locked="0"/>
    </xf>
    <xf numFmtId="0" fontId="12" fillId="0" borderId="0" xfId="1" applyFont="1" applyBorder="1" applyAlignment="1" applyProtection="1">
      <alignment horizontal="center" shrinkToFit="1"/>
      <protection locked="0"/>
    </xf>
    <xf numFmtId="0" fontId="7" fillId="0" borderId="0" xfId="1" applyFont="1" applyAlignment="1" applyProtection="1">
      <alignment horizontal="center"/>
      <protection locked="0"/>
    </xf>
    <xf numFmtId="0" fontId="4" fillId="0" borderId="11" xfId="1" applyBorder="1" applyAlignment="1" applyProtection="1">
      <alignment horizontal="left"/>
      <protection locked="0"/>
    </xf>
    <xf numFmtId="0" fontId="4" fillId="0" borderId="1" xfId="1" applyBorder="1" applyAlignment="1" applyProtection="1">
      <alignment horizontal="left"/>
      <protection locked="0"/>
    </xf>
    <xf numFmtId="0" fontId="4" fillId="0" borderId="12" xfId="1" applyBorder="1" applyAlignment="1" applyProtection="1">
      <alignment horizontal="left"/>
      <protection locked="0"/>
    </xf>
    <xf numFmtId="0" fontId="4" fillId="0" borderId="43" xfId="1" applyBorder="1" applyAlignment="1" applyProtection="1">
      <alignment horizontal="left"/>
      <protection locked="0"/>
    </xf>
    <xf numFmtId="0" fontId="4" fillId="0" borderId="0" xfId="1" applyBorder="1" applyAlignment="1" applyProtection="1">
      <alignment horizontal="left"/>
      <protection locked="0"/>
    </xf>
    <xf numFmtId="0" fontId="17" fillId="0" borderId="0" xfId="1" applyFont="1" applyBorder="1" applyAlignment="1" applyProtection="1">
      <alignment horizontal="center"/>
      <protection locked="0"/>
    </xf>
    <xf numFmtId="0" fontId="17" fillId="0" borderId="44" xfId="1" applyFont="1" applyBorder="1" applyAlignment="1" applyProtection="1">
      <alignment horizontal="center"/>
      <protection locked="0"/>
    </xf>
    <xf numFmtId="0" fontId="4" fillId="0" borderId="43" xfId="1" applyBorder="1" applyAlignment="1">
      <alignment horizontal="left" shrinkToFit="1"/>
    </xf>
    <xf numFmtId="0" fontId="4" fillId="0" borderId="0" xfId="1" applyBorder="1" applyAlignment="1">
      <alignment horizontal="left" shrinkToFit="1"/>
    </xf>
    <xf numFmtId="0" fontId="4" fillId="0" borderId="43" xfId="1" applyBorder="1" applyAlignment="1" applyProtection="1">
      <alignment horizontal="center"/>
      <protection locked="0"/>
    </xf>
    <xf numFmtId="0" fontId="4" fillId="0" borderId="0" xfId="1" applyBorder="1" applyAlignment="1" applyProtection="1">
      <alignment horizontal="center"/>
      <protection locked="0"/>
    </xf>
    <xf numFmtId="0" fontId="12" fillId="0" borderId="44" xfId="1" applyFont="1" applyBorder="1" applyAlignment="1" applyProtection="1">
      <alignment horizontal="center" shrinkToFit="1"/>
      <protection locked="0"/>
    </xf>
    <xf numFmtId="0" fontId="4" fillId="0" borderId="11" xfId="1" applyBorder="1" applyAlignment="1" applyProtection="1">
      <alignment horizontal="center" shrinkToFit="1"/>
    </xf>
    <xf numFmtId="0" fontId="4" fillId="0" borderId="1" xfId="1" applyBorder="1" applyAlignment="1" applyProtection="1">
      <alignment horizontal="center" shrinkToFit="1"/>
    </xf>
    <xf numFmtId="0" fontId="4" fillId="0" borderId="27" xfId="1" applyBorder="1" applyAlignment="1" applyProtection="1">
      <alignment horizontal="center"/>
      <protection locked="0"/>
    </xf>
    <xf numFmtId="0" fontId="4" fillId="0" borderId="28" xfId="1" applyBorder="1" applyAlignment="1" applyProtection="1">
      <alignment horizontal="center"/>
      <protection locked="0"/>
    </xf>
    <xf numFmtId="0" fontId="12" fillId="0" borderId="0" xfId="1" applyFont="1" applyAlignment="1" applyProtection="1">
      <alignment horizontal="center" shrinkToFit="1"/>
      <protection locked="0"/>
    </xf>
    <xf numFmtId="0" fontId="4" fillId="0" borderId="44" xfId="1" applyBorder="1" applyAlignment="1" applyProtection="1">
      <alignment horizontal="center"/>
      <protection locked="0"/>
    </xf>
    <xf numFmtId="0" fontId="4" fillId="0" borderId="27" xfId="1" applyBorder="1" applyAlignment="1" applyProtection="1">
      <alignment horizontal="left"/>
      <protection locked="0"/>
    </xf>
    <xf numFmtId="0" fontId="4" fillId="0" borderId="28" xfId="1" applyBorder="1" applyAlignment="1" applyProtection="1">
      <alignment horizontal="left"/>
      <protection locked="0"/>
    </xf>
    <xf numFmtId="0" fontId="4" fillId="0" borderId="29" xfId="1" applyBorder="1" applyAlignment="1" applyProtection="1">
      <alignment horizontal="left"/>
      <protection locked="0"/>
    </xf>
    <xf numFmtId="0" fontId="1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 applyProtection="1">
      <alignment horizontal="left" wrapText="1"/>
      <protection locked="0"/>
    </xf>
    <xf numFmtId="0" fontId="8" fillId="0" borderId="0" xfId="1" applyFont="1" applyAlignment="1" applyProtection="1">
      <alignment horizontal="left"/>
      <protection locked="0"/>
    </xf>
    <xf numFmtId="0" fontId="4" fillId="0" borderId="0" xfId="1" applyFill="1" applyAlignment="1" applyProtection="1">
      <alignment horizontal="left"/>
      <protection locked="0"/>
    </xf>
    <xf numFmtId="0" fontId="5" fillId="12" borderId="0" xfId="1" applyFont="1" applyFill="1" applyAlignment="1">
      <alignment horizontal="center"/>
    </xf>
    <xf numFmtId="0" fontId="4" fillId="0" borderId="0" xfId="1" applyAlignment="1" applyProtection="1">
      <alignment horizontal="center"/>
      <protection locked="0"/>
    </xf>
    <xf numFmtId="0" fontId="17" fillId="0" borderId="16" xfId="1" applyFont="1" applyFill="1" applyBorder="1" applyAlignment="1">
      <alignment horizontal="center" shrinkToFit="1"/>
    </xf>
    <xf numFmtId="0" fontId="17" fillId="0" borderId="37" xfId="1" applyFont="1" applyFill="1" applyBorder="1" applyAlignment="1">
      <alignment horizontal="center" shrinkToFit="1"/>
    </xf>
    <xf numFmtId="0" fontId="17" fillId="0" borderId="37" xfId="1" applyFont="1" applyFill="1" applyBorder="1" applyAlignment="1">
      <alignment horizontal="center"/>
    </xf>
    <xf numFmtId="0" fontId="17" fillId="0" borderId="17" xfId="1" applyFont="1" applyFill="1" applyBorder="1" applyAlignment="1">
      <alignment horizontal="center"/>
    </xf>
    <xf numFmtId="0" fontId="17" fillId="0" borderId="35" xfId="1" applyFont="1" applyFill="1" applyBorder="1" applyAlignment="1">
      <alignment horizontal="center" shrinkToFit="1"/>
    </xf>
    <xf numFmtId="0" fontId="17" fillId="0" borderId="36" xfId="1" applyFont="1" applyFill="1" applyBorder="1" applyAlignment="1">
      <alignment horizontal="center" shrinkToFit="1"/>
    </xf>
    <xf numFmtId="0" fontId="17" fillId="0" borderId="36" xfId="1" applyFont="1" applyFill="1" applyBorder="1" applyAlignment="1">
      <alignment horizontal="center"/>
    </xf>
    <xf numFmtId="0" fontId="17" fillId="0" borderId="39" xfId="1" applyFont="1" applyFill="1" applyBorder="1" applyAlignment="1">
      <alignment horizontal="center"/>
    </xf>
    <xf numFmtId="0" fontId="4" fillId="3" borderId="2" xfId="1" applyFill="1" applyBorder="1" applyAlignment="1">
      <alignment horizontal="center"/>
    </xf>
    <xf numFmtId="0" fontId="4" fillId="3" borderId="3" xfId="1" applyFill="1" applyBorder="1" applyAlignment="1">
      <alignment horizontal="center"/>
    </xf>
    <xf numFmtId="0" fontId="4" fillId="3" borderId="4" xfId="1" applyFill="1" applyBorder="1" applyAlignment="1">
      <alignment horizontal="center"/>
    </xf>
    <xf numFmtId="0" fontId="16" fillId="0" borderId="0" xfId="1" applyFont="1" applyAlignment="1">
      <alignment horizontal="center"/>
    </xf>
    <xf numFmtId="0" fontId="12" fillId="10" borderId="21" xfId="1" applyFont="1" applyFill="1" applyBorder="1" applyAlignment="1">
      <alignment horizontal="center" wrapText="1"/>
    </xf>
    <xf numFmtId="0" fontId="12" fillId="10" borderId="30" xfId="1" applyFont="1" applyFill="1" applyBorder="1" applyAlignment="1">
      <alignment horizontal="center" wrapText="1"/>
    </xf>
    <xf numFmtId="0" fontId="4" fillId="11" borderId="2" xfId="1" applyFill="1" applyBorder="1" applyAlignment="1">
      <alignment horizontal="center"/>
    </xf>
    <xf numFmtId="0" fontId="4" fillId="11" borderId="3" xfId="1" applyFill="1" applyBorder="1" applyAlignment="1">
      <alignment horizontal="center"/>
    </xf>
    <xf numFmtId="0" fontId="4" fillId="11" borderId="4" xfId="1" applyFill="1" applyBorder="1" applyAlignment="1">
      <alignment horizontal="center"/>
    </xf>
    <xf numFmtId="0" fontId="7" fillId="6" borderId="51" xfId="1" applyFont="1" applyFill="1" applyBorder="1" applyAlignment="1" applyProtection="1">
      <alignment horizontal="center"/>
      <protection locked="0"/>
    </xf>
    <xf numFmtId="0" fontId="7" fillId="6" borderId="52" xfId="1" applyFont="1" applyFill="1" applyBorder="1" applyAlignment="1" applyProtection="1">
      <alignment horizontal="center"/>
      <protection locked="0"/>
    </xf>
    <xf numFmtId="0" fontId="7" fillId="6" borderId="53" xfId="1" applyFont="1" applyFill="1" applyBorder="1" applyAlignment="1" applyProtection="1">
      <alignment horizontal="center"/>
      <protection locked="0"/>
    </xf>
    <xf numFmtId="0" fontId="4" fillId="0" borderId="0" xfId="1" applyFill="1" applyAlignment="1" applyProtection="1">
      <alignment horizontal="center" wrapText="1"/>
      <protection hidden="1"/>
    </xf>
    <xf numFmtId="0" fontId="4" fillId="0" borderId="0" xfId="1" applyAlignment="1" applyProtection="1">
      <alignment horizontal="left"/>
    </xf>
    <xf numFmtId="0" fontId="4" fillId="0" borderId="0" xfId="1" applyAlignment="1" applyProtection="1">
      <alignment horizontal="left"/>
      <protection locked="0"/>
    </xf>
    <xf numFmtId="20" fontId="4" fillId="0" borderId="51" xfId="1" applyNumberFormat="1" applyFill="1" applyBorder="1" applyAlignment="1" applyProtection="1">
      <alignment horizontal="center"/>
      <protection locked="0"/>
    </xf>
    <xf numFmtId="20" fontId="4" fillId="0" borderId="52" xfId="1" applyNumberFormat="1" applyFill="1" applyBorder="1" applyAlignment="1" applyProtection="1">
      <alignment horizontal="center"/>
      <protection locked="0"/>
    </xf>
    <xf numFmtId="20" fontId="4" fillId="0" borderId="53" xfId="1" applyNumberFormat="1" applyFill="1" applyBorder="1" applyAlignment="1" applyProtection="1">
      <alignment horizontal="center"/>
      <protection locked="0"/>
    </xf>
    <xf numFmtId="20" fontId="4" fillId="0" borderId="48" xfId="1" applyNumberFormat="1" applyFill="1" applyBorder="1" applyAlignment="1" applyProtection="1">
      <alignment horizontal="center"/>
      <protection locked="0"/>
    </xf>
    <xf numFmtId="0" fontId="4" fillId="0" borderId="49" xfId="1" applyFill="1" applyBorder="1" applyAlignment="1" applyProtection="1">
      <alignment horizontal="center"/>
      <protection locked="0"/>
    </xf>
    <xf numFmtId="0" fontId="4" fillId="0" borderId="50" xfId="1" applyFill="1" applyBorder="1" applyAlignment="1" applyProtection="1">
      <alignment horizontal="center"/>
      <protection locked="0"/>
    </xf>
    <xf numFmtId="0" fontId="5" fillId="9" borderId="43" xfId="1" applyFont="1" applyFill="1" applyBorder="1" applyAlignment="1">
      <alignment horizontal="center" vertical="center" wrapText="1"/>
    </xf>
    <xf numFmtId="0" fontId="5" fillId="9" borderId="0" xfId="1" applyFont="1" applyFill="1" applyBorder="1" applyAlignment="1">
      <alignment horizontal="center" vertical="center" wrapText="1"/>
    </xf>
    <xf numFmtId="0" fontId="5" fillId="9" borderId="28" xfId="1" applyFont="1" applyFill="1" applyBorder="1" applyAlignment="1">
      <alignment horizontal="center" vertical="center" wrapText="1"/>
    </xf>
    <xf numFmtId="0" fontId="5" fillId="9" borderId="29" xfId="1" applyFont="1" applyFill="1" applyBorder="1" applyAlignment="1">
      <alignment horizontal="center" vertical="center" wrapText="1"/>
    </xf>
    <xf numFmtId="0" fontId="5" fillId="9" borderId="44" xfId="1" applyFont="1" applyFill="1" applyBorder="1" applyAlignment="1">
      <alignment horizontal="center" vertical="center" wrapText="1"/>
    </xf>
    <xf numFmtId="0" fontId="5" fillId="9" borderId="11" xfId="1" applyFont="1" applyFill="1" applyBorder="1" applyAlignment="1">
      <alignment horizontal="center" vertical="center" wrapText="1"/>
    </xf>
    <xf numFmtId="0" fontId="5" fillId="9" borderId="1" xfId="1" applyFont="1" applyFill="1" applyBorder="1" applyAlignment="1">
      <alignment horizontal="center" vertical="center" wrapText="1"/>
    </xf>
    <xf numFmtId="0" fontId="5" fillId="9" borderId="12" xfId="1" applyFont="1" applyFill="1" applyBorder="1" applyAlignment="1">
      <alignment horizontal="center" vertical="center" wrapText="1"/>
    </xf>
    <xf numFmtId="0" fontId="8" fillId="8" borderId="45" xfId="1" applyFont="1" applyFill="1" applyBorder="1" applyAlignment="1" applyProtection="1">
      <alignment horizontal="left" vertical="center" wrapText="1"/>
      <protection locked="0"/>
    </xf>
    <xf numFmtId="0" fontId="8" fillId="8" borderId="46" xfId="1" applyFont="1" applyFill="1" applyBorder="1" applyAlignment="1" applyProtection="1">
      <alignment vertical="center" wrapText="1"/>
      <protection locked="0"/>
    </xf>
    <xf numFmtId="0" fontId="8" fillId="8" borderId="47" xfId="1" applyFont="1" applyFill="1" applyBorder="1" applyAlignment="1" applyProtection="1">
      <alignment vertical="center" wrapText="1"/>
      <protection locked="0"/>
    </xf>
    <xf numFmtId="10" fontId="4" fillId="0" borderId="27" xfId="1" applyNumberFormat="1" applyFont="1" applyBorder="1" applyAlignment="1">
      <alignment horizontal="center" vertical="center"/>
    </xf>
    <xf numFmtId="10" fontId="4" fillId="0" borderId="28" xfId="1" applyNumberFormat="1" applyFont="1" applyBorder="1" applyAlignment="1">
      <alignment horizontal="center" vertical="center"/>
    </xf>
    <xf numFmtId="10" fontId="4" fillId="0" borderId="43" xfId="1" applyNumberFormat="1" applyFont="1" applyBorder="1" applyAlignment="1">
      <alignment horizontal="center" vertical="center"/>
    </xf>
    <xf numFmtId="10" fontId="4" fillId="0" borderId="0" xfId="1" applyNumberFormat="1" applyFont="1" applyBorder="1" applyAlignment="1">
      <alignment horizontal="center" vertical="center"/>
    </xf>
    <xf numFmtId="164" fontId="4" fillId="0" borderId="27" xfId="1" applyNumberFormat="1" applyFont="1" applyBorder="1" applyAlignment="1" applyProtection="1">
      <alignment horizontal="center" vertical="center"/>
    </xf>
    <xf numFmtId="164" fontId="4" fillId="0" borderId="28" xfId="1" applyNumberFormat="1" applyFont="1" applyBorder="1" applyAlignment="1" applyProtection="1">
      <alignment horizontal="center" vertical="center"/>
    </xf>
    <xf numFmtId="164" fontId="4" fillId="0" borderId="29" xfId="1" applyNumberFormat="1" applyFont="1" applyBorder="1" applyAlignment="1" applyProtection="1">
      <alignment horizontal="center" vertical="center"/>
    </xf>
    <xf numFmtId="164" fontId="4" fillId="0" borderId="43" xfId="1" applyNumberFormat="1" applyFont="1" applyBorder="1" applyAlignment="1" applyProtection="1">
      <alignment horizontal="center" vertical="center"/>
    </xf>
    <xf numFmtId="164" fontId="4" fillId="0" borderId="0" xfId="1" applyNumberFormat="1" applyFont="1" applyBorder="1" applyAlignment="1" applyProtection="1">
      <alignment horizontal="center" vertical="center"/>
    </xf>
    <xf numFmtId="164" fontId="4" fillId="0" borderId="44" xfId="1" applyNumberFormat="1" applyFont="1" applyBorder="1" applyAlignment="1" applyProtection="1">
      <alignment horizontal="center" vertical="center"/>
    </xf>
    <xf numFmtId="0" fontId="13" fillId="0" borderId="21" xfId="1" applyFont="1" applyBorder="1" applyAlignment="1" applyProtection="1">
      <alignment horizontal="center" vertical="center"/>
      <protection locked="0"/>
    </xf>
    <xf numFmtId="0" fontId="13" fillId="0" borderId="20" xfId="1" applyFont="1" applyBorder="1" applyAlignment="1" applyProtection="1">
      <alignment horizontal="center" vertical="center"/>
      <protection locked="0"/>
    </xf>
    <xf numFmtId="0" fontId="13" fillId="6" borderId="27" xfId="1" applyFont="1" applyFill="1" applyBorder="1" applyAlignment="1" applyProtection="1">
      <alignment horizontal="center" vertical="center"/>
      <protection locked="0"/>
    </xf>
    <xf numFmtId="0" fontId="13" fillId="6" borderId="29" xfId="1" applyFont="1" applyFill="1" applyBorder="1" applyAlignment="1" applyProtection="1">
      <alignment horizontal="center" vertical="center"/>
      <protection locked="0"/>
    </xf>
    <xf numFmtId="0" fontId="13" fillId="6" borderId="43" xfId="1" applyFont="1" applyFill="1" applyBorder="1" applyAlignment="1" applyProtection="1">
      <alignment horizontal="center" vertical="center"/>
      <protection locked="0"/>
    </xf>
    <xf numFmtId="0" fontId="13" fillId="6" borderId="44" xfId="1" applyFont="1" applyFill="1" applyBorder="1" applyAlignment="1" applyProtection="1">
      <alignment horizontal="center" vertical="center"/>
      <protection locked="0"/>
    </xf>
    <xf numFmtId="0" fontId="12" fillId="0" borderId="38" xfId="1" applyFont="1" applyBorder="1" applyAlignment="1" applyProtection="1">
      <alignment horizontal="center" vertical="center"/>
    </xf>
    <xf numFmtId="0" fontId="12" fillId="0" borderId="41" xfId="1" applyFont="1" applyBorder="1" applyAlignment="1" applyProtection="1">
      <alignment horizontal="center" vertical="center"/>
    </xf>
    <xf numFmtId="0" fontId="4" fillId="0" borderId="42" xfId="1" applyFont="1" applyBorder="1" applyAlignment="1" applyProtection="1">
      <alignment horizontal="center" vertical="center" shrinkToFit="1"/>
    </xf>
    <xf numFmtId="0" fontId="4" fillId="0" borderId="0" xfId="1" applyFont="1" applyBorder="1" applyAlignment="1" applyProtection="1">
      <alignment horizontal="center" vertical="center" shrinkToFit="1"/>
    </xf>
    <xf numFmtId="0" fontId="8" fillId="0" borderId="21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12" fillId="0" borderId="16" xfId="1" applyFont="1" applyBorder="1" applyAlignment="1" applyProtection="1">
      <alignment horizontal="center" vertical="center"/>
    </xf>
    <xf numFmtId="0" fontId="12" fillId="0" borderId="37" xfId="1" applyFont="1" applyBorder="1" applyAlignment="1" applyProtection="1">
      <alignment horizontal="center" vertical="center"/>
    </xf>
    <xf numFmtId="0" fontId="5" fillId="0" borderId="25" xfId="1" applyFont="1" applyBorder="1" applyAlignment="1" applyProtection="1">
      <alignment horizontal="center" vertical="center" shrinkToFit="1"/>
    </xf>
    <xf numFmtId="0" fontId="5" fillId="0" borderId="23" xfId="1" applyFont="1" applyBorder="1" applyAlignment="1" applyProtection="1">
      <alignment horizontal="center" vertical="center" shrinkToFit="1"/>
    </xf>
    <xf numFmtId="0" fontId="5" fillId="0" borderId="26" xfId="1" applyFont="1" applyBorder="1" applyAlignment="1" applyProtection="1">
      <alignment horizontal="center" vertical="center" shrinkToFit="1"/>
    </xf>
    <xf numFmtId="0" fontId="13" fillId="0" borderId="27" xfId="1" applyFont="1" applyBorder="1" applyAlignment="1">
      <alignment horizontal="center" vertical="center"/>
    </xf>
    <xf numFmtId="0" fontId="13" fillId="0" borderId="28" xfId="1" applyFont="1" applyBorder="1" applyAlignment="1">
      <alignment horizontal="center" vertical="center"/>
    </xf>
    <xf numFmtId="0" fontId="13" fillId="0" borderId="43" xfId="1" applyFont="1" applyBorder="1" applyAlignment="1">
      <alignment horizontal="center" vertical="center"/>
    </xf>
    <xf numFmtId="0" fontId="13" fillId="0" borderId="0" xfId="1" applyFont="1" applyBorder="1" applyAlignment="1">
      <alignment horizontal="center" vertical="center"/>
    </xf>
    <xf numFmtId="10" fontId="4" fillId="0" borderId="11" xfId="1" applyNumberFormat="1" applyFont="1" applyBorder="1" applyAlignment="1">
      <alignment horizontal="center" vertical="center"/>
    </xf>
    <xf numFmtId="10" fontId="4" fillId="0" borderId="1" xfId="1" applyNumberFormat="1" applyFont="1" applyBorder="1" applyAlignment="1">
      <alignment horizontal="center" vertical="center"/>
    </xf>
    <xf numFmtId="164" fontId="4" fillId="0" borderId="11" xfId="1" applyNumberFormat="1" applyFont="1" applyBorder="1" applyAlignment="1" applyProtection="1">
      <alignment horizontal="center" vertical="center"/>
    </xf>
    <xf numFmtId="164" fontId="4" fillId="0" borderId="1" xfId="1" applyNumberFormat="1" applyFont="1" applyBorder="1" applyAlignment="1" applyProtection="1">
      <alignment horizontal="center" vertical="center"/>
    </xf>
    <xf numFmtId="164" fontId="4" fillId="0" borderId="12" xfId="1" applyNumberFormat="1" applyFont="1" applyBorder="1" applyAlignment="1" applyProtection="1">
      <alignment horizontal="center" vertical="center"/>
    </xf>
    <xf numFmtId="0" fontId="13" fillId="0" borderId="30" xfId="1" applyFont="1" applyBorder="1" applyAlignment="1" applyProtection="1">
      <alignment horizontal="center" vertical="center"/>
      <protection locked="0"/>
    </xf>
    <xf numFmtId="0" fontId="13" fillId="6" borderId="11" xfId="1" applyFont="1" applyFill="1" applyBorder="1" applyAlignment="1" applyProtection="1">
      <alignment horizontal="center" vertical="center"/>
      <protection locked="0"/>
    </xf>
    <xf numFmtId="0" fontId="13" fillId="6" borderId="12" xfId="1" applyFont="1" applyFill="1" applyBorder="1" applyAlignment="1" applyProtection="1">
      <alignment horizontal="center" vertical="center"/>
      <protection locked="0"/>
    </xf>
    <xf numFmtId="0" fontId="12" fillId="0" borderId="35" xfId="1" applyFont="1" applyBorder="1" applyAlignment="1" applyProtection="1">
      <alignment horizontal="center" vertical="center"/>
    </xf>
    <xf numFmtId="0" fontId="12" fillId="0" borderId="36" xfId="1" applyFont="1" applyBorder="1" applyAlignment="1" applyProtection="1">
      <alignment horizontal="center" vertical="center"/>
    </xf>
    <xf numFmtId="0" fontId="4" fillId="0" borderId="34" xfId="1" applyFont="1" applyBorder="1" applyAlignment="1" applyProtection="1">
      <alignment horizontal="center" vertical="center" shrinkToFit="1"/>
    </xf>
    <xf numFmtId="0" fontId="4" fillId="0" borderId="1" xfId="1" applyFont="1" applyBorder="1" applyAlignment="1" applyProtection="1">
      <alignment horizontal="center" vertical="center" shrinkToFit="1"/>
    </xf>
    <xf numFmtId="0" fontId="13" fillId="0" borderId="11" xfId="1" applyFont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0" fontId="12" fillId="0" borderId="31" xfId="1" applyFont="1" applyBorder="1" applyAlignment="1" applyProtection="1">
      <alignment horizontal="center" vertical="center"/>
    </xf>
    <xf numFmtId="0" fontId="12" fillId="0" borderId="32" xfId="1" applyFont="1" applyBorder="1" applyAlignment="1" applyProtection="1">
      <alignment horizontal="center" vertical="center"/>
    </xf>
    <xf numFmtId="0" fontId="12" fillId="0" borderId="33" xfId="1" applyFont="1" applyBorder="1" applyAlignment="1" applyProtection="1">
      <alignment horizontal="center" vertical="center"/>
    </xf>
    <xf numFmtId="0" fontId="12" fillId="0" borderId="22" xfId="1" applyFont="1" applyBorder="1" applyAlignment="1" applyProtection="1">
      <alignment horizontal="center" vertical="center"/>
    </xf>
    <xf numFmtId="0" fontId="12" fillId="0" borderId="23" xfId="1" applyFont="1" applyBorder="1" applyAlignment="1" applyProtection="1">
      <alignment horizontal="center" vertical="center"/>
    </xf>
    <xf numFmtId="0" fontId="12" fillId="0" borderId="24" xfId="1" applyFont="1" applyBorder="1" applyAlignment="1" applyProtection="1">
      <alignment horizontal="center" vertical="center"/>
    </xf>
    <xf numFmtId="0" fontId="5" fillId="6" borderId="2" xfId="1" applyFont="1" applyFill="1" applyBorder="1" applyAlignment="1">
      <alignment horizontal="center" vertical="center" wrapText="1"/>
    </xf>
    <xf numFmtId="0" fontId="5" fillId="6" borderId="4" xfId="1" applyFont="1" applyFill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2" xfId="1" applyFont="1" applyBorder="1" applyAlignment="1" applyProtection="1">
      <alignment horizontal="center" vertical="center"/>
      <protection locked="0"/>
    </xf>
    <xf numFmtId="0" fontId="9" fillId="0" borderId="4" xfId="1" applyFont="1" applyBorder="1" applyAlignment="1" applyProtection="1">
      <alignment horizontal="center" vertical="center"/>
      <protection locked="0"/>
    </xf>
    <xf numFmtId="0" fontId="7" fillId="5" borderId="2" xfId="1" applyFont="1" applyFill="1" applyBorder="1" applyAlignment="1">
      <alignment horizontal="center" vertical="center" shrinkToFit="1"/>
    </xf>
    <xf numFmtId="0" fontId="7" fillId="5" borderId="3" xfId="1" applyFont="1" applyFill="1" applyBorder="1" applyAlignment="1">
      <alignment horizontal="center" vertical="center" shrinkToFit="1"/>
    </xf>
    <xf numFmtId="0" fontId="7" fillId="5" borderId="4" xfId="1" applyFont="1" applyFill="1" applyBorder="1" applyAlignment="1">
      <alignment horizontal="center" vertical="center" shrinkToFit="1"/>
    </xf>
    <xf numFmtId="0" fontId="5" fillId="3" borderId="2" xfId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0" fontId="5" fillId="2" borderId="20" xfId="1" applyFont="1" applyFill="1" applyBorder="1" applyAlignment="1">
      <alignment horizontal="center" vertical="center"/>
    </xf>
    <xf numFmtId="0" fontId="4" fillId="0" borderId="3" xfId="1" applyBorder="1"/>
    <xf numFmtId="0" fontId="4" fillId="0" borderId="4" xfId="1" applyBorder="1"/>
    <xf numFmtId="0" fontId="10" fillId="3" borderId="2" xfId="1" applyFont="1" applyFill="1" applyBorder="1" applyAlignment="1">
      <alignment horizontal="center" vertical="center" wrapText="1"/>
    </xf>
    <xf numFmtId="0" fontId="10" fillId="3" borderId="3" xfId="1" applyFont="1" applyFill="1" applyBorder="1" applyAlignment="1">
      <alignment horizontal="center" vertical="center" wrapText="1"/>
    </xf>
    <xf numFmtId="0" fontId="10" fillId="3" borderId="4" xfId="1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 wrapText="1"/>
    </xf>
    <xf numFmtId="0" fontId="5" fillId="3" borderId="3" xfId="1" applyFont="1" applyFill="1" applyBorder="1" applyAlignment="1">
      <alignment horizontal="center" vertical="center" wrapText="1"/>
    </xf>
    <xf numFmtId="0" fontId="5" fillId="3" borderId="4" xfId="1" applyFont="1" applyFill="1" applyBorder="1" applyAlignment="1">
      <alignment horizontal="center" vertical="center" wrapText="1"/>
    </xf>
    <xf numFmtId="0" fontId="11" fillId="7" borderId="27" xfId="1" applyFont="1" applyFill="1" applyBorder="1" applyAlignment="1" applyProtection="1">
      <alignment horizontal="center" vertical="center" wrapText="1"/>
    </xf>
    <xf numFmtId="0" fontId="11" fillId="7" borderId="28" xfId="1" applyFont="1" applyFill="1" applyBorder="1" applyAlignment="1" applyProtection="1">
      <alignment horizontal="center" vertical="center" wrapText="1"/>
    </xf>
    <xf numFmtId="0" fontId="11" fillId="7" borderId="29" xfId="1" applyFont="1" applyFill="1" applyBorder="1" applyAlignment="1" applyProtection="1">
      <alignment horizontal="center" vertical="center" wrapText="1"/>
    </xf>
    <xf numFmtId="0" fontId="11" fillId="7" borderId="11" xfId="1" applyFont="1" applyFill="1" applyBorder="1" applyAlignment="1" applyProtection="1">
      <alignment horizontal="center" vertical="center" wrapText="1"/>
    </xf>
    <xf numFmtId="0" fontId="11" fillId="7" borderId="1" xfId="1" applyFont="1" applyFill="1" applyBorder="1" applyAlignment="1" applyProtection="1">
      <alignment horizontal="center" vertical="center" wrapText="1"/>
    </xf>
    <xf numFmtId="0" fontId="11" fillId="7" borderId="12" xfId="1" applyFont="1" applyFill="1" applyBorder="1" applyAlignment="1" applyProtection="1">
      <alignment horizontal="center" vertical="center" wrapText="1"/>
    </xf>
    <xf numFmtId="0" fontId="9" fillId="2" borderId="1" xfId="1" applyFont="1" applyFill="1" applyBorder="1" applyAlignment="1" applyProtection="1">
      <alignment horizontal="left"/>
    </xf>
    <xf numFmtId="0" fontId="9" fillId="2" borderId="0" xfId="1" applyFont="1" applyFill="1" applyBorder="1" applyAlignment="1" applyProtection="1">
      <alignment horizontal="left"/>
    </xf>
    <xf numFmtId="0" fontId="4" fillId="2" borderId="0" xfId="1" applyFill="1" applyBorder="1" applyAlignment="1" applyProtection="1">
      <alignment horizontal="center"/>
    </xf>
    <xf numFmtId="0" fontId="5" fillId="3" borderId="2" xfId="1" applyFont="1" applyFill="1" applyBorder="1" applyAlignment="1" applyProtection="1">
      <alignment horizontal="center" vertical="center"/>
      <protection locked="0"/>
    </xf>
    <xf numFmtId="0" fontId="5" fillId="3" borderId="3" xfId="1" applyFont="1" applyFill="1" applyBorder="1" applyAlignment="1" applyProtection="1">
      <alignment horizontal="center" vertical="center"/>
      <protection locked="0"/>
    </xf>
    <xf numFmtId="0" fontId="5" fillId="3" borderId="4" xfId="1" applyFont="1" applyFill="1" applyBorder="1" applyAlignment="1" applyProtection="1">
      <alignment horizontal="center" vertical="center"/>
      <protection locked="0"/>
    </xf>
    <xf numFmtId="0" fontId="5" fillId="0" borderId="2" xfId="1" applyFont="1" applyFill="1" applyBorder="1" applyAlignment="1" applyProtection="1">
      <alignment horizontal="center" vertical="center"/>
      <protection locked="0"/>
    </xf>
    <xf numFmtId="0" fontId="5" fillId="0" borderId="3" xfId="1" applyFont="1" applyFill="1" applyBorder="1" applyAlignment="1" applyProtection="1">
      <alignment horizontal="center" vertical="center"/>
      <protection locked="0"/>
    </xf>
    <xf numFmtId="0" fontId="5" fillId="0" borderId="4" xfId="1" applyFont="1" applyFill="1" applyBorder="1" applyAlignment="1" applyProtection="1">
      <alignment horizontal="center" vertical="center"/>
      <protection locked="0"/>
    </xf>
    <xf numFmtId="0" fontId="4" fillId="0" borderId="2" xfId="1" applyBorder="1" applyAlignment="1" applyProtection="1">
      <alignment horizontal="center"/>
      <protection locked="0"/>
    </xf>
    <xf numFmtId="0" fontId="4" fillId="0" borderId="3" xfId="1" applyBorder="1" applyAlignment="1" applyProtection="1">
      <alignment horizontal="center"/>
      <protection locked="0"/>
    </xf>
    <xf numFmtId="0" fontId="4" fillId="0" borderId="4" xfId="1" applyBorder="1" applyAlignment="1" applyProtection="1">
      <alignment horizontal="center"/>
      <protection locked="0"/>
    </xf>
    <xf numFmtId="0" fontId="8" fillId="0" borderId="2" xfId="1" applyFont="1" applyFill="1" applyBorder="1" applyAlignment="1" applyProtection="1">
      <alignment horizontal="center" wrapText="1"/>
      <protection locked="0"/>
    </xf>
    <xf numFmtId="0" fontId="8" fillId="0" borderId="3" xfId="1" applyFont="1" applyFill="1" applyBorder="1" applyAlignment="1" applyProtection="1">
      <alignment horizontal="center" wrapText="1"/>
      <protection locked="0"/>
    </xf>
    <xf numFmtId="0" fontId="8" fillId="0" borderId="4" xfId="1" applyFont="1" applyFill="1" applyBorder="1" applyAlignment="1" applyProtection="1">
      <alignment horizontal="center" wrapText="1"/>
      <protection locked="0"/>
    </xf>
    <xf numFmtId="0" fontId="8" fillId="3" borderId="11" xfId="1" applyFont="1" applyFill="1" applyBorder="1" applyAlignment="1" applyProtection="1">
      <alignment horizontal="center" vertical="center" wrapText="1"/>
      <protection locked="0"/>
    </xf>
    <xf numFmtId="0" fontId="8" fillId="3" borderId="1" xfId="1" applyFont="1" applyFill="1" applyBorder="1" applyAlignment="1" applyProtection="1">
      <alignment horizontal="center" vertical="center" wrapText="1"/>
      <protection locked="0"/>
    </xf>
    <xf numFmtId="0" fontId="4" fillId="0" borderId="11" xfId="1" applyBorder="1" applyAlignment="1" applyProtection="1">
      <alignment horizontal="center"/>
      <protection locked="0"/>
    </xf>
    <xf numFmtId="0" fontId="4" fillId="0" borderId="1" xfId="1" applyBorder="1" applyAlignment="1" applyProtection="1">
      <alignment horizontal="center"/>
      <protection locked="0"/>
    </xf>
    <xf numFmtId="0" fontId="4" fillId="0" borderId="12" xfId="1" applyBorder="1" applyAlignment="1" applyProtection="1">
      <alignment horizontal="center"/>
      <protection locked="0"/>
    </xf>
    <xf numFmtId="0" fontId="8" fillId="3" borderId="2" xfId="1" applyFont="1" applyFill="1" applyBorder="1" applyAlignment="1" applyProtection="1">
      <alignment horizontal="center" wrapText="1"/>
      <protection locked="0"/>
    </xf>
    <xf numFmtId="0" fontId="8" fillId="3" borderId="3" xfId="1" applyFont="1" applyFill="1" applyBorder="1" applyAlignment="1" applyProtection="1">
      <alignment horizontal="center" wrapText="1"/>
      <protection locked="0"/>
    </xf>
    <xf numFmtId="0" fontId="8" fillId="3" borderId="4" xfId="1" applyFont="1" applyFill="1" applyBorder="1" applyAlignment="1" applyProtection="1">
      <alignment horizontal="center" wrapText="1"/>
      <protection locked="0"/>
    </xf>
    <xf numFmtId="0" fontId="4" fillId="4" borderId="2" xfId="1" applyFill="1" applyBorder="1" applyAlignment="1" applyProtection="1">
      <alignment horizontal="center" vertical="center" wrapText="1"/>
      <protection locked="0"/>
    </xf>
    <xf numFmtId="0" fontId="4" fillId="4" borderId="3" xfId="1" applyFill="1" applyBorder="1" applyAlignment="1" applyProtection="1">
      <alignment horizontal="center" vertical="center" wrapText="1"/>
      <protection locked="0"/>
    </xf>
    <xf numFmtId="0" fontId="4" fillId="0" borderId="3" xfId="1" applyBorder="1" applyAlignment="1" applyProtection="1">
      <alignment horizontal="center" vertical="center" wrapText="1"/>
      <protection locked="0"/>
    </xf>
    <xf numFmtId="0" fontId="4" fillId="0" borderId="4" xfId="1" applyBorder="1" applyAlignment="1" applyProtection="1">
      <alignment horizontal="center" vertical="center" wrapText="1"/>
      <protection locked="0"/>
    </xf>
    <xf numFmtId="0" fontId="4" fillId="2" borderId="1" xfId="1" applyFill="1" applyBorder="1" applyAlignment="1" applyProtection="1">
      <alignment horizontal="center"/>
    </xf>
    <xf numFmtId="0" fontId="5" fillId="0" borderId="2" xfId="1" applyFont="1" applyBorder="1" applyAlignment="1" applyProtection="1">
      <alignment horizontal="center"/>
      <protection locked="0"/>
    </xf>
    <xf numFmtId="0" fontId="5" fillId="0" borderId="3" xfId="1" applyFont="1" applyBorder="1" applyAlignment="1" applyProtection="1">
      <alignment horizontal="center"/>
      <protection locked="0"/>
    </xf>
    <xf numFmtId="0" fontId="5" fillId="0" borderId="4" xfId="1" applyFont="1" applyBorder="1" applyAlignment="1" applyProtection="1">
      <alignment horizontal="center"/>
      <protection locked="0"/>
    </xf>
    <xf numFmtId="0" fontId="5" fillId="0" borderId="5" xfId="1" applyFont="1" applyBorder="1" applyAlignment="1">
      <alignment horizontal="center"/>
    </xf>
    <xf numFmtId="0" fontId="5" fillId="0" borderId="6" xfId="1" applyFont="1" applyBorder="1" applyAlignment="1">
      <alignment horizontal="center"/>
    </xf>
    <xf numFmtId="0" fontId="6" fillId="3" borderId="2" xfId="1" applyFont="1" applyFill="1" applyBorder="1" applyAlignment="1" applyProtection="1">
      <alignment horizontal="center"/>
      <protection locked="0"/>
    </xf>
    <xf numFmtId="0" fontId="6" fillId="3" borderId="3" xfId="1" applyFont="1" applyFill="1" applyBorder="1" applyAlignment="1" applyProtection="1">
      <alignment horizontal="center"/>
      <protection locked="0"/>
    </xf>
    <xf numFmtId="0" fontId="6" fillId="3" borderId="4" xfId="1" applyFont="1" applyFill="1" applyBorder="1" applyAlignment="1" applyProtection="1">
      <alignment horizontal="center"/>
      <protection locked="0"/>
    </xf>
    <xf numFmtId="0" fontId="7" fillId="0" borderId="2" xfId="1" applyFont="1" applyBorder="1" applyAlignment="1" applyProtection="1">
      <alignment horizontal="center" vertical="center"/>
      <protection locked="0"/>
    </xf>
    <xf numFmtId="0" fontId="7" fillId="0" borderId="3" xfId="1" applyFont="1" applyBorder="1" applyAlignment="1" applyProtection="1">
      <alignment horizontal="center" vertical="center"/>
      <protection locked="0"/>
    </xf>
    <xf numFmtId="0" fontId="7" fillId="0" borderId="4" xfId="1" applyFont="1" applyBorder="1" applyAlignment="1" applyProtection="1">
      <alignment horizontal="center" vertical="center"/>
      <protection locked="0"/>
    </xf>
    <xf numFmtId="0" fontId="8" fillId="3" borderId="2" xfId="1" applyFont="1" applyFill="1" applyBorder="1" applyAlignment="1" applyProtection="1">
      <alignment horizontal="center"/>
      <protection locked="0"/>
    </xf>
    <xf numFmtId="0" fontId="8" fillId="3" borderId="3" xfId="1" applyFont="1" applyFill="1" applyBorder="1" applyAlignment="1" applyProtection="1">
      <alignment horizontal="center"/>
      <protection locked="0"/>
    </xf>
    <xf numFmtId="0" fontId="8" fillId="3" borderId="4" xfId="1" applyFont="1" applyFill="1" applyBorder="1" applyAlignment="1" applyProtection="1">
      <alignment horizontal="center"/>
      <protection locked="0"/>
    </xf>
    <xf numFmtId="0" fontId="4" fillId="2" borderId="0" xfId="6" applyFill="1" applyAlignment="1" applyProtection="1">
      <alignment horizontal="center"/>
    </xf>
    <xf numFmtId="0" fontId="4" fillId="2" borderId="0" xfId="6" applyFill="1" applyProtection="1"/>
    <xf numFmtId="0" fontId="4" fillId="2" borderId="0" xfId="6" applyFill="1" applyAlignment="1" applyProtection="1">
      <alignment horizontal="center"/>
    </xf>
    <xf numFmtId="0" fontId="4" fillId="0" borderId="0" xfId="6" applyFill="1"/>
    <xf numFmtId="0" fontId="4" fillId="0" borderId="0" xfId="6"/>
    <xf numFmtId="0" fontId="5" fillId="0" borderId="2" xfId="6" applyFont="1" applyBorder="1" applyAlignment="1" applyProtection="1">
      <alignment horizontal="center"/>
      <protection locked="0"/>
    </xf>
    <xf numFmtId="0" fontId="5" fillId="0" borderId="3" xfId="6" applyFont="1" applyBorder="1" applyAlignment="1" applyProtection="1">
      <alignment horizontal="center"/>
      <protection locked="0"/>
    </xf>
    <xf numFmtId="0" fontId="5" fillId="0" borderId="4" xfId="6" applyFont="1" applyBorder="1" applyAlignment="1" applyProtection="1">
      <alignment horizontal="center"/>
      <protection locked="0"/>
    </xf>
    <xf numFmtId="0" fontId="5" fillId="0" borderId="5" xfId="6" applyFont="1" applyBorder="1" applyAlignment="1">
      <alignment horizontal="center"/>
    </xf>
    <xf numFmtId="0" fontId="5" fillId="0" borderId="6" xfId="6" applyFont="1" applyBorder="1" applyAlignment="1">
      <alignment horizontal="center"/>
    </xf>
    <xf numFmtId="0" fontId="4" fillId="0" borderId="0" xfId="6" applyAlignment="1">
      <alignment horizontal="right"/>
    </xf>
    <xf numFmtId="0" fontId="4" fillId="0" borderId="0" xfId="6" applyProtection="1">
      <protection locked="0"/>
    </xf>
    <xf numFmtId="0" fontId="6" fillId="3" borderId="2" xfId="6" applyFont="1" applyFill="1" applyBorder="1" applyAlignment="1"/>
    <xf numFmtId="0" fontId="6" fillId="3" borderId="3" xfId="6" applyFont="1" applyFill="1" applyBorder="1" applyAlignment="1"/>
    <xf numFmtId="0" fontId="4" fillId="3" borderId="3" xfId="6" applyFill="1" applyBorder="1" applyAlignment="1"/>
    <xf numFmtId="0" fontId="4" fillId="3" borderId="2" xfId="6" applyFill="1" applyBorder="1" applyAlignment="1"/>
    <xf numFmtId="0" fontId="4" fillId="3" borderId="4" xfId="6" applyFill="1" applyBorder="1" applyAlignment="1"/>
    <xf numFmtId="0" fontId="7" fillId="0" borderId="2" xfId="6" applyFont="1" applyBorder="1" applyAlignment="1" applyProtection="1">
      <alignment vertical="center"/>
      <protection locked="0"/>
    </xf>
    <xf numFmtId="0" fontId="7" fillId="0" borderId="3" xfId="6" applyFont="1" applyBorder="1" applyAlignment="1" applyProtection="1">
      <alignment vertical="center"/>
      <protection locked="0"/>
    </xf>
    <xf numFmtId="0" fontId="7" fillId="0" borderId="4" xfId="6" applyFont="1" applyBorder="1" applyAlignment="1" applyProtection="1">
      <alignment vertical="center"/>
      <protection locked="0"/>
    </xf>
    <xf numFmtId="0" fontId="8" fillId="3" borderId="2" xfId="6" applyFont="1" applyFill="1" applyBorder="1" applyAlignment="1">
      <alignment horizontal="left"/>
    </xf>
    <xf numFmtId="0" fontId="8" fillId="3" borderId="3" xfId="6" applyFont="1" applyFill="1" applyBorder="1" applyAlignment="1">
      <alignment horizontal="left"/>
    </xf>
    <xf numFmtId="0" fontId="8" fillId="3" borderId="4" xfId="6" applyFont="1" applyFill="1" applyBorder="1" applyAlignment="1">
      <alignment horizontal="left"/>
    </xf>
    <xf numFmtId="0" fontId="7" fillId="0" borderId="2" xfId="6" applyFont="1" applyBorder="1" applyAlignment="1" applyProtection="1">
      <alignment horizontal="center" vertical="center" wrapText="1"/>
      <protection locked="0"/>
    </xf>
    <xf numFmtId="0" fontId="7" fillId="0" borderId="3" xfId="6" applyFont="1" applyBorder="1" applyAlignment="1" applyProtection="1">
      <alignment horizontal="center" vertical="center" wrapText="1"/>
      <protection locked="0"/>
    </xf>
    <xf numFmtId="0" fontId="7" fillId="0" borderId="4" xfId="6" applyFont="1" applyBorder="1" applyAlignment="1" applyProtection="1">
      <alignment horizontal="center" vertical="center" wrapText="1"/>
      <protection locked="0"/>
    </xf>
    <xf numFmtId="0" fontId="4" fillId="2" borderId="0" xfId="6" applyFill="1"/>
    <xf numFmtId="0" fontId="4" fillId="0" borderId="5" xfId="6" applyFont="1" applyBorder="1" applyAlignment="1" applyProtection="1">
      <alignment horizontal="center"/>
      <protection locked="0"/>
    </xf>
    <xf numFmtId="0" fontId="5" fillId="0" borderId="7" xfId="6" applyFont="1" applyBorder="1" applyAlignment="1" applyProtection="1">
      <alignment horizontal="center"/>
      <protection locked="0"/>
    </xf>
    <xf numFmtId="0" fontId="5" fillId="0" borderId="8" xfId="6" applyFont="1" applyBorder="1" applyAlignment="1" applyProtection="1">
      <alignment horizontal="center"/>
      <protection locked="0"/>
    </xf>
    <xf numFmtId="0" fontId="5" fillId="0" borderId="6" xfId="6" applyFont="1" applyBorder="1" applyAlignment="1">
      <alignment horizontal="center"/>
    </xf>
    <xf numFmtId="0" fontId="5" fillId="0" borderId="9" xfId="6" applyFont="1" applyBorder="1" applyAlignment="1">
      <alignment horizontal="center"/>
    </xf>
    <xf numFmtId="0" fontId="8" fillId="3" borderId="2" xfId="6" applyFont="1" applyFill="1" applyBorder="1" applyAlignment="1">
      <alignment horizontal="center" wrapText="1"/>
    </xf>
    <xf numFmtId="0" fontId="4" fillId="0" borderId="4" xfId="6" applyFont="1" applyBorder="1" applyAlignment="1">
      <alignment horizontal="center" wrapText="1"/>
    </xf>
    <xf numFmtId="0" fontId="7" fillId="0" borderId="2" xfId="6" applyFont="1" applyFill="1" applyBorder="1" applyAlignment="1" applyProtection="1">
      <alignment horizontal="center" vertical="center" wrapText="1"/>
      <protection locked="0"/>
    </xf>
    <xf numFmtId="0" fontId="7" fillId="0" borderId="3" xfId="6" applyFont="1" applyFill="1" applyBorder="1" applyAlignment="1" applyProtection="1">
      <alignment horizontal="center" vertical="center" wrapText="1"/>
      <protection locked="0"/>
    </xf>
    <xf numFmtId="0" fontId="7" fillId="0" borderId="4" xfId="6" applyFont="1" applyFill="1" applyBorder="1" applyAlignment="1" applyProtection="1">
      <alignment horizontal="center" vertical="center" wrapText="1"/>
      <protection locked="0"/>
    </xf>
    <xf numFmtId="0" fontId="8" fillId="3" borderId="2" xfId="6" applyFont="1" applyFill="1" applyBorder="1" applyAlignment="1">
      <alignment horizontal="center" vertical="center" wrapText="1"/>
    </xf>
    <xf numFmtId="0" fontId="8" fillId="3" borderId="3" xfId="6" applyFont="1" applyFill="1" applyBorder="1" applyAlignment="1">
      <alignment horizontal="center" vertical="center" wrapText="1"/>
    </xf>
    <xf numFmtId="0" fontId="4" fillId="0" borderId="3" xfId="6" applyFont="1" applyBorder="1" applyAlignment="1">
      <alignment horizontal="center" vertical="center" wrapText="1"/>
    </xf>
    <xf numFmtId="0" fontId="4" fillId="0" borderId="4" xfId="6" applyFont="1" applyBorder="1" applyAlignment="1">
      <alignment horizontal="center" vertical="center" wrapText="1"/>
    </xf>
    <xf numFmtId="0" fontId="7" fillId="0" borderId="2" xfId="6" applyFont="1" applyBorder="1" applyAlignment="1" applyProtection="1">
      <alignment horizontal="center" vertical="center"/>
      <protection locked="0"/>
    </xf>
    <xf numFmtId="0" fontId="7" fillId="0" borderId="3" xfId="6" applyFont="1" applyBorder="1" applyAlignment="1" applyProtection="1">
      <alignment horizontal="center" vertical="center"/>
      <protection locked="0"/>
    </xf>
    <xf numFmtId="0" fontId="7" fillId="0" borderId="4" xfId="6" applyFont="1" applyBorder="1" applyAlignment="1" applyProtection="1">
      <alignment horizontal="center" vertical="center"/>
      <protection locked="0"/>
    </xf>
    <xf numFmtId="0" fontId="8" fillId="3" borderId="2" xfId="6" applyFont="1" applyFill="1" applyBorder="1" applyAlignment="1">
      <alignment horizontal="left" wrapText="1"/>
    </xf>
    <xf numFmtId="0" fontId="8" fillId="3" borderId="3" xfId="6" applyFont="1" applyFill="1" applyBorder="1" applyAlignment="1">
      <alignment horizontal="left" wrapText="1"/>
    </xf>
    <xf numFmtId="0" fontId="8" fillId="3" borderId="4" xfId="6" applyFont="1" applyFill="1" applyBorder="1" applyAlignment="1">
      <alignment horizontal="left" wrapText="1"/>
    </xf>
    <xf numFmtId="0" fontId="4" fillId="0" borderId="2" xfId="6" applyBorder="1" applyAlignment="1" applyProtection="1">
      <alignment horizontal="center"/>
      <protection locked="0"/>
    </xf>
    <xf numFmtId="0" fontId="4" fillId="0" borderId="3" xfId="6" applyBorder="1" applyAlignment="1" applyProtection="1">
      <alignment horizontal="center" vertical="center" wrapText="1"/>
      <protection locked="0"/>
    </xf>
    <xf numFmtId="0" fontId="4" fillId="0" borderId="4" xfId="6" applyBorder="1" applyAlignment="1" applyProtection="1">
      <alignment horizontal="center" vertical="center" wrapText="1"/>
      <protection locked="0"/>
    </xf>
    <xf numFmtId="0" fontId="4" fillId="0" borderId="13" xfId="6" applyFont="1" applyBorder="1" applyAlignment="1" applyProtection="1">
      <alignment horizontal="center"/>
      <protection locked="0"/>
    </xf>
    <xf numFmtId="0" fontId="4" fillId="0" borderId="60" xfId="6" applyBorder="1" applyAlignment="1" applyProtection="1">
      <alignment horizontal="center"/>
      <protection locked="0"/>
    </xf>
    <xf numFmtId="0" fontId="4" fillId="0" borderId="48" xfId="6" applyBorder="1" applyAlignment="1" applyProtection="1">
      <alignment horizontal="center"/>
      <protection locked="0"/>
    </xf>
    <xf numFmtId="0" fontId="4" fillId="0" borderId="15" xfId="6" applyBorder="1" applyAlignment="1" applyProtection="1">
      <alignment horizontal="center"/>
      <protection locked="0"/>
    </xf>
    <xf numFmtId="2" fontId="4" fillId="0" borderId="16" xfId="6" applyNumberFormat="1" applyBorder="1" applyAlignment="1">
      <alignment horizontal="center"/>
    </xf>
    <xf numFmtId="2" fontId="4" fillId="0" borderId="19" xfId="6" applyNumberFormat="1" applyBorder="1" applyAlignment="1">
      <alignment horizontal="center"/>
    </xf>
    <xf numFmtId="0" fontId="5" fillId="2" borderId="28" xfId="6" applyFont="1" applyFill="1" applyBorder="1" applyAlignment="1">
      <alignment vertical="center"/>
    </xf>
    <xf numFmtId="0" fontId="7" fillId="2" borderId="28" xfId="6" applyFont="1" applyFill="1" applyBorder="1" applyAlignment="1">
      <alignment horizontal="center" vertical="center"/>
    </xf>
    <xf numFmtId="0" fontId="5" fillId="2" borderId="0" xfId="6" applyFont="1" applyFill="1" applyBorder="1" applyAlignment="1">
      <alignment vertical="center"/>
    </xf>
    <xf numFmtId="0" fontId="4" fillId="2" borderId="0" xfId="6" applyFill="1" applyAlignment="1">
      <alignment vertical="center"/>
    </xf>
    <xf numFmtId="0" fontId="5" fillId="3" borderId="2" xfId="6" applyFont="1" applyFill="1" applyBorder="1" applyAlignment="1">
      <alignment horizontal="center" vertical="center"/>
    </xf>
    <xf numFmtId="0" fontId="4" fillId="3" borderId="3" xfId="6" applyFill="1" applyBorder="1" applyAlignment="1">
      <alignment horizontal="center" vertical="center"/>
    </xf>
    <xf numFmtId="0" fontId="4" fillId="0" borderId="3" xfId="6" applyBorder="1" applyAlignment="1">
      <alignment horizontal="center" vertical="center"/>
    </xf>
    <xf numFmtId="0" fontId="4" fillId="0" borderId="4" xfId="6" applyBorder="1" applyAlignment="1">
      <alignment horizontal="center" vertical="center"/>
    </xf>
    <xf numFmtId="0" fontId="4" fillId="0" borderId="3" xfId="6" applyBorder="1" applyAlignment="1" applyProtection="1">
      <alignment horizontal="center" vertical="center"/>
      <protection locked="0"/>
    </xf>
    <xf numFmtId="0" fontId="4" fillId="0" borderId="4" xfId="6" applyBorder="1" applyAlignment="1" applyProtection="1">
      <alignment horizontal="center" vertical="center"/>
      <protection locked="0"/>
    </xf>
    <xf numFmtId="0" fontId="5" fillId="3" borderId="2" xfId="6" applyFont="1" applyFill="1" applyBorder="1" applyAlignment="1">
      <alignment horizontal="left" vertical="center"/>
    </xf>
    <xf numFmtId="0" fontId="5" fillId="3" borderId="3" xfId="6" applyFont="1" applyFill="1" applyBorder="1" applyAlignment="1">
      <alignment horizontal="left" vertical="center"/>
    </xf>
    <xf numFmtId="0" fontId="5" fillId="3" borderId="4" xfId="6" applyFont="1" applyFill="1" applyBorder="1" applyAlignment="1">
      <alignment horizontal="left" vertical="center"/>
    </xf>
    <xf numFmtId="0" fontId="4" fillId="0" borderId="2" xfId="6" applyBorder="1" applyAlignment="1" applyProtection="1">
      <alignment horizontal="center" vertical="center"/>
      <protection locked="0"/>
    </xf>
    <xf numFmtId="0" fontId="4" fillId="0" borderId="18" xfId="6" applyFont="1" applyBorder="1" applyAlignment="1" applyProtection="1">
      <alignment horizontal="center"/>
      <protection locked="0"/>
    </xf>
    <xf numFmtId="0" fontId="4" fillId="0" borderId="51" xfId="6" applyBorder="1" applyAlignment="1" applyProtection="1">
      <alignment horizontal="center"/>
      <protection locked="0"/>
    </xf>
    <xf numFmtId="2" fontId="4" fillId="0" borderId="18" xfId="6" applyNumberFormat="1" applyBorder="1" applyAlignment="1">
      <alignment horizontal="center"/>
    </xf>
    <xf numFmtId="0" fontId="9" fillId="2" borderId="1" xfId="6" applyFont="1" applyFill="1" applyBorder="1" applyAlignment="1" applyProtection="1">
      <alignment horizontal="left"/>
    </xf>
    <xf numFmtId="0" fontId="9" fillId="2" borderId="0" xfId="6" applyFont="1" applyFill="1" applyBorder="1" applyAlignment="1" applyProtection="1">
      <alignment horizontal="left"/>
    </xf>
    <xf numFmtId="0" fontId="9" fillId="2" borderId="0" xfId="6" applyFont="1" applyFill="1" applyBorder="1" applyAlignment="1" applyProtection="1">
      <alignment horizontal="left"/>
    </xf>
    <xf numFmtId="0" fontId="4" fillId="2" borderId="0" xfId="6" applyFill="1" applyBorder="1" applyAlignment="1" applyProtection="1">
      <alignment horizontal="center"/>
    </xf>
    <xf numFmtId="0" fontId="5" fillId="0" borderId="10" xfId="6" applyFont="1" applyBorder="1" applyAlignment="1" applyProtection="1">
      <alignment horizontal="center" vertical="center"/>
    </xf>
    <xf numFmtId="0" fontId="9" fillId="0" borderId="10" xfId="6" applyFont="1" applyBorder="1" applyAlignment="1" applyProtection="1">
      <alignment horizontal="center" vertical="center"/>
      <protection locked="0"/>
    </xf>
    <xf numFmtId="0" fontId="5" fillId="0" borderId="2" xfId="6" applyFont="1" applyBorder="1" applyAlignment="1">
      <alignment horizontal="center" vertical="center"/>
    </xf>
    <xf numFmtId="0" fontId="5" fillId="0" borderId="3" xfId="6" applyFont="1" applyBorder="1" applyAlignment="1">
      <alignment horizontal="center" vertical="center"/>
    </xf>
    <xf numFmtId="0" fontId="5" fillId="0" borderId="4" xfId="6" applyFont="1" applyBorder="1" applyAlignment="1">
      <alignment horizontal="center" vertical="center"/>
    </xf>
    <xf numFmtId="0" fontId="9" fillId="0" borderId="2" xfId="6" applyFont="1" applyBorder="1" applyAlignment="1" applyProtection="1">
      <alignment horizontal="center" vertical="center"/>
      <protection locked="0"/>
    </xf>
    <xf numFmtId="0" fontId="9" fillId="0" borderId="4" xfId="6" applyFont="1" applyBorder="1" applyAlignment="1" applyProtection="1">
      <alignment horizontal="center" vertical="center"/>
      <protection locked="0"/>
    </xf>
    <xf numFmtId="0" fontId="7" fillId="5" borderId="2" xfId="6" applyFont="1" applyFill="1" applyBorder="1" applyAlignment="1">
      <alignment horizontal="center" vertical="center" shrinkToFit="1"/>
    </xf>
    <xf numFmtId="0" fontId="7" fillId="5" borderId="3" xfId="6" applyFont="1" applyFill="1" applyBorder="1" applyAlignment="1">
      <alignment horizontal="center" vertical="center" shrinkToFit="1"/>
    </xf>
    <xf numFmtId="0" fontId="7" fillId="5" borderId="4" xfId="6" applyFont="1" applyFill="1" applyBorder="1" applyAlignment="1">
      <alignment horizontal="center" vertical="center" shrinkToFit="1"/>
    </xf>
    <xf numFmtId="0" fontId="4" fillId="0" borderId="54" xfId="6" applyBorder="1" applyAlignment="1" applyProtection="1">
      <alignment horizontal="center"/>
      <protection locked="0"/>
    </xf>
    <xf numFmtId="0" fontId="5" fillId="3" borderId="10" xfId="6" applyFont="1" applyFill="1" applyBorder="1" applyAlignment="1">
      <alignment horizontal="center" vertical="center"/>
    </xf>
    <xf numFmtId="0" fontId="5" fillId="3" borderId="3" xfId="6" applyFont="1" applyFill="1" applyBorder="1" applyAlignment="1">
      <alignment horizontal="center" vertical="center"/>
    </xf>
    <xf numFmtId="0" fontId="5" fillId="2" borderId="20" xfId="6" applyFont="1" applyFill="1" applyBorder="1" applyAlignment="1">
      <alignment horizontal="center" vertical="center"/>
    </xf>
    <xf numFmtId="0" fontId="4" fillId="0" borderId="3" xfId="6" applyBorder="1"/>
    <xf numFmtId="0" fontId="4" fillId="0" borderId="4" xfId="6" applyBorder="1"/>
    <xf numFmtId="0" fontId="10" fillId="3" borderId="2" xfId="6" applyFont="1" applyFill="1" applyBorder="1" applyAlignment="1">
      <alignment horizontal="center" vertical="center" wrapText="1"/>
    </xf>
    <xf numFmtId="0" fontId="10" fillId="3" borderId="3" xfId="6" applyFont="1" applyFill="1" applyBorder="1" applyAlignment="1">
      <alignment horizontal="center" vertical="center" wrapText="1"/>
    </xf>
    <xf numFmtId="0" fontId="10" fillId="3" borderId="4" xfId="6" applyFont="1" applyFill="1" applyBorder="1" applyAlignment="1">
      <alignment horizontal="center" vertical="center" wrapText="1"/>
    </xf>
    <xf numFmtId="0" fontId="5" fillId="3" borderId="2" xfId="6" applyFont="1" applyFill="1" applyBorder="1" applyAlignment="1">
      <alignment horizontal="center" vertical="center" wrapText="1"/>
    </xf>
    <xf numFmtId="0" fontId="5" fillId="3" borderId="3" xfId="6" applyFont="1" applyFill="1" applyBorder="1" applyAlignment="1">
      <alignment horizontal="center" vertical="center" wrapText="1"/>
    </xf>
    <xf numFmtId="0" fontId="5" fillId="3" borderId="4" xfId="6" applyFont="1" applyFill="1" applyBorder="1" applyAlignment="1">
      <alignment horizontal="center" vertical="center" wrapText="1"/>
    </xf>
    <xf numFmtId="0" fontId="5" fillId="3" borderId="10" xfId="6" applyFont="1" applyFill="1" applyBorder="1" applyAlignment="1">
      <alignment horizontal="center" vertical="center" wrapText="1"/>
    </xf>
    <xf numFmtId="0" fontId="7" fillId="3" borderId="10" xfId="6" applyFont="1" applyFill="1" applyBorder="1" applyAlignment="1">
      <alignment horizontal="center" vertical="center"/>
    </xf>
    <xf numFmtId="0" fontId="5" fillId="6" borderId="2" xfId="6" applyFont="1" applyFill="1" applyBorder="1" applyAlignment="1">
      <alignment horizontal="center" vertical="center" wrapText="1"/>
    </xf>
    <xf numFmtId="0" fontId="5" fillId="6" borderId="4" xfId="6" applyFont="1" applyFill="1" applyBorder="1" applyAlignment="1">
      <alignment horizontal="center" vertical="center" wrapText="1"/>
    </xf>
    <xf numFmtId="0" fontId="4" fillId="2" borderId="0" xfId="6" applyFill="1" applyBorder="1" applyAlignment="1"/>
    <xf numFmtId="0" fontId="11" fillId="2" borderId="0" xfId="6" applyFont="1" applyFill="1" applyAlignment="1" applyProtection="1">
      <alignment horizontal="center"/>
      <protection locked="0"/>
    </xf>
    <xf numFmtId="0" fontId="11" fillId="2" borderId="0" xfId="6" applyFont="1" applyFill="1" applyBorder="1" applyAlignment="1"/>
    <xf numFmtId="0" fontId="11" fillId="0" borderId="0" xfId="6" applyFont="1" applyFill="1" applyBorder="1" applyAlignment="1"/>
    <xf numFmtId="0" fontId="4" fillId="0" borderId="21" xfId="6" applyBorder="1" applyAlignment="1">
      <alignment horizontal="center" vertical="center"/>
    </xf>
    <xf numFmtId="0" fontId="12" fillId="0" borderId="22" xfId="6" applyFont="1" applyBorder="1" applyAlignment="1" applyProtection="1">
      <alignment horizontal="center" vertical="center"/>
    </xf>
    <xf numFmtId="0" fontId="12" fillId="0" borderId="23" xfId="6" applyFont="1" applyBorder="1" applyAlignment="1" applyProtection="1">
      <alignment horizontal="center" vertical="center"/>
    </xf>
    <xf numFmtId="0" fontId="12" fillId="0" borderId="24" xfId="6" applyFont="1" applyBorder="1" applyAlignment="1" applyProtection="1">
      <alignment horizontal="center" vertical="center"/>
    </xf>
    <xf numFmtId="0" fontId="5" fillId="0" borderId="25" xfId="6" applyFont="1" applyBorder="1" applyAlignment="1" applyProtection="1">
      <alignment horizontal="center" vertical="center" shrinkToFit="1"/>
      <protection locked="0"/>
    </xf>
    <xf numFmtId="0" fontId="5" fillId="0" borderId="23" xfId="6" applyFont="1" applyBorder="1" applyAlignment="1" applyProtection="1">
      <alignment horizontal="center" vertical="center" shrinkToFit="1"/>
      <protection locked="0"/>
    </xf>
    <xf numFmtId="0" fontId="5" fillId="0" borderId="26" xfId="6" applyFont="1" applyBorder="1" applyAlignment="1" applyProtection="1">
      <alignment horizontal="center" vertical="center" shrinkToFit="1"/>
      <protection locked="0"/>
    </xf>
    <xf numFmtId="0" fontId="13" fillId="0" borderId="27" xfId="6" applyFont="1" applyBorder="1" applyAlignment="1">
      <alignment horizontal="center" vertical="center"/>
    </xf>
    <xf numFmtId="0" fontId="13" fillId="0" borderId="28" xfId="6" applyFont="1" applyBorder="1" applyAlignment="1">
      <alignment horizontal="center" vertical="center"/>
    </xf>
    <xf numFmtId="10" fontId="4" fillId="0" borderId="27" xfId="6" applyNumberFormat="1" applyBorder="1" applyAlignment="1">
      <alignment horizontal="center" vertical="center"/>
    </xf>
    <xf numFmtId="10" fontId="4" fillId="0" borderId="28" xfId="6" applyNumberFormat="1" applyBorder="1" applyAlignment="1">
      <alignment horizontal="center" vertical="center"/>
    </xf>
    <xf numFmtId="164" fontId="4" fillId="0" borderId="27" xfId="6" applyNumberFormat="1" applyBorder="1" applyAlignment="1" applyProtection="1">
      <alignment horizontal="center" vertical="center"/>
    </xf>
    <xf numFmtId="164" fontId="4" fillId="0" borderId="28" xfId="6" applyNumberFormat="1" applyBorder="1" applyAlignment="1" applyProtection="1">
      <alignment horizontal="center" vertical="center"/>
    </xf>
    <xf numFmtId="164" fontId="4" fillId="0" borderId="29" xfId="6" applyNumberFormat="1" applyBorder="1" applyAlignment="1" applyProtection="1">
      <alignment horizontal="center" vertical="center"/>
    </xf>
    <xf numFmtId="0" fontId="13" fillId="0" borderId="21" xfId="6" applyFont="1" applyBorder="1" applyAlignment="1" applyProtection="1">
      <alignment horizontal="center" vertical="center"/>
      <protection locked="0"/>
    </xf>
    <xf numFmtId="0" fontId="13" fillId="6" borderId="27" xfId="6" applyFont="1" applyFill="1" applyBorder="1" applyAlignment="1" applyProtection="1">
      <alignment horizontal="center" vertical="center"/>
      <protection locked="0"/>
    </xf>
    <xf numFmtId="0" fontId="13" fillId="6" borderId="29" xfId="6" applyFont="1" applyFill="1" applyBorder="1" applyAlignment="1" applyProtection="1">
      <alignment horizontal="center" vertical="center"/>
      <protection locked="0"/>
    </xf>
    <xf numFmtId="0" fontId="4" fillId="0" borderId="30" xfId="6" applyBorder="1" applyAlignment="1">
      <alignment horizontal="center" vertical="center"/>
    </xf>
    <xf numFmtId="0" fontId="12" fillId="0" borderId="31" xfId="6" applyFont="1" applyBorder="1" applyAlignment="1" applyProtection="1">
      <alignment horizontal="center" vertical="center"/>
    </xf>
    <xf numFmtId="0" fontId="12" fillId="0" borderId="32" xfId="6" applyFont="1" applyBorder="1" applyAlignment="1" applyProtection="1">
      <alignment horizontal="center" vertical="center"/>
    </xf>
    <xf numFmtId="0" fontId="12" fillId="0" borderId="33" xfId="6" applyFont="1" applyBorder="1" applyAlignment="1" applyProtection="1">
      <alignment horizontal="center" vertical="center"/>
    </xf>
    <xf numFmtId="0" fontId="4" fillId="0" borderId="34" xfId="6" applyFont="1" applyBorder="1" applyAlignment="1" applyProtection="1">
      <alignment horizontal="center" vertical="center" shrinkToFit="1"/>
      <protection locked="0"/>
    </xf>
    <xf numFmtId="0" fontId="4" fillId="0" borderId="1" xfId="6" applyFont="1" applyBorder="1" applyAlignment="1" applyProtection="1">
      <alignment horizontal="center" vertical="center" shrinkToFit="1"/>
      <protection locked="0"/>
    </xf>
    <xf numFmtId="0" fontId="13" fillId="0" borderId="11" xfId="6" applyFont="1" applyBorder="1" applyAlignment="1">
      <alignment horizontal="center" vertical="center"/>
    </xf>
    <xf numFmtId="0" fontId="13" fillId="0" borderId="1" xfId="6" applyFont="1" applyBorder="1" applyAlignment="1">
      <alignment horizontal="center" vertical="center"/>
    </xf>
    <xf numFmtId="10" fontId="4" fillId="0" borderId="11" xfId="6" applyNumberFormat="1" applyBorder="1" applyAlignment="1">
      <alignment horizontal="center" vertical="center"/>
    </xf>
    <xf numFmtId="10" fontId="4" fillId="0" borderId="1" xfId="6" applyNumberFormat="1" applyBorder="1" applyAlignment="1">
      <alignment horizontal="center" vertical="center"/>
    </xf>
    <xf numFmtId="164" fontId="4" fillId="0" borderId="11" xfId="6" applyNumberFormat="1" applyBorder="1" applyAlignment="1" applyProtection="1">
      <alignment horizontal="center" vertical="center"/>
    </xf>
    <xf numFmtId="164" fontId="4" fillId="0" borderId="1" xfId="6" applyNumberFormat="1" applyBorder="1" applyAlignment="1" applyProtection="1">
      <alignment horizontal="center" vertical="center"/>
    </xf>
    <xf numFmtId="164" fontId="4" fillId="0" borderId="12" xfId="6" applyNumberFormat="1" applyBorder="1" applyAlignment="1" applyProtection="1">
      <alignment horizontal="center" vertical="center"/>
    </xf>
    <xf numFmtId="0" fontId="13" fillId="0" borderId="30" xfId="6" applyFont="1" applyBorder="1" applyAlignment="1" applyProtection="1">
      <alignment horizontal="center" vertical="center"/>
      <protection locked="0"/>
    </xf>
    <xf numFmtId="0" fontId="13" fillId="6" borderId="11" xfId="6" applyFont="1" applyFill="1" applyBorder="1" applyAlignment="1" applyProtection="1">
      <alignment horizontal="center" vertical="center"/>
      <protection locked="0"/>
    </xf>
    <xf numFmtId="0" fontId="13" fillId="6" borderId="12" xfId="6" applyFont="1" applyFill="1" applyBorder="1" applyAlignment="1" applyProtection="1">
      <alignment horizontal="center" vertical="center"/>
      <protection locked="0"/>
    </xf>
    <xf numFmtId="0" fontId="4" fillId="15" borderId="18" xfId="6" applyFont="1" applyFill="1" applyBorder="1" applyAlignment="1" applyProtection="1">
      <alignment horizontal="center"/>
      <protection locked="0"/>
    </xf>
    <xf numFmtId="0" fontId="4" fillId="15" borderId="54" xfId="6" applyFill="1" applyBorder="1" applyAlignment="1" applyProtection="1">
      <alignment horizontal="center"/>
      <protection locked="0"/>
    </xf>
    <xf numFmtId="0" fontId="4" fillId="15" borderId="51" xfId="6" applyFill="1" applyBorder="1" applyAlignment="1" applyProtection="1">
      <alignment horizontal="center"/>
      <protection locked="0"/>
    </xf>
    <xf numFmtId="0" fontId="4" fillId="15" borderId="19" xfId="6" applyFill="1" applyBorder="1" applyAlignment="1" applyProtection="1">
      <alignment horizontal="center"/>
      <protection locked="0"/>
    </xf>
    <xf numFmtId="2" fontId="4" fillId="15" borderId="18" xfId="6" applyNumberFormat="1" applyFill="1" applyBorder="1" applyAlignment="1">
      <alignment horizontal="center"/>
    </xf>
    <xf numFmtId="2" fontId="4" fillId="15" borderId="19" xfId="6" applyNumberFormat="1" applyFill="1" applyBorder="1" applyAlignment="1">
      <alignment horizontal="center"/>
    </xf>
    <xf numFmtId="0" fontId="12" fillId="0" borderId="35" xfId="6" applyFont="1" applyBorder="1" applyAlignment="1" applyProtection="1">
      <alignment horizontal="center" vertical="center"/>
    </xf>
    <xf numFmtId="0" fontId="12" fillId="0" borderId="36" xfId="6" applyFont="1" applyBorder="1" applyAlignment="1" applyProtection="1">
      <alignment horizontal="center" vertical="center"/>
    </xf>
    <xf numFmtId="0" fontId="12" fillId="0" borderId="16" xfId="6" applyFont="1" applyBorder="1" applyAlignment="1" applyProtection="1">
      <alignment horizontal="center" vertical="center"/>
    </xf>
    <xf numFmtId="0" fontId="12" fillId="0" borderId="37" xfId="6" applyFont="1" applyBorder="1" applyAlignment="1" applyProtection="1">
      <alignment horizontal="center" vertical="center"/>
    </xf>
    <xf numFmtId="0" fontId="4" fillId="2" borderId="0" xfId="6" applyFill="1" applyAlignment="1"/>
    <xf numFmtId="0" fontId="11" fillId="2" borderId="0" xfId="6" applyFont="1" applyFill="1"/>
    <xf numFmtId="0" fontId="4" fillId="15" borderId="38" xfId="6" applyFont="1" applyFill="1" applyBorder="1" applyAlignment="1" applyProtection="1">
      <alignment horizontal="center"/>
      <protection locked="0"/>
    </xf>
    <xf numFmtId="0" fontId="4" fillId="15" borderId="41" xfId="6" applyFill="1" applyBorder="1" applyAlignment="1" applyProtection="1">
      <alignment horizontal="center"/>
      <protection locked="0"/>
    </xf>
    <xf numFmtId="0" fontId="4" fillId="15" borderId="59" xfId="6" applyFill="1" applyBorder="1" applyAlignment="1" applyProtection="1">
      <alignment horizontal="center"/>
      <protection locked="0"/>
    </xf>
    <xf numFmtId="0" fontId="4" fillId="15" borderId="39" xfId="6" applyFill="1" applyBorder="1" applyAlignment="1" applyProtection="1">
      <alignment horizontal="center"/>
      <protection locked="0"/>
    </xf>
    <xf numFmtId="2" fontId="4" fillId="15" borderId="38" xfId="6" applyNumberFormat="1" applyFill="1" applyBorder="1" applyAlignment="1">
      <alignment horizontal="center"/>
    </xf>
    <xf numFmtId="2" fontId="4" fillId="15" borderId="40" xfId="6" applyNumberFormat="1" applyFill="1" applyBorder="1" applyAlignment="1">
      <alignment horizontal="center"/>
    </xf>
    <xf numFmtId="0" fontId="7" fillId="2" borderId="0" xfId="6" applyFont="1" applyFill="1" applyBorder="1" applyAlignment="1" applyProtection="1">
      <alignment vertical="center" wrapText="1"/>
      <protection locked="0"/>
    </xf>
    <xf numFmtId="0" fontId="5" fillId="2" borderId="0" xfId="6" applyFont="1" applyFill="1" applyBorder="1" applyAlignment="1" applyProtection="1">
      <alignment vertical="center" wrapText="1"/>
      <protection locked="0"/>
    </xf>
    <xf numFmtId="0" fontId="11" fillId="7" borderId="27" xfId="6" applyFont="1" applyFill="1" applyBorder="1" applyAlignment="1" applyProtection="1">
      <alignment horizontal="center" vertical="center" wrapText="1"/>
    </xf>
    <xf numFmtId="0" fontId="11" fillId="7" borderId="28" xfId="6" applyFont="1" applyFill="1" applyBorder="1" applyAlignment="1" applyProtection="1">
      <alignment horizontal="center" vertical="center" wrapText="1"/>
    </xf>
    <xf numFmtId="0" fontId="11" fillId="7" borderId="29" xfId="6" applyFont="1" applyFill="1" applyBorder="1" applyAlignment="1" applyProtection="1">
      <alignment horizontal="center" vertical="center" wrapText="1"/>
    </xf>
    <xf numFmtId="0" fontId="11" fillId="7" borderId="11" xfId="6" applyFont="1" applyFill="1" applyBorder="1" applyAlignment="1" applyProtection="1">
      <alignment horizontal="center" vertical="center" wrapText="1"/>
    </xf>
    <xf numFmtId="0" fontId="11" fillId="7" borderId="1" xfId="6" applyFont="1" applyFill="1" applyBorder="1" applyAlignment="1" applyProtection="1">
      <alignment horizontal="center" vertical="center" wrapText="1"/>
    </xf>
    <xf numFmtId="0" fontId="11" fillId="7" borderId="12" xfId="6" applyFont="1" applyFill="1" applyBorder="1" applyAlignment="1" applyProtection="1">
      <alignment horizontal="center" vertical="center" wrapText="1"/>
    </xf>
    <xf numFmtId="0" fontId="4" fillId="0" borderId="0" xfId="6" applyBorder="1" applyAlignment="1" applyProtection="1">
      <alignment horizontal="center"/>
      <protection locked="0"/>
    </xf>
    <xf numFmtId="0" fontId="12" fillId="0" borderId="38" xfId="6" applyFont="1" applyBorder="1" applyAlignment="1" applyProtection="1">
      <alignment horizontal="center" vertical="center"/>
    </xf>
    <xf numFmtId="0" fontId="12" fillId="0" borderId="41" xfId="6" applyFont="1" applyBorder="1" applyAlignment="1" applyProtection="1">
      <alignment horizontal="center" vertical="center"/>
    </xf>
    <xf numFmtId="0" fontId="4" fillId="0" borderId="42" xfId="6" applyFont="1" applyBorder="1" applyAlignment="1" applyProtection="1">
      <alignment horizontal="center" vertical="center" shrinkToFit="1"/>
      <protection locked="0"/>
    </xf>
    <xf numFmtId="0" fontId="4" fillId="0" borderId="0" xfId="6" applyFont="1" applyBorder="1" applyAlignment="1" applyProtection="1">
      <alignment horizontal="center" vertical="center" shrinkToFit="1"/>
      <protection locked="0"/>
    </xf>
    <xf numFmtId="0" fontId="13" fillId="0" borderId="43" xfId="6" applyFont="1" applyBorder="1" applyAlignment="1">
      <alignment horizontal="center" vertical="center"/>
    </xf>
    <xf numFmtId="0" fontId="13" fillId="0" borderId="0" xfId="6" applyFont="1" applyBorder="1" applyAlignment="1">
      <alignment horizontal="center" vertical="center"/>
    </xf>
    <xf numFmtId="0" fontId="13" fillId="0" borderId="20" xfId="6" applyFont="1" applyBorder="1" applyAlignment="1" applyProtection="1">
      <alignment horizontal="center" vertical="center"/>
      <protection locked="0"/>
    </xf>
    <xf numFmtId="0" fontId="4" fillId="2" borderId="0" xfId="6" applyFill="1" applyBorder="1" applyAlignment="1">
      <alignment horizontal="center" vertical="center"/>
    </xf>
    <xf numFmtId="0" fontId="8" fillId="8" borderId="45" xfId="6" applyFont="1" applyFill="1" applyBorder="1" applyAlignment="1" applyProtection="1">
      <alignment horizontal="left" vertical="center" wrapText="1"/>
      <protection locked="0"/>
    </xf>
    <xf numFmtId="0" fontId="8" fillId="8" borderId="46" xfId="6" applyFont="1" applyFill="1" applyBorder="1" applyAlignment="1" applyProtection="1">
      <alignment vertical="center" wrapText="1"/>
      <protection locked="0"/>
    </xf>
    <xf numFmtId="0" fontId="8" fillId="8" borderId="47" xfId="6" applyFont="1" applyFill="1" applyBorder="1" applyAlignment="1" applyProtection="1">
      <alignment vertical="center" wrapText="1"/>
      <protection locked="0"/>
    </xf>
    <xf numFmtId="20" fontId="4" fillId="0" borderId="48" xfId="6" applyNumberFormat="1" applyFill="1" applyBorder="1" applyAlignment="1" applyProtection="1">
      <alignment horizontal="center"/>
      <protection locked="0"/>
    </xf>
    <xf numFmtId="0" fontId="4" fillId="0" borderId="49" xfId="6" applyFill="1" applyBorder="1" applyAlignment="1" applyProtection="1">
      <alignment horizontal="center"/>
      <protection locked="0"/>
    </xf>
    <xf numFmtId="0" fontId="4" fillId="0" borderId="50" xfId="6" applyFill="1" applyBorder="1" applyAlignment="1" applyProtection="1">
      <alignment horizontal="center"/>
      <protection locked="0"/>
    </xf>
    <xf numFmtId="0" fontId="4" fillId="2" borderId="61" xfId="6" applyFill="1" applyBorder="1" applyAlignment="1" applyProtection="1">
      <alignment horizontal="center" vertical="center" textRotation="90"/>
      <protection locked="0"/>
    </xf>
    <xf numFmtId="0" fontId="5" fillId="9" borderId="43" xfId="6" applyFont="1" applyFill="1" applyBorder="1" applyAlignment="1">
      <alignment horizontal="center" vertical="center" wrapText="1"/>
    </xf>
    <xf numFmtId="0" fontId="5" fillId="9" borderId="0" xfId="6" applyFont="1" applyFill="1" applyBorder="1" applyAlignment="1">
      <alignment horizontal="center" vertical="center" wrapText="1"/>
    </xf>
    <xf numFmtId="0" fontId="5" fillId="9" borderId="28" xfId="6" applyFont="1" applyFill="1" applyBorder="1" applyAlignment="1">
      <alignment horizontal="center" vertical="center" wrapText="1"/>
    </xf>
    <xf numFmtId="0" fontId="5" fillId="9" borderId="29" xfId="6" applyFont="1" applyFill="1" applyBorder="1" applyAlignment="1">
      <alignment horizontal="center" vertical="center" wrapText="1"/>
    </xf>
    <xf numFmtId="0" fontId="12" fillId="0" borderId="0" xfId="6" applyFont="1" applyAlignment="1">
      <alignment horizontal="right"/>
    </xf>
    <xf numFmtId="20" fontId="4" fillId="0" borderId="51" xfId="6" applyNumberFormat="1" applyFill="1" applyBorder="1" applyAlignment="1" applyProtection="1">
      <alignment horizontal="center"/>
      <protection locked="0"/>
    </xf>
    <xf numFmtId="20" fontId="4" fillId="0" borderId="52" xfId="6" applyNumberFormat="1" applyFill="1" applyBorder="1" applyAlignment="1" applyProtection="1">
      <alignment horizontal="center"/>
      <protection locked="0"/>
    </xf>
    <xf numFmtId="20" fontId="4" fillId="0" borderId="53" xfId="6" applyNumberFormat="1" applyFill="1" applyBorder="1" applyAlignment="1" applyProtection="1">
      <alignment horizontal="center"/>
      <protection locked="0"/>
    </xf>
    <xf numFmtId="0" fontId="4" fillId="2" borderId="62" xfId="6" applyFill="1" applyBorder="1" applyAlignment="1" applyProtection="1">
      <alignment horizontal="center" vertical="center" textRotation="90"/>
      <protection locked="0"/>
    </xf>
    <xf numFmtId="0" fontId="5" fillId="9" borderId="44" xfId="6" applyFont="1" applyFill="1" applyBorder="1" applyAlignment="1">
      <alignment horizontal="center" vertical="center" wrapText="1"/>
    </xf>
    <xf numFmtId="0" fontId="5" fillId="6" borderId="51" xfId="6" applyFont="1" applyFill="1" applyBorder="1" applyAlignment="1">
      <alignment horizontal="center"/>
    </xf>
    <xf numFmtId="0" fontId="5" fillId="6" borderId="52" xfId="6" applyFont="1" applyFill="1" applyBorder="1" applyAlignment="1">
      <alignment horizontal="center"/>
    </xf>
    <xf numFmtId="0" fontId="5" fillId="6" borderId="53" xfId="6" applyFont="1" applyFill="1" applyBorder="1" applyAlignment="1">
      <alignment horizontal="center"/>
    </xf>
    <xf numFmtId="0" fontId="5" fillId="9" borderId="11" xfId="6" applyFont="1" applyFill="1" applyBorder="1" applyAlignment="1">
      <alignment horizontal="center" vertical="center" wrapText="1"/>
    </xf>
    <xf numFmtId="0" fontId="5" fillId="9" borderId="1" xfId="6" applyFont="1" applyFill="1" applyBorder="1" applyAlignment="1">
      <alignment horizontal="center" vertical="center" wrapText="1"/>
    </xf>
    <xf numFmtId="0" fontId="5" fillId="9" borderId="12" xfId="6" applyFont="1" applyFill="1" applyBorder="1" applyAlignment="1">
      <alignment horizontal="center" vertical="center" wrapText="1"/>
    </xf>
    <xf numFmtId="0" fontId="7" fillId="6" borderId="51" xfId="6" applyFont="1" applyFill="1" applyBorder="1" applyAlignment="1" applyProtection="1">
      <alignment horizontal="center"/>
      <protection locked="0"/>
    </xf>
    <xf numFmtId="0" fontId="7" fillId="6" borderId="52" xfId="6" applyFont="1" applyFill="1" applyBorder="1" applyAlignment="1" applyProtection="1">
      <alignment horizontal="center"/>
      <protection locked="0"/>
    </xf>
    <xf numFmtId="0" fontId="7" fillId="6" borderId="53" xfId="6" applyFont="1" applyFill="1" applyBorder="1" applyAlignment="1" applyProtection="1">
      <alignment horizontal="center"/>
      <protection locked="0"/>
    </xf>
    <xf numFmtId="0" fontId="4" fillId="3" borderId="53" xfId="6" applyFill="1" applyBorder="1"/>
    <xf numFmtId="0" fontId="4" fillId="6" borderId="54" xfId="6" applyFill="1" applyBorder="1" applyAlignment="1">
      <alignment horizontal="center"/>
    </xf>
    <xf numFmtId="0" fontId="4" fillId="3" borderId="54" xfId="6" applyFill="1" applyBorder="1" applyAlignment="1">
      <alignment horizontal="center"/>
    </xf>
    <xf numFmtId="0" fontId="7" fillId="3" borderId="54" xfId="6" applyFont="1" applyFill="1" applyBorder="1" applyProtection="1">
      <protection locked="0"/>
    </xf>
    <xf numFmtId="0" fontId="7" fillId="2" borderId="54" xfId="6" applyFont="1" applyFill="1" applyBorder="1" applyAlignment="1">
      <alignment horizontal="center"/>
    </xf>
    <xf numFmtId="0" fontId="7" fillId="3" borderId="54" xfId="6" applyFont="1" applyFill="1" applyBorder="1" applyAlignment="1" applyProtection="1">
      <alignment horizontal="left"/>
      <protection locked="0"/>
    </xf>
    <xf numFmtId="0" fontId="4" fillId="3" borderId="53" xfId="6" applyFill="1" applyBorder="1" applyAlignment="1">
      <alignment horizontal="left"/>
    </xf>
    <xf numFmtId="0" fontId="4" fillId="0" borderId="54" xfId="6" applyBorder="1" applyAlignment="1">
      <alignment horizontal="center"/>
    </xf>
    <xf numFmtId="0" fontId="9" fillId="0" borderId="51" xfId="6" applyFont="1" applyFill="1" applyBorder="1" applyProtection="1">
      <protection locked="0"/>
    </xf>
    <xf numFmtId="0" fontId="4" fillId="2" borderId="52" xfId="6" applyFill="1" applyBorder="1" applyAlignment="1">
      <alignment horizontal="center"/>
    </xf>
    <xf numFmtId="0" fontId="9" fillId="0" borderId="53" xfId="6" applyFont="1" applyFill="1" applyBorder="1" applyAlignment="1" applyProtection="1">
      <alignment horizontal="left"/>
      <protection locked="0"/>
    </xf>
    <xf numFmtId="0" fontId="4" fillId="0" borderId="53" xfId="6" applyBorder="1" applyAlignment="1">
      <alignment horizontal="center"/>
    </xf>
    <xf numFmtId="0" fontId="4" fillId="2" borderId="60" xfId="6" applyFill="1" applyBorder="1" applyAlignment="1" applyProtection="1">
      <alignment horizontal="center" vertical="center" textRotation="90"/>
      <protection locked="0"/>
    </xf>
    <xf numFmtId="0" fontId="14" fillId="2" borderId="0" xfId="6" applyFont="1" applyFill="1"/>
    <xf numFmtId="0" fontId="4" fillId="0" borderId="0" xfId="6" applyFill="1" applyProtection="1">
      <protection hidden="1"/>
    </xf>
    <xf numFmtId="0" fontId="4" fillId="6" borderId="0" xfId="6" applyFill="1" applyProtection="1">
      <protection hidden="1"/>
    </xf>
    <xf numFmtId="0" fontId="4" fillId="6" borderId="0" xfId="6" applyFill="1" applyAlignment="1" applyProtection="1">
      <alignment horizontal="left"/>
      <protection hidden="1"/>
    </xf>
    <xf numFmtId="0" fontId="4" fillId="0" borderId="0" xfId="6" applyFill="1" applyAlignment="1" applyProtection="1">
      <alignment horizontal="left"/>
      <protection hidden="1"/>
    </xf>
    <xf numFmtId="0" fontId="4" fillId="0" borderId="0" xfId="6" applyFill="1" applyAlignment="1" applyProtection="1">
      <alignment wrapText="1"/>
      <protection hidden="1"/>
    </xf>
    <xf numFmtId="0" fontId="4" fillId="0" borderId="0" xfId="6" applyFill="1" applyAlignment="1" applyProtection="1">
      <alignment horizontal="center" wrapText="1"/>
      <protection hidden="1"/>
    </xf>
    <xf numFmtId="0" fontId="4" fillId="0" borderId="0" xfId="6" applyAlignment="1" applyProtection="1">
      <alignment horizontal="left"/>
    </xf>
    <xf numFmtId="0" fontId="4" fillId="0" borderId="0" xfId="6" applyAlignment="1" applyProtection="1">
      <alignment horizontal="center"/>
      <protection locked="0"/>
    </xf>
    <xf numFmtId="0" fontId="4" fillId="0" borderId="0" xfId="6" applyProtection="1">
      <protection hidden="1"/>
    </xf>
    <xf numFmtId="0" fontId="4" fillId="0" borderId="0" xfId="6" applyAlignment="1">
      <alignment horizontal="center"/>
    </xf>
    <xf numFmtId="0" fontId="5" fillId="0" borderId="0" xfId="6" applyFont="1"/>
    <xf numFmtId="0" fontId="5" fillId="0" borderId="0" xfId="6" applyFont="1" applyProtection="1">
      <protection hidden="1"/>
    </xf>
    <xf numFmtId="0" fontId="4" fillId="0" borderId="0" xfId="6" applyAlignment="1" applyProtection="1">
      <alignment horizontal="center"/>
      <protection hidden="1"/>
    </xf>
    <xf numFmtId="0" fontId="15" fillId="0" borderId="0" xfId="6" applyFont="1"/>
    <xf numFmtId="2" fontId="15" fillId="0" borderId="0" xfId="6" applyNumberFormat="1" applyFont="1"/>
    <xf numFmtId="2" fontId="4" fillId="0" borderId="0" xfId="6" applyNumberFormat="1"/>
    <xf numFmtId="2" fontId="4" fillId="0" borderId="0" xfId="6" applyNumberFormat="1" applyAlignment="1" applyProtection="1">
      <alignment horizontal="left"/>
    </xf>
    <xf numFmtId="2" fontId="4" fillId="0" borderId="0" xfId="6" applyNumberFormat="1" applyAlignment="1" applyProtection="1">
      <alignment horizontal="center"/>
      <protection locked="0"/>
    </xf>
    <xf numFmtId="2" fontId="4" fillId="0" borderId="0" xfId="6" applyNumberFormat="1" applyProtection="1">
      <protection hidden="1"/>
    </xf>
    <xf numFmtId="2" fontId="4" fillId="0" borderId="0" xfId="6" applyNumberFormat="1" applyAlignment="1" applyProtection="1">
      <alignment horizontal="center"/>
      <protection hidden="1"/>
    </xf>
    <xf numFmtId="1" fontId="15" fillId="0" borderId="0" xfId="6" applyNumberFormat="1" applyFont="1"/>
    <xf numFmtId="1" fontId="4" fillId="0" borderId="0" xfId="6" applyNumberFormat="1"/>
    <xf numFmtId="1" fontId="4" fillId="0" borderId="0" xfId="6" applyNumberFormat="1" applyAlignment="1" applyProtection="1">
      <alignment horizontal="left"/>
    </xf>
    <xf numFmtId="1" fontId="4" fillId="0" borderId="0" xfId="6" applyNumberFormat="1" applyAlignment="1" applyProtection="1">
      <alignment horizontal="center"/>
      <protection locked="0"/>
    </xf>
    <xf numFmtId="1" fontId="4" fillId="0" borderId="0" xfId="6" applyNumberFormat="1" applyProtection="1">
      <protection hidden="1"/>
    </xf>
    <xf numFmtId="1" fontId="4" fillId="0" borderId="0" xfId="6" applyNumberFormat="1" applyAlignment="1" applyProtection="1">
      <alignment horizontal="center"/>
      <protection hidden="1"/>
    </xf>
    <xf numFmtId="0" fontId="4" fillId="0" borderId="0" xfId="6" applyAlignment="1" applyProtection="1">
      <alignment horizontal="left"/>
    </xf>
    <xf numFmtId="0" fontId="4" fillId="0" borderId="0" xfId="6" applyAlignment="1" applyProtection="1">
      <alignment horizontal="center"/>
      <protection locked="0"/>
    </xf>
    <xf numFmtId="0" fontId="4" fillId="0" borderId="0" xfId="6" applyAlignment="1" applyProtection="1">
      <alignment horizontal="left"/>
      <protection locked="0"/>
    </xf>
    <xf numFmtId="0" fontId="4" fillId="3" borderId="61" xfId="6" applyFill="1" applyBorder="1" applyAlignment="1" applyProtection="1">
      <alignment horizontal="center" vertical="center" textRotation="90"/>
      <protection locked="0"/>
    </xf>
    <xf numFmtId="0" fontId="4" fillId="3" borderId="62" xfId="6" applyFill="1" applyBorder="1" applyAlignment="1" applyProtection="1">
      <alignment horizontal="center" vertical="center" textRotation="90"/>
      <protection locked="0"/>
    </xf>
    <xf numFmtId="0" fontId="4" fillId="3" borderId="60" xfId="6" applyFill="1" applyBorder="1" applyAlignment="1" applyProtection="1">
      <alignment horizontal="center" vertical="center" textRotation="90"/>
      <protection locked="0"/>
    </xf>
    <xf numFmtId="0" fontId="16" fillId="0" borderId="0" xfId="6" applyFont="1" applyAlignment="1">
      <alignment horizontal="center"/>
    </xf>
    <xf numFmtId="0" fontId="12" fillId="10" borderId="21" xfId="6" applyFont="1" applyFill="1" applyBorder="1" applyAlignment="1">
      <alignment horizontal="center" wrapText="1"/>
    </xf>
    <xf numFmtId="0" fontId="4" fillId="11" borderId="2" xfId="6" applyFill="1" applyBorder="1" applyAlignment="1">
      <alignment horizontal="center"/>
    </xf>
    <xf numFmtId="0" fontId="4" fillId="11" borderId="3" xfId="6" applyFill="1" applyBorder="1" applyAlignment="1">
      <alignment horizontal="center"/>
    </xf>
    <xf numFmtId="0" fontId="4" fillId="11" borderId="4" xfId="6" applyFill="1" applyBorder="1" applyAlignment="1">
      <alignment horizontal="center"/>
    </xf>
    <xf numFmtId="0" fontId="12" fillId="10" borderId="30" xfId="6" applyFont="1" applyFill="1" applyBorder="1" applyAlignment="1">
      <alignment horizontal="center" wrapText="1"/>
    </xf>
    <xf numFmtId="0" fontId="4" fillId="3" borderId="2" xfId="6" applyFill="1" applyBorder="1" applyAlignment="1">
      <alignment horizontal="center"/>
    </xf>
    <xf numFmtId="0" fontId="4" fillId="3" borderId="3" xfId="6" applyFill="1" applyBorder="1" applyAlignment="1">
      <alignment horizontal="center"/>
    </xf>
    <xf numFmtId="0" fontId="4" fillId="3" borderId="4" xfId="6" applyFill="1" applyBorder="1" applyAlignment="1">
      <alignment horizontal="center"/>
    </xf>
    <xf numFmtId="0" fontId="4" fillId="0" borderId="43" xfId="6" applyBorder="1" applyProtection="1">
      <protection locked="0"/>
    </xf>
    <xf numFmtId="0" fontId="17" fillId="0" borderId="16" xfId="6" applyFont="1" applyFill="1" applyBorder="1" applyAlignment="1">
      <alignment horizontal="center" shrinkToFit="1"/>
    </xf>
    <xf numFmtId="0" fontId="17" fillId="0" borderId="37" xfId="6" applyFont="1" applyFill="1" applyBorder="1" applyAlignment="1">
      <alignment horizontal="center" shrinkToFit="1"/>
    </xf>
    <xf numFmtId="0" fontId="17" fillId="0" borderId="37" xfId="6" applyFont="1" applyFill="1" applyBorder="1" applyAlignment="1">
      <alignment horizontal="center"/>
    </xf>
    <xf numFmtId="0" fontId="17" fillId="0" borderId="17" xfId="6" applyFont="1" applyFill="1" applyBorder="1" applyAlignment="1">
      <alignment horizontal="center"/>
    </xf>
    <xf numFmtId="0" fontId="4" fillId="0" borderId="11" xfId="6" applyBorder="1" applyProtection="1">
      <protection locked="0"/>
    </xf>
    <xf numFmtId="0" fontId="17" fillId="0" borderId="35" xfId="6" applyFont="1" applyFill="1" applyBorder="1" applyAlignment="1">
      <alignment horizontal="center" shrinkToFit="1"/>
    </xf>
    <xf numFmtId="0" fontId="17" fillId="0" borderId="36" xfId="6" applyFont="1" applyFill="1" applyBorder="1" applyAlignment="1">
      <alignment horizontal="center" shrinkToFit="1"/>
    </xf>
    <xf numFmtId="0" fontId="17" fillId="0" borderId="36" xfId="6" applyFont="1" applyFill="1" applyBorder="1" applyAlignment="1">
      <alignment horizontal="center"/>
    </xf>
    <xf numFmtId="0" fontId="17" fillId="0" borderId="39" xfId="6" applyFont="1" applyFill="1" applyBorder="1" applyAlignment="1">
      <alignment horizontal="center"/>
    </xf>
    <xf numFmtId="0" fontId="17" fillId="2" borderId="35" xfId="6" applyFont="1" applyFill="1" applyBorder="1" applyAlignment="1">
      <alignment horizontal="center" shrinkToFit="1"/>
    </xf>
    <xf numFmtId="0" fontId="17" fillId="2" borderId="36" xfId="6" applyFont="1" applyFill="1" applyBorder="1" applyAlignment="1">
      <alignment horizontal="center" shrinkToFit="1"/>
    </xf>
    <xf numFmtId="0" fontId="17" fillId="2" borderId="36" xfId="6" applyFont="1" applyFill="1" applyBorder="1" applyAlignment="1">
      <alignment horizontal="center"/>
    </xf>
    <xf numFmtId="0" fontId="17" fillId="2" borderId="39" xfId="6" applyFont="1" applyFill="1" applyBorder="1" applyAlignment="1">
      <alignment horizontal="center"/>
    </xf>
    <xf numFmtId="0" fontId="4" fillId="0" borderId="0" xfId="6" applyFill="1" applyProtection="1">
      <protection locked="0"/>
    </xf>
    <xf numFmtId="0" fontId="17" fillId="0" borderId="0" xfId="6" applyFont="1" applyFill="1" applyBorder="1" applyAlignment="1">
      <alignment horizontal="center"/>
    </xf>
    <xf numFmtId="0" fontId="7" fillId="0" borderId="0" xfId="6" applyFont="1" applyAlignment="1">
      <alignment horizontal="center"/>
    </xf>
    <xf numFmtId="0" fontId="4" fillId="0" borderId="0" xfId="6" applyFont="1" applyAlignment="1">
      <alignment horizontal="left"/>
    </xf>
    <xf numFmtId="0" fontId="8" fillId="0" borderId="0" xfId="6" applyFont="1" applyAlignment="1" applyProtection="1">
      <alignment horizontal="left"/>
      <protection locked="0"/>
    </xf>
    <xf numFmtId="0" fontId="4" fillId="0" borderId="0" xfId="6" applyFill="1" applyAlignment="1" applyProtection="1">
      <alignment horizontal="left"/>
      <protection locked="0"/>
    </xf>
    <xf numFmtId="0" fontId="5" fillId="12" borderId="0" xfId="6" applyFont="1" applyFill="1" applyAlignment="1">
      <alignment horizontal="center"/>
    </xf>
    <xf numFmtId="0" fontId="12" fillId="0" borderId="0" xfId="6" applyFont="1"/>
    <xf numFmtId="0" fontId="4" fillId="0" borderId="1" xfId="6" applyBorder="1" applyAlignment="1">
      <alignment horizontal="center" shrinkToFit="1"/>
    </xf>
    <xf numFmtId="0" fontId="4" fillId="0" borderId="0" xfId="6" applyBorder="1"/>
    <xf numFmtId="0" fontId="4" fillId="0" borderId="0" xfId="6" applyBorder="1" applyAlignment="1">
      <alignment horizontal="center"/>
    </xf>
    <xf numFmtId="0" fontId="12" fillId="0" borderId="28" xfId="6" applyFont="1" applyBorder="1" applyAlignment="1" applyProtection="1">
      <alignment horizontal="center" shrinkToFit="1"/>
      <protection locked="0"/>
    </xf>
    <xf numFmtId="0" fontId="4" fillId="0" borderId="43" xfId="6" applyBorder="1"/>
    <xf numFmtId="0" fontId="12" fillId="0" borderId="0" xfId="6" applyFont="1" applyBorder="1" applyAlignment="1" applyProtection="1">
      <alignment horizontal="center"/>
      <protection locked="0"/>
    </xf>
    <xf numFmtId="0" fontId="12" fillId="0" borderId="0" xfId="6" applyFont="1" applyBorder="1" applyAlignment="1" applyProtection="1">
      <alignment horizontal="center"/>
      <protection locked="0"/>
    </xf>
    <xf numFmtId="0" fontId="12" fillId="0" borderId="44" xfId="6" applyFont="1" applyBorder="1" applyAlignment="1" applyProtection="1">
      <alignment horizontal="center"/>
      <protection locked="0"/>
    </xf>
    <xf numFmtId="0" fontId="4" fillId="0" borderId="44" xfId="6" applyBorder="1"/>
    <xf numFmtId="0" fontId="12" fillId="0" borderId="0" xfId="6" applyFont="1" applyBorder="1" applyAlignment="1" applyProtection="1">
      <alignment horizontal="center" shrinkToFit="1"/>
      <protection locked="0"/>
    </xf>
    <xf numFmtId="0" fontId="12" fillId="0" borderId="44" xfId="6" applyFont="1" applyBorder="1" applyAlignment="1" applyProtection="1">
      <alignment horizontal="center" shrinkToFit="1"/>
      <protection locked="0"/>
    </xf>
    <xf numFmtId="0" fontId="4" fillId="0" borderId="43" xfId="6" applyBorder="1" applyAlignment="1">
      <alignment horizontal="left" shrinkToFit="1"/>
    </xf>
    <xf numFmtId="0" fontId="4" fillId="0" borderId="0" xfId="6" applyBorder="1" applyAlignment="1">
      <alignment horizontal="left" shrinkToFit="1"/>
    </xf>
    <xf numFmtId="0" fontId="4" fillId="0" borderId="0" xfId="6" applyBorder="1" applyAlignment="1" applyProtection="1">
      <protection locked="0"/>
    </xf>
    <xf numFmtId="0" fontId="4" fillId="0" borderId="0" xfId="6" applyBorder="1" applyAlignment="1" applyProtection="1">
      <alignment horizontal="center"/>
      <protection locked="0"/>
    </xf>
    <xf numFmtId="0" fontId="17" fillId="0" borderId="0" xfId="6" applyFont="1" applyBorder="1" applyAlignment="1" applyProtection="1">
      <alignment horizontal="center"/>
      <protection locked="0"/>
    </xf>
    <xf numFmtId="0" fontId="4" fillId="0" borderId="27" xfId="6" applyBorder="1" applyAlignment="1" applyProtection="1">
      <alignment horizontal="left"/>
      <protection locked="0"/>
    </xf>
    <xf numFmtId="0" fontId="4" fillId="0" borderId="28" xfId="6" applyBorder="1" applyAlignment="1" applyProtection="1">
      <alignment horizontal="left"/>
      <protection locked="0"/>
    </xf>
    <xf numFmtId="0" fontId="4" fillId="0" borderId="29" xfId="6" applyBorder="1" applyAlignment="1" applyProtection="1">
      <alignment horizontal="left"/>
      <protection locked="0"/>
    </xf>
    <xf numFmtId="0" fontId="4" fillId="0" borderId="43" xfId="6" applyBorder="1" applyAlignment="1" applyProtection="1">
      <alignment horizontal="left"/>
      <protection locked="0"/>
    </xf>
    <xf numFmtId="0" fontId="4" fillId="0" borderId="0" xfId="6" applyBorder="1" applyAlignment="1" applyProtection="1">
      <alignment horizontal="left"/>
      <protection locked="0"/>
    </xf>
    <xf numFmtId="0" fontId="4" fillId="0" borderId="0" xfId="6" applyBorder="1" applyProtection="1">
      <protection locked="0"/>
    </xf>
    <xf numFmtId="0" fontId="17" fillId="0" borderId="0" xfId="6" applyFont="1" applyBorder="1" applyAlignment="1" applyProtection="1">
      <protection locked="0"/>
    </xf>
    <xf numFmtId="0" fontId="17" fillId="0" borderId="0" xfId="6" applyFont="1" applyBorder="1" applyAlignment="1">
      <alignment horizontal="center"/>
    </xf>
    <xf numFmtId="0" fontId="4" fillId="0" borderId="12" xfId="6" applyBorder="1" applyAlignment="1">
      <alignment horizontal="center" shrinkToFit="1"/>
    </xf>
    <xf numFmtId="0" fontId="4" fillId="0" borderId="1" xfId="6" applyBorder="1" applyAlignment="1">
      <alignment horizontal="center"/>
    </xf>
    <xf numFmtId="0" fontId="4" fillId="0" borderId="12" xfId="6" applyBorder="1" applyAlignment="1">
      <alignment horizontal="center"/>
    </xf>
    <xf numFmtId="0" fontId="12" fillId="0" borderId="0" xfId="6" applyFont="1" applyAlignment="1" applyProtection="1">
      <alignment horizontal="center"/>
      <protection locked="0"/>
    </xf>
    <xf numFmtId="0" fontId="12" fillId="0" borderId="0" xfId="6" applyFont="1" applyBorder="1" applyAlignment="1" applyProtection="1">
      <protection locked="0"/>
    </xf>
    <xf numFmtId="0" fontId="4" fillId="0" borderId="44" xfId="6" applyBorder="1" applyAlignment="1" applyProtection="1">
      <alignment horizontal="center"/>
      <protection locked="0"/>
    </xf>
    <xf numFmtId="0" fontId="4" fillId="0" borderId="11" xfId="6" applyBorder="1" applyAlignment="1" applyProtection="1">
      <alignment horizontal="center" shrinkToFit="1"/>
    </xf>
    <xf numFmtId="0" fontId="4" fillId="0" borderId="1" xfId="6" applyBorder="1" applyAlignment="1" applyProtection="1">
      <alignment horizontal="center" shrinkToFit="1"/>
    </xf>
    <xf numFmtId="0" fontId="4" fillId="0" borderId="0" xfId="6" applyBorder="1" applyAlignment="1"/>
    <xf numFmtId="0" fontId="4" fillId="0" borderId="44" xfId="6" applyBorder="1" applyAlignment="1"/>
    <xf numFmtId="0" fontId="4" fillId="0" borderId="43" xfId="6" applyBorder="1" applyAlignment="1" applyProtection="1">
      <alignment horizontal="center"/>
      <protection locked="0"/>
    </xf>
    <xf numFmtId="0" fontId="17" fillId="0" borderId="44" xfId="6" applyFont="1" applyBorder="1" applyAlignment="1" applyProtection="1">
      <alignment horizontal="center"/>
      <protection locked="0"/>
    </xf>
    <xf numFmtId="0" fontId="4" fillId="0" borderId="27" xfId="6" applyBorder="1" applyAlignment="1" applyProtection="1">
      <alignment horizontal="center"/>
      <protection locked="0"/>
    </xf>
    <xf numFmtId="0" fontId="4" fillId="0" borderId="28" xfId="6" applyBorder="1" applyAlignment="1" applyProtection="1">
      <alignment horizontal="center"/>
      <protection locked="0"/>
    </xf>
    <xf numFmtId="0" fontId="4" fillId="0" borderId="11" xfId="6" applyBorder="1" applyAlignment="1" applyProtection="1">
      <alignment horizontal="left"/>
      <protection locked="0"/>
    </xf>
    <xf numFmtId="0" fontId="4" fillId="0" borderId="1" xfId="6" applyBorder="1" applyAlignment="1" applyProtection="1">
      <alignment horizontal="left"/>
      <protection locked="0"/>
    </xf>
    <xf numFmtId="0" fontId="4" fillId="0" borderId="12" xfId="6" applyBorder="1" applyAlignment="1" applyProtection="1">
      <alignment horizontal="left"/>
      <protection locked="0"/>
    </xf>
    <xf numFmtId="0" fontId="7" fillId="0" borderId="0" xfId="6" applyFont="1" applyAlignment="1" applyProtection="1">
      <alignment horizontal="center"/>
      <protection locked="0"/>
    </xf>
    <xf numFmtId="0" fontId="7" fillId="0" borderId="0" xfId="6" applyFont="1" applyAlignment="1" applyProtection="1">
      <alignment horizontal="center"/>
      <protection locked="0"/>
    </xf>
    <xf numFmtId="0" fontId="7" fillId="0" borderId="0" xfId="6" applyFont="1" applyAlignment="1">
      <alignment horizontal="center"/>
    </xf>
    <xf numFmtId="0" fontId="4" fillId="0" borderId="10" xfId="6" applyBorder="1" applyAlignment="1">
      <alignment horizontal="center"/>
    </xf>
    <xf numFmtId="0" fontId="4" fillId="13" borderId="2" xfId="6" applyFill="1" applyBorder="1" applyAlignment="1">
      <alignment horizontal="center"/>
    </xf>
    <xf numFmtId="0" fontId="4" fillId="13" borderId="3" xfId="6" applyFill="1" applyBorder="1" applyAlignment="1">
      <alignment horizontal="center"/>
    </xf>
    <xf numFmtId="0" fontId="4" fillId="13" borderId="4" xfId="6" applyFill="1" applyBorder="1" applyAlignment="1">
      <alignment horizontal="center"/>
    </xf>
    <xf numFmtId="0" fontId="4" fillId="10" borderId="2" xfId="6" applyFill="1" applyBorder="1" applyAlignment="1">
      <alignment horizontal="center"/>
    </xf>
    <xf numFmtId="0" fontId="4" fillId="10" borderId="3" xfId="6" applyFill="1" applyBorder="1" applyAlignment="1">
      <alignment horizontal="center"/>
    </xf>
    <xf numFmtId="0" fontId="4" fillId="10" borderId="4" xfId="6" applyFill="1" applyBorder="1" applyAlignment="1">
      <alignment horizontal="center"/>
    </xf>
    <xf numFmtId="0" fontId="4" fillId="0" borderId="2" xfId="6" applyBorder="1" applyAlignment="1">
      <alignment horizontal="center"/>
    </xf>
    <xf numFmtId="0" fontId="4" fillId="0" borderId="3" xfId="6" applyBorder="1" applyAlignment="1">
      <alignment horizontal="center"/>
    </xf>
    <xf numFmtId="0" fontId="4" fillId="0" borderId="4" xfId="6" applyBorder="1" applyAlignment="1">
      <alignment horizontal="center"/>
    </xf>
    <xf numFmtId="0" fontId="4" fillId="0" borderId="2" xfId="6" applyBorder="1" applyAlignment="1" applyProtection="1">
      <alignment horizontal="center" shrinkToFit="1"/>
      <protection locked="0"/>
    </xf>
    <xf numFmtId="0" fontId="4" fillId="0" borderId="3" xfId="6" applyBorder="1" applyAlignment="1" applyProtection="1">
      <alignment horizontal="center" shrinkToFit="1"/>
      <protection locked="0"/>
    </xf>
    <xf numFmtId="0" fontId="4" fillId="0" borderId="4" xfId="6" applyBorder="1" applyAlignment="1" applyProtection="1">
      <alignment horizontal="center" shrinkToFit="1"/>
      <protection locked="0"/>
    </xf>
    <xf numFmtId="0" fontId="4" fillId="0" borderId="2" xfId="6" applyBorder="1" applyAlignment="1" applyProtection="1">
      <alignment horizontal="center"/>
      <protection locked="0"/>
    </xf>
    <xf numFmtId="0" fontId="4" fillId="0" borderId="3" xfId="6" applyBorder="1" applyAlignment="1" applyProtection="1">
      <alignment horizontal="center"/>
      <protection locked="0"/>
    </xf>
    <xf numFmtId="0" fontId="4" fillId="0" borderId="4" xfId="6" applyBorder="1" applyAlignment="1" applyProtection="1">
      <alignment horizontal="center"/>
      <protection locked="0"/>
    </xf>
    <xf numFmtId="20" fontId="4" fillId="0" borderId="22" xfId="6" applyNumberFormat="1" applyFill="1" applyBorder="1" applyAlignment="1" applyProtection="1">
      <alignment horizontal="center"/>
      <protection locked="0"/>
    </xf>
    <xf numFmtId="0" fontId="4" fillId="0" borderId="23" xfId="6" applyFill="1" applyBorder="1" applyAlignment="1" applyProtection="1">
      <alignment horizontal="center"/>
      <protection locked="0"/>
    </xf>
    <xf numFmtId="0" fontId="4" fillId="0" borderId="24" xfId="6" applyFill="1" applyBorder="1" applyAlignment="1" applyProtection="1">
      <alignment horizontal="center"/>
      <protection locked="0"/>
    </xf>
    <xf numFmtId="20" fontId="4" fillId="0" borderId="25" xfId="6" applyNumberFormat="1" applyFill="1" applyBorder="1" applyAlignment="1" applyProtection="1">
      <alignment horizontal="center"/>
      <protection locked="0"/>
    </xf>
    <xf numFmtId="0" fontId="4" fillId="0" borderId="26" xfId="6" applyFill="1" applyBorder="1" applyAlignment="1" applyProtection="1">
      <alignment horizontal="center"/>
      <protection locked="0"/>
    </xf>
    <xf numFmtId="0" fontId="4" fillId="0" borderId="0" xfId="6" applyFill="1" applyBorder="1" applyAlignment="1" applyProtection="1">
      <alignment horizontal="center"/>
      <protection locked="0"/>
    </xf>
    <xf numFmtId="0" fontId="4" fillId="0" borderId="0" xfId="6" applyFill="1" applyBorder="1" applyAlignment="1" applyProtection="1">
      <alignment horizontal="center"/>
      <protection locked="0"/>
    </xf>
    <xf numFmtId="0" fontId="4" fillId="0" borderId="0" xfId="6" applyFill="1" applyBorder="1"/>
    <xf numFmtId="1" fontId="4" fillId="0" borderId="55" xfId="6" applyNumberFormat="1" applyFill="1" applyBorder="1" applyAlignment="1" applyProtection="1">
      <alignment horizontal="center"/>
      <protection locked="0"/>
    </xf>
    <xf numFmtId="1" fontId="4" fillId="0" borderId="52" xfId="6" applyNumberFormat="1" applyFill="1" applyBorder="1" applyAlignment="1" applyProtection="1">
      <alignment horizontal="center"/>
      <protection locked="0"/>
    </xf>
    <xf numFmtId="1" fontId="4" fillId="0" borderId="53" xfId="6" applyNumberFormat="1" applyFill="1" applyBorder="1" applyAlignment="1" applyProtection="1">
      <alignment horizontal="center"/>
      <protection locked="0"/>
    </xf>
    <xf numFmtId="1" fontId="4" fillId="0" borderId="51" xfId="6" applyNumberFormat="1" applyFill="1" applyBorder="1" applyAlignment="1" applyProtection="1">
      <alignment horizontal="center"/>
      <protection locked="0"/>
    </xf>
    <xf numFmtId="1" fontId="4" fillId="0" borderId="56" xfId="6" applyNumberFormat="1" applyFill="1" applyBorder="1" applyAlignment="1" applyProtection="1">
      <alignment horizontal="center"/>
      <protection locked="0"/>
    </xf>
    <xf numFmtId="1" fontId="4" fillId="0" borderId="0" xfId="6" applyNumberFormat="1" applyFill="1" applyBorder="1" applyAlignment="1" applyProtection="1">
      <alignment horizontal="center"/>
      <protection locked="0"/>
    </xf>
    <xf numFmtId="0" fontId="12" fillId="0" borderId="0" xfId="6" applyFont="1" applyAlignment="1">
      <alignment horizontal="center"/>
    </xf>
    <xf numFmtId="0" fontId="12" fillId="0" borderId="44" xfId="6" applyFont="1" applyBorder="1" applyAlignment="1">
      <alignment horizontal="center"/>
    </xf>
    <xf numFmtId="0" fontId="5" fillId="6" borderId="55" xfId="6" applyFont="1" applyFill="1" applyBorder="1" applyAlignment="1">
      <alignment horizontal="center"/>
    </xf>
    <xf numFmtId="0" fontId="5" fillId="6" borderId="56" xfId="6" applyFont="1" applyFill="1" applyBorder="1" applyAlignment="1">
      <alignment horizontal="center"/>
    </xf>
    <xf numFmtId="0" fontId="5" fillId="0" borderId="0" xfId="6" applyFont="1" applyFill="1" applyBorder="1" applyAlignment="1">
      <alignment horizontal="center"/>
    </xf>
    <xf numFmtId="0" fontId="4" fillId="2" borderId="0" xfId="6" applyFill="1" applyBorder="1" applyAlignment="1">
      <alignment horizontal="center"/>
    </xf>
    <xf numFmtId="0" fontId="4" fillId="2" borderId="44" xfId="6" applyFill="1" applyBorder="1" applyAlignment="1">
      <alignment horizontal="center"/>
    </xf>
    <xf numFmtId="0" fontId="5" fillId="3" borderId="18" xfId="6" applyFont="1" applyFill="1" applyBorder="1" applyAlignment="1" applyProtection="1">
      <alignment horizontal="right"/>
      <protection locked="0"/>
    </xf>
    <xf numFmtId="0" fontId="5" fillId="2" borderId="54" xfId="6" applyFont="1" applyFill="1" applyBorder="1" applyAlignment="1">
      <alignment horizontal="center"/>
    </xf>
    <xf numFmtId="0" fontId="5" fillId="3" borderId="54" xfId="6" applyFont="1" applyFill="1" applyBorder="1" applyAlignment="1" applyProtection="1">
      <alignment horizontal="left"/>
      <protection locked="0"/>
    </xf>
    <xf numFmtId="0" fontId="5" fillId="3" borderId="54" xfId="6" applyFont="1" applyFill="1" applyBorder="1" applyProtection="1">
      <protection locked="0"/>
    </xf>
    <xf numFmtId="0" fontId="5" fillId="3" borderId="54" xfId="6" applyFont="1" applyFill="1" applyBorder="1" applyProtection="1"/>
    <xf numFmtId="0" fontId="5" fillId="2" borderId="54" xfId="6" applyFont="1" applyFill="1" applyBorder="1" applyAlignment="1" applyProtection="1">
      <alignment horizontal="center"/>
    </xf>
    <xf numFmtId="0" fontId="5" fillId="3" borderId="19" xfId="6" applyFont="1" applyFill="1" applyBorder="1" applyAlignment="1" applyProtection="1">
      <alignment horizontal="left"/>
    </xf>
    <xf numFmtId="0" fontId="5" fillId="0" borderId="2" xfId="6" applyFont="1" applyFill="1" applyBorder="1" applyAlignment="1">
      <alignment horizontal="center"/>
    </xf>
    <xf numFmtId="0" fontId="5" fillId="0" borderId="3" xfId="6" applyFont="1" applyFill="1" applyBorder="1" applyAlignment="1">
      <alignment horizontal="center"/>
    </xf>
    <xf numFmtId="0" fontId="5" fillId="0" borderId="4" xfId="6" applyFont="1" applyFill="1" applyBorder="1" applyAlignment="1">
      <alignment horizontal="center"/>
    </xf>
    <xf numFmtId="0" fontId="5" fillId="3" borderId="55" xfId="6" applyFont="1" applyFill="1" applyBorder="1" applyAlignment="1" applyProtection="1">
      <alignment horizontal="right"/>
      <protection locked="0"/>
    </xf>
    <xf numFmtId="0" fontId="5" fillId="2" borderId="52" xfId="6" applyFont="1" applyFill="1" applyBorder="1" applyAlignment="1">
      <alignment horizontal="center"/>
    </xf>
    <xf numFmtId="0" fontId="5" fillId="3" borderId="52" xfId="6" applyFont="1" applyFill="1" applyBorder="1" applyAlignment="1" applyProtection="1">
      <alignment horizontal="left"/>
      <protection locked="0"/>
    </xf>
    <xf numFmtId="0" fontId="5" fillId="0" borderId="27" xfId="6" applyFont="1" applyFill="1" applyBorder="1" applyAlignment="1">
      <alignment horizontal="center"/>
    </xf>
    <xf numFmtId="0" fontId="5" fillId="0" borderId="28" xfId="6" applyFont="1" applyFill="1" applyBorder="1" applyAlignment="1">
      <alignment horizontal="center"/>
    </xf>
    <xf numFmtId="0" fontId="5" fillId="0" borderId="29" xfId="6" applyFont="1" applyFill="1" applyBorder="1" applyAlignment="1">
      <alignment horizontal="center"/>
    </xf>
    <xf numFmtId="0" fontId="5" fillId="0" borderId="2" xfId="6" applyFont="1" applyFill="1" applyBorder="1" applyAlignment="1">
      <alignment horizontal="center"/>
    </xf>
    <xf numFmtId="0" fontId="5" fillId="0" borderId="4" xfId="6" applyFont="1" applyFill="1" applyBorder="1" applyAlignment="1">
      <alignment horizontal="center"/>
    </xf>
    <xf numFmtId="0" fontId="4" fillId="0" borderId="55" xfId="6" applyFill="1" applyBorder="1" applyProtection="1">
      <protection locked="0"/>
    </xf>
    <xf numFmtId="0" fontId="4" fillId="0" borderId="53" xfId="6" applyFill="1" applyBorder="1" applyAlignment="1" applyProtection="1">
      <alignment horizontal="left"/>
      <protection locked="0"/>
    </xf>
    <xf numFmtId="0" fontId="4" fillId="0" borderId="51" xfId="6" applyFill="1" applyBorder="1" applyProtection="1">
      <protection locked="0"/>
    </xf>
    <xf numFmtId="0" fontId="4" fillId="0" borderId="56" xfId="6" applyFill="1" applyBorder="1" applyAlignment="1" applyProtection="1">
      <alignment horizontal="left"/>
      <protection locked="0"/>
    </xf>
    <xf numFmtId="0" fontId="19" fillId="5" borderId="27" xfId="6" applyFont="1" applyFill="1" applyBorder="1" applyAlignment="1" applyProtection="1">
      <alignment horizontal="center" vertical="center"/>
    </xf>
    <xf numFmtId="0" fontId="19" fillId="5" borderId="28" xfId="6" applyFont="1" applyFill="1" applyBorder="1" applyAlignment="1" applyProtection="1">
      <alignment horizontal="center" vertical="center"/>
    </xf>
    <xf numFmtId="0" fontId="19" fillId="5" borderId="29" xfId="6" applyFont="1" applyFill="1" applyBorder="1" applyAlignment="1" applyProtection="1">
      <alignment horizontal="center" vertical="center"/>
    </xf>
    <xf numFmtId="0" fontId="4" fillId="0" borderId="0" xfId="6" applyFill="1" applyBorder="1" applyAlignment="1"/>
    <xf numFmtId="0" fontId="19" fillId="5" borderId="43" xfId="6" applyFont="1" applyFill="1" applyBorder="1" applyAlignment="1" applyProtection="1">
      <alignment horizontal="center" vertical="center"/>
    </xf>
    <xf numFmtId="0" fontId="19" fillId="5" borderId="0" xfId="6" applyFont="1" applyFill="1" applyBorder="1" applyAlignment="1" applyProtection="1">
      <alignment horizontal="center" vertical="center"/>
    </xf>
    <xf numFmtId="0" fontId="19" fillId="5" borderId="44" xfId="6" applyFont="1" applyFill="1" applyBorder="1" applyAlignment="1" applyProtection="1">
      <alignment horizontal="center" vertical="center"/>
    </xf>
    <xf numFmtId="0" fontId="4" fillId="0" borderId="31" xfId="6" applyFill="1" applyBorder="1" applyProtection="1">
      <protection locked="0"/>
    </xf>
    <xf numFmtId="0" fontId="4" fillId="2" borderId="32" xfId="6" applyFill="1" applyBorder="1" applyAlignment="1">
      <alignment horizontal="center"/>
    </xf>
    <xf numFmtId="0" fontId="4" fillId="0" borderId="33" xfId="6" applyFill="1" applyBorder="1" applyAlignment="1" applyProtection="1">
      <alignment horizontal="left"/>
      <protection locked="0"/>
    </xf>
    <xf numFmtId="0" fontId="4" fillId="0" borderId="57" xfId="6" applyFill="1" applyBorder="1" applyProtection="1">
      <protection locked="0"/>
    </xf>
    <xf numFmtId="0" fontId="4" fillId="0" borderId="58" xfId="6" applyFill="1" applyBorder="1" applyAlignment="1" applyProtection="1">
      <alignment horizontal="left"/>
      <protection locked="0"/>
    </xf>
    <xf numFmtId="0" fontId="19" fillId="5" borderId="11" xfId="6" applyFont="1" applyFill="1" applyBorder="1" applyAlignment="1" applyProtection="1">
      <alignment horizontal="center" vertical="center"/>
    </xf>
    <xf numFmtId="0" fontId="19" fillId="5" borderId="1" xfId="6" applyFont="1" applyFill="1" applyBorder="1" applyAlignment="1" applyProtection="1">
      <alignment horizontal="center" vertical="center"/>
    </xf>
    <xf numFmtId="0" fontId="19" fillId="5" borderId="12" xfId="6" applyFont="1" applyFill="1" applyBorder="1" applyAlignment="1" applyProtection="1">
      <alignment horizontal="center" vertical="center"/>
    </xf>
    <xf numFmtId="0" fontId="4" fillId="0" borderId="0" xfId="6" applyFill="1" applyBorder="1" applyAlignment="1">
      <alignment horizontal="center"/>
    </xf>
    <xf numFmtId="0" fontId="4" fillId="0" borderId="0" xfId="6" applyFill="1" applyAlignment="1" applyProtection="1">
      <alignment horizontal="center"/>
      <protection hidden="1"/>
    </xf>
    <xf numFmtId="0" fontId="4" fillId="0" borderId="0" xfId="6" applyAlignment="1"/>
    <xf numFmtId="0" fontId="4" fillId="0" borderId="0" xfId="6" applyAlignment="1">
      <alignment horizontal="center"/>
    </xf>
    <xf numFmtId="2" fontId="4" fillId="0" borderId="0" xfId="6" applyNumberFormat="1" applyAlignment="1">
      <alignment horizontal="center"/>
    </xf>
    <xf numFmtId="1" fontId="4" fillId="0" borderId="0" xfId="6" applyNumberFormat="1" applyAlignment="1">
      <alignment horizontal="center"/>
    </xf>
    <xf numFmtId="0" fontId="4" fillId="0" borderId="0" xfId="6" applyBorder="1" applyAlignment="1">
      <alignment horizontal="center"/>
    </xf>
    <xf numFmtId="0" fontId="4" fillId="0" borderId="14" xfId="6" applyFont="1" applyBorder="1" applyAlignment="1" applyProtection="1">
      <alignment vertical="top"/>
      <protection locked="0"/>
    </xf>
    <xf numFmtId="0" fontId="4" fillId="16" borderId="14" xfId="6" applyFont="1" applyFill="1" applyBorder="1" applyAlignment="1" applyProtection="1">
      <alignment vertical="top"/>
      <protection locked="0"/>
    </xf>
    <xf numFmtId="0" fontId="24" fillId="2" borderId="1" xfId="12" applyFill="1" applyBorder="1" applyAlignment="1" applyProtection="1">
      <alignment horizontal="center"/>
    </xf>
    <xf numFmtId="0" fontId="24" fillId="2" borderId="0" xfId="12" applyFill="1" applyProtection="1"/>
    <xf numFmtId="0" fontId="24" fillId="2" borderId="0" xfId="12" applyFont="1" applyFill="1" applyAlignment="1" applyProtection="1">
      <alignment horizontal="center"/>
    </xf>
    <xf numFmtId="0" fontId="24" fillId="0" borderId="0" xfId="12" applyFill="1"/>
    <xf numFmtId="0" fontId="24" fillId="0" borderId="0" xfId="12"/>
    <xf numFmtId="0" fontId="5" fillId="0" borderId="2" xfId="12" applyFont="1" applyBorder="1" applyAlignment="1" applyProtection="1">
      <alignment horizontal="center"/>
      <protection locked="0"/>
    </xf>
    <xf numFmtId="0" fontId="5" fillId="0" borderId="3" xfId="12" applyFont="1" applyBorder="1" applyAlignment="1" applyProtection="1">
      <alignment horizontal="center"/>
      <protection locked="0"/>
    </xf>
    <xf numFmtId="0" fontId="5" fillId="0" borderId="4" xfId="12" applyFont="1" applyBorder="1" applyAlignment="1" applyProtection="1">
      <alignment horizontal="center"/>
      <protection locked="0"/>
    </xf>
    <xf numFmtId="0" fontId="5" fillId="0" borderId="5" xfId="12" applyFont="1" applyBorder="1" applyAlignment="1">
      <alignment horizontal="center"/>
    </xf>
    <xf numFmtId="0" fontId="5" fillId="0" borderId="6" xfId="12" applyFont="1" applyBorder="1" applyAlignment="1">
      <alignment horizontal="center"/>
    </xf>
    <xf numFmtId="0" fontId="24" fillId="0" borderId="0" xfId="12" applyAlignment="1">
      <alignment horizontal="right"/>
    </xf>
    <xf numFmtId="0" fontId="24" fillId="0" borderId="0" xfId="12" applyProtection="1">
      <protection locked="0"/>
    </xf>
    <xf numFmtId="0" fontId="6" fillId="3" borderId="2" xfId="12" applyFont="1" applyFill="1" applyBorder="1" applyAlignment="1" applyProtection="1">
      <alignment horizontal="center"/>
      <protection locked="0"/>
    </xf>
    <xf numFmtId="0" fontId="6" fillId="3" borderId="3" xfId="12" applyFont="1" applyFill="1" applyBorder="1" applyAlignment="1" applyProtection="1">
      <alignment horizontal="center"/>
      <protection locked="0"/>
    </xf>
    <xf numFmtId="0" fontId="6" fillId="3" borderId="4" xfId="12" applyFont="1" applyFill="1" applyBorder="1" applyAlignment="1" applyProtection="1">
      <alignment horizontal="center"/>
      <protection locked="0"/>
    </xf>
    <xf numFmtId="0" fontId="7" fillId="0" borderId="2" xfId="12" applyFont="1" applyBorder="1" applyAlignment="1" applyProtection="1">
      <alignment horizontal="center" vertical="center"/>
      <protection locked="0"/>
    </xf>
    <xf numFmtId="0" fontId="7" fillId="0" borderId="3" xfId="12" applyFont="1" applyBorder="1" applyAlignment="1" applyProtection="1">
      <alignment horizontal="center" vertical="center"/>
      <protection locked="0"/>
    </xf>
    <xf numFmtId="0" fontId="7" fillId="0" borderId="4" xfId="12" applyFont="1" applyBorder="1" applyAlignment="1" applyProtection="1">
      <alignment horizontal="center" vertical="center"/>
      <protection locked="0"/>
    </xf>
    <xf numFmtId="0" fontId="8" fillId="3" borderId="2" xfId="12" applyFont="1" applyFill="1" applyBorder="1" applyAlignment="1" applyProtection="1">
      <alignment horizontal="center"/>
      <protection locked="0"/>
    </xf>
    <xf numFmtId="0" fontId="8" fillId="3" borderId="3" xfId="12" applyFont="1" applyFill="1" applyBorder="1" applyAlignment="1" applyProtection="1">
      <alignment horizontal="center"/>
      <protection locked="0"/>
    </xf>
    <xf numFmtId="0" fontId="8" fillId="3" borderId="4" xfId="12" applyFont="1" applyFill="1" applyBorder="1" applyAlignment="1" applyProtection="1">
      <alignment horizontal="center"/>
      <protection locked="0"/>
    </xf>
    <xf numFmtId="0" fontId="24" fillId="0" borderId="3" xfId="12" applyBorder="1" applyAlignment="1" applyProtection="1">
      <alignment horizontal="center"/>
      <protection locked="0"/>
    </xf>
    <xf numFmtId="0" fontId="24" fillId="0" borderId="4" xfId="12" applyBorder="1" applyAlignment="1" applyProtection="1">
      <alignment horizontal="center"/>
      <protection locked="0"/>
    </xf>
    <xf numFmtId="0" fontId="24" fillId="2" borderId="0" xfId="12" applyFill="1"/>
    <xf numFmtId="0" fontId="24" fillId="0" borderId="5" xfId="12" applyFont="1" applyBorder="1" applyAlignment="1" applyProtection="1">
      <alignment horizontal="center"/>
      <protection locked="0"/>
    </xf>
    <xf numFmtId="0" fontId="5" fillId="0" borderId="7" xfId="12" applyFont="1" applyBorder="1" applyAlignment="1" applyProtection="1">
      <alignment horizontal="center"/>
      <protection locked="0"/>
    </xf>
    <xf numFmtId="0" fontId="5" fillId="0" borderId="8" xfId="12" applyFont="1" applyBorder="1" applyAlignment="1" applyProtection="1">
      <alignment horizontal="center"/>
      <protection locked="0"/>
    </xf>
    <xf numFmtId="0" fontId="5" fillId="0" borderId="6" xfId="12" applyFont="1" applyBorder="1" applyAlignment="1">
      <alignment horizontal="center"/>
    </xf>
    <xf numFmtId="0" fontId="5" fillId="0" borderId="9" xfId="12" applyFont="1" applyBorder="1" applyAlignment="1">
      <alignment horizontal="center"/>
    </xf>
    <xf numFmtId="0" fontId="8" fillId="3" borderId="10" xfId="12" applyFont="1" applyFill="1" applyBorder="1" applyAlignment="1" applyProtection="1">
      <alignment horizontal="center" vertical="center" wrapText="1"/>
      <protection locked="0"/>
    </xf>
    <xf numFmtId="0" fontId="8" fillId="0" borderId="2" xfId="12" applyFont="1" applyFill="1" applyBorder="1" applyAlignment="1" applyProtection="1">
      <alignment horizontal="center" wrapText="1"/>
      <protection locked="0"/>
    </xf>
    <xf numFmtId="0" fontId="8" fillId="0" borderId="3" xfId="12" applyFont="1" applyFill="1" applyBorder="1" applyAlignment="1" applyProtection="1">
      <alignment horizontal="center" wrapText="1"/>
      <protection locked="0"/>
    </xf>
    <xf numFmtId="0" fontId="8" fillId="0" borderId="4" xfId="12" applyFont="1" applyFill="1" applyBorder="1" applyAlignment="1" applyProtection="1">
      <alignment horizontal="center" wrapText="1"/>
      <protection locked="0"/>
    </xf>
    <xf numFmtId="0" fontId="8" fillId="3" borderId="11" xfId="12" applyFont="1" applyFill="1" applyBorder="1" applyAlignment="1" applyProtection="1">
      <alignment horizontal="center" vertical="center" wrapText="1"/>
      <protection locked="0"/>
    </xf>
    <xf numFmtId="0" fontId="8" fillId="3" borderId="1" xfId="12" applyFont="1" applyFill="1" applyBorder="1" applyAlignment="1" applyProtection="1">
      <alignment horizontal="center" vertical="center" wrapText="1"/>
      <protection locked="0"/>
    </xf>
    <xf numFmtId="0" fontId="24" fillId="0" borderId="11" xfId="12" applyBorder="1" applyAlignment="1" applyProtection="1">
      <alignment horizontal="center"/>
      <protection locked="0"/>
    </xf>
    <xf numFmtId="0" fontId="24" fillId="0" borderId="1" xfId="12" applyBorder="1" applyAlignment="1" applyProtection="1">
      <alignment horizontal="center"/>
      <protection locked="0"/>
    </xf>
    <xf numFmtId="0" fontId="24" fillId="0" borderId="12" xfId="12" applyBorder="1" applyAlignment="1" applyProtection="1">
      <alignment horizontal="center"/>
      <protection locked="0"/>
    </xf>
    <xf numFmtId="0" fontId="8" fillId="3" borderId="2" xfId="12" applyFont="1" applyFill="1" applyBorder="1" applyAlignment="1" applyProtection="1">
      <alignment horizontal="center" wrapText="1"/>
      <protection locked="0"/>
    </xf>
    <xf numFmtId="0" fontId="8" fillId="3" borderId="3" xfId="12" applyFont="1" applyFill="1" applyBorder="1" applyAlignment="1" applyProtection="1">
      <alignment horizontal="center" wrapText="1"/>
      <protection locked="0"/>
    </xf>
    <xf numFmtId="0" fontId="8" fillId="3" borderId="4" xfId="12" applyFont="1" applyFill="1" applyBorder="1" applyAlignment="1" applyProtection="1">
      <alignment horizontal="center" wrapText="1"/>
      <protection locked="0"/>
    </xf>
    <xf numFmtId="0" fontId="24" fillId="4" borderId="2" xfId="12" applyFill="1" applyBorder="1" applyAlignment="1" applyProtection="1">
      <alignment horizontal="center" vertical="center" wrapText="1"/>
      <protection locked="0"/>
    </xf>
    <xf numFmtId="0" fontId="24" fillId="4" borderId="3" xfId="12" applyFill="1" applyBorder="1" applyAlignment="1" applyProtection="1">
      <alignment horizontal="center" vertical="center" wrapText="1"/>
      <protection locked="0"/>
    </xf>
    <xf numFmtId="0" fontId="24" fillId="0" borderId="3" xfId="12" applyBorder="1" applyAlignment="1" applyProtection="1">
      <alignment horizontal="center" vertical="center" wrapText="1"/>
      <protection locked="0"/>
    </xf>
    <xf numFmtId="0" fontId="24" fillId="0" borderId="4" xfId="12" applyBorder="1" applyAlignment="1" applyProtection="1">
      <alignment horizontal="center" vertical="center" wrapText="1"/>
      <protection locked="0"/>
    </xf>
    <xf numFmtId="0" fontId="24" fillId="0" borderId="13" xfId="12" applyFont="1" applyBorder="1" applyAlignment="1" applyProtection="1">
      <alignment horizontal="center"/>
      <protection locked="0"/>
    </xf>
    <xf numFmtId="0" fontId="24" fillId="0" borderId="14" xfId="12" applyFont="1" applyBorder="1" applyAlignment="1" applyProtection="1">
      <alignment vertical="top"/>
      <protection locked="0"/>
    </xf>
    <xf numFmtId="2" fontId="24" fillId="0" borderId="16" xfId="12" applyNumberFormat="1" applyBorder="1" applyAlignment="1">
      <alignment horizontal="center"/>
    </xf>
    <xf numFmtId="2" fontId="24" fillId="0" borderId="17" xfId="12" applyNumberFormat="1" applyBorder="1" applyAlignment="1">
      <alignment horizontal="center"/>
    </xf>
    <xf numFmtId="0" fontId="5" fillId="3" borderId="2" xfId="12" applyFont="1" applyFill="1" applyBorder="1" applyAlignment="1" applyProtection="1">
      <alignment horizontal="center" vertical="center"/>
      <protection locked="0"/>
    </xf>
    <xf numFmtId="0" fontId="5" fillId="3" borderId="3" xfId="12" applyFont="1" applyFill="1" applyBorder="1" applyAlignment="1" applyProtection="1">
      <alignment horizontal="center" vertical="center"/>
      <protection locked="0"/>
    </xf>
    <xf numFmtId="0" fontId="5" fillId="3" borderId="4" xfId="12" applyFont="1" applyFill="1" applyBorder="1" applyAlignment="1" applyProtection="1">
      <alignment horizontal="center" vertical="center"/>
      <protection locked="0"/>
    </xf>
    <xf numFmtId="0" fontId="5" fillId="0" borderId="2" xfId="12" applyFont="1" applyFill="1" applyBorder="1" applyAlignment="1" applyProtection="1">
      <alignment horizontal="center" vertical="center"/>
      <protection locked="0"/>
    </xf>
    <xf numFmtId="0" fontId="5" fillId="0" borderId="3" xfId="12" applyFont="1" applyFill="1" applyBorder="1" applyAlignment="1" applyProtection="1">
      <alignment horizontal="center" vertical="center"/>
      <protection locked="0"/>
    </xf>
    <xf numFmtId="0" fontId="5" fillId="0" borderId="4" xfId="12" applyFont="1" applyFill="1" applyBorder="1" applyAlignment="1" applyProtection="1">
      <alignment horizontal="center" vertical="center"/>
      <protection locked="0"/>
    </xf>
    <xf numFmtId="0" fontId="24" fillId="0" borderId="2" xfId="12" applyBorder="1" applyAlignment="1" applyProtection="1">
      <alignment horizontal="center"/>
      <protection locked="0"/>
    </xf>
    <xf numFmtId="0" fontId="24" fillId="0" borderId="18" xfId="12" applyFont="1" applyBorder="1" applyAlignment="1" applyProtection="1">
      <alignment horizontal="center"/>
      <protection locked="0"/>
    </xf>
    <xf numFmtId="2" fontId="24" fillId="0" borderId="18" xfId="12" applyNumberFormat="1" applyBorder="1" applyAlignment="1">
      <alignment horizontal="center"/>
    </xf>
    <xf numFmtId="2" fontId="24" fillId="0" borderId="19" xfId="12" applyNumberFormat="1" applyBorder="1" applyAlignment="1">
      <alignment horizontal="center"/>
    </xf>
    <xf numFmtId="0" fontId="9" fillId="2" borderId="1" xfId="12" applyFont="1" applyFill="1" applyBorder="1" applyAlignment="1" applyProtection="1">
      <alignment horizontal="left"/>
    </xf>
    <xf numFmtId="0" fontId="9" fillId="2" borderId="0" xfId="12" applyFont="1" applyFill="1" applyBorder="1" applyAlignment="1" applyProtection="1">
      <alignment horizontal="left"/>
    </xf>
    <xf numFmtId="0" fontId="24" fillId="2" borderId="0" xfId="12" applyFill="1" applyBorder="1" applyAlignment="1" applyProtection="1">
      <alignment horizontal="center"/>
    </xf>
    <xf numFmtId="0" fontId="5" fillId="0" borderId="10" xfId="12" applyFont="1" applyBorder="1" applyAlignment="1" applyProtection="1">
      <alignment horizontal="center" vertical="center"/>
    </xf>
    <xf numFmtId="0" fontId="9" fillId="0" borderId="10" xfId="12" applyFont="1" applyBorder="1" applyAlignment="1" applyProtection="1">
      <alignment horizontal="center" vertical="center"/>
      <protection locked="0"/>
    </xf>
    <xf numFmtId="0" fontId="5" fillId="0" borderId="2" xfId="12" applyFont="1" applyBorder="1" applyAlignment="1">
      <alignment horizontal="center" vertical="center"/>
    </xf>
    <xf numFmtId="0" fontId="5" fillId="0" borderId="3" xfId="12" applyFont="1" applyBorder="1" applyAlignment="1">
      <alignment horizontal="center" vertical="center"/>
    </xf>
    <xf numFmtId="0" fontId="5" fillId="0" borderId="4" xfId="12" applyFont="1" applyBorder="1" applyAlignment="1">
      <alignment horizontal="center" vertical="center"/>
    </xf>
    <xf numFmtId="0" fontId="9" fillId="0" borderId="2" xfId="12" applyFont="1" applyBorder="1" applyAlignment="1" applyProtection="1">
      <alignment horizontal="center" vertical="center"/>
      <protection locked="0"/>
    </xf>
    <xf numFmtId="0" fontId="9" fillId="0" borderId="4" xfId="12" applyFont="1" applyBorder="1" applyAlignment="1" applyProtection="1">
      <alignment horizontal="center" vertical="center"/>
      <protection locked="0"/>
    </xf>
    <xf numFmtId="0" fontId="7" fillId="5" borderId="2" xfId="12" applyFont="1" applyFill="1" applyBorder="1" applyAlignment="1">
      <alignment horizontal="center" vertical="center" shrinkToFit="1"/>
    </xf>
    <xf numFmtId="0" fontId="7" fillId="5" borderId="3" xfId="12" applyFont="1" applyFill="1" applyBorder="1" applyAlignment="1">
      <alignment horizontal="center" vertical="center" shrinkToFit="1"/>
    </xf>
    <xf numFmtId="0" fontId="7" fillId="5" borderId="4" xfId="12" applyFont="1" applyFill="1" applyBorder="1" applyAlignment="1">
      <alignment horizontal="center" vertical="center" shrinkToFit="1"/>
    </xf>
    <xf numFmtId="0" fontId="5" fillId="3" borderId="10" xfId="12" applyFont="1" applyFill="1" applyBorder="1" applyAlignment="1">
      <alignment horizontal="center" vertical="center"/>
    </xf>
    <xf numFmtId="0" fontId="5" fillId="3" borderId="2" xfId="12" applyFont="1" applyFill="1" applyBorder="1" applyAlignment="1">
      <alignment horizontal="center" vertical="center"/>
    </xf>
    <xf numFmtId="0" fontId="5" fillId="3" borderId="3" xfId="12" applyFont="1" applyFill="1" applyBorder="1" applyAlignment="1">
      <alignment horizontal="center" vertical="center"/>
    </xf>
    <xf numFmtId="0" fontId="5" fillId="2" borderId="20" xfId="12" applyFont="1" applyFill="1" applyBorder="1" applyAlignment="1">
      <alignment horizontal="center" vertical="center"/>
    </xf>
    <xf numFmtId="0" fontId="24" fillId="0" borderId="3" xfId="12" applyBorder="1"/>
    <xf numFmtId="0" fontId="24" fillId="0" borderId="4" xfId="12" applyBorder="1"/>
    <xf numFmtId="0" fontId="10" fillId="3" borderId="2" xfId="12" applyFont="1" applyFill="1" applyBorder="1" applyAlignment="1">
      <alignment horizontal="center" vertical="center" wrapText="1"/>
    </xf>
    <xf numFmtId="0" fontId="10" fillId="3" borderId="3" xfId="12" applyFont="1" applyFill="1" applyBorder="1" applyAlignment="1">
      <alignment horizontal="center" vertical="center" wrapText="1"/>
    </xf>
    <xf numFmtId="0" fontId="10" fillId="3" borderId="4" xfId="12" applyFont="1" applyFill="1" applyBorder="1" applyAlignment="1">
      <alignment horizontal="center" vertical="center" wrapText="1"/>
    </xf>
    <xf numFmtId="0" fontId="5" fillId="3" borderId="2" xfId="12" applyFont="1" applyFill="1" applyBorder="1" applyAlignment="1">
      <alignment horizontal="center" vertical="center" wrapText="1"/>
    </xf>
    <xf numFmtId="0" fontId="5" fillId="3" borderId="3" xfId="12" applyFont="1" applyFill="1" applyBorder="1" applyAlignment="1">
      <alignment horizontal="center" vertical="center" wrapText="1"/>
    </xf>
    <xf numFmtId="0" fontId="5" fillId="3" borderId="4" xfId="12" applyFont="1" applyFill="1" applyBorder="1" applyAlignment="1">
      <alignment horizontal="center" vertical="center" wrapText="1"/>
    </xf>
    <xf numFmtId="0" fontId="5" fillId="3" borderId="10" xfId="12" applyFont="1" applyFill="1" applyBorder="1" applyAlignment="1">
      <alignment horizontal="center" vertical="center" wrapText="1"/>
    </xf>
    <xf numFmtId="0" fontId="7" fillId="3" borderId="10" xfId="12" applyFont="1" applyFill="1" applyBorder="1" applyAlignment="1">
      <alignment horizontal="center" vertical="center"/>
    </xf>
    <xf numFmtId="0" fontId="5" fillId="6" borderId="2" xfId="12" applyFont="1" applyFill="1" applyBorder="1" applyAlignment="1">
      <alignment horizontal="center" vertical="center" wrapText="1"/>
    </xf>
    <xf numFmtId="0" fontId="5" fillId="6" borderId="4" xfId="12" applyFont="1" applyFill="1" applyBorder="1" applyAlignment="1">
      <alignment horizontal="center" vertical="center" wrapText="1"/>
    </xf>
    <xf numFmtId="0" fontId="24" fillId="2" borderId="0" xfId="12" applyFill="1" applyBorder="1" applyAlignment="1"/>
    <xf numFmtId="0" fontId="11" fillId="2" borderId="0" xfId="12" applyFont="1" applyFill="1" applyAlignment="1" applyProtection="1">
      <alignment horizontal="center"/>
      <protection locked="0"/>
    </xf>
    <xf numFmtId="0" fontId="11" fillId="2" borderId="0" xfId="12" applyFont="1" applyFill="1" applyBorder="1" applyAlignment="1"/>
    <xf numFmtId="0" fontId="11" fillId="0" borderId="0" xfId="12" applyFont="1" applyFill="1" applyBorder="1" applyAlignment="1"/>
    <xf numFmtId="0" fontId="8" fillId="0" borderId="21" xfId="12" applyFont="1" applyBorder="1" applyAlignment="1">
      <alignment horizontal="center" vertical="center"/>
    </xf>
    <xf numFmtId="0" fontId="12" fillId="0" borderId="22" xfId="12" applyFont="1" applyBorder="1" applyAlignment="1" applyProtection="1">
      <alignment horizontal="center" vertical="center"/>
    </xf>
    <xf numFmtId="0" fontId="12" fillId="0" borderId="23" xfId="12" applyFont="1" applyBorder="1" applyAlignment="1" applyProtection="1">
      <alignment horizontal="center" vertical="center"/>
    </xf>
    <xf numFmtId="0" fontId="12" fillId="0" borderId="24" xfId="12" applyFont="1" applyBorder="1" applyAlignment="1" applyProtection="1">
      <alignment horizontal="center" vertical="center"/>
    </xf>
    <xf numFmtId="0" fontId="5" fillId="0" borderId="25" xfId="12" applyFont="1" applyBorder="1" applyAlignment="1" applyProtection="1">
      <alignment horizontal="center" vertical="center" shrinkToFit="1"/>
    </xf>
    <xf numFmtId="0" fontId="5" fillId="0" borderId="23" xfId="12" applyFont="1" applyBorder="1" applyAlignment="1" applyProtection="1">
      <alignment horizontal="center" vertical="center" shrinkToFit="1"/>
    </xf>
    <xf numFmtId="0" fontId="5" fillId="0" borderId="26" xfId="12" applyFont="1" applyBorder="1" applyAlignment="1" applyProtection="1">
      <alignment horizontal="center" vertical="center" shrinkToFit="1"/>
    </xf>
    <xf numFmtId="0" fontId="13" fillId="0" borderId="27" xfId="12" applyFont="1" applyBorder="1" applyAlignment="1">
      <alignment horizontal="center" vertical="center"/>
    </xf>
    <xf numFmtId="0" fontId="13" fillId="0" borderId="28" xfId="12" applyFont="1" applyBorder="1" applyAlignment="1">
      <alignment horizontal="center" vertical="center"/>
    </xf>
    <xf numFmtId="10" fontId="24" fillId="0" borderId="27" xfId="12" applyNumberFormat="1" applyFont="1" applyBorder="1" applyAlignment="1">
      <alignment horizontal="center" vertical="center"/>
    </xf>
    <xf numFmtId="10" fontId="24" fillId="0" borderId="28" xfId="12" applyNumberFormat="1" applyFont="1" applyBorder="1" applyAlignment="1">
      <alignment horizontal="center" vertical="center"/>
    </xf>
    <xf numFmtId="164" fontId="24" fillId="0" borderId="27" xfId="12" applyNumberFormat="1" applyFont="1" applyBorder="1" applyAlignment="1" applyProtection="1">
      <alignment horizontal="center" vertical="center"/>
    </xf>
    <xf numFmtId="164" fontId="24" fillId="0" borderId="28" xfId="12" applyNumberFormat="1" applyFont="1" applyBorder="1" applyAlignment="1" applyProtection="1">
      <alignment horizontal="center" vertical="center"/>
    </xf>
    <xf numFmtId="164" fontId="24" fillId="0" borderId="29" xfId="12" applyNumberFormat="1" applyFont="1" applyBorder="1" applyAlignment="1" applyProtection="1">
      <alignment horizontal="center" vertical="center"/>
    </xf>
    <xf numFmtId="0" fontId="13" fillId="0" borderId="21" xfId="12" applyFont="1" applyBorder="1" applyAlignment="1" applyProtection="1">
      <alignment horizontal="center" vertical="center"/>
      <protection locked="0"/>
    </xf>
    <xf numFmtId="0" fontId="13" fillId="6" borderId="27" xfId="12" applyFont="1" applyFill="1" applyBorder="1" applyAlignment="1" applyProtection="1">
      <alignment horizontal="center" vertical="center"/>
      <protection locked="0"/>
    </xf>
    <xf numFmtId="0" fontId="13" fillId="6" borderId="29" xfId="12" applyFont="1" applyFill="1" applyBorder="1" applyAlignment="1" applyProtection="1">
      <alignment horizontal="center" vertical="center"/>
      <protection locked="0"/>
    </xf>
    <xf numFmtId="0" fontId="8" fillId="0" borderId="30" xfId="12" applyFont="1" applyBorder="1" applyAlignment="1">
      <alignment horizontal="center" vertical="center"/>
    </xf>
    <xf numFmtId="0" fontId="12" fillId="0" borderId="31" xfId="12" applyFont="1" applyBorder="1" applyAlignment="1" applyProtection="1">
      <alignment horizontal="center" vertical="center"/>
    </xf>
    <xf numFmtId="0" fontId="12" fillId="0" borderId="32" xfId="12" applyFont="1" applyBorder="1" applyAlignment="1" applyProtection="1">
      <alignment horizontal="center" vertical="center"/>
    </xf>
    <xf numFmtId="0" fontId="12" fillId="0" borderId="33" xfId="12" applyFont="1" applyBorder="1" applyAlignment="1" applyProtection="1">
      <alignment horizontal="center" vertical="center"/>
    </xf>
    <xf numFmtId="0" fontId="24" fillId="0" borderId="34" xfId="12" applyFont="1" applyBorder="1" applyAlignment="1" applyProtection="1">
      <alignment horizontal="center" vertical="center" shrinkToFit="1"/>
    </xf>
    <xf numFmtId="0" fontId="24" fillId="0" borderId="1" xfId="12" applyFont="1" applyBorder="1" applyAlignment="1" applyProtection="1">
      <alignment horizontal="center" vertical="center" shrinkToFit="1"/>
    </xf>
    <xf numFmtId="0" fontId="13" fillId="0" borderId="11" xfId="12" applyFont="1" applyBorder="1" applyAlignment="1">
      <alignment horizontal="center" vertical="center"/>
    </xf>
    <xf numFmtId="0" fontId="13" fillId="0" borderId="1" xfId="12" applyFont="1" applyBorder="1" applyAlignment="1">
      <alignment horizontal="center" vertical="center"/>
    </xf>
    <xf numFmtId="10" fontId="24" fillId="0" borderId="11" xfId="12" applyNumberFormat="1" applyFont="1" applyBorder="1" applyAlignment="1">
      <alignment horizontal="center" vertical="center"/>
    </xf>
    <xf numFmtId="10" fontId="24" fillId="0" borderId="1" xfId="12" applyNumberFormat="1" applyFont="1" applyBorder="1" applyAlignment="1">
      <alignment horizontal="center" vertical="center"/>
    </xf>
    <xf numFmtId="164" fontId="24" fillId="0" borderId="11" xfId="12" applyNumberFormat="1" applyFont="1" applyBorder="1" applyAlignment="1" applyProtection="1">
      <alignment horizontal="center" vertical="center"/>
    </xf>
    <xf numFmtId="164" fontId="24" fillId="0" borderId="1" xfId="12" applyNumberFormat="1" applyFont="1" applyBorder="1" applyAlignment="1" applyProtection="1">
      <alignment horizontal="center" vertical="center"/>
    </xf>
    <xf numFmtId="164" fontId="24" fillId="0" borderId="12" xfId="12" applyNumberFormat="1" applyFont="1" applyBorder="1" applyAlignment="1" applyProtection="1">
      <alignment horizontal="center" vertical="center"/>
    </xf>
    <xf numFmtId="0" fontId="13" fillId="0" borderId="30" xfId="12" applyFont="1" applyBorder="1" applyAlignment="1" applyProtection="1">
      <alignment horizontal="center" vertical="center"/>
      <protection locked="0"/>
    </xf>
    <xf numFmtId="0" fontId="13" fillId="6" borderId="11" xfId="12" applyFont="1" applyFill="1" applyBorder="1" applyAlignment="1" applyProtection="1">
      <alignment horizontal="center" vertical="center"/>
      <protection locked="0"/>
    </xf>
    <xf numFmtId="0" fontId="13" fillId="6" borderId="12" xfId="12" applyFont="1" applyFill="1" applyBorder="1" applyAlignment="1" applyProtection="1">
      <alignment horizontal="center" vertical="center"/>
      <protection locked="0"/>
    </xf>
    <xf numFmtId="0" fontId="12" fillId="0" borderId="35" xfId="12" applyFont="1" applyBorder="1" applyAlignment="1" applyProtection="1">
      <alignment horizontal="center" vertical="center"/>
    </xf>
    <xf numFmtId="0" fontId="12" fillId="0" borderId="36" xfId="12" applyFont="1" applyBorder="1" applyAlignment="1" applyProtection="1">
      <alignment horizontal="center" vertical="center"/>
    </xf>
    <xf numFmtId="0" fontId="12" fillId="0" borderId="16" xfId="12" applyFont="1" applyBorder="1" applyAlignment="1" applyProtection="1">
      <alignment horizontal="center" vertical="center"/>
    </xf>
    <xf numFmtId="0" fontId="12" fillId="0" borderId="37" xfId="12" applyFont="1" applyBorder="1" applyAlignment="1" applyProtection="1">
      <alignment horizontal="center" vertical="center"/>
    </xf>
    <xf numFmtId="0" fontId="24" fillId="2" borderId="0" xfId="12" applyFill="1" applyAlignment="1"/>
    <xf numFmtId="0" fontId="11" fillId="2" borderId="0" xfId="12" applyFont="1" applyFill="1"/>
    <xf numFmtId="0" fontId="24" fillId="0" borderId="38" xfId="12" applyFont="1" applyBorder="1" applyAlignment="1" applyProtection="1">
      <alignment horizontal="center"/>
      <protection locked="0"/>
    </xf>
    <xf numFmtId="2" fontId="24" fillId="0" borderId="38" xfId="12" applyNumberFormat="1" applyBorder="1" applyAlignment="1">
      <alignment horizontal="center"/>
    </xf>
    <xf numFmtId="2" fontId="24" fillId="0" borderId="40" xfId="12" applyNumberFormat="1" applyBorder="1" applyAlignment="1">
      <alignment horizontal="center"/>
    </xf>
    <xf numFmtId="0" fontId="7" fillId="2" borderId="0" xfId="12" applyFont="1" applyFill="1" applyBorder="1" applyAlignment="1" applyProtection="1">
      <alignment vertical="center" wrapText="1"/>
      <protection locked="0"/>
    </xf>
    <xf numFmtId="0" fontId="5" fillId="2" borderId="0" xfId="12" applyFont="1" applyFill="1" applyBorder="1" applyAlignment="1" applyProtection="1">
      <alignment vertical="center" wrapText="1"/>
      <protection locked="0"/>
    </xf>
    <xf numFmtId="0" fontId="11" fillId="7" borderId="27" xfId="12" applyFont="1" applyFill="1" applyBorder="1" applyAlignment="1" applyProtection="1">
      <alignment horizontal="center" vertical="center" wrapText="1"/>
    </xf>
    <xf numFmtId="0" fontId="11" fillId="7" borderId="28" xfId="12" applyFont="1" applyFill="1" applyBorder="1" applyAlignment="1" applyProtection="1">
      <alignment horizontal="center" vertical="center" wrapText="1"/>
    </xf>
    <xf numFmtId="0" fontId="11" fillId="7" borderId="29" xfId="12" applyFont="1" applyFill="1" applyBorder="1" applyAlignment="1" applyProtection="1">
      <alignment horizontal="center" vertical="center" wrapText="1"/>
    </xf>
    <xf numFmtId="0" fontId="11" fillId="7" borderId="11" xfId="12" applyFont="1" applyFill="1" applyBorder="1" applyAlignment="1" applyProtection="1">
      <alignment horizontal="center" vertical="center" wrapText="1"/>
    </xf>
    <xf numFmtId="0" fontId="11" fillId="7" borderId="1" xfId="12" applyFont="1" applyFill="1" applyBorder="1" applyAlignment="1" applyProtection="1">
      <alignment horizontal="center" vertical="center" wrapText="1"/>
    </xf>
    <xf numFmtId="0" fontId="11" fillId="7" borderId="12" xfId="12" applyFont="1" applyFill="1" applyBorder="1" applyAlignment="1" applyProtection="1">
      <alignment horizontal="center" vertical="center" wrapText="1"/>
    </xf>
    <xf numFmtId="0" fontId="24" fillId="0" borderId="0" xfId="12" applyBorder="1" applyAlignment="1" applyProtection="1">
      <alignment horizontal="center"/>
      <protection locked="0"/>
    </xf>
    <xf numFmtId="0" fontId="24" fillId="0" borderId="0" xfId="12" applyFont="1" applyBorder="1" applyAlignment="1" applyProtection="1">
      <alignment horizontal="center"/>
      <protection locked="0"/>
    </xf>
    <xf numFmtId="0" fontId="12" fillId="0" borderId="38" xfId="12" applyFont="1" applyBorder="1" applyAlignment="1" applyProtection="1">
      <alignment horizontal="center" vertical="center"/>
    </xf>
    <xf numFmtId="0" fontId="12" fillId="0" borderId="41" xfId="12" applyFont="1" applyBorder="1" applyAlignment="1" applyProtection="1">
      <alignment horizontal="center" vertical="center"/>
    </xf>
    <xf numFmtId="0" fontId="24" fillId="0" borderId="42" xfId="12" applyFont="1" applyBorder="1" applyAlignment="1" applyProtection="1">
      <alignment horizontal="center" vertical="center" shrinkToFit="1"/>
    </xf>
    <xf numFmtId="0" fontId="24" fillId="0" borderId="0" xfId="12" applyFont="1" applyBorder="1" applyAlignment="1" applyProtection="1">
      <alignment horizontal="center" vertical="center" shrinkToFit="1"/>
    </xf>
    <xf numFmtId="0" fontId="13" fillId="0" borderId="43" xfId="12" applyFont="1" applyBorder="1" applyAlignment="1">
      <alignment horizontal="center" vertical="center"/>
    </xf>
    <xf numFmtId="0" fontId="13" fillId="0" borderId="0" xfId="12" applyFont="1" applyBorder="1" applyAlignment="1">
      <alignment horizontal="center" vertical="center"/>
    </xf>
    <xf numFmtId="10" fontId="24" fillId="0" borderId="43" xfId="12" applyNumberFormat="1" applyFont="1" applyBorder="1" applyAlignment="1">
      <alignment horizontal="center" vertical="center"/>
    </xf>
    <xf numFmtId="10" fontId="24" fillId="0" borderId="0" xfId="12" applyNumberFormat="1" applyFont="1" applyBorder="1" applyAlignment="1">
      <alignment horizontal="center" vertical="center"/>
    </xf>
    <xf numFmtId="164" fontId="24" fillId="0" borderId="43" xfId="12" applyNumberFormat="1" applyFont="1" applyBorder="1" applyAlignment="1" applyProtection="1">
      <alignment horizontal="center" vertical="center"/>
    </xf>
    <xf numFmtId="164" fontId="24" fillId="0" borderId="0" xfId="12" applyNumberFormat="1" applyFont="1" applyBorder="1" applyAlignment="1" applyProtection="1">
      <alignment horizontal="center" vertical="center"/>
    </xf>
    <xf numFmtId="164" fontId="24" fillId="0" borderId="44" xfId="12" applyNumberFormat="1" applyFont="1" applyBorder="1" applyAlignment="1" applyProtection="1">
      <alignment horizontal="center" vertical="center"/>
    </xf>
    <xf numFmtId="0" fontId="13" fillId="0" borderId="20" xfId="12" applyFont="1" applyBorder="1" applyAlignment="1" applyProtection="1">
      <alignment horizontal="center" vertical="center"/>
      <protection locked="0"/>
    </xf>
    <xf numFmtId="0" fontId="13" fillId="6" borderId="43" xfId="12" applyFont="1" applyFill="1" applyBorder="1" applyAlignment="1" applyProtection="1">
      <alignment horizontal="center" vertical="center"/>
      <protection locked="0"/>
    </xf>
    <xf numFmtId="0" fontId="13" fillId="6" borderId="44" xfId="12" applyFont="1" applyFill="1" applyBorder="1" applyAlignment="1" applyProtection="1">
      <alignment horizontal="center" vertical="center"/>
      <protection locked="0"/>
    </xf>
    <xf numFmtId="0" fontId="24" fillId="2" borderId="0" xfId="12" applyFill="1" applyBorder="1" applyAlignment="1">
      <alignment horizontal="center" vertical="center"/>
    </xf>
    <xf numFmtId="0" fontId="8" fillId="8" borderId="45" xfId="12" applyFont="1" applyFill="1" applyBorder="1" applyAlignment="1" applyProtection="1">
      <alignment horizontal="left" vertical="center" wrapText="1"/>
      <protection locked="0"/>
    </xf>
    <xf numFmtId="0" fontId="8" fillId="8" borderId="46" xfId="12" applyFont="1" applyFill="1" applyBorder="1" applyAlignment="1" applyProtection="1">
      <alignment vertical="center" wrapText="1"/>
      <protection locked="0"/>
    </xf>
    <xf numFmtId="0" fontId="8" fillId="8" borderId="47" xfId="12" applyFont="1" applyFill="1" applyBorder="1" applyAlignment="1" applyProtection="1">
      <alignment vertical="center" wrapText="1"/>
      <protection locked="0"/>
    </xf>
    <xf numFmtId="20" fontId="24" fillId="0" borderId="48" xfId="12" applyNumberFormat="1" applyFill="1" applyBorder="1" applyAlignment="1" applyProtection="1">
      <alignment horizontal="center"/>
      <protection locked="0"/>
    </xf>
    <xf numFmtId="0" fontId="24" fillId="0" borderId="49" xfId="12" applyFill="1" applyBorder="1" applyAlignment="1" applyProtection="1">
      <alignment horizontal="center"/>
      <protection locked="0"/>
    </xf>
    <xf numFmtId="0" fontId="24" fillId="0" borderId="50" xfId="12" applyFill="1" applyBorder="1" applyAlignment="1" applyProtection="1">
      <alignment horizontal="center"/>
      <protection locked="0"/>
    </xf>
    <xf numFmtId="0" fontId="5" fillId="9" borderId="43" xfId="12" applyFont="1" applyFill="1" applyBorder="1" applyAlignment="1">
      <alignment horizontal="center" vertical="center" wrapText="1"/>
    </xf>
    <xf numFmtId="0" fontId="5" fillId="9" borderId="0" xfId="12" applyFont="1" applyFill="1" applyBorder="1" applyAlignment="1">
      <alignment horizontal="center" vertical="center" wrapText="1"/>
    </xf>
    <xf numFmtId="0" fontId="5" fillId="9" borderId="28" xfId="12" applyFont="1" applyFill="1" applyBorder="1" applyAlignment="1">
      <alignment horizontal="center" vertical="center" wrapText="1"/>
    </xf>
    <xf numFmtId="0" fontId="5" fillId="9" borderId="29" xfId="12" applyFont="1" applyFill="1" applyBorder="1" applyAlignment="1">
      <alignment horizontal="center" vertical="center" wrapText="1"/>
    </xf>
    <xf numFmtId="0" fontId="12" fillId="0" borderId="0" xfId="12" applyFont="1" applyAlignment="1">
      <alignment horizontal="right"/>
    </xf>
    <xf numFmtId="20" fontId="24" fillId="0" borderId="51" xfId="12" applyNumberFormat="1" applyFill="1" applyBorder="1" applyAlignment="1" applyProtection="1">
      <alignment horizontal="center"/>
      <protection locked="0"/>
    </xf>
    <xf numFmtId="20" fontId="24" fillId="0" borderId="52" xfId="12" applyNumberFormat="1" applyFill="1" applyBorder="1" applyAlignment="1" applyProtection="1">
      <alignment horizontal="center"/>
      <protection locked="0"/>
    </xf>
    <xf numFmtId="20" fontId="24" fillId="0" borderId="53" xfId="12" applyNumberFormat="1" applyFill="1" applyBorder="1" applyAlignment="1" applyProtection="1">
      <alignment horizontal="center"/>
      <protection locked="0"/>
    </xf>
    <xf numFmtId="0" fontId="5" fillId="9" borderId="44" xfId="12" applyFont="1" applyFill="1" applyBorder="1" applyAlignment="1">
      <alignment horizontal="center" vertical="center" wrapText="1"/>
    </xf>
    <xf numFmtId="0" fontId="5" fillId="6" borderId="51" xfId="12" applyFont="1" applyFill="1" applyBorder="1" applyAlignment="1">
      <alignment horizontal="center"/>
    </xf>
    <xf numFmtId="0" fontId="5" fillId="6" borderId="52" xfId="12" applyFont="1" applyFill="1" applyBorder="1" applyAlignment="1">
      <alignment horizontal="center"/>
    </xf>
    <xf numFmtId="0" fontId="5" fillId="6" borderId="53" xfId="12" applyFont="1" applyFill="1" applyBorder="1" applyAlignment="1">
      <alignment horizontal="center"/>
    </xf>
    <xf numFmtId="0" fontId="5" fillId="9" borderId="11" xfId="12" applyFont="1" applyFill="1" applyBorder="1" applyAlignment="1">
      <alignment horizontal="center" vertical="center" wrapText="1"/>
    </xf>
    <xf numFmtId="0" fontId="5" fillId="9" borderId="1" xfId="12" applyFont="1" applyFill="1" applyBorder="1" applyAlignment="1">
      <alignment horizontal="center" vertical="center" wrapText="1"/>
    </xf>
    <xf numFmtId="0" fontId="5" fillId="9" borderId="12" xfId="12" applyFont="1" applyFill="1" applyBorder="1" applyAlignment="1">
      <alignment horizontal="center" vertical="center" wrapText="1"/>
    </xf>
    <xf numFmtId="0" fontId="7" fillId="6" borderId="51" xfId="12" applyFont="1" applyFill="1" applyBorder="1" applyAlignment="1" applyProtection="1">
      <alignment horizontal="center"/>
      <protection locked="0"/>
    </xf>
    <xf numFmtId="0" fontId="7" fillId="6" borderId="52" xfId="12" applyFont="1" applyFill="1" applyBorder="1" applyAlignment="1" applyProtection="1">
      <alignment horizontal="center"/>
      <protection locked="0"/>
    </xf>
    <xf numFmtId="0" fontId="7" fillId="6" borderId="53" xfId="12" applyFont="1" applyFill="1" applyBorder="1" applyAlignment="1" applyProtection="1">
      <alignment horizontal="center"/>
      <protection locked="0"/>
    </xf>
    <xf numFmtId="0" fontId="24" fillId="3" borderId="53" xfId="12" applyFill="1" applyBorder="1" applyAlignment="1">
      <alignment horizontal="center" vertical="center"/>
    </xf>
    <xf numFmtId="0" fontId="24" fillId="6" borderId="54" xfId="12" applyFill="1" applyBorder="1" applyAlignment="1">
      <alignment horizontal="center"/>
    </xf>
    <xf numFmtId="0" fontId="24" fillId="3" borderId="54" xfId="12" applyFill="1" applyBorder="1" applyAlignment="1">
      <alignment horizontal="center" vertical="center"/>
    </xf>
    <xf numFmtId="0" fontId="7" fillId="3" borderId="54" xfId="12" applyFont="1" applyFill="1" applyBorder="1" applyProtection="1">
      <protection locked="0"/>
    </xf>
    <xf numFmtId="0" fontId="7" fillId="2" borderId="54" xfId="12" applyFont="1" applyFill="1" applyBorder="1" applyAlignment="1">
      <alignment horizontal="center"/>
    </xf>
    <xf numFmtId="0" fontId="7" fillId="3" borderId="54" xfId="12" applyFont="1" applyFill="1" applyBorder="1" applyAlignment="1" applyProtection="1">
      <alignment horizontal="left"/>
      <protection locked="0"/>
    </xf>
    <xf numFmtId="0" fontId="24" fillId="0" borderId="54" xfId="12" applyBorder="1" applyAlignment="1">
      <alignment horizontal="center" vertical="center"/>
    </xf>
    <xf numFmtId="0" fontId="9" fillId="0" borderId="51" xfId="12" applyFont="1" applyFill="1" applyBorder="1" applyProtection="1">
      <protection locked="0"/>
    </xf>
    <xf numFmtId="0" fontId="24" fillId="2" borderId="52" xfId="12" applyFill="1" applyBorder="1" applyAlignment="1">
      <alignment horizontal="center"/>
    </xf>
    <xf numFmtId="0" fontId="9" fillId="0" borderId="53" xfId="12" applyFont="1" applyFill="1" applyBorder="1" applyAlignment="1" applyProtection="1">
      <alignment horizontal="left"/>
      <protection locked="0"/>
    </xf>
    <xf numFmtId="0" fontId="24" fillId="0" borderId="53" xfId="12" applyBorder="1" applyAlignment="1">
      <alignment horizontal="center" vertical="center"/>
    </xf>
    <xf numFmtId="0" fontId="14" fillId="2" borderId="0" xfId="12" applyFont="1" applyFill="1"/>
    <xf numFmtId="0" fontId="24" fillId="0" borderId="0" xfId="12" applyAlignment="1">
      <alignment horizontal="center"/>
    </xf>
    <xf numFmtId="0" fontId="24" fillId="0" borderId="0" xfId="12" applyFill="1" applyProtection="1">
      <protection hidden="1"/>
    </xf>
    <xf numFmtId="0" fontId="24" fillId="6" borderId="0" xfId="12" applyFill="1" applyProtection="1">
      <protection hidden="1"/>
    </xf>
    <xf numFmtId="0" fontId="24" fillId="6" borderId="0" xfId="12" applyFill="1" applyAlignment="1" applyProtection="1">
      <alignment horizontal="left"/>
      <protection hidden="1"/>
    </xf>
    <xf numFmtId="0" fontId="24" fillId="0" borderId="0" xfId="12" applyFill="1" applyAlignment="1" applyProtection="1">
      <alignment horizontal="center"/>
      <protection hidden="1"/>
    </xf>
    <xf numFmtId="0" fontId="24" fillId="0" borderId="0" xfId="12" applyFill="1" applyAlignment="1" applyProtection="1">
      <alignment wrapText="1"/>
      <protection hidden="1"/>
    </xf>
    <xf numFmtId="0" fontId="24" fillId="0" borderId="0" xfId="12" applyFill="1" applyAlignment="1" applyProtection="1">
      <alignment horizontal="left"/>
      <protection hidden="1"/>
    </xf>
    <xf numFmtId="0" fontId="24" fillId="0" borderId="0" xfId="12" applyFill="1" applyAlignment="1" applyProtection="1">
      <alignment horizontal="center" wrapText="1"/>
      <protection hidden="1"/>
    </xf>
    <xf numFmtId="0" fontId="24" fillId="0" borderId="0" xfId="12" applyAlignment="1" applyProtection="1">
      <alignment horizontal="left"/>
    </xf>
    <xf numFmtId="0" fontId="24" fillId="0" borderId="0" xfId="12" applyAlignment="1" applyProtection="1">
      <alignment horizontal="center"/>
      <protection locked="0"/>
    </xf>
    <xf numFmtId="0" fontId="24" fillId="0" borderId="0" xfId="12" applyProtection="1">
      <protection hidden="1"/>
    </xf>
    <xf numFmtId="0" fontId="5" fillId="0" borderId="0" xfId="12" applyFont="1"/>
    <xf numFmtId="0" fontId="5" fillId="0" borderId="0" xfId="12" applyFont="1" applyProtection="1">
      <protection hidden="1"/>
    </xf>
    <xf numFmtId="0" fontId="24" fillId="0" borderId="0" xfId="12" applyAlignment="1" applyProtection="1">
      <alignment horizontal="center"/>
      <protection hidden="1"/>
    </xf>
    <xf numFmtId="0" fontId="15" fillId="0" borderId="0" xfId="12" applyFont="1"/>
    <xf numFmtId="2" fontId="15" fillId="0" borderId="0" xfId="12" applyNumberFormat="1" applyFont="1"/>
    <xf numFmtId="2" fontId="24" fillId="0" borderId="0" xfId="12" applyNumberFormat="1"/>
    <xf numFmtId="2" fontId="24" fillId="0" borderId="0" xfId="12" applyNumberFormat="1" applyAlignment="1" applyProtection="1">
      <alignment horizontal="left"/>
    </xf>
    <xf numFmtId="2" fontId="24" fillId="0" borderId="0" xfId="12" applyNumberFormat="1" applyAlignment="1" applyProtection="1">
      <alignment horizontal="center"/>
      <protection locked="0"/>
    </xf>
    <xf numFmtId="2" fontId="24" fillId="0" borderId="0" xfId="12" applyNumberFormat="1" applyProtection="1">
      <protection hidden="1"/>
    </xf>
    <xf numFmtId="2" fontId="24" fillId="0" borderId="0" xfId="12" applyNumberFormat="1" applyAlignment="1" applyProtection="1">
      <alignment horizontal="center"/>
      <protection hidden="1"/>
    </xf>
    <xf numFmtId="1" fontId="15" fillId="0" borderId="0" xfId="12" applyNumberFormat="1" applyFont="1"/>
    <xf numFmtId="1" fontId="24" fillId="0" borderId="0" xfId="12" applyNumberFormat="1"/>
    <xf numFmtId="1" fontId="24" fillId="0" borderId="0" xfId="12" applyNumberFormat="1" applyAlignment="1" applyProtection="1">
      <alignment horizontal="left"/>
    </xf>
    <xf numFmtId="1" fontId="24" fillId="0" borderId="0" xfId="12" applyNumberFormat="1" applyAlignment="1" applyProtection="1">
      <alignment horizontal="center"/>
      <protection locked="0"/>
    </xf>
    <xf numFmtId="1" fontId="24" fillId="0" borderId="0" xfId="12" applyNumberFormat="1" applyProtection="1">
      <protection hidden="1"/>
    </xf>
    <xf numFmtId="1" fontId="24" fillId="0" borderId="0" xfId="12" applyNumberFormat="1" applyAlignment="1" applyProtection="1">
      <alignment horizontal="center"/>
      <protection hidden="1"/>
    </xf>
    <xf numFmtId="0" fontId="24" fillId="0" borderId="0" xfId="12" applyAlignment="1" applyProtection="1">
      <alignment horizontal="left"/>
    </xf>
    <xf numFmtId="0" fontId="24" fillId="0" borderId="0" xfId="12" applyAlignment="1" applyProtection="1">
      <alignment horizontal="center"/>
      <protection locked="0"/>
    </xf>
    <xf numFmtId="0" fontId="24" fillId="0" borderId="0" xfId="12" applyAlignment="1" applyProtection="1">
      <alignment horizontal="left"/>
      <protection locked="0"/>
    </xf>
    <xf numFmtId="20" fontId="0" fillId="0" borderId="51" xfId="12" applyNumberFormat="1" applyFont="1" applyFill="1" applyBorder="1" applyAlignment="1" applyProtection="1">
      <alignment horizontal="center"/>
      <protection locked="0"/>
    </xf>
    <xf numFmtId="0" fontId="16" fillId="0" borderId="0" xfId="12" applyFont="1" applyAlignment="1">
      <alignment horizontal="center"/>
    </xf>
    <xf numFmtId="0" fontId="12" fillId="10" borderId="21" xfId="12" applyFont="1" applyFill="1" applyBorder="1" applyAlignment="1">
      <alignment horizontal="center" wrapText="1"/>
    </xf>
    <xf numFmtId="0" fontId="24" fillId="11" borderId="2" xfId="12" applyFill="1" applyBorder="1" applyAlignment="1">
      <alignment horizontal="center"/>
    </xf>
    <xf numFmtId="0" fontId="24" fillId="11" borderId="3" xfId="12" applyFill="1" applyBorder="1" applyAlignment="1">
      <alignment horizontal="center"/>
    </xf>
    <xf numFmtId="0" fontId="24" fillId="11" borderId="4" xfId="12" applyFill="1" applyBorder="1" applyAlignment="1">
      <alignment horizontal="center"/>
    </xf>
    <xf numFmtId="0" fontId="12" fillId="10" borderId="30" xfId="12" applyFont="1" applyFill="1" applyBorder="1" applyAlignment="1">
      <alignment horizontal="center" wrapText="1"/>
    </xf>
    <xf numFmtId="0" fontId="24" fillId="3" borderId="2" xfId="12" applyFill="1" applyBorder="1" applyAlignment="1">
      <alignment horizontal="center"/>
    </xf>
    <xf numFmtId="0" fontId="24" fillId="3" borderId="3" xfId="12" applyFill="1" applyBorder="1" applyAlignment="1">
      <alignment horizontal="center"/>
    </xf>
    <xf numFmtId="0" fontId="24" fillId="3" borderId="4" xfId="12" applyFill="1" applyBorder="1" applyAlignment="1">
      <alignment horizontal="center"/>
    </xf>
    <xf numFmtId="0" fontId="24" fillId="0" borderId="43" xfId="12" applyBorder="1" applyProtection="1">
      <protection locked="0"/>
    </xf>
    <xf numFmtId="0" fontId="17" fillId="0" borderId="16" xfId="12" applyFont="1" applyFill="1" applyBorder="1" applyAlignment="1">
      <alignment horizontal="center" shrinkToFit="1"/>
    </xf>
    <xf numFmtId="0" fontId="17" fillId="0" borderId="37" xfId="12" applyFont="1" applyFill="1" applyBorder="1" applyAlignment="1">
      <alignment horizontal="center" shrinkToFit="1"/>
    </xf>
    <xf numFmtId="0" fontId="17" fillId="0" borderId="37" xfId="12" applyFont="1" applyFill="1" applyBorder="1" applyAlignment="1">
      <alignment horizontal="center"/>
    </xf>
    <xf numFmtId="0" fontId="17" fillId="0" borderId="17" xfId="12" applyFont="1" applyFill="1" applyBorder="1" applyAlignment="1">
      <alignment horizontal="center"/>
    </xf>
    <xf numFmtId="0" fontId="24" fillId="0" borderId="11" xfId="12" applyBorder="1" applyProtection="1">
      <protection locked="0"/>
    </xf>
    <xf numFmtId="0" fontId="17" fillId="0" borderId="35" xfId="12" applyFont="1" applyFill="1" applyBorder="1" applyAlignment="1">
      <alignment horizontal="center" shrinkToFit="1"/>
    </xf>
    <xf numFmtId="0" fontId="17" fillId="0" borderId="36" xfId="12" applyFont="1" applyFill="1" applyBorder="1" applyAlignment="1">
      <alignment horizontal="center" shrinkToFit="1"/>
    </xf>
    <xf numFmtId="0" fontId="17" fillId="0" borderId="36" xfId="12" applyFont="1" applyFill="1" applyBorder="1" applyAlignment="1">
      <alignment horizontal="center"/>
    </xf>
    <xf numFmtId="0" fontId="17" fillId="0" borderId="39" xfId="12" applyFont="1" applyFill="1" applyBorder="1" applyAlignment="1">
      <alignment horizontal="center"/>
    </xf>
    <xf numFmtId="0" fontId="24" fillId="0" borderId="0" xfId="12" applyFill="1" applyProtection="1">
      <protection locked="0"/>
    </xf>
    <xf numFmtId="0" fontId="17" fillId="0" borderId="0" xfId="12" applyFont="1" applyFill="1" applyBorder="1" applyAlignment="1">
      <alignment horizontal="center"/>
    </xf>
    <xf numFmtId="0" fontId="7" fillId="0" borderId="0" xfId="12" applyFont="1" applyAlignment="1">
      <alignment horizontal="center"/>
    </xf>
    <xf numFmtId="0" fontId="24" fillId="0" borderId="0" xfId="12" applyFont="1" applyAlignment="1">
      <alignment horizontal="left"/>
    </xf>
    <xf numFmtId="0" fontId="8" fillId="0" borderId="0" xfId="12" applyFont="1" applyAlignment="1" applyProtection="1">
      <alignment horizontal="left" wrapText="1"/>
      <protection locked="0"/>
    </xf>
    <xf numFmtId="0" fontId="8" fillId="0" borderId="0" xfId="12" applyFont="1" applyAlignment="1" applyProtection="1">
      <alignment horizontal="left"/>
      <protection locked="0"/>
    </xf>
    <xf numFmtId="0" fontId="24" fillId="0" borderId="0" xfId="12" applyFill="1" applyAlignment="1" applyProtection="1">
      <alignment horizontal="left"/>
      <protection locked="0"/>
    </xf>
    <xf numFmtId="0" fontId="5" fillId="12" borderId="0" xfId="12" applyFont="1" applyFill="1" applyAlignment="1">
      <alignment horizontal="center"/>
    </xf>
    <xf numFmtId="0" fontId="12" fillId="0" borderId="0" xfId="12" applyFont="1"/>
    <xf numFmtId="0" fontId="24" fillId="0" borderId="1" xfId="12" applyBorder="1" applyAlignment="1">
      <alignment horizontal="center" shrinkToFit="1"/>
    </xf>
    <xf numFmtId="0" fontId="24" fillId="0" borderId="0" xfId="12" applyBorder="1"/>
    <xf numFmtId="0" fontId="24" fillId="0" borderId="0" xfId="12" applyBorder="1" applyAlignment="1">
      <alignment horizontal="center"/>
    </xf>
    <xf numFmtId="0" fontId="12" fillId="0" borderId="28" xfId="12" applyFont="1" applyBorder="1" applyAlignment="1" applyProtection="1">
      <alignment horizontal="center" shrinkToFit="1"/>
      <protection locked="0"/>
    </xf>
    <xf numFmtId="0" fontId="24" fillId="0" borderId="43" xfId="12" applyBorder="1"/>
    <xf numFmtId="0" fontId="12" fillId="0" borderId="0" xfId="12" applyFont="1" applyBorder="1" applyAlignment="1" applyProtection="1">
      <alignment horizontal="center"/>
      <protection locked="0"/>
    </xf>
    <xf numFmtId="0" fontId="12" fillId="0" borderId="0" xfId="12" applyFont="1" applyBorder="1" applyAlignment="1" applyProtection="1">
      <alignment horizontal="center" shrinkToFit="1"/>
      <protection locked="0"/>
    </xf>
    <xf numFmtId="0" fontId="12" fillId="0" borderId="44" xfId="12" applyFont="1" applyBorder="1" applyAlignment="1" applyProtection="1">
      <alignment horizontal="center" shrinkToFit="1"/>
      <protection locked="0"/>
    </xf>
    <xf numFmtId="0" fontId="24" fillId="0" borderId="44" xfId="12" applyBorder="1"/>
    <xf numFmtId="0" fontId="24" fillId="0" borderId="43" xfId="12" applyBorder="1" applyAlignment="1">
      <alignment horizontal="left" shrinkToFit="1"/>
    </xf>
    <xf numFmtId="0" fontId="24" fillId="0" borderId="0" xfId="12" applyBorder="1" applyAlignment="1">
      <alignment horizontal="left" shrinkToFit="1"/>
    </xf>
    <xf numFmtId="0" fontId="24" fillId="0" borderId="0" xfId="12" applyBorder="1" applyAlignment="1" applyProtection="1">
      <protection locked="0"/>
    </xf>
    <xf numFmtId="0" fontId="17" fillId="0" borderId="0" xfId="12" applyFont="1" applyBorder="1" applyAlignment="1" applyProtection="1">
      <alignment horizontal="center"/>
      <protection locked="0"/>
    </xf>
    <xf numFmtId="0" fontId="24" fillId="0" borderId="27" xfId="12" applyBorder="1" applyAlignment="1" applyProtection="1">
      <alignment horizontal="left"/>
      <protection locked="0"/>
    </xf>
    <xf numFmtId="0" fontId="24" fillId="0" borderId="28" xfId="12" applyBorder="1" applyAlignment="1" applyProtection="1">
      <alignment horizontal="left"/>
      <protection locked="0"/>
    </xf>
    <xf numFmtId="0" fontId="24" fillId="0" borderId="29" xfId="12" applyBorder="1" applyAlignment="1" applyProtection="1">
      <alignment horizontal="left"/>
      <protection locked="0"/>
    </xf>
    <xf numFmtId="0" fontId="24" fillId="0" borderId="43" xfId="12" applyBorder="1" applyAlignment="1" applyProtection="1">
      <alignment horizontal="left"/>
      <protection locked="0"/>
    </xf>
    <xf numFmtId="0" fontId="24" fillId="0" borderId="0" xfId="12" applyBorder="1" applyAlignment="1" applyProtection="1">
      <alignment horizontal="left"/>
      <protection locked="0"/>
    </xf>
    <xf numFmtId="0" fontId="24" fillId="0" borderId="0" xfId="12" applyBorder="1" applyProtection="1">
      <protection locked="0"/>
    </xf>
    <xf numFmtId="0" fontId="17" fillId="0" borderId="0" xfId="12" applyFont="1" applyBorder="1" applyAlignment="1" applyProtection="1">
      <protection locked="0"/>
    </xf>
    <xf numFmtId="0" fontId="17" fillId="0" borderId="0" xfId="12" applyFont="1" applyBorder="1" applyAlignment="1">
      <alignment horizontal="center"/>
    </xf>
    <xf numFmtId="0" fontId="24" fillId="0" borderId="12" xfId="12" applyBorder="1" applyAlignment="1">
      <alignment horizontal="center" shrinkToFit="1"/>
    </xf>
    <xf numFmtId="0" fontId="12" fillId="0" borderId="0" xfId="12" applyFont="1" applyAlignment="1" applyProtection="1">
      <alignment horizontal="center" shrinkToFit="1"/>
      <protection locked="0"/>
    </xf>
    <xf numFmtId="0" fontId="12" fillId="0" borderId="0" xfId="12" applyFont="1" applyBorder="1" applyAlignment="1" applyProtection="1">
      <protection locked="0"/>
    </xf>
    <xf numFmtId="0" fontId="24" fillId="0" borderId="0" xfId="12" applyBorder="1" applyAlignment="1" applyProtection="1">
      <alignment horizontal="center"/>
      <protection locked="0"/>
    </xf>
    <xf numFmtId="0" fontId="24" fillId="0" borderId="44" xfId="12" applyBorder="1" applyAlignment="1" applyProtection="1">
      <alignment horizontal="center"/>
      <protection locked="0"/>
    </xf>
    <xf numFmtId="0" fontId="24" fillId="0" borderId="11" xfId="12" applyBorder="1" applyAlignment="1" applyProtection="1">
      <alignment horizontal="center" shrinkToFit="1"/>
    </xf>
    <xf numFmtId="0" fontId="24" fillId="0" borderId="1" xfId="12" applyBorder="1" applyAlignment="1" applyProtection="1">
      <alignment horizontal="center" shrinkToFit="1"/>
    </xf>
    <xf numFmtId="0" fontId="24" fillId="0" borderId="0" xfId="12" applyBorder="1" applyAlignment="1"/>
    <xf numFmtId="0" fontId="24" fillId="0" borderId="44" xfId="12" applyBorder="1" applyAlignment="1"/>
    <xf numFmtId="0" fontId="24" fillId="0" borderId="43" xfId="12" applyBorder="1" applyAlignment="1" applyProtection="1">
      <alignment horizontal="center"/>
      <protection locked="0"/>
    </xf>
    <xf numFmtId="0" fontId="17" fillId="0" borderId="44" xfId="12" applyFont="1" applyBorder="1" applyAlignment="1" applyProtection="1">
      <alignment horizontal="center"/>
      <protection locked="0"/>
    </xf>
    <xf numFmtId="0" fontId="24" fillId="0" borderId="27" xfId="12" applyBorder="1" applyAlignment="1" applyProtection="1">
      <alignment horizontal="center"/>
      <protection locked="0"/>
    </xf>
    <xf numFmtId="0" fontId="24" fillId="0" borderId="28" xfId="12" applyBorder="1" applyAlignment="1" applyProtection="1">
      <alignment horizontal="center"/>
      <protection locked="0"/>
    </xf>
    <xf numFmtId="0" fontId="24" fillId="0" borderId="11" xfId="12" applyBorder="1" applyAlignment="1" applyProtection="1">
      <alignment horizontal="left"/>
      <protection locked="0"/>
    </xf>
    <xf numFmtId="0" fontId="24" fillId="0" borderId="1" xfId="12" applyBorder="1" applyAlignment="1" applyProtection="1">
      <alignment horizontal="left"/>
      <protection locked="0"/>
    </xf>
    <xf numFmtId="0" fontId="24" fillId="0" borderId="12" xfId="12" applyBorder="1" applyAlignment="1" applyProtection="1">
      <alignment horizontal="left"/>
      <protection locked="0"/>
    </xf>
    <xf numFmtId="0" fontId="7" fillId="0" borderId="0" xfId="12" applyFont="1" applyAlignment="1" applyProtection="1">
      <alignment horizontal="center"/>
      <protection locked="0"/>
    </xf>
    <xf numFmtId="0" fontId="7" fillId="0" borderId="0" xfId="12" applyFont="1" applyAlignment="1">
      <alignment horizontal="center"/>
    </xf>
    <xf numFmtId="0" fontId="24" fillId="0" borderId="10" xfId="12" applyBorder="1" applyAlignment="1">
      <alignment horizontal="center"/>
    </xf>
    <xf numFmtId="0" fontId="24" fillId="13" borderId="2" xfId="12" applyFill="1" applyBorder="1" applyAlignment="1">
      <alignment horizontal="center"/>
    </xf>
    <xf numFmtId="0" fontId="24" fillId="13" borderId="3" xfId="12" applyFill="1" applyBorder="1" applyAlignment="1">
      <alignment horizontal="center"/>
    </xf>
    <xf numFmtId="0" fontId="24" fillId="13" borderId="4" xfId="12" applyFill="1" applyBorder="1" applyAlignment="1">
      <alignment horizontal="center"/>
    </xf>
    <xf numFmtId="0" fontId="24" fillId="10" borderId="2" xfId="12" applyFill="1" applyBorder="1" applyAlignment="1">
      <alignment horizontal="center"/>
    </xf>
    <xf numFmtId="0" fontId="24" fillId="10" borderId="3" xfId="12" applyFill="1" applyBorder="1" applyAlignment="1">
      <alignment horizontal="center"/>
    </xf>
    <xf numFmtId="0" fontId="24" fillId="10" borderId="4" xfId="12" applyFill="1" applyBorder="1" applyAlignment="1">
      <alignment horizontal="center"/>
    </xf>
    <xf numFmtId="0" fontId="24" fillId="0" borderId="2" xfId="12" applyBorder="1" applyAlignment="1">
      <alignment horizontal="center"/>
    </xf>
    <xf numFmtId="0" fontId="24" fillId="0" borderId="3" xfId="12" applyBorder="1" applyAlignment="1">
      <alignment horizontal="center"/>
    </xf>
    <xf numFmtId="0" fontId="24" fillId="0" borderId="4" xfId="12" applyBorder="1" applyAlignment="1">
      <alignment horizontal="center"/>
    </xf>
    <xf numFmtId="0" fontId="24" fillId="0" borderId="2" xfId="12" applyBorder="1" applyAlignment="1" applyProtection="1">
      <alignment horizontal="center" shrinkToFit="1"/>
    </xf>
    <xf numFmtId="0" fontId="24" fillId="0" borderId="3" xfId="12" applyBorder="1" applyAlignment="1" applyProtection="1">
      <alignment horizontal="center" shrinkToFit="1"/>
    </xf>
    <xf numFmtId="0" fontId="24" fillId="0" borderId="4" xfId="12" applyBorder="1" applyAlignment="1" applyProtection="1">
      <alignment horizontal="center" shrinkToFit="1"/>
    </xf>
    <xf numFmtId="0" fontId="24" fillId="0" borderId="2" xfId="12" applyBorder="1" applyAlignment="1" applyProtection="1">
      <alignment horizontal="center"/>
    </xf>
    <xf numFmtId="0" fontId="24" fillId="0" borderId="3" xfId="12" applyBorder="1" applyAlignment="1" applyProtection="1">
      <alignment horizontal="center"/>
    </xf>
    <xf numFmtId="0" fontId="24" fillId="0" borderId="4" xfId="12" applyBorder="1" applyAlignment="1" applyProtection="1">
      <alignment horizontal="center"/>
    </xf>
    <xf numFmtId="20" fontId="24" fillId="0" borderId="22" xfId="12" applyNumberFormat="1" applyFill="1" applyBorder="1" applyAlignment="1" applyProtection="1">
      <alignment horizontal="center"/>
      <protection locked="0"/>
    </xf>
    <xf numFmtId="0" fontId="24" fillId="0" borderId="23" xfId="12" applyFill="1" applyBorder="1" applyAlignment="1" applyProtection="1">
      <alignment horizontal="center"/>
      <protection locked="0"/>
    </xf>
    <xf numFmtId="0" fontId="24" fillId="0" borderId="24" xfId="12" applyFill="1" applyBorder="1" applyAlignment="1" applyProtection="1">
      <alignment horizontal="center"/>
      <protection locked="0"/>
    </xf>
    <xf numFmtId="20" fontId="24" fillId="0" borderId="25" xfId="12" applyNumberFormat="1" applyFill="1" applyBorder="1" applyAlignment="1" applyProtection="1">
      <alignment horizontal="center"/>
      <protection locked="0"/>
    </xf>
    <xf numFmtId="0" fontId="24" fillId="0" borderId="26" xfId="12" applyFill="1" applyBorder="1" applyAlignment="1" applyProtection="1">
      <alignment horizontal="center"/>
      <protection locked="0"/>
    </xf>
    <xf numFmtId="0" fontId="18" fillId="4" borderId="27" xfId="12" applyFont="1" applyFill="1" applyBorder="1" applyAlignment="1" applyProtection="1">
      <alignment horizontal="center" vertical="center" wrapText="1"/>
    </xf>
    <xf numFmtId="0" fontId="24" fillId="4" borderId="28" xfId="12" applyFill="1" applyBorder="1" applyAlignment="1" applyProtection="1">
      <alignment vertical="center"/>
    </xf>
    <xf numFmtId="0" fontId="24" fillId="4" borderId="29" xfId="12" applyFill="1" applyBorder="1" applyAlignment="1" applyProtection="1">
      <alignment vertical="center"/>
    </xf>
    <xf numFmtId="0" fontId="24" fillId="0" borderId="0" xfId="12" applyFill="1" applyBorder="1"/>
    <xf numFmtId="0" fontId="18" fillId="4" borderId="28" xfId="12" applyFont="1" applyFill="1" applyBorder="1" applyAlignment="1" applyProtection="1">
      <alignment horizontal="center" vertical="center" wrapText="1"/>
    </xf>
    <xf numFmtId="0" fontId="18" fillId="4" borderId="29" xfId="12" applyFont="1" applyFill="1" applyBorder="1" applyAlignment="1" applyProtection="1">
      <alignment horizontal="center" vertical="center" wrapText="1"/>
    </xf>
    <xf numFmtId="1" fontId="24" fillId="0" borderId="55" xfId="12" applyNumberFormat="1" applyFill="1" applyBorder="1" applyAlignment="1" applyProtection="1">
      <alignment horizontal="center"/>
      <protection locked="0"/>
    </xf>
    <xf numFmtId="1" fontId="24" fillId="0" borderId="52" xfId="12" applyNumberFormat="1" applyFill="1" applyBorder="1" applyAlignment="1" applyProtection="1">
      <alignment horizontal="center"/>
      <protection locked="0"/>
    </xf>
    <xf numFmtId="1" fontId="24" fillId="0" borderId="53" xfId="12" applyNumberFormat="1" applyFill="1" applyBorder="1" applyAlignment="1" applyProtection="1">
      <alignment horizontal="center"/>
      <protection locked="0"/>
    </xf>
    <xf numFmtId="1" fontId="24" fillId="0" borderId="51" xfId="12" applyNumberFormat="1" applyFill="1" applyBorder="1" applyAlignment="1" applyProtection="1">
      <alignment horizontal="center"/>
      <protection locked="0"/>
    </xf>
    <xf numFmtId="1" fontId="24" fillId="0" borderId="56" xfId="12" applyNumberFormat="1" applyFill="1" applyBorder="1" applyAlignment="1" applyProtection="1">
      <alignment horizontal="center"/>
      <protection locked="0"/>
    </xf>
    <xf numFmtId="0" fontId="24" fillId="4" borderId="43" xfId="12" applyFill="1" applyBorder="1" applyAlignment="1" applyProtection="1">
      <alignment vertical="center"/>
    </xf>
    <xf numFmtId="0" fontId="24" fillId="4" borderId="0" xfId="12" applyFill="1" applyAlignment="1" applyProtection="1">
      <alignment vertical="center"/>
    </xf>
    <xf numFmtId="0" fontId="24" fillId="4" borderId="44" xfId="12" applyFill="1" applyBorder="1" applyAlignment="1" applyProtection="1">
      <alignment vertical="center"/>
    </xf>
    <xf numFmtId="0" fontId="12" fillId="0" borderId="0" xfId="12" applyFont="1" applyAlignment="1">
      <alignment horizontal="center"/>
    </xf>
    <xf numFmtId="0" fontId="12" fillId="0" borderId="44" xfId="12" applyFont="1" applyBorder="1" applyAlignment="1">
      <alignment horizontal="center"/>
    </xf>
    <xf numFmtId="0" fontId="18" fillId="4" borderId="43" xfId="12" applyFont="1" applyFill="1" applyBorder="1" applyAlignment="1" applyProtection="1">
      <alignment horizontal="center" vertical="center" wrapText="1"/>
    </xf>
    <xf numFmtId="0" fontId="18" fillId="4" borderId="0" xfId="12" applyFont="1" applyFill="1" applyBorder="1" applyAlignment="1" applyProtection="1">
      <alignment horizontal="center" vertical="center" wrapText="1"/>
    </xf>
    <xf numFmtId="0" fontId="18" fillId="4" borderId="44" xfId="12" applyFont="1" applyFill="1" applyBorder="1" applyAlignment="1" applyProtection="1">
      <alignment horizontal="center" vertical="center" wrapText="1"/>
    </xf>
    <xf numFmtId="0" fontId="5" fillId="6" borderId="55" xfId="12" applyFont="1" applyFill="1" applyBorder="1" applyAlignment="1">
      <alignment horizontal="center"/>
    </xf>
    <xf numFmtId="0" fontId="5" fillId="6" borderId="56" xfId="12" applyFont="1" applyFill="1" applyBorder="1" applyAlignment="1">
      <alignment horizontal="center"/>
    </xf>
    <xf numFmtId="0" fontId="24" fillId="4" borderId="11" xfId="12" applyFill="1" applyBorder="1" applyAlignment="1" applyProtection="1">
      <alignment vertical="center"/>
    </xf>
    <xf numFmtId="0" fontId="24" fillId="4" borderId="1" xfId="12" applyFill="1" applyBorder="1" applyAlignment="1" applyProtection="1">
      <alignment vertical="center"/>
    </xf>
    <xf numFmtId="0" fontId="24" fillId="4" borderId="12" xfId="12" applyFill="1" applyBorder="1" applyAlignment="1" applyProtection="1">
      <alignment vertical="center"/>
    </xf>
    <xf numFmtId="0" fontId="24" fillId="2" borderId="0" xfId="12" applyFill="1" applyBorder="1" applyAlignment="1">
      <alignment horizontal="center"/>
    </xf>
    <xf numFmtId="0" fontId="24" fillId="2" borderId="44" xfId="12" applyFill="1" applyBorder="1" applyAlignment="1">
      <alignment horizontal="center"/>
    </xf>
    <xf numFmtId="0" fontId="18" fillId="4" borderId="11" xfId="12" applyFont="1" applyFill="1" applyBorder="1" applyAlignment="1" applyProtection="1">
      <alignment horizontal="center" vertical="center" wrapText="1"/>
    </xf>
    <xf numFmtId="0" fontId="18" fillId="4" borderId="1" xfId="12" applyFont="1" applyFill="1" applyBorder="1" applyAlignment="1" applyProtection="1">
      <alignment horizontal="center" vertical="center" wrapText="1"/>
    </xf>
    <xf numFmtId="0" fontId="18" fillId="4" borderId="12" xfId="12" applyFont="1" applyFill="1" applyBorder="1" applyAlignment="1" applyProtection="1">
      <alignment horizontal="center" vertical="center" wrapText="1"/>
    </xf>
    <xf numFmtId="0" fontId="5" fillId="3" borderId="18" xfId="12" applyFont="1" applyFill="1" applyBorder="1" applyAlignment="1" applyProtection="1">
      <alignment horizontal="right"/>
      <protection locked="0"/>
    </xf>
    <xf numFmtId="0" fontId="5" fillId="2" borderId="54" xfId="12" applyFont="1" applyFill="1" applyBorder="1" applyAlignment="1">
      <alignment horizontal="center"/>
    </xf>
    <xf numFmtId="0" fontId="5" fillId="3" borderId="54" xfId="12" applyFont="1" applyFill="1" applyBorder="1" applyAlignment="1" applyProtection="1">
      <alignment horizontal="left"/>
      <protection locked="0"/>
    </xf>
    <xf numFmtId="0" fontId="5" fillId="3" borderId="54" xfId="12" applyFont="1" applyFill="1" applyBorder="1" applyProtection="1">
      <protection locked="0"/>
    </xf>
    <xf numFmtId="0" fontId="5" fillId="3" borderId="54" xfId="12" applyFont="1" applyFill="1" applyBorder="1" applyProtection="1"/>
    <xf numFmtId="0" fontId="5" fillId="2" borderId="54" xfId="12" applyFont="1" applyFill="1" applyBorder="1" applyAlignment="1" applyProtection="1">
      <alignment horizontal="center"/>
    </xf>
    <xf numFmtId="0" fontId="5" fillId="3" borderId="19" xfId="12" applyFont="1" applyFill="1" applyBorder="1" applyAlignment="1" applyProtection="1">
      <alignment horizontal="left"/>
    </xf>
    <xf numFmtId="0" fontId="5" fillId="0" borderId="2" xfId="12" applyFont="1" applyFill="1" applyBorder="1" applyAlignment="1">
      <alignment horizontal="center"/>
    </xf>
    <xf numFmtId="0" fontId="5" fillId="0" borderId="3" xfId="12" applyFont="1" applyFill="1" applyBorder="1" applyAlignment="1">
      <alignment horizontal="center"/>
    </xf>
    <xf numFmtId="0" fontId="5" fillId="0" borderId="4" xfId="12" applyFont="1" applyFill="1" applyBorder="1" applyAlignment="1">
      <alignment horizontal="center"/>
    </xf>
    <xf numFmtId="0" fontId="5" fillId="3" borderId="55" xfId="12" applyFont="1" applyFill="1" applyBorder="1" applyAlignment="1" applyProtection="1">
      <alignment horizontal="right"/>
      <protection locked="0"/>
    </xf>
    <xf numFmtId="0" fontId="5" fillId="2" borderId="52" xfId="12" applyFont="1" applyFill="1" applyBorder="1" applyAlignment="1">
      <alignment horizontal="center"/>
    </xf>
    <xf numFmtId="0" fontId="5" fillId="3" borderId="52" xfId="12" applyFont="1" applyFill="1" applyBorder="1" applyAlignment="1" applyProtection="1">
      <alignment horizontal="left"/>
      <protection locked="0"/>
    </xf>
    <xf numFmtId="0" fontId="5" fillId="0" borderId="27" xfId="12" applyFont="1" applyFill="1" applyBorder="1" applyAlignment="1">
      <alignment horizontal="center"/>
    </xf>
    <xf numFmtId="0" fontId="5" fillId="0" borderId="28" xfId="12" applyFont="1" applyFill="1" applyBorder="1" applyAlignment="1">
      <alignment horizontal="center"/>
    </xf>
    <xf numFmtId="0" fontId="5" fillId="0" borderId="29" xfId="12" applyFont="1" applyFill="1" applyBorder="1" applyAlignment="1">
      <alignment horizontal="center"/>
    </xf>
    <xf numFmtId="0" fontId="5" fillId="0" borderId="2" xfId="12" applyFont="1" applyFill="1" applyBorder="1" applyAlignment="1">
      <alignment horizontal="center"/>
    </xf>
    <xf numFmtId="0" fontId="5" fillId="0" borderId="4" xfId="12" applyFont="1" applyFill="1" applyBorder="1" applyAlignment="1">
      <alignment horizontal="center"/>
    </xf>
    <xf numFmtId="0" fontId="24" fillId="0" borderId="55" xfId="12" applyFill="1" applyBorder="1" applyProtection="1">
      <protection locked="0"/>
    </xf>
    <xf numFmtId="0" fontId="24" fillId="0" borderId="53" xfId="12" applyFill="1" applyBorder="1" applyAlignment="1" applyProtection="1">
      <alignment horizontal="left"/>
      <protection locked="0"/>
    </xf>
    <xf numFmtId="0" fontId="24" fillId="0" borderId="51" xfId="12" applyFill="1" applyBorder="1" applyProtection="1">
      <protection locked="0"/>
    </xf>
    <xf numFmtId="0" fontId="24" fillId="0" borderId="56" xfId="12" applyFill="1" applyBorder="1" applyAlignment="1" applyProtection="1">
      <alignment horizontal="left"/>
      <protection locked="0"/>
    </xf>
    <xf numFmtId="0" fontId="19" fillId="5" borderId="27" xfId="12" applyFont="1" applyFill="1" applyBorder="1" applyAlignment="1" applyProtection="1">
      <alignment horizontal="center" vertical="center"/>
    </xf>
    <xf numFmtId="0" fontId="19" fillId="5" borderId="28" xfId="12" applyFont="1" applyFill="1" applyBorder="1" applyAlignment="1" applyProtection="1">
      <alignment horizontal="center" vertical="center"/>
    </xf>
    <xf numFmtId="0" fontId="19" fillId="5" borderId="29" xfId="12" applyFont="1" applyFill="1" applyBorder="1" applyAlignment="1" applyProtection="1">
      <alignment horizontal="center" vertical="center"/>
    </xf>
    <xf numFmtId="0" fontId="24" fillId="0" borderId="0" xfId="12" applyFill="1" applyBorder="1" applyAlignment="1"/>
    <xf numFmtId="0" fontId="19" fillId="5" borderId="43" xfId="12" applyFont="1" applyFill="1" applyBorder="1" applyAlignment="1" applyProtection="1">
      <alignment horizontal="center" vertical="center"/>
    </xf>
    <xf numFmtId="0" fontId="19" fillId="5" borderId="0" xfId="12" applyFont="1" applyFill="1" applyBorder="1" applyAlignment="1" applyProtection="1">
      <alignment horizontal="center" vertical="center"/>
    </xf>
    <xf numFmtId="0" fontId="19" fillId="5" borderId="44" xfId="12" applyFont="1" applyFill="1" applyBorder="1" applyAlignment="1" applyProtection="1">
      <alignment horizontal="center" vertical="center"/>
    </xf>
    <xf numFmtId="0" fontId="24" fillId="0" borderId="31" xfId="12" applyFill="1" applyBorder="1" applyProtection="1">
      <protection locked="0"/>
    </xf>
    <xf numFmtId="0" fontId="24" fillId="2" borderId="32" xfId="12" applyFill="1" applyBorder="1" applyAlignment="1">
      <alignment horizontal="center"/>
    </xf>
    <xf numFmtId="0" fontId="24" fillId="0" borderId="33" xfId="12" applyFill="1" applyBorder="1" applyAlignment="1" applyProtection="1">
      <alignment horizontal="left"/>
      <protection locked="0"/>
    </xf>
    <xf numFmtId="0" fontId="24" fillId="0" borderId="57" xfId="12" applyFill="1" applyBorder="1" applyProtection="1">
      <protection locked="0"/>
    </xf>
    <xf numFmtId="0" fontId="24" fillId="0" borderId="58" xfId="12" applyFill="1" applyBorder="1" applyAlignment="1" applyProtection="1">
      <alignment horizontal="left"/>
      <protection locked="0"/>
    </xf>
    <xf numFmtId="0" fontId="19" fillId="5" borderId="11" xfId="12" applyFont="1" applyFill="1" applyBorder="1" applyAlignment="1" applyProtection="1">
      <alignment horizontal="center" vertical="center"/>
    </xf>
    <xf numFmtId="0" fontId="19" fillId="5" borderId="1" xfId="12" applyFont="1" applyFill="1" applyBorder="1" applyAlignment="1" applyProtection="1">
      <alignment horizontal="center" vertical="center"/>
    </xf>
    <xf numFmtId="0" fontId="19" fillId="5" borderId="12" xfId="12" applyFont="1" applyFill="1" applyBorder="1" applyAlignment="1" applyProtection="1">
      <alignment horizontal="center" vertical="center"/>
    </xf>
    <xf numFmtId="0" fontId="24" fillId="0" borderId="0" xfId="12" applyFill="1" applyBorder="1" applyAlignment="1">
      <alignment horizontal="center"/>
    </xf>
    <xf numFmtId="0" fontId="24" fillId="0" borderId="0" xfId="12" applyAlignment="1"/>
    <xf numFmtId="0" fontId="24" fillId="0" borderId="0" xfId="12" applyAlignment="1">
      <alignment horizontal="center"/>
    </xf>
    <xf numFmtId="2" fontId="24" fillId="0" borderId="0" xfId="12" applyNumberFormat="1" applyAlignment="1">
      <alignment horizontal="center"/>
    </xf>
    <xf numFmtId="1" fontId="24" fillId="0" borderId="0" xfId="12" applyNumberFormat="1" applyAlignment="1">
      <alignment horizontal="center"/>
    </xf>
    <xf numFmtId="0" fontId="24" fillId="0" borderId="0" xfId="12" applyBorder="1" applyAlignment="1">
      <alignment horizontal="center"/>
    </xf>
  </cellXfs>
  <cellStyles count="13">
    <cellStyle name="Currency 2" xfId="2"/>
    <cellStyle name="Hyperlink 2" xfId="3"/>
    <cellStyle name="Hyperlink 3" xfId="4"/>
    <cellStyle name="Normal" xfId="0" builtinId="0"/>
    <cellStyle name="Normal 2" xfId="5"/>
    <cellStyle name="Normal 2 2" xfId="6"/>
    <cellStyle name="Normal 2 2 2" xfId="7"/>
    <cellStyle name="Normal 2 2 2 2" xfId="1"/>
    <cellStyle name="Normal 2 2 2 2 2" xfId="11"/>
    <cellStyle name="Normal 2 2 2 2 3" xfId="12"/>
    <cellStyle name="Normal 3" xfId="8"/>
    <cellStyle name="Normal 4" xfId="9"/>
    <cellStyle name="Normal 9" xfId="10"/>
  </cellStyles>
  <dxfs count="3583"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6.xml"/><Relationship Id="rId32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5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4.xml"/><Relationship Id="rId27" Type="http://schemas.openxmlformats.org/officeDocument/2006/relationships/externalLink" Target="externalLinks/externalLink9.xml"/><Relationship Id="rId30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emf"/><Relationship Id="rId2" Type="http://schemas.openxmlformats.org/officeDocument/2006/relationships/image" Target="../media/image11.emf"/><Relationship Id="rId1" Type="http://schemas.openxmlformats.org/officeDocument/2006/relationships/image" Target="../media/image10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emf"/><Relationship Id="rId2" Type="http://schemas.openxmlformats.org/officeDocument/2006/relationships/image" Target="../media/image17.jpeg"/><Relationship Id="rId1" Type="http://schemas.openxmlformats.org/officeDocument/2006/relationships/image" Target="../media/image16.jpeg"/><Relationship Id="rId4" Type="http://schemas.openxmlformats.org/officeDocument/2006/relationships/image" Target="../media/image19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jpe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emf"/><Relationship Id="rId2" Type="http://schemas.openxmlformats.org/officeDocument/2006/relationships/image" Target="../media/image25.emf"/><Relationship Id="rId1" Type="http://schemas.openxmlformats.org/officeDocument/2006/relationships/image" Target="../media/image15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8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jpe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3.emf"/><Relationship Id="rId2" Type="http://schemas.openxmlformats.org/officeDocument/2006/relationships/image" Target="../media/image32.emf"/><Relationship Id="rId1" Type="http://schemas.openxmlformats.org/officeDocument/2006/relationships/image" Target="../media/image3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7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8.emf"/><Relationship Id="rId1" Type="http://schemas.openxmlformats.org/officeDocument/2006/relationships/image" Target="../media/image9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14.emf"/><Relationship Id="rId1" Type="http://schemas.openxmlformats.org/officeDocument/2006/relationships/image" Target="../media/image13.emf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0.emf"/><Relationship Id="rId1" Type="http://schemas.openxmlformats.org/officeDocument/2006/relationships/image" Target="../media/image21.emf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2.emf"/><Relationship Id="rId1" Type="http://schemas.openxmlformats.org/officeDocument/2006/relationships/image" Target="../media/image23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7.emf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9.emf"/><Relationship Id="rId1" Type="http://schemas.openxmlformats.org/officeDocument/2006/relationships/image" Target="../media/image30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3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11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905000" y="0"/>
          <a:ext cx="1143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13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305050" y="0"/>
          <a:ext cx="1143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571500</xdr:colOff>
      <xdr:row>0</xdr:row>
      <xdr:rowOff>0</xdr:rowOff>
    </xdr:from>
    <xdr:to>
      <xdr:col>15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3048000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36</xdr:col>
      <xdr:colOff>57150</xdr:colOff>
      <xdr:row>223</xdr:row>
      <xdr:rowOff>142875</xdr:rowOff>
    </xdr:from>
    <xdr:to>
      <xdr:col>37</xdr:col>
      <xdr:colOff>152400</xdr:colOff>
      <xdr:row>233</xdr:row>
      <xdr:rowOff>66675</xdr:rowOff>
    </xdr:to>
    <xdr:pic>
      <xdr:nvPicPr>
        <xdr:cNvPr id="5" name="Picture 6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82050" y="20135850"/>
          <a:ext cx="342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104775</xdr:colOff>
          <xdr:row>13</xdr:row>
          <xdr:rowOff>9525</xdr:rowOff>
        </xdr:from>
        <xdr:to>
          <xdr:col>42</xdr:col>
          <xdr:colOff>228600</xdr:colOff>
          <xdr:row>16</xdr:row>
          <xdr:rowOff>104775</xdr:rowOff>
        </xdr:to>
        <xdr:sp macro="" textlink="">
          <xdr:nvSpPr>
            <xdr:cNvPr id="13313" name="Pool1RecalcFinish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104775</xdr:colOff>
          <xdr:row>98</xdr:row>
          <xdr:rowOff>9525</xdr:rowOff>
        </xdr:from>
        <xdr:to>
          <xdr:col>42</xdr:col>
          <xdr:colOff>228600</xdr:colOff>
          <xdr:row>101</xdr:row>
          <xdr:rowOff>104775</xdr:rowOff>
        </xdr:to>
        <xdr:sp macro="" textlink="">
          <xdr:nvSpPr>
            <xdr:cNvPr id="13314" name="Pool2RecalcFinish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11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905000" y="0"/>
          <a:ext cx="1143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13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305050" y="0"/>
          <a:ext cx="1143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571500</xdr:colOff>
      <xdr:row>0</xdr:row>
      <xdr:rowOff>0</xdr:rowOff>
    </xdr:from>
    <xdr:to>
      <xdr:col>15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3048000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36</xdr:col>
      <xdr:colOff>57150</xdr:colOff>
      <xdr:row>223</xdr:row>
      <xdr:rowOff>142875</xdr:rowOff>
    </xdr:from>
    <xdr:to>
      <xdr:col>37</xdr:col>
      <xdr:colOff>152400</xdr:colOff>
      <xdr:row>233</xdr:row>
      <xdr:rowOff>66675</xdr:rowOff>
    </xdr:to>
    <xdr:pic>
      <xdr:nvPicPr>
        <xdr:cNvPr id="5" name="Picture 6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82050" y="20135850"/>
          <a:ext cx="342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104775</xdr:colOff>
          <xdr:row>13</xdr:row>
          <xdr:rowOff>9525</xdr:rowOff>
        </xdr:from>
        <xdr:to>
          <xdr:col>42</xdr:col>
          <xdr:colOff>228600</xdr:colOff>
          <xdr:row>16</xdr:row>
          <xdr:rowOff>104775</xdr:rowOff>
        </xdr:to>
        <xdr:sp macro="" textlink="">
          <xdr:nvSpPr>
            <xdr:cNvPr id="14337" name="Pool1RecalcFinish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104775</xdr:colOff>
          <xdr:row>98</xdr:row>
          <xdr:rowOff>9525</xdr:rowOff>
        </xdr:from>
        <xdr:to>
          <xdr:col>42</xdr:col>
          <xdr:colOff>228600</xdr:colOff>
          <xdr:row>101</xdr:row>
          <xdr:rowOff>104775</xdr:rowOff>
        </xdr:to>
        <xdr:sp macro="" textlink="">
          <xdr:nvSpPr>
            <xdr:cNvPr id="14338" name="Pool2RecalcFinish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11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905000" y="0"/>
          <a:ext cx="1143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13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305050" y="0"/>
          <a:ext cx="1143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571500</xdr:colOff>
      <xdr:row>0</xdr:row>
      <xdr:rowOff>0</xdr:rowOff>
    </xdr:from>
    <xdr:to>
      <xdr:col>15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3048000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36</xdr:col>
      <xdr:colOff>57150</xdr:colOff>
      <xdr:row>223</xdr:row>
      <xdr:rowOff>142875</xdr:rowOff>
    </xdr:from>
    <xdr:to>
      <xdr:col>37</xdr:col>
      <xdr:colOff>152400</xdr:colOff>
      <xdr:row>233</xdr:row>
      <xdr:rowOff>66675</xdr:rowOff>
    </xdr:to>
    <xdr:pic>
      <xdr:nvPicPr>
        <xdr:cNvPr id="5" name="Picture 6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82050" y="20135850"/>
          <a:ext cx="342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104775</xdr:colOff>
          <xdr:row>13</xdr:row>
          <xdr:rowOff>9525</xdr:rowOff>
        </xdr:from>
        <xdr:to>
          <xdr:col>42</xdr:col>
          <xdr:colOff>228600</xdr:colOff>
          <xdr:row>16</xdr:row>
          <xdr:rowOff>104775</xdr:rowOff>
        </xdr:to>
        <xdr:sp macro="" textlink="">
          <xdr:nvSpPr>
            <xdr:cNvPr id="17409" name="Pool1RecalcFinish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104775</xdr:colOff>
          <xdr:row>98</xdr:row>
          <xdr:rowOff>9525</xdr:rowOff>
        </xdr:from>
        <xdr:to>
          <xdr:col>42</xdr:col>
          <xdr:colOff>228600</xdr:colOff>
          <xdr:row>101</xdr:row>
          <xdr:rowOff>104775</xdr:rowOff>
        </xdr:to>
        <xdr:sp macro="" textlink="">
          <xdr:nvSpPr>
            <xdr:cNvPr id="17410" name="Pool2RecalcFinish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11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905000" y="0"/>
          <a:ext cx="1143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13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305050" y="0"/>
          <a:ext cx="1143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571500</xdr:colOff>
      <xdr:row>0</xdr:row>
      <xdr:rowOff>0</xdr:rowOff>
    </xdr:from>
    <xdr:to>
      <xdr:col>15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3048000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36</xdr:col>
      <xdr:colOff>57150</xdr:colOff>
      <xdr:row>223</xdr:row>
      <xdr:rowOff>142875</xdr:rowOff>
    </xdr:from>
    <xdr:to>
      <xdr:col>37</xdr:col>
      <xdr:colOff>152400</xdr:colOff>
      <xdr:row>233</xdr:row>
      <xdr:rowOff>66675</xdr:rowOff>
    </xdr:to>
    <xdr:pic>
      <xdr:nvPicPr>
        <xdr:cNvPr id="5" name="Picture 6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82050" y="20135850"/>
          <a:ext cx="342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104775</xdr:colOff>
          <xdr:row>13</xdr:row>
          <xdr:rowOff>9525</xdr:rowOff>
        </xdr:from>
        <xdr:to>
          <xdr:col>42</xdr:col>
          <xdr:colOff>228600</xdr:colOff>
          <xdr:row>16</xdr:row>
          <xdr:rowOff>104775</xdr:rowOff>
        </xdr:to>
        <xdr:sp macro="" textlink="">
          <xdr:nvSpPr>
            <xdr:cNvPr id="16385" name="Pool1RecalcFinish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104775</xdr:colOff>
          <xdr:row>98</xdr:row>
          <xdr:rowOff>9525</xdr:rowOff>
        </xdr:from>
        <xdr:to>
          <xdr:col>42</xdr:col>
          <xdr:colOff>228600</xdr:colOff>
          <xdr:row>101</xdr:row>
          <xdr:rowOff>104775</xdr:rowOff>
        </xdr:to>
        <xdr:sp macro="" textlink="">
          <xdr:nvSpPr>
            <xdr:cNvPr id="16386" name="Pool2RecalcFinish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057650" y="0"/>
          <a:ext cx="2133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581025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5229225" y="0"/>
          <a:ext cx="2124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6381750" y="0"/>
          <a:ext cx="2133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35</xdr:col>
      <xdr:colOff>19050</xdr:colOff>
      <xdr:row>224</xdr:row>
      <xdr:rowOff>0</xdr:rowOff>
    </xdr:from>
    <xdr:ext cx="342900" cy="257175"/>
    <xdr:pic>
      <xdr:nvPicPr>
        <xdr:cNvPr id="5" name="Picture 4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54925" y="19545300"/>
          <a:ext cx="342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36</xdr:col>
      <xdr:colOff>104775</xdr:colOff>
      <xdr:row>13</xdr:row>
      <xdr:rowOff>9525</xdr:rowOff>
    </xdr:from>
    <xdr:to>
      <xdr:col>41</xdr:col>
      <xdr:colOff>228600</xdr:colOff>
      <xdr:row>16</xdr:row>
      <xdr:rowOff>104775</xdr:rowOff>
    </xdr:to>
    <xdr:pic>
      <xdr:nvPicPr>
        <xdr:cNvPr id="6" name="Pool1RecalcFinish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21675" y="3190875"/>
          <a:ext cx="3028950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104775</xdr:colOff>
      <xdr:row>98</xdr:row>
      <xdr:rowOff>9525</xdr:rowOff>
    </xdr:from>
    <xdr:to>
      <xdr:col>41</xdr:col>
      <xdr:colOff>228600</xdr:colOff>
      <xdr:row>101</xdr:row>
      <xdr:rowOff>104775</xdr:rowOff>
    </xdr:to>
    <xdr:pic>
      <xdr:nvPicPr>
        <xdr:cNvPr id="7" name="Pool2RecalcFinish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21675" y="8591550"/>
          <a:ext cx="3028950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87642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27647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771775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35</xdr:col>
      <xdr:colOff>19050</xdr:colOff>
      <xdr:row>224</xdr:row>
      <xdr:rowOff>0</xdr:rowOff>
    </xdr:from>
    <xdr:to>
      <xdr:col>36</xdr:col>
      <xdr:colOff>114300</xdr:colOff>
      <xdr:row>233</xdr:row>
      <xdr:rowOff>85725</xdr:rowOff>
    </xdr:to>
    <xdr:pic>
      <xdr:nvPicPr>
        <xdr:cNvPr id="5" name="Picture 4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7725" y="20440650"/>
          <a:ext cx="342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13</xdr:row>
          <xdr:rowOff>9525</xdr:rowOff>
        </xdr:from>
        <xdr:to>
          <xdr:col>41</xdr:col>
          <xdr:colOff>228600</xdr:colOff>
          <xdr:row>16</xdr:row>
          <xdr:rowOff>104775</xdr:rowOff>
        </xdr:to>
        <xdr:sp macro="" textlink="">
          <xdr:nvSpPr>
            <xdr:cNvPr id="8193" name="Pool1RecalcFinish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98</xdr:row>
          <xdr:rowOff>9525</xdr:rowOff>
        </xdr:from>
        <xdr:to>
          <xdr:col>41</xdr:col>
          <xdr:colOff>228600</xdr:colOff>
          <xdr:row>101</xdr:row>
          <xdr:rowOff>104775</xdr:rowOff>
        </xdr:to>
        <xdr:sp macro="" textlink="">
          <xdr:nvSpPr>
            <xdr:cNvPr id="8194" name="Pool2RecalcFinish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5143500" y="0"/>
          <a:ext cx="2857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581025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677025" y="0"/>
          <a:ext cx="2847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8191500" y="0"/>
          <a:ext cx="2857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35</xdr:col>
      <xdr:colOff>57150</xdr:colOff>
      <xdr:row>223</xdr:row>
      <xdr:rowOff>142875</xdr:rowOff>
    </xdr:from>
    <xdr:ext cx="347229" cy="252846"/>
    <xdr:pic>
      <xdr:nvPicPr>
        <xdr:cNvPr id="5" name="Picture 4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27150" y="19488150"/>
          <a:ext cx="347229" cy="2528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35</xdr:col>
      <xdr:colOff>19050</xdr:colOff>
      <xdr:row>224</xdr:row>
      <xdr:rowOff>0</xdr:rowOff>
    </xdr:from>
    <xdr:ext cx="337704" cy="258907"/>
    <xdr:pic>
      <xdr:nvPicPr>
        <xdr:cNvPr id="6" name="Picture 7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89050" y="19507200"/>
          <a:ext cx="337704" cy="2589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35</xdr:col>
      <xdr:colOff>19050</xdr:colOff>
      <xdr:row>224</xdr:row>
      <xdr:rowOff>0</xdr:rowOff>
    </xdr:from>
    <xdr:ext cx="337704" cy="258907"/>
    <xdr:pic>
      <xdr:nvPicPr>
        <xdr:cNvPr id="7" name="Picture 8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89050" y="19507200"/>
          <a:ext cx="337704" cy="2589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36</xdr:col>
      <xdr:colOff>104775</xdr:colOff>
      <xdr:row>13</xdr:row>
      <xdr:rowOff>9525</xdr:rowOff>
    </xdr:from>
    <xdr:to>
      <xdr:col>41</xdr:col>
      <xdr:colOff>228600</xdr:colOff>
      <xdr:row>16</xdr:row>
      <xdr:rowOff>104775</xdr:rowOff>
    </xdr:to>
    <xdr:pic>
      <xdr:nvPicPr>
        <xdr:cNvPr id="8" name="Pool1RecalcFinish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36775" y="3190875"/>
          <a:ext cx="39338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104775</xdr:colOff>
      <xdr:row>98</xdr:row>
      <xdr:rowOff>9525</xdr:rowOff>
    </xdr:from>
    <xdr:to>
      <xdr:col>41</xdr:col>
      <xdr:colOff>228600</xdr:colOff>
      <xdr:row>101</xdr:row>
      <xdr:rowOff>104775</xdr:rowOff>
    </xdr:to>
    <xdr:pic>
      <xdr:nvPicPr>
        <xdr:cNvPr id="9" name="Pool2RecalcFinish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36775" y="8601075"/>
          <a:ext cx="39338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87642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27647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771775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35</xdr:col>
      <xdr:colOff>19050</xdr:colOff>
      <xdr:row>224</xdr:row>
      <xdr:rowOff>0</xdr:rowOff>
    </xdr:from>
    <xdr:to>
      <xdr:col>36</xdr:col>
      <xdr:colOff>114300</xdr:colOff>
      <xdr:row>233</xdr:row>
      <xdr:rowOff>85725</xdr:rowOff>
    </xdr:to>
    <xdr:pic>
      <xdr:nvPicPr>
        <xdr:cNvPr id="5" name="Picture 4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7725" y="20469225"/>
          <a:ext cx="342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13</xdr:row>
          <xdr:rowOff>9525</xdr:rowOff>
        </xdr:from>
        <xdr:to>
          <xdr:col>41</xdr:col>
          <xdr:colOff>228600</xdr:colOff>
          <xdr:row>16</xdr:row>
          <xdr:rowOff>104775</xdr:rowOff>
        </xdr:to>
        <xdr:sp macro="" textlink="">
          <xdr:nvSpPr>
            <xdr:cNvPr id="19457" name="Pool1RecalcFinish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98</xdr:row>
          <xdr:rowOff>9525</xdr:rowOff>
        </xdr:from>
        <xdr:to>
          <xdr:col>41</xdr:col>
          <xdr:colOff>228600</xdr:colOff>
          <xdr:row>101</xdr:row>
          <xdr:rowOff>104775</xdr:rowOff>
        </xdr:to>
        <xdr:sp macro="" textlink="">
          <xdr:nvSpPr>
            <xdr:cNvPr id="19458" name="Pool2RecalcFinish" hidden="1">
              <a:extLst>
                <a:ext uri="{63B3BB69-23CF-44E3-9099-C40C66FF867C}">
                  <a14:compatExt spid="_x0000_s19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87642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27647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771775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35</xdr:col>
      <xdr:colOff>19050</xdr:colOff>
      <xdr:row>224</xdr:row>
      <xdr:rowOff>0</xdr:rowOff>
    </xdr:from>
    <xdr:to>
      <xdr:col>36</xdr:col>
      <xdr:colOff>114300</xdr:colOff>
      <xdr:row>233</xdr:row>
      <xdr:rowOff>85725</xdr:rowOff>
    </xdr:to>
    <xdr:pic>
      <xdr:nvPicPr>
        <xdr:cNvPr id="5" name="Picture 4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7725" y="20431125"/>
          <a:ext cx="342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13</xdr:row>
          <xdr:rowOff>9525</xdr:rowOff>
        </xdr:from>
        <xdr:to>
          <xdr:col>41</xdr:col>
          <xdr:colOff>228600</xdr:colOff>
          <xdr:row>16</xdr:row>
          <xdr:rowOff>104775</xdr:rowOff>
        </xdr:to>
        <xdr:sp macro="" textlink="">
          <xdr:nvSpPr>
            <xdr:cNvPr id="18433" name="Pool1RecalcFinish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98</xdr:row>
          <xdr:rowOff>9525</xdr:rowOff>
        </xdr:from>
        <xdr:to>
          <xdr:col>41</xdr:col>
          <xdr:colOff>228600</xdr:colOff>
          <xdr:row>101</xdr:row>
          <xdr:rowOff>104775</xdr:rowOff>
        </xdr:to>
        <xdr:sp macro="" textlink="">
          <xdr:nvSpPr>
            <xdr:cNvPr id="18434" name="Pool2RecalcFinish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87642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581025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27647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771775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35</xdr:col>
      <xdr:colOff>19050</xdr:colOff>
      <xdr:row>224</xdr:row>
      <xdr:rowOff>0</xdr:rowOff>
    </xdr:from>
    <xdr:to>
      <xdr:col>36</xdr:col>
      <xdr:colOff>114300</xdr:colOff>
      <xdr:row>233</xdr:row>
      <xdr:rowOff>85726</xdr:rowOff>
    </xdr:to>
    <xdr:pic>
      <xdr:nvPicPr>
        <xdr:cNvPr id="5" name="Picture 4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7725" y="20440650"/>
          <a:ext cx="342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104775</xdr:colOff>
      <xdr:row>13</xdr:row>
      <xdr:rowOff>9525</xdr:rowOff>
    </xdr:from>
    <xdr:to>
      <xdr:col>41</xdr:col>
      <xdr:colOff>228600</xdr:colOff>
      <xdr:row>16</xdr:row>
      <xdr:rowOff>104775</xdr:rowOff>
    </xdr:to>
    <xdr:pic>
      <xdr:nvPicPr>
        <xdr:cNvPr id="6" name="Pool1RecalcFinish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01100" y="3238500"/>
          <a:ext cx="13620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104775</xdr:colOff>
      <xdr:row>98</xdr:row>
      <xdr:rowOff>9525</xdr:rowOff>
    </xdr:from>
    <xdr:to>
      <xdr:col>41</xdr:col>
      <xdr:colOff>228600</xdr:colOff>
      <xdr:row>101</xdr:row>
      <xdr:rowOff>104775</xdr:rowOff>
    </xdr:to>
    <xdr:pic>
      <xdr:nvPicPr>
        <xdr:cNvPr id="7" name="Pool2RecalcFinish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01100" y="8886825"/>
          <a:ext cx="13620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87642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27647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771775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16</xdr:col>
      <xdr:colOff>85725</xdr:colOff>
      <xdr:row>136</xdr:row>
      <xdr:rowOff>133350</xdr:rowOff>
    </xdr:from>
    <xdr:to>
      <xdr:col>18</xdr:col>
      <xdr:colOff>123825</xdr:colOff>
      <xdr:row>138</xdr:row>
      <xdr:rowOff>133350</xdr:rowOff>
    </xdr:to>
    <xdr:pic>
      <xdr:nvPicPr>
        <xdr:cNvPr id="5" name="Picture 4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4430375"/>
          <a:ext cx="4381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13</xdr:row>
          <xdr:rowOff>9525</xdr:rowOff>
        </xdr:from>
        <xdr:to>
          <xdr:col>41</xdr:col>
          <xdr:colOff>228600</xdr:colOff>
          <xdr:row>16</xdr:row>
          <xdr:rowOff>104775</xdr:rowOff>
        </xdr:to>
        <xdr:sp macro="" textlink="">
          <xdr:nvSpPr>
            <xdr:cNvPr id="3073" name="Pool1RecalcFinish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87642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27647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771775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35</xdr:col>
      <xdr:colOff>19050</xdr:colOff>
      <xdr:row>224</xdr:row>
      <xdr:rowOff>0</xdr:rowOff>
    </xdr:from>
    <xdr:to>
      <xdr:col>36</xdr:col>
      <xdr:colOff>114300</xdr:colOff>
      <xdr:row>233</xdr:row>
      <xdr:rowOff>85725</xdr:rowOff>
    </xdr:to>
    <xdr:pic>
      <xdr:nvPicPr>
        <xdr:cNvPr id="5" name="Picture 4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7725" y="20373975"/>
          <a:ext cx="342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13</xdr:row>
          <xdr:rowOff>9525</xdr:rowOff>
        </xdr:from>
        <xdr:to>
          <xdr:col>41</xdr:col>
          <xdr:colOff>228600</xdr:colOff>
          <xdr:row>16</xdr:row>
          <xdr:rowOff>104775</xdr:rowOff>
        </xdr:to>
        <xdr:sp macro="" textlink="">
          <xdr:nvSpPr>
            <xdr:cNvPr id="20481" name="Pool1RecalcFinish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98</xdr:row>
          <xdr:rowOff>9525</xdr:rowOff>
        </xdr:from>
        <xdr:to>
          <xdr:col>41</xdr:col>
          <xdr:colOff>228600</xdr:colOff>
          <xdr:row>101</xdr:row>
          <xdr:rowOff>104775</xdr:rowOff>
        </xdr:to>
        <xdr:sp macro="" textlink="">
          <xdr:nvSpPr>
            <xdr:cNvPr id="20482" name="Pool2RecalcFinish" hidden="1">
              <a:extLst>
                <a:ext uri="{63B3BB69-23CF-44E3-9099-C40C66FF867C}">
                  <a14:compatExt spid="_x0000_s20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87642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581025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27647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771775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35</xdr:col>
      <xdr:colOff>19050</xdr:colOff>
      <xdr:row>224</xdr:row>
      <xdr:rowOff>0</xdr:rowOff>
    </xdr:from>
    <xdr:to>
      <xdr:col>36</xdr:col>
      <xdr:colOff>114300</xdr:colOff>
      <xdr:row>233</xdr:row>
      <xdr:rowOff>85725</xdr:rowOff>
    </xdr:to>
    <xdr:pic>
      <xdr:nvPicPr>
        <xdr:cNvPr id="5" name="Picture 4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7725" y="20354925"/>
          <a:ext cx="342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104775</xdr:colOff>
      <xdr:row>13</xdr:row>
      <xdr:rowOff>9525</xdr:rowOff>
    </xdr:from>
    <xdr:to>
      <xdr:col>41</xdr:col>
      <xdr:colOff>228600</xdr:colOff>
      <xdr:row>16</xdr:row>
      <xdr:rowOff>104775</xdr:rowOff>
    </xdr:to>
    <xdr:pic>
      <xdr:nvPicPr>
        <xdr:cNvPr id="6" name="Pool1RecalcFinish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01100" y="3238500"/>
          <a:ext cx="13620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104775</xdr:colOff>
      <xdr:row>98</xdr:row>
      <xdr:rowOff>9525</xdr:rowOff>
    </xdr:from>
    <xdr:to>
      <xdr:col>41</xdr:col>
      <xdr:colOff>228600</xdr:colOff>
      <xdr:row>101</xdr:row>
      <xdr:rowOff>104775</xdr:rowOff>
    </xdr:to>
    <xdr:pic>
      <xdr:nvPicPr>
        <xdr:cNvPr id="7" name="Pool2RecalcFinish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01100" y="8886825"/>
          <a:ext cx="13620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87642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27647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771775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16</xdr:col>
      <xdr:colOff>85725</xdr:colOff>
      <xdr:row>136</xdr:row>
      <xdr:rowOff>133350</xdr:rowOff>
    </xdr:from>
    <xdr:to>
      <xdr:col>18</xdr:col>
      <xdr:colOff>123825</xdr:colOff>
      <xdr:row>138</xdr:row>
      <xdr:rowOff>133350</xdr:rowOff>
    </xdr:to>
    <xdr:pic>
      <xdr:nvPicPr>
        <xdr:cNvPr id="5" name="Picture 4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4392275"/>
          <a:ext cx="4381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13</xdr:row>
          <xdr:rowOff>9525</xdr:rowOff>
        </xdr:from>
        <xdr:to>
          <xdr:col>41</xdr:col>
          <xdr:colOff>228600</xdr:colOff>
          <xdr:row>16</xdr:row>
          <xdr:rowOff>104775</xdr:rowOff>
        </xdr:to>
        <xdr:sp macro="" textlink="">
          <xdr:nvSpPr>
            <xdr:cNvPr id="2049" name="Pool1RecalcFinish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nce/Documents/Volleyball%2016/Ratings/Calculations/2016-02-20/Ranking%20Pool%20Shee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immy/Downloads/Ranking%20Pool%20Sheet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niespearman/Library/Mail%20Downloads/Ranking%20Pool%20Shee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nce/Documents/Volleyball/Blank%20Pool%20Sheets/7team%20Pools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SmasterTshirtSale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ichael%20Vahjen/My%20Documents/Emai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ichael%20Vahjen/My%20Documents/adult%20regional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ichael%20Vahjen/My%20Documents/CS02tryout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J/Downloads/Ranking%20Pool%20Shee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ample"/>
      <sheetName val="1 Pool Example"/>
      <sheetName val="2 Pool Example"/>
      <sheetName val="3 Pool 15 tms"/>
      <sheetName val="3 Pool - wide Example"/>
      <sheetName val="4 Pool example"/>
      <sheetName val="Expected Outcomes"/>
    </sheetNames>
    <sheetDataSet>
      <sheetData sheetId="0">
        <row r="2">
          <cell r="AS2">
            <v>32</v>
          </cell>
        </row>
        <row r="3">
          <cell r="AS3">
            <v>16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ample"/>
      <sheetName val="1 Pool Example"/>
      <sheetName val="2 Pool Example"/>
      <sheetName val="3 Pool 15 tms"/>
      <sheetName val="3 Pool - wide Example"/>
      <sheetName val="4 Pool example"/>
      <sheetName val="Expected Outcomes"/>
    </sheetNames>
    <sheetDataSet>
      <sheetData sheetId="0">
        <row r="2">
          <cell r="AS2">
            <v>32</v>
          </cell>
        </row>
        <row r="3">
          <cell r="AS3">
            <v>16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ample"/>
      <sheetName val="1 Pool Example"/>
      <sheetName val="2 Pool Example"/>
      <sheetName val="3 Pool 15 tms"/>
      <sheetName val="3 Pool - wide Example"/>
      <sheetName val="4 Pool example"/>
      <sheetName val="Expected Outcomes"/>
    </sheetNames>
    <sheetDataSet>
      <sheetData sheetId="0">
        <row r="2">
          <cell r="AS2">
            <v>32</v>
          </cell>
        </row>
        <row r="3">
          <cell r="AS3">
            <v>16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tm 4+3 Team Pool Auto"/>
    </sheet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Shirt Sales"/>
      <sheetName val="Master Consignment Sales (2)"/>
      <sheetName val="Master Consignment Sales"/>
      <sheetName val="Hillcrest"/>
      <sheetName val="VB sale Sheet"/>
      <sheetName val="Uniform Billing 03"/>
      <sheetName val="VB Inventory Sales"/>
      <sheetName val="OK.ACTIVATE_x000e_ASSIGN.TO.TOOL_x0000__x0009_COP"/>
      <sheetName val="1st Quar 2004"/>
      <sheetName val="4th quarter 03"/>
      <sheetName val="3rd quar 03"/>
      <sheetName val="Sales Records"/>
      <sheetName val="SC 04 big orders"/>
      <sheetName val="Orders"/>
      <sheetName val="Prices"/>
      <sheetName val="Consignment Sales"/>
      <sheetName val="Sheet1"/>
      <sheetName val=""/>
      <sheetName val="OK.ACTIVATE_x000e_ASSIGN.TO.TOOL?_x0009_COP"/>
      <sheetName val="OK.ACTIVATE_x000e_ASSIGN.TO.TOOL_x0000_ COP"/>
      <sheetName val="OK.ACTIVATE_x000e_ASSIGN.TO.TOOL? CO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S email addresses"/>
      <sheetName val="School Email by Region"/>
      <sheetName val="Sheet6"/>
      <sheetName val="Sheet5"/>
      <sheetName val="HIgh Sch"/>
      <sheetName val="Sheet4"/>
      <sheetName val="SC Clubs"/>
      <sheetName val="captains pva 02"/>
      <sheetName val="PVA BOD"/>
      <sheetName val="Va Clubs"/>
      <sheetName val="sports news"/>
      <sheetName val="referees"/>
      <sheetName val="Friends"/>
      <sheetName val="NC Clubs"/>
      <sheetName val="Tampa"/>
      <sheetName val="Ga.Clubs"/>
      <sheetName val="Ky Clubs"/>
      <sheetName val="Md clubs"/>
      <sheetName val="Tn clubs"/>
      <sheetName val="Ala Clubs"/>
      <sheetName val="College Web sites"/>
      <sheetName val="Sheet3"/>
      <sheetName val="Coll Coaches"/>
      <sheetName val="USAV"/>
      <sheetName val="2003 emails CS"/>
      <sheetName val="Sheet2"/>
      <sheetName val="Sheet1"/>
      <sheetName val="clash VB"/>
      <sheetName val="Com other "/>
      <sheetName val="CS sports em list"/>
      <sheetName val="VB mailing list"/>
      <sheetName val="VB Address"/>
      <sheetName val="Church League INFO"/>
      <sheetName val="SChool Prin and AD l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ym ck off"/>
      <sheetName val="Gym supervisor"/>
      <sheetName val="Mens B BB"/>
      <sheetName val="Mens A"/>
      <sheetName val="Examp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3 test"/>
      <sheetName val="Week1 (2)"/>
      <sheetName val="Sheet2"/>
      <sheetName val="Sheet3"/>
      <sheetName val="Sheet1"/>
      <sheetName val="evalua (2)"/>
      <sheetName val="Results wk1"/>
      <sheetName val="Week1"/>
      <sheetName val="Week 2"/>
      <sheetName val="Examp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ample"/>
      <sheetName val="1 Pool Example"/>
      <sheetName val="2 Pool Example"/>
      <sheetName val="3 Pool 15 tms"/>
      <sheetName val="3 Pool - wide Example"/>
      <sheetName val="4 Pool example"/>
      <sheetName val="Expected Outcomes"/>
    </sheetNames>
    <sheetDataSet>
      <sheetData sheetId="0">
        <row r="2">
          <cell r="AS2">
            <v>32</v>
          </cell>
        </row>
        <row r="3">
          <cell r="AS3">
            <v>16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4.emf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7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6.xml"/><Relationship Id="rId5" Type="http://schemas.openxmlformats.org/officeDocument/2006/relationships/image" Target="../media/image6.emf"/><Relationship Id="rId4" Type="http://schemas.openxmlformats.org/officeDocument/2006/relationships/control" Target="../activeX/activeX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image" Target="../media/image9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8.xml"/><Relationship Id="rId5" Type="http://schemas.openxmlformats.org/officeDocument/2006/relationships/image" Target="../media/image8.emf"/><Relationship Id="rId4" Type="http://schemas.openxmlformats.org/officeDocument/2006/relationships/control" Target="../activeX/activeX7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image" Target="../media/image14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10.xml"/><Relationship Id="rId5" Type="http://schemas.openxmlformats.org/officeDocument/2006/relationships/image" Target="../media/image13.emf"/><Relationship Id="rId4" Type="http://schemas.openxmlformats.org/officeDocument/2006/relationships/control" Target="../activeX/activeX9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7" Type="http://schemas.openxmlformats.org/officeDocument/2006/relationships/image" Target="../media/image21.emf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12.xml"/><Relationship Id="rId5" Type="http://schemas.openxmlformats.org/officeDocument/2006/relationships/image" Target="../media/image20.emf"/><Relationship Id="rId4" Type="http://schemas.openxmlformats.org/officeDocument/2006/relationships/control" Target="../activeX/activeX1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7" Type="http://schemas.openxmlformats.org/officeDocument/2006/relationships/image" Target="../media/image23.emf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14.xml"/><Relationship Id="rId5" Type="http://schemas.openxmlformats.org/officeDocument/2006/relationships/image" Target="../media/image22.emf"/><Relationship Id="rId4" Type="http://schemas.openxmlformats.org/officeDocument/2006/relationships/control" Target="../activeX/activeX13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27.emf"/><Relationship Id="rId4" Type="http://schemas.openxmlformats.org/officeDocument/2006/relationships/control" Target="../activeX/activeX15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7" Type="http://schemas.openxmlformats.org/officeDocument/2006/relationships/image" Target="../media/image30.emf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9.bin"/><Relationship Id="rId6" Type="http://schemas.openxmlformats.org/officeDocument/2006/relationships/control" Target="../activeX/activeX17.xml"/><Relationship Id="rId5" Type="http://schemas.openxmlformats.org/officeDocument/2006/relationships/image" Target="../media/image29.emf"/><Relationship Id="rId4" Type="http://schemas.openxmlformats.org/officeDocument/2006/relationships/control" Target="../activeX/activeX16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0.bin"/><Relationship Id="rId5" Type="http://schemas.openxmlformats.org/officeDocument/2006/relationships/image" Target="../media/image34.emf"/><Relationship Id="rId4" Type="http://schemas.openxmlformats.org/officeDocument/2006/relationships/control" Target="../activeX/activeX18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s://aes1.advancedeventsystems.com/Event/Volleyball/EventTeamInfo.aspx?ZCruShzPjMGv6cuivzEZ3bdHnxan7utPe-38b2URl8mzU62jttSjG3kENzzLrFO5DJ2gC4tYCpITNOPe7kWQLp22OSbVlCGBuLUYcUJcvMs1mfXaIumiL4opmJlO0to20" TargetMode="Externa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hyperlink" Target="https://aes1.advancedeventsystems.com/Event/Volleyball/EventTeamInfo.aspx?ZCruShzPjMGv6cuivzEZ3bdHnxan7utPe-38b2URl8mzU62jttSjG3kENzzLrFO5DJ2gC4tYCpITNOPe7kWQLp22OSbVlCGBuLUYcUJcvMs1mfXaIumiL4opmJlO0to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3">
    <tabColor indexed="11"/>
  </sheetPr>
  <dimension ref="A1:CC430"/>
  <sheetViews>
    <sheetView topLeftCell="T1" zoomScale="70" zoomScaleNormal="70" workbookViewId="0">
      <selection activeCell="BA9" sqref="BA9"/>
    </sheetView>
  </sheetViews>
  <sheetFormatPr defaultRowHeight="12.75" x14ac:dyDescent="0.2"/>
  <cols>
    <col min="1" max="1" width="9.140625" style="846"/>
    <col min="2" max="2" width="3.7109375" style="846" customWidth="1"/>
    <col min="3" max="3" width="2.28515625" style="846" customWidth="1"/>
    <col min="4" max="5" width="3.7109375" style="846" customWidth="1"/>
    <col min="6" max="6" width="2.28515625" style="846" customWidth="1"/>
    <col min="7" max="8" width="3.7109375" style="846" customWidth="1"/>
    <col min="9" max="9" width="2.28515625" style="846" customWidth="1"/>
    <col min="10" max="12" width="3.7109375" style="846" customWidth="1"/>
    <col min="13" max="13" width="2.28515625" style="846" customWidth="1"/>
    <col min="14" max="15" width="3.7109375" style="846" customWidth="1"/>
    <col min="16" max="16" width="2.28515625" style="846" customWidth="1"/>
    <col min="17" max="18" width="3.7109375" style="846" customWidth="1"/>
    <col min="19" max="19" width="2.28515625" style="846" customWidth="1"/>
    <col min="20" max="21" width="3.7109375" style="846" customWidth="1"/>
    <col min="22" max="22" width="2.28515625" style="846" customWidth="1"/>
    <col min="23" max="24" width="3.7109375" style="846" customWidth="1"/>
    <col min="25" max="25" width="2.28515625" style="846" customWidth="1"/>
    <col min="26" max="27" width="3.7109375" style="846" customWidth="1"/>
    <col min="28" max="28" width="2.28515625" style="846" customWidth="1"/>
    <col min="29" max="30" width="3.7109375" style="846" customWidth="1"/>
    <col min="31" max="31" width="2.28515625" style="846" customWidth="1"/>
    <col min="32" max="32" width="3.7109375" style="846" customWidth="1"/>
    <col min="33" max="33" width="9.7109375" style="846" customWidth="1"/>
    <col min="34" max="43" width="3.7109375" style="846" customWidth="1"/>
    <col min="44" max="44" width="11" style="846" customWidth="1"/>
    <col min="45" max="46" width="9.140625" style="846"/>
    <col min="47" max="47" width="24.42578125" style="846" customWidth="1"/>
    <col min="48" max="48" width="15.85546875" style="846" customWidth="1"/>
    <col min="49" max="49" width="14.28515625" style="846" bestFit="1" customWidth="1"/>
    <col min="50" max="50" width="9.7109375" style="846" bestFit="1" customWidth="1"/>
    <col min="51" max="51" width="10" style="846" customWidth="1"/>
    <col min="52" max="52" width="25" style="846" customWidth="1"/>
    <col min="53" max="53" width="6" style="846" customWidth="1"/>
    <col min="54" max="16384" width="9.140625" style="846"/>
  </cols>
  <sheetData>
    <row r="1" spans="1:53" ht="13.5" thickBot="1" x14ac:dyDescent="0.25">
      <c r="A1" s="842" t="s">
        <v>0</v>
      </c>
      <c r="B1" s="842"/>
      <c r="C1" s="842"/>
      <c r="D1" s="842"/>
      <c r="E1" s="842"/>
      <c r="F1" s="842"/>
      <c r="G1" s="842"/>
      <c r="H1" s="842"/>
      <c r="I1" s="842"/>
      <c r="J1" s="842"/>
      <c r="K1" s="842"/>
      <c r="L1" s="842"/>
      <c r="M1" s="842"/>
      <c r="N1" s="842"/>
      <c r="O1" s="842"/>
      <c r="P1" s="842"/>
      <c r="Q1" s="842"/>
      <c r="R1" s="842"/>
      <c r="S1" s="842"/>
      <c r="T1" s="842"/>
      <c r="U1" s="842"/>
      <c r="V1" s="842"/>
      <c r="W1" s="842"/>
      <c r="X1" s="842"/>
      <c r="Y1" s="842"/>
      <c r="Z1" s="842"/>
      <c r="AA1" s="842"/>
      <c r="AB1" s="842"/>
      <c r="AC1" s="842"/>
      <c r="AD1" s="842"/>
      <c r="AE1" s="842"/>
      <c r="AF1" s="842"/>
      <c r="AG1" s="843"/>
      <c r="AH1" s="843"/>
      <c r="AI1" s="843"/>
      <c r="AJ1" s="843"/>
      <c r="AK1" s="843"/>
      <c r="AL1" s="843"/>
      <c r="AM1" s="843"/>
      <c r="AN1" s="843"/>
      <c r="AO1" s="843"/>
      <c r="AP1" s="843"/>
      <c r="AQ1" s="843"/>
      <c r="AR1" s="844" t="s">
        <v>1127</v>
      </c>
      <c r="AS1" s="845"/>
      <c r="AT1" s="847" t="s">
        <v>2</v>
      </c>
      <c r="AU1" s="848"/>
      <c r="AV1" s="848"/>
      <c r="AW1" s="849"/>
      <c r="AX1" s="850" t="s">
        <v>3</v>
      </c>
      <c r="AY1" s="851"/>
      <c r="AZ1" s="852" t="s">
        <v>4</v>
      </c>
      <c r="BA1" s="853">
        <v>16</v>
      </c>
    </row>
    <row r="2" spans="1:53" ht="18.75" customHeight="1" thickBot="1" x14ac:dyDescent="0.3">
      <c r="A2" s="844"/>
      <c r="B2" s="854" t="s">
        <v>5</v>
      </c>
      <c r="C2" s="855"/>
      <c r="D2" s="855"/>
      <c r="E2" s="856"/>
      <c r="F2" s="856"/>
      <c r="G2" s="857"/>
      <c r="H2" s="856"/>
      <c r="I2" s="858"/>
      <c r="J2" s="859"/>
      <c r="K2" s="860"/>
      <c r="L2" s="860"/>
      <c r="M2" s="860"/>
      <c r="N2" s="860"/>
      <c r="O2" s="860"/>
      <c r="P2" s="860"/>
      <c r="Q2" s="860"/>
      <c r="R2" s="860"/>
      <c r="S2" s="860"/>
      <c r="T2" s="860"/>
      <c r="U2" s="861"/>
      <c r="V2" s="862" t="s">
        <v>7</v>
      </c>
      <c r="W2" s="863"/>
      <c r="X2" s="864"/>
      <c r="Y2" s="865"/>
      <c r="Z2" s="866"/>
      <c r="AA2" s="866"/>
      <c r="AB2" s="866"/>
      <c r="AC2" s="866"/>
      <c r="AD2" s="866"/>
      <c r="AE2" s="866"/>
      <c r="AF2" s="867"/>
      <c r="AG2" s="868"/>
      <c r="AH2" s="868"/>
      <c r="AI2" s="868"/>
      <c r="AJ2" s="868"/>
      <c r="AK2" s="868"/>
      <c r="AL2" s="868"/>
      <c r="AM2" s="868"/>
      <c r="AN2" s="868"/>
      <c r="AO2" s="868"/>
      <c r="AP2" s="868"/>
      <c r="AQ2" s="868"/>
      <c r="AR2" s="868"/>
      <c r="AS2" s="845"/>
      <c r="AT2" s="869" t="s">
        <v>9</v>
      </c>
      <c r="AU2" s="870" t="s">
        <v>10</v>
      </c>
      <c r="AV2" s="871" t="s">
        <v>11</v>
      </c>
      <c r="AW2" s="872" t="s">
        <v>12</v>
      </c>
      <c r="AX2" s="873" t="s">
        <v>13</v>
      </c>
      <c r="AY2" s="872" t="s">
        <v>14</v>
      </c>
      <c r="AZ2" s="852" t="s">
        <v>15</v>
      </c>
      <c r="BA2" s="853">
        <v>16</v>
      </c>
    </row>
    <row r="3" spans="1:53" ht="18.75" customHeight="1" thickBot="1" x14ac:dyDescent="0.3">
      <c r="A3" s="844"/>
      <c r="B3" s="874" t="s">
        <v>16</v>
      </c>
      <c r="C3" s="875"/>
      <c r="D3" s="876"/>
      <c r="E3" s="877"/>
      <c r="F3" s="877"/>
      <c r="G3" s="877"/>
      <c r="H3" s="877"/>
      <c r="I3" s="877"/>
      <c r="J3" s="877"/>
      <c r="K3" s="877"/>
      <c r="L3" s="878"/>
      <c r="M3" s="879" t="s">
        <v>18</v>
      </c>
      <c r="N3" s="880"/>
      <c r="O3" s="881"/>
      <c r="P3" s="882"/>
      <c r="Q3" s="883"/>
      <c r="R3" s="884"/>
      <c r="S3" s="884"/>
      <c r="T3" s="884"/>
      <c r="U3" s="885"/>
      <c r="V3" s="886" t="s">
        <v>19</v>
      </c>
      <c r="W3" s="887"/>
      <c r="X3" s="887"/>
      <c r="Y3" s="887"/>
      <c r="Z3" s="887"/>
      <c r="AA3" s="888"/>
      <c r="AB3" s="889"/>
      <c r="AC3" s="890" t="s">
        <v>20</v>
      </c>
      <c r="AD3" s="890"/>
      <c r="AE3" s="890" t="s">
        <v>21</v>
      </c>
      <c r="AF3" s="891"/>
      <c r="AG3" s="868"/>
      <c r="AH3" s="868"/>
      <c r="AI3" s="868"/>
      <c r="AJ3" s="868"/>
      <c r="AK3" s="868"/>
      <c r="AL3" s="868"/>
      <c r="AM3" s="868"/>
      <c r="AN3" s="868"/>
      <c r="AO3" s="868"/>
      <c r="AP3" s="868"/>
      <c r="AQ3" s="868"/>
      <c r="AR3" s="868"/>
      <c r="AS3" s="845"/>
      <c r="AT3" s="892">
        <v>1</v>
      </c>
      <c r="AU3" s="893" t="str">
        <f>'7tm Kidz AM r1'!B179</f>
        <v>C1VB Juniors Royal</v>
      </c>
      <c r="AV3" s="894" t="str">
        <f>'7tm Kidz AM r1'!H179</f>
        <v>fj2crone7pm</v>
      </c>
      <c r="AW3" s="895">
        <f>VLOOKUP(AV3,'7tm Kidz AM r1'!$AV$3:$AX$9,3,FALSE)</f>
        <v>1255.6934893512482</v>
      </c>
      <c r="AX3" s="896">
        <f t="shared" ref="AX3:AX9" si="0">VLOOKUP(AU3,AT$79:AU$180,2,FALSE)</f>
        <v>1232.4333282362945</v>
      </c>
      <c r="AY3" s="897">
        <f t="shared" ref="AY3:AY9" si="1">IF(ISNA(VLOOKUP(AU3,AT$182:AU$243,2,FALSE)),AX3,VLOOKUP(AU3,AT$182:AU$243,2,FALSE))</f>
        <v>1232.4333282362945</v>
      </c>
    </row>
    <row r="4" spans="1:53" ht="24" customHeight="1" thickBot="1" x14ac:dyDescent="0.25">
      <c r="A4" s="844"/>
      <c r="B4" s="898"/>
      <c r="C4" s="898"/>
      <c r="D4" s="899"/>
      <c r="E4" s="900"/>
      <c r="F4" s="901"/>
      <c r="G4" s="901"/>
      <c r="H4" s="902" t="s">
        <v>24</v>
      </c>
      <c r="I4" s="903"/>
      <c r="J4" s="904"/>
      <c r="K4" s="904"/>
      <c r="L4" s="904"/>
      <c r="M4" s="904"/>
      <c r="N4" s="905"/>
      <c r="O4" s="906"/>
      <c r="P4" s="906"/>
      <c r="Q4" s="906"/>
      <c r="R4" s="906"/>
      <c r="S4" s="906"/>
      <c r="T4" s="906"/>
      <c r="U4" s="907"/>
      <c r="V4" s="908" t="s">
        <v>27</v>
      </c>
      <c r="W4" s="909"/>
      <c r="X4" s="909"/>
      <c r="Y4" s="909"/>
      <c r="Z4" s="910"/>
      <c r="AA4" s="911"/>
      <c r="AB4" s="906"/>
      <c r="AC4" s="906"/>
      <c r="AD4" s="906"/>
      <c r="AE4" s="906"/>
      <c r="AF4" s="907"/>
      <c r="AG4" s="868"/>
      <c r="AH4" s="868"/>
      <c r="AI4" s="868"/>
      <c r="AJ4" s="868"/>
      <c r="AK4" s="868"/>
      <c r="AL4" s="868"/>
      <c r="AM4" s="868"/>
      <c r="AN4" s="868"/>
      <c r="AO4" s="868"/>
      <c r="AP4" s="868"/>
      <c r="AQ4" s="868"/>
      <c r="AR4" s="868"/>
      <c r="AS4" s="845"/>
      <c r="AT4" s="912">
        <v>2</v>
      </c>
      <c r="AU4" s="893" t="str">
        <f>'7tm Kidz AM r1'!V179</f>
        <v>Foothills Vanessa</v>
      </c>
      <c r="AV4" s="913" t="str">
        <f>'7tm Kidz AM r1'!AB179</f>
        <v>fj2footh2pm</v>
      </c>
      <c r="AW4" s="895">
        <f>VLOOKUP(AV4,'7tm Kidz AM r1'!$AV$3:$AX$9,3,FALSE)</f>
        <v>1182.2811686333052</v>
      </c>
      <c r="AX4" s="914">
        <f t="shared" si="0"/>
        <v>1164.88819190138</v>
      </c>
      <c r="AY4" s="897">
        <f t="shared" si="1"/>
        <v>1164.88819190138</v>
      </c>
    </row>
    <row r="5" spans="1:53" ht="15.75" thickBot="1" x14ac:dyDescent="0.25">
      <c r="A5" s="843" t="s">
        <v>30</v>
      </c>
      <c r="B5" s="915" t="s">
        <v>30</v>
      </c>
      <c r="C5" s="916"/>
      <c r="D5" s="916"/>
      <c r="E5" s="916"/>
      <c r="F5" s="916"/>
      <c r="G5" s="916"/>
      <c r="H5" s="916"/>
      <c r="I5" s="916"/>
      <c r="J5" s="916"/>
      <c r="K5" s="917"/>
      <c r="L5" s="918" t="s">
        <v>30</v>
      </c>
      <c r="M5" s="918"/>
      <c r="N5" s="918"/>
      <c r="O5" s="918"/>
      <c r="P5" s="918"/>
      <c r="Q5" s="918"/>
      <c r="R5" s="918"/>
      <c r="S5" s="918"/>
      <c r="T5" s="918"/>
      <c r="U5" s="918"/>
      <c r="V5" s="918"/>
      <c r="W5" s="918"/>
      <c r="X5" s="918"/>
      <c r="Y5" s="918"/>
      <c r="Z5" s="918"/>
      <c r="AA5" s="918"/>
      <c r="AB5" s="918"/>
      <c r="AC5" s="918"/>
      <c r="AD5" s="918"/>
      <c r="AE5" s="918"/>
      <c r="AF5" s="918"/>
      <c r="AG5" s="843"/>
      <c r="AH5" s="843"/>
      <c r="AI5" s="843"/>
      <c r="AJ5" s="843"/>
      <c r="AK5" s="843"/>
      <c r="AL5" s="843"/>
      <c r="AM5" s="843"/>
      <c r="AN5" s="843"/>
      <c r="AO5" s="843"/>
      <c r="AP5" s="843"/>
      <c r="AQ5" s="843"/>
      <c r="AR5" s="843"/>
      <c r="AS5" s="845"/>
      <c r="AT5" s="912">
        <v>3</v>
      </c>
      <c r="AU5" s="893" t="str">
        <f>'7tm Kidz AM r1'!V180</f>
        <v>C1VB Juniors Grey</v>
      </c>
      <c r="AV5" s="913" t="str">
        <f>'7tm Kidz AM r1'!AB180</f>
        <v>fj2crone8pm</v>
      </c>
      <c r="AW5" s="895">
        <f>VLOOKUP(AV5,'7tm Kidz AM r1'!$AV$3:$AX$9,3,FALSE)</f>
        <v>1116.8090840774478</v>
      </c>
      <c r="AX5" s="914">
        <f t="shared" si="0"/>
        <v>1107.1369587677066</v>
      </c>
      <c r="AY5" s="897">
        <f t="shared" si="1"/>
        <v>1107.1369587677066</v>
      </c>
    </row>
    <row r="6" spans="1:53" ht="24" customHeight="1" thickBot="1" x14ac:dyDescent="0.25">
      <c r="A6" s="919" t="s">
        <v>33</v>
      </c>
      <c r="B6" s="920" t="s">
        <v>34</v>
      </c>
      <c r="C6" s="921" t="s">
        <v>35</v>
      </c>
      <c r="D6" s="922"/>
      <c r="E6" s="922"/>
      <c r="F6" s="922"/>
      <c r="G6" s="922"/>
      <c r="H6" s="923"/>
      <c r="I6" s="924">
        <v>1</v>
      </c>
      <c r="J6" s="925"/>
      <c r="K6" s="926" t="str">
        <f>"Pool "&amp;B6&amp;" - Round 1 - Court "&amp;I6</f>
        <v>Pool A - Round 1 - Court 1</v>
      </c>
      <c r="L6" s="927"/>
      <c r="M6" s="927"/>
      <c r="N6" s="927"/>
      <c r="O6" s="927"/>
      <c r="P6" s="927"/>
      <c r="Q6" s="927"/>
      <c r="R6" s="927"/>
      <c r="S6" s="927"/>
      <c r="T6" s="927"/>
      <c r="U6" s="927"/>
      <c r="V6" s="927"/>
      <c r="W6" s="927"/>
      <c r="X6" s="927"/>
      <c r="Y6" s="927"/>
      <c r="Z6" s="927"/>
      <c r="AA6" s="927"/>
      <c r="AB6" s="927"/>
      <c r="AC6" s="927"/>
      <c r="AD6" s="927"/>
      <c r="AE6" s="927"/>
      <c r="AF6" s="927"/>
      <c r="AG6" s="927"/>
      <c r="AH6" s="927"/>
      <c r="AI6" s="927"/>
      <c r="AJ6" s="928"/>
      <c r="AK6" s="868"/>
      <c r="AL6" s="868"/>
      <c r="AM6" s="868"/>
      <c r="AN6" s="868"/>
      <c r="AO6" s="868"/>
      <c r="AP6" s="868"/>
      <c r="AQ6" s="868"/>
      <c r="AR6" s="868"/>
      <c r="AT6" s="912">
        <v>4</v>
      </c>
      <c r="AU6" s="929" t="str">
        <f>'7tm Kidz AM r1'!B180</f>
        <v>SC Midlands KP Boys</v>
      </c>
      <c r="AV6" s="913" t="str">
        <f>'7tm Kidz AM r1'!H180</f>
        <v>fj2scmid3pm</v>
      </c>
      <c r="AW6" s="895">
        <f>VLOOKUP(AV6,'7tm Kidz AM r1'!$AV$3:$AX$9,3,FALSE)</f>
        <v>1314.2550386408398</v>
      </c>
      <c r="AX6" s="914">
        <f t="shared" si="0"/>
        <v>1332.4149795123046</v>
      </c>
      <c r="AY6" s="897">
        <f t="shared" si="1"/>
        <v>1332.4149795123046</v>
      </c>
    </row>
    <row r="7" spans="1:53" ht="27" customHeight="1" thickBot="1" x14ac:dyDescent="0.25">
      <c r="A7" s="930" t="s">
        <v>38</v>
      </c>
      <c r="B7" s="902" t="s">
        <v>10</v>
      </c>
      <c r="C7" s="931"/>
      <c r="D7" s="931"/>
      <c r="E7" s="931"/>
      <c r="F7" s="931"/>
      <c r="G7" s="931"/>
      <c r="H7" s="931"/>
      <c r="I7" s="931"/>
      <c r="J7" s="931"/>
      <c r="K7" s="931"/>
      <c r="L7" s="931"/>
      <c r="M7" s="902" t="str">
        <f>IF($AL10=0,"Games Won","Matches Won")</f>
        <v>Matches Won</v>
      </c>
      <c r="N7" s="931"/>
      <c r="O7" s="931"/>
      <c r="P7" s="931"/>
      <c r="Q7" s="931"/>
      <c r="R7" s="932"/>
      <c r="S7" s="902" t="str">
        <f>IF($AL10=0,"Games Lost","Matches Lost")</f>
        <v>Matches Lost</v>
      </c>
      <c r="T7" s="933"/>
      <c r="U7" s="933"/>
      <c r="V7" s="933"/>
      <c r="W7" s="934"/>
      <c r="X7" s="935" t="s">
        <v>39</v>
      </c>
      <c r="Y7" s="936"/>
      <c r="Z7" s="937"/>
      <c r="AA7" s="935" t="s">
        <v>40</v>
      </c>
      <c r="AB7" s="936"/>
      <c r="AC7" s="937"/>
      <c r="AD7" s="938" t="s">
        <v>41</v>
      </c>
      <c r="AE7" s="939"/>
      <c r="AF7" s="940"/>
      <c r="AG7" s="941" t="s">
        <v>42</v>
      </c>
      <c r="AH7" s="942" t="s">
        <v>9</v>
      </c>
      <c r="AI7" s="943" t="s">
        <v>43</v>
      </c>
      <c r="AJ7" s="944"/>
      <c r="AK7" s="945"/>
      <c r="AL7" s="946">
        <v>1</v>
      </c>
      <c r="AM7" s="947" t="s">
        <v>44</v>
      </c>
      <c r="AN7" s="947"/>
      <c r="AO7" s="947"/>
      <c r="AP7" s="947"/>
      <c r="AQ7" s="947"/>
      <c r="AR7" s="947"/>
      <c r="AS7" s="948"/>
      <c r="AT7" s="912">
        <v>5</v>
      </c>
      <c r="AU7" s="929" t="str">
        <f>'7tm Kidz AM r1'!L180</f>
        <v>SC Midlands KP White</v>
      </c>
      <c r="AV7" s="913" t="str">
        <f>'7tm Kidz AM r1'!R180</f>
        <v>fj2scmid2pm</v>
      </c>
      <c r="AW7" s="895">
        <f>VLOOKUP(AV7,'7tm Kidz AM r1'!$AV$3:$AX$9,3,FALSE)</f>
        <v>1210.7113361544355</v>
      </c>
      <c r="AX7" s="914">
        <f t="shared" si="0"/>
        <v>1206.7266798132362</v>
      </c>
      <c r="AY7" s="897">
        <f t="shared" si="1"/>
        <v>1206.7266798132362</v>
      </c>
    </row>
    <row r="8" spans="1:53" ht="18.75" customHeight="1" x14ac:dyDescent="0.2">
      <c r="A8" s="949" t="str">
        <f>IF($AL9&gt;0,"1","")</f>
        <v>1</v>
      </c>
      <c r="B8" s="950" t="s">
        <v>10</v>
      </c>
      <c r="C8" s="951"/>
      <c r="D8" s="952"/>
      <c r="E8" s="953" t="str">
        <f>AU3</f>
        <v>C1VB Juniors Royal</v>
      </c>
      <c r="F8" s="954"/>
      <c r="G8" s="954"/>
      <c r="H8" s="954"/>
      <c r="I8" s="954"/>
      <c r="J8" s="954"/>
      <c r="K8" s="954"/>
      <c r="L8" s="955"/>
      <c r="M8" s="956">
        <f>IF($AL10=0,AG64,AG46)</f>
        <v>0</v>
      </c>
      <c r="N8" s="957"/>
      <c r="O8" s="957"/>
      <c r="P8" s="957"/>
      <c r="Q8" s="957"/>
      <c r="R8" s="932"/>
      <c r="S8" s="956">
        <f>IF($AL10=0,AH64,AH46)</f>
        <v>3</v>
      </c>
      <c r="T8" s="957"/>
      <c r="U8" s="957"/>
      <c r="V8" s="957"/>
      <c r="W8" s="957"/>
      <c r="X8" s="956">
        <f>AR24</f>
        <v>-24</v>
      </c>
      <c r="Y8" s="957"/>
      <c r="Z8" s="957"/>
      <c r="AA8" s="958">
        <f>IF(AG58&gt;0,(AR24/AG58),0)</f>
        <v>-0.27272727272727271</v>
      </c>
      <c r="AB8" s="959"/>
      <c r="AC8" s="959"/>
      <c r="AD8" s="960">
        <f>IF(AG72=0,0,(AG64/AG72))</f>
        <v>0</v>
      </c>
      <c r="AE8" s="961"/>
      <c r="AF8" s="962"/>
      <c r="AG8" s="963">
        <v>4</v>
      </c>
      <c r="AH8" s="963">
        <v>1</v>
      </c>
      <c r="AI8" s="964"/>
      <c r="AJ8" s="965"/>
      <c r="AK8" s="945"/>
      <c r="AL8" s="946">
        <v>6</v>
      </c>
      <c r="AM8" s="947" t="s">
        <v>47</v>
      </c>
      <c r="AN8" s="947"/>
      <c r="AO8" s="947"/>
      <c r="AP8" s="947"/>
      <c r="AQ8" s="947"/>
      <c r="AR8" s="947"/>
      <c r="AS8" s="948"/>
      <c r="AT8" s="912">
        <v>6</v>
      </c>
      <c r="AU8" s="929" t="str">
        <f>'7tm Kidz AM r1'!AF179</f>
        <v>MOTO 12'1</v>
      </c>
      <c r="AV8" s="913" t="str">
        <f>'7tm Kidz AM r1'!AL179</f>
        <v>fj1motoj1pm</v>
      </c>
      <c r="AW8" s="895">
        <f>VLOOKUP(AV8,'7tm Kidz AM r1'!$AV$3:$AX$9,3,FALSE)</f>
        <v>1189.7914904865811</v>
      </c>
      <c r="AX8" s="914">
        <f t="shared" si="0"/>
        <v>1216.8565925282476</v>
      </c>
      <c r="AY8" s="897">
        <f t="shared" si="1"/>
        <v>1216.8565925282476</v>
      </c>
    </row>
    <row r="9" spans="1:53" ht="18.75" customHeight="1" thickBot="1" x14ac:dyDescent="0.25">
      <c r="A9" s="966"/>
      <c r="B9" s="967" t="s">
        <v>11</v>
      </c>
      <c r="C9" s="968"/>
      <c r="D9" s="969"/>
      <c r="E9" s="970" t="str">
        <f>AV3</f>
        <v>fj2crone7pm</v>
      </c>
      <c r="F9" s="971"/>
      <c r="G9" s="971"/>
      <c r="H9" s="971"/>
      <c r="I9" s="971"/>
      <c r="J9" s="971"/>
      <c r="K9" s="971"/>
      <c r="L9" s="971"/>
      <c r="M9" s="972"/>
      <c r="N9" s="973"/>
      <c r="O9" s="973"/>
      <c r="P9" s="973"/>
      <c r="Q9" s="973"/>
      <c r="R9" s="932"/>
      <c r="S9" s="972"/>
      <c r="T9" s="973"/>
      <c r="U9" s="973"/>
      <c r="V9" s="973"/>
      <c r="W9" s="973"/>
      <c r="X9" s="972"/>
      <c r="Y9" s="973"/>
      <c r="Z9" s="973"/>
      <c r="AA9" s="974"/>
      <c r="AB9" s="975"/>
      <c r="AC9" s="975"/>
      <c r="AD9" s="976"/>
      <c r="AE9" s="977"/>
      <c r="AF9" s="978"/>
      <c r="AG9" s="979"/>
      <c r="AH9" s="979"/>
      <c r="AI9" s="980"/>
      <c r="AJ9" s="981"/>
      <c r="AK9" s="945"/>
      <c r="AL9" s="946">
        <v>4</v>
      </c>
      <c r="AM9" s="947" t="s">
        <v>50</v>
      </c>
      <c r="AN9" s="945"/>
      <c r="AO9" s="945"/>
      <c r="AP9" s="945"/>
      <c r="AQ9" s="945"/>
      <c r="AR9" s="945"/>
      <c r="AS9" s="845"/>
      <c r="AT9" s="912">
        <v>7</v>
      </c>
      <c r="AU9" s="929" t="str">
        <f>'7tm Kidz AM r1'!L179</f>
        <v>Intense kids power col</v>
      </c>
      <c r="AV9" s="913" t="str">
        <f>'7tm Kidz AM r1'!R179</f>
        <v>fj2inten3pm</v>
      </c>
      <c r="AW9" s="895">
        <f>VLOOKUP(AV9,'7tm Kidz AM r1'!$AV$3:$AX$9,3,FALSE)</f>
        <v>1243.8891049954495</v>
      </c>
      <c r="AX9" s="914">
        <f t="shared" si="0"/>
        <v>1252.9739815801377</v>
      </c>
      <c r="AY9" s="897">
        <f t="shared" si="1"/>
        <v>1252.9739815801377</v>
      </c>
    </row>
    <row r="10" spans="1:53" ht="18.75" customHeight="1" x14ac:dyDescent="0.2">
      <c r="A10" s="949" t="str">
        <f>IF($AL9&gt;1,"2","")</f>
        <v>2</v>
      </c>
      <c r="B10" s="950" t="s">
        <v>10</v>
      </c>
      <c r="C10" s="951"/>
      <c r="D10" s="952"/>
      <c r="E10" s="953" t="str">
        <f>AU6</f>
        <v>SC Midlands KP Boys</v>
      </c>
      <c r="F10" s="954"/>
      <c r="G10" s="954"/>
      <c r="H10" s="954"/>
      <c r="I10" s="954"/>
      <c r="J10" s="954"/>
      <c r="K10" s="954"/>
      <c r="L10" s="955"/>
      <c r="M10" s="956">
        <f>IF($AL10=0,AG65,AG47)</f>
        <v>3</v>
      </c>
      <c r="N10" s="957"/>
      <c r="O10" s="957"/>
      <c r="P10" s="957"/>
      <c r="Q10" s="957"/>
      <c r="R10" s="932"/>
      <c r="S10" s="956">
        <f>IF($AL10=0,AH65,AH47)</f>
        <v>0</v>
      </c>
      <c r="T10" s="957"/>
      <c r="U10" s="957"/>
      <c r="V10" s="957"/>
      <c r="W10" s="957"/>
      <c r="X10" s="956">
        <f>AR25</f>
        <v>23</v>
      </c>
      <c r="Y10" s="957"/>
      <c r="Z10" s="957"/>
      <c r="AA10" s="958">
        <f>IF(AG59&gt;0,(AR25/AG59),0)</f>
        <v>0.26136363636363635</v>
      </c>
      <c r="AB10" s="959"/>
      <c r="AC10" s="959"/>
      <c r="AD10" s="960">
        <f>IF(AG73=0,0,(AG65/AG73))</f>
        <v>1</v>
      </c>
      <c r="AE10" s="961"/>
      <c r="AF10" s="962"/>
      <c r="AG10" s="963">
        <v>1</v>
      </c>
      <c r="AH10" s="963">
        <v>1</v>
      </c>
      <c r="AI10" s="964"/>
      <c r="AJ10" s="965"/>
      <c r="AK10" s="945"/>
      <c r="AL10" s="946">
        <v>1</v>
      </c>
      <c r="AM10" s="947" t="s">
        <v>53</v>
      </c>
      <c r="AN10" s="947"/>
      <c r="AO10" s="947"/>
      <c r="AP10" s="947"/>
      <c r="AQ10" s="947"/>
      <c r="AR10" s="947"/>
      <c r="AS10" s="948"/>
      <c r="AT10" s="982"/>
      <c r="AU10" s="983"/>
      <c r="AV10" s="984"/>
      <c r="AW10" s="985"/>
      <c r="AX10" s="986"/>
      <c r="AY10" s="987"/>
    </row>
    <row r="11" spans="1:53" ht="18.75" customHeight="1" thickBot="1" x14ac:dyDescent="0.25">
      <c r="A11" s="966"/>
      <c r="B11" s="988" t="s">
        <v>11</v>
      </c>
      <c r="C11" s="989"/>
      <c r="D11" s="989"/>
      <c r="E11" s="970" t="str">
        <f>AV6</f>
        <v>fj2scmid3pm</v>
      </c>
      <c r="F11" s="971"/>
      <c r="G11" s="971"/>
      <c r="H11" s="971"/>
      <c r="I11" s="971"/>
      <c r="J11" s="971"/>
      <c r="K11" s="971"/>
      <c r="L11" s="971"/>
      <c r="M11" s="972"/>
      <c r="N11" s="973"/>
      <c r="O11" s="973"/>
      <c r="P11" s="973"/>
      <c r="Q11" s="973"/>
      <c r="R11" s="932"/>
      <c r="S11" s="972"/>
      <c r="T11" s="973"/>
      <c r="U11" s="973"/>
      <c r="V11" s="973"/>
      <c r="W11" s="973"/>
      <c r="X11" s="972"/>
      <c r="Y11" s="973"/>
      <c r="Z11" s="973"/>
      <c r="AA11" s="974"/>
      <c r="AB11" s="975"/>
      <c r="AC11" s="975"/>
      <c r="AD11" s="976"/>
      <c r="AE11" s="977"/>
      <c r="AF11" s="978"/>
      <c r="AG11" s="979"/>
      <c r="AH11" s="979"/>
      <c r="AI11" s="980"/>
      <c r="AJ11" s="981"/>
      <c r="AK11" s="945"/>
      <c r="AL11" s="946">
        <v>1</v>
      </c>
      <c r="AM11" s="947" t="s">
        <v>56</v>
      </c>
      <c r="AN11" s="945"/>
      <c r="AO11" s="945"/>
      <c r="AP11" s="945"/>
      <c r="AQ11" s="945"/>
      <c r="AR11" s="945"/>
      <c r="AS11" s="845"/>
      <c r="AT11" s="982"/>
      <c r="AU11" s="983"/>
      <c r="AV11" s="984"/>
      <c r="AW11" s="985"/>
      <c r="AX11" s="986"/>
      <c r="AY11" s="987"/>
    </row>
    <row r="12" spans="1:53" ht="18.75" customHeight="1" thickBot="1" x14ac:dyDescent="0.25">
      <c r="A12" s="949" t="str">
        <f>IF($AL9&gt;2,"3","")</f>
        <v>3</v>
      </c>
      <c r="B12" s="990" t="s">
        <v>10</v>
      </c>
      <c r="C12" s="991"/>
      <c r="D12" s="991"/>
      <c r="E12" s="953" t="str">
        <f>AU7</f>
        <v>SC Midlands KP White</v>
      </c>
      <c r="F12" s="954"/>
      <c r="G12" s="954"/>
      <c r="H12" s="954"/>
      <c r="I12" s="954"/>
      <c r="J12" s="954"/>
      <c r="K12" s="954"/>
      <c r="L12" s="955"/>
      <c r="M12" s="956">
        <f>IF($AL10=0,AG66,AG48)</f>
        <v>1</v>
      </c>
      <c r="N12" s="957"/>
      <c r="O12" s="957"/>
      <c r="P12" s="957"/>
      <c r="Q12" s="957"/>
      <c r="R12" s="932"/>
      <c r="S12" s="956">
        <f>IF($AL10=0,AH66,AH48)</f>
        <v>2</v>
      </c>
      <c r="T12" s="957"/>
      <c r="U12" s="957"/>
      <c r="V12" s="957"/>
      <c r="W12" s="957"/>
      <c r="X12" s="956">
        <f>AR26</f>
        <v>-23</v>
      </c>
      <c r="Y12" s="957"/>
      <c r="Z12" s="957"/>
      <c r="AA12" s="958">
        <f>IF(AG60&gt;0,(AR26/AG60),0)</f>
        <v>-0.26436781609195403</v>
      </c>
      <c r="AB12" s="959"/>
      <c r="AC12" s="959"/>
      <c r="AD12" s="960">
        <f>IF(AG74=0,0,(AG66/AG74))</f>
        <v>0.33333333333333331</v>
      </c>
      <c r="AE12" s="961"/>
      <c r="AF12" s="962"/>
      <c r="AG12" s="963">
        <v>3</v>
      </c>
      <c r="AH12" s="963">
        <v>1</v>
      </c>
      <c r="AI12" s="964"/>
      <c r="AJ12" s="965"/>
      <c r="AK12" s="992"/>
      <c r="AL12" s="946">
        <v>3</v>
      </c>
      <c r="AM12" s="993" t="s">
        <v>59</v>
      </c>
      <c r="AN12" s="947"/>
      <c r="AO12" s="947"/>
      <c r="AP12" s="947"/>
      <c r="AQ12" s="947"/>
      <c r="AR12" s="947"/>
      <c r="AS12" s="948"/>
      <c r="AT12" s="994"/>
      <c r="AU12" s="995"/>
      <c r="AV12" s="996"/>
      <c r="AW12" s="997"/>
      <c r="AX12" s="998"/>
      <c r="AY12" s="999"/>
    </row>
    <row r="13" spans="1:53" ht="18.75" customHeight="1" thickBot="1" x14ac:dyDescent="0.25">
      <c r="A13" s="966"/>
      <c r="B13" s="988" t="s">
        <v>11</v>
      </c>
      <c r="C13" s="989"/>
      <c r="D13" s="989"/>
      <c r="E13" s="970" t="str">
        <f>AV7</f>
        <v>fj2scmid2pm</v>
      </c>
      <c r="F13" s="971"/>
      <c r="G13" s="971"/>
      <c r="H13" s="971"/>
      <c r="I13" s="971"/>
      <c r="J13" s="971"/>
      <c r="K13" s="971"/>
      <c r="L13" s="971"/>
      <c r="M13" s="972"/>
      <c r="N13" s="973"/>
      <c r="O13" s="973"/>
      <c r="P13" s="973"/>
      <c r="Q13" s="973"/>
      <c r="R13" s="932"/>
      <c r="S13" s="972"/>
      <c r="T13" s="973"/>
      <c r="U13" s="973"/>
      <c r="V13" s="973"/>
      <c r="W13" s="973"/>
      <c r="X13" s="972"/>
      <c r="Y13" s="973"/>
      <c r="Z13" s="973"/>
      <c r="AA13" s="974"/>
      <c r="AB13" s="975"/>
      <c r="AC13" s="975"/>
      <c r="AD13" s="976"/>
      <c r="AE13" s="977"/>
      <c r="AF13" s="978"/>
      <c r="AG13" s="979"/>
      <c r="AH13" s="979"/>
      <c r="AI13" s="980"/>
      <c r="AJ13" s="981"/>
      <c r="AK13" s="992"/>
      <c r="AL13" s="1000"/>
      <c r="AM13" s="1001"/>
      <c r="AN13" s="1001"/>
      <c r="AO13" s="1001"/>
      <c r="AP13" s="1001"/>
      <c r="AQ13" s="1001"/>
      <c r="AR13" s="945"/>
      <c r="AS13" s="845"/>
      <c r="AT13" s="1002" t="s">
        <v>62</v>
      </c>
      <c r="AU13" s="1003"/>
      <c r="AV13" s="1003"/>
      <c r="AW13" s="1003"/>
      <c r="AX13" s="1003"/>
      <c r="AY13" s="1004"/>
    </row>
    <row r="14" spans="1:53" ht="18.75" customHeight="1" thickBot="1" x14ac:dyDescent="0.25">
      <c r="A14" s="949" t="str">
        <f>IF($AL9&gt;3,"4","")</f>
        <v>4</v>
      </c>
      <c r="B14" s="990" t="s">
        <v>10</v>
      </c>
      <c r="C14" s="991"/>
      <c r="D14" s="991"/>
      <c r="E14" s="953" t="str">
        <f>AU9</f>
        <v>Intense kids power col</v>
      </c>
      <c r="F14" s="954"/>
      <c r="G14" s="954"/>
      <c r="H14" s="954"/>
      <c r="I14" s="954"/>
      <c r="J14" s="954"/>
      <c r="K14" s="954"/>
      <c r="L14" s="955"/>
      <c r="M14" s="956">
        <f>IF($AL10=0,AG67,AG49)</f>
        <v>2</v>
      </c>
      <c r="N14" s="957"/>
      <c r="O14" s="957"/>
      <c r="P14" s="957"/>
      <c r="Q14" s="957"/>
      <c r="R14" s="932"/>
      <c r="S14" s="956">
        <f>IF($AL10=0,AH67,AH49)</f>
        <v>1</v>
      </c>
      <c r="T14" s="957"/>
      <c r="U14" s="957"/>
      <c r="V14" s="957"/>
      <c r="W14" s="957"/>
      <c r="X14" s="956">
        <f>AR27</f>
        <v>24</v>
      </c>
      <c r="Y14" s="957"/>
      <c r="Z14" s="957"/>
      <c r="AA14" s="958">
        <f>IF(AG61&gt;0,(AR27/AG61),0)</f>
        <v>0.26373626373626374</v>
      </c>
      <c r="AB14" s="959"/>
      <c r="AC14" s="959"/>
      <c r="AD14" s="960">
        <f>IF(AG75=0,0,(AG67/AG75))</f>
        <v>0.66666666666666663</v>
      </c>
      <c r="AE14" s="961"/>
      <c r="AF14" s="962"/>
      <c r="AG14" s="963">
        <v>2</v>
      </c>
      <c r="AH14" s="963">
        <v>1</v>
      </c>
      <c r="AI14" s="964"/>
      <c r="AJ14" s="965"/>
      <c r="AK14" s="868"/>
      <c r="AL14" s="1001"/>
      <c r="AM14" s="1001"/>
      <c r="AN14" s="1001"/>
      <c r="AO14" s="1001"/>
      <c r="AP14" s="1001"/>
      <c r="AQ14" s="1001"/>
      <c r="AR14" s="947"/>
      <c r="AS14" s="948"/>
      <c r="AT14" s="1005"/>
      <c r="AU14" s="1006"/>
      <c r="AV14" s="1006"/>
      <c r="AW14" s="1006"/>
      <c r="AX14" s="1006"/>
      <c r="AY14" s="1007"/>
    </row>
    <row r="15" spans="1:53" ht="18.75" customHeight="1" thickBot="1" x14ac:dyDescent="0.25">
      <c r="A15" s="966"/>
      <c r="B15" s="988" t="s">
        <v>11</v>
      </c>
      <c r="C15" s="989"/>
      <c r="D15" s="989"/>
      <c r="E15" s="970" t="str">
        <f>AV9</f>
        <v>fj2inten3pm</v>
      </c>
      <c r="F15" s="971"/>
      <c r="G15" s="971"/>
      <c r="H15" s="971"/>
      <c r="I15" s="971"/>
      <c r="J15" s="971"/>
      <c r="K15" s="971"/>
      <c r="L15" s="971"/>
      <c r="M15" s="972"/>
      <c r="N15" s="973"/>
      <c r="O15" s="973"/>
      <c r="P15" s="973"/>
      <c r="Q15" s="973"/>
      <c r="R15" s="932"/>
      <c r="S15" s="972"/>
      <c r="T15" s="973"/>
      <c r="U15" s="973"/>
      <c r="V15" s="973"/>
      <c r="W15" s="973"/>
      <c r="X15" s="972"/>
      <c r="Y15" s="973"/>
      <c r="Z15" s="973"/>
      <c r="AA15" s="974"/>
      <c r="AB15" s="975"/>
      <c r="AC15" s="975"/>
      <c r="AD15" s="976"/>
      <c r="AE15" s="977"/>
      <c r="AF15" s="978"/>
      <c r="AG15" s="979"/>
      <c r="AH15" s="979"/>
      <c r="AI15" s="980"/>
      <c r="AJ15" s="981"/>
      <c r="AK15" s="868"/>
      <c r="AL15" s="1001"/>
      <c r="AM15" s="1001"/>
      <c r="AN15" s="1001"/>
      <c r="AO15" s="1001"/>
      <c r="AP15" s="1001"/>
      <c r="AQ15" s="1001"/>
      <c r="AR15" s="868"/>
      <c r="AS15" s="845"/>
    </row>
    <row r="16" spans="1:53" ht="18.75" customHeight="1" x14ac:dyDescent="0.2">
      <c r="A16" s="949" t="str">
        <f>IF($AL9&gt;4,"5","")</f>
        <v/>
      </c>
      <c r="B16" s="990" t="s">
        <v>10</v>
      </c>
      <c r="C16" s="991"/>
      <c r="D16" s="991"/>
      <c r="E16" s="953">
        <f>AU11</f>
        <v>0</v>
      </c>
      <c r="F16" s="954"/>
      <c r="G16" s="954"/>
      <c r="H16" s="954"/>
      <c r="I16" s="954"/>
      <c r="J16" s="954"/>
      <c r="K16" s="954"/>
      <c r="L16" s="955"/>
      <c r="M16" s="956">
        <f>IF($AL10=0,AG68,AG50)</f>
        <v>0</v>
      </c>
      <c r="N16" s="957"/>
      <c r="O16" s="957"/>
      <c r="P16" s="957"/>
      <c r="Q16" s="957"/>
      <c r="R16" s="932"/>
      <c r="S16" s="956">
        <f>IF($AL10=0,AH68,AH50)</f>
        <v>0</v>
      </c>
      <c r="T16" s="957"/>
      <c r="U16" s="957"/>
      <c r="V16" s="957"/>
      <c r="W16" s="957"/>
      <c r="X16" s="956">
        <f>AR28</f>
        <v>0</v>
      </c>
      <c r="Y16" s="957"/>
      <c r="Z16" s="957"/>
      <c r="AA16" s="958">
        <f>IF(AG62&gt;0,(AR28/AG62),0)</f>
        <v>0</v>
      </c>
      <c r="AB16" s="959"/>
      <c r="AC16" s="959"/>
      <c r="AD16" s="960">
        <f>IF(AG76=0,0,(AG68/AG76))</f>
        <v>0</v>
      </c>
      <c r="AE16" s="961"/>
      <c r="AF16" s="962"/>
      <c r="AG16" s="963"/>
      <c r="AH16" s="963"/>
      <c r="AI16" s="964"/>
      <c r="AJ16" s="965"/>
      <c r="AK16" s="868"/>
      <c r="AL16" s="1001"/>
      <c r="AM16" s="1001"/>
      <c r="AN16" s="1001"/>
      <c r="AO16" s="1001"/>
      <c r="AP16" s="1001"/>
      <c r="AQ16" s="1001"/>
      <c r="AR16" s="868"/>
      <c r="AS16" s="845"/>
      <c r="AT16" s="1008"/>
      <c r="AU16" s="1008"/>
    </row>
    <row r="17" spans="1:47" ht="18.75" customHeight="1" thickBot="1" x14ac:dyDescent="0.25">
      <c r="A17" s="966"/>
      <c r="B17" s="1009" t="s">
        <v>11</v>
      </c>
      <c r="C17" s="1010"/>
      <c r="D17" s="1010"/>
      <c r="E17" s="1011">
        <f>AV11</f>
        <v>0</v>
      </c>
      <c r="F17" s="1012"/>
      <c r="G17" s="1012"/>
      <c r="H17" s="1012"/>
      <c r="I17" s="1012"/>
      <c r="J17" s="1012"/>
      <c r="K17" s="1012"/>
      <c r="L17" s="1012"/>
      <c r="M17" s="1013"/>
      <c r="N17" s="1014"/>
      <c r="O17" s="1014"/>
      <c r="P17" s="1014"/>
      <c r="Q17" s="1014"/>
      <c r="R17" s="932"/>
      <c r="S17" s="972"/>
      <c r="T17" s="973"/>
      <c r="U17" s="973"/>
      <c r="V17" s="973"/>
      <c r="W17" s="973"/>
      <c r="X17" s="972"/>
      <c r="Y17" s="973"/>
      <c r="Z17" s="973"/>
      <c r="AA17" s="974"/>
      <c r="AB17" s="975"/>
      <c r="AC17" s="975"/>
      <c r="AD17" s="976"/>
      <c r="AE17" s="977"/>
      <c r="AF17" s="978"/>
      <c r="AG17" s="979"/>
      <c r="AH17" s="1015"/>
      <c r="AI17" s="980"/>
      <c r="AJ17" s="981"/>
      <c r="AK17" s="868"/>
      <c r="AL17" s="1001"/>
      <c r="AM17" s="1001"/>
      <c r="AN17" s="1001"/>
      <c r="AO17" s="1001"/>
      <c r="AP17" s="1001"/>
      <c r="AQ17" s="1001"/>
      <c r="AR17" s="868"/>
      <c r="AS17" s="845"/>
      <c r="AT17" s="1008"/>
      <c r="AU17" s="1008"/>
    </row>
    <row r="18" spans="1:47" ht="21" customHeight="1" thickTop="1" thickBot="1" x14ac:dyDescent="0.25">
      <c r="A18" s="1016"/>
      <c r="B18" s="1017" t="s">
        <v>1128</v>
      </c>
      <c r="C18" s="1018"/>
      <c r="D18" s="1018"/>
      <c r="E18" s="1018"/>
      <c r="F18" s="1018"/>
      <c r="G18" s="1018"/>
      <c r="H18" s="1018"/>
      <c r="I18" s="1018"/>
      <c r="J18" s="1018"/>
      <c r="K18" s="1018"/>
      <c r="L18" s="1018"/>
      <c r="M18" s="1018"/>
      <c r="N18" s="1018"/>
      <c r="O18" s="1018"/>
      <c r="P18" s="1018"/>
      <c r="Q18" s="1018"/>
      <c r="R18" s="1018"/>
      <c r="S18" s="1018"/>
      <c r="T18" s="1018"/>
      <c r="U18" s="1018"/>
      <c r="V18" s="1018"/>
      <c r="W18" s="1018"/>
      <c r="X18" s="1018"/>
      <c r="Y18" s="1018"/>
      <c r="Z18" s="1018"/>
      <c r="AA18" s="1018"/>
      <c r="AB18" s="1018"/>
      <c r="AC18" s="1018"/>
      <c r="AD18" s="1018"/>
      <c r="AE18" s="1018"/>
      <c r="AF18" s="1018"/>
      <c r="AG18" s="1018"/>
      <c r="AH18" s="1018"/>
      <c r="AI18" s="1018"/>
      <c r="AJ18" s="1019"/>
      <c r="AK18" s="868"/>
      <c r="AL18" s="1001"/>
      <c r="AM18" s="1001"/>
      <c r="AN18" s="1001"/>
      <c r="AO18" s="1001"/>
      <c r="AP18" s="1001"/>
      <c r="AQ18" s="1001"/>
      <c r="AR18" s="868"/>
      <c r="AS18" s="845"/>
      <c r="AT18" s="1008"/>
      <c r="AU18" s="1008"/>
    </row>
    <row r="19" spans="1:47" ht="13.5" thickTop="1" x14ac:dyDescent="0.2">
      <c r="A19" s="846" t="s">
        <v>64</v>
      </c>
      <c r="B19" s="1020">
        <v>0.35416666666666669</v>
      </c>
      <c r="C19" s="1021"/>
      <c r="D19" s="1022"/>
      <c r="E19" s="1020">
        <v>0.39583333333333331</v>
      </c>
      <c r="F19" s="1021"/>
      <c r="G19" s="1022"/>
      <c r="H19" s="1020">
        <v>0.4375</v>
      </c>
      <c r="I19" s="1021"/>
      <c r="J19" s="1022"/>
      <c r="K19" s="1023"/>
      <c r="L19" s="1020">
        <v>0.5</v>
      </c>
      <c r="M19" s="1021"/>
      <c r="N19" s="1022"/>
      <c r="O19" s="1020">
        <v>4.1666666666666664E-2</v>
      </c>
      <c r="P19" s="1021"/>
      <c r="Q19" s="1022"/>
      <c r="R19" s="1020">
        <v>8.3333333333333329E-2</v>
      </c>
      <c r="S19" s="1021"/>
      <c r="T19" s="1022"/>
      <c r="U19" s="1020"/>
      <c r="V19" s="1021"/>
      <c r="W19" s="1022"/>
      <c r="X19" s="1020"/>
      <c r="Y19" s="1021"/>
      <c r="Z19" s="1022"/>
      <c r="AA19" s="1020"/>
      <c r="AB19" s="1021"/>
      <c r="AC19" s="1022"/>
      <c r="AD19" s="1020"/>
      <c r="AE19" s="1021"/>
      <c r="AF19" s="1022"/>
      <c r="AG19" s="1024" t="s">
        <v>65</v>
      </c>
      <c r="AH19" s="1025"/>
      <c r="AI19" s="1025"/>
      <c r="AJ19" s="1025"/>
      <c r="AK19" s="1026"/>
      <c r="AL19" s="1026"/>
      <c r="AM19" s="1026"/>
      <c r="AN19" s="1026"/>
      <c r="AO19" s="1026"/>
      <c r="AP19" s="1026"/>
      <c r="AQ19" s="1026"/>
      <c r="AR19" s="1027"/>
      <c r="AT19" s="1008"/>
      <c r="AU19" s="1008"/>
    </row>
    <row r="20" spans="1:47" x14ac:dyDescent="0.2">
      <c r="A20" s="1028" t="s">
        <v>66</v>
      </c>
      <c r="B20" s="1029"/>
      <c r="C20" s="1030"/>
      <c r="D20" s="1031"/>
      <c r="E20" s="1029"/>
      <c r="F20" s="1030"/>
      <c r="G20" s="1031"/>
      <c r="H20" s="1029"/>
      <c r="I20" s="1030"/>
      <c r="J20" s="1031"/>
      <c r="K20" s="1032"/>
      <c r="L20" s="1029"/>
      <c r="M20" s="1030"/>
      <c r="N20" s="1031"/>
      <c r="O20" s="1029"/>
      <c r="P20" s="1030"/>
      <c r="Q20" s="1031"/>
      <c r="R20" s="1029"/>
      <c r="S20" s="1030"/>
      <c r="T20" s="1031"/>
      <c r="U20" s="1029"/>
      <c r="V20" s="1030"/>
      <c r="W20" s="1031"/>
      <c r="X20" s="1029"/>
      <c r="Y20" s="1030"/>
      <c r="Z20" s="1031"/>
      <c r="AA20" s="1029"/>
      <c r="AB20" s="1030"/>
      <c r="AC20" s="1031"/>
      <c r="AD20" s="1029"/>
      <c r="AE20" s="1030"/>
      <c r="AF20" s="1031"/>
      <c r="AG20" s="1024"/>
      <c r="AH20" s="1025"/>
      <c r="AI20" s="1025"/>
      <c r="AJ20" s="1025"/>
      <c r="AK20" s="1025"/>
      <c r="AL20" s="1025"/>
      <c r="AM20" s="1025"/>
      <c r="AN20" s="1025"/>
      <c r="AO20" s="1025"/>
      <c r="AP20" s="1025"/>
      <c r="AQ20" s="1025"/>
      <c r="AR20" s="1033"/>
      <c r="AT20" s="1008"/>
      <c r="AU20" s="1008"/>
    </row>
    <row r="21" spans="1:47" x14ac:dyDescent="0.2">
      <c r="A21" s="1028" t="s">
        <v>67</v>
      </c>
      <c r="B21" s="1029"/>
      <c r="C21" s="1030"/>
      <c r="D21" s="1031"/>
      <c r="E21" s="1029"/>
      <c r="F21" s="1030"/>
      <c r="G21" s="1031"/>
      <c r="H21" s="1029"/>
      <c r="I21" s="1030"/>
      <c r="J21" s="1031"/>
      <c r="K21" s="1032"/>
      <c r="L21" s="1029"/>
      <c r="M21" s="1030"/>
      <c r="N21" s="1031"/>
      <c r="O21" s="1029"/>
      <c r="P21" s="1030"/>
      <c r="Q21" s="1031"/>
      <c r="R21" s="1029"/>
      <c r="S21" s="1030"/>
      <c r="T21" s="1031"/>
      <c r="U21" s="1029"/>
      <c r="V21" s="1030"/>
      <c r="W21" s="1031"/>
      <c r="X21" s="1029"/>
      <c r="Y21" s="1030"/>
      <c r="Z21" s="1031"/>
      <c r="AA21" s="1029"/>
      <c r="AB21" s="1030"/>
      <c r="AC21" s="1031"/>
      <c r="AD21" s="1029"/>
      <c r="AE21" s="1030"/>
      <c r="AF21" s="1031"/>
      <c r="AG21" s="1024"/>
      <c r="AH21" s="1025"/>
      <c r="AI21" s="1025"/>
      <c r="AJ21" s="1025"/>
      <c r="AK21" s="1025"/>
      <c r="AL21" s="1025"/>
      <c r="AM21" s="1025"/>
      <c r="AN21" s="1025"/>
      <c r="AO21" s="1025"/>
      <c r="AP21" s="1025"/>
      <c r="AQ21" s="1025"/>
      <c r="AR21" s="1033"/>
      <c r="AT21" s="853"/>
      <c r="AU21" s="853"/>
    </row>
    <row r="22" spans="1:47" ht="13.5" thickBot="1" x14ac:dyDescent="0.25">
      <c r="A22" s="868"/>
      <c r="B22" s="1034" t="s">
        <v>68</v>
      </c>
      <c r="C22" s="1035"/>
      <c r="D22" s="1036"/>
      <c r="E22" s="1034" t="str">
        <f>IF(AL8&gt;1,"Match 2","")</f>
        <v>Match 2</v>
      </c>
      <c r="F22" s="1035"/>
      <c r="G22" s="1036"/>
      <c r="H22" s="1034" t="str">
        <f>IF(AL8&gt;2,"Match 3","")</f>
        <v>Match 3</v>
      </c>
      <c r="I22" s="1035"/>
      <c r="J22" s="1036"/>
      <c r="K22" s="1032"/>
      <c r="L22" s="1034" t="str">
        <f>IF(AL8&gt;3,"Match 4","")</f>
        <v>Match 4</v>
      </c>
      <c r="M22" s="1035"/>
      <c r="N22" s="1036"/>
      <c r="O22" s="1034" t="str">
        <f>IF(AL8&gt;4,"Match 5","")</f>
        <v>Match 5</v>
      </c>
      <c r="P22" s="1035"/>
      <c r="Q22" s="1036"/>
      <c r="R22" s="1034" t="str">
        <f>IF(AL8&gt;5,"Match 6","")</f>
        <v>Match 6</v>
      </c>
      <c r="S22" s="1035"/>
      <c r="T22" s="1036"/>
      <c r="U22" s="1034" t="str">
        <f>IF(AL8&gt;6,"Match 7","")</f>
        <v/>
      </c>
      <c r="V22" s="1035"/>
      <c r="W22" s="1036"/>
      <c r="X22" s="1034" t="str">
        <f>IF(AL8&gt;7,"Match 8","")</f>
        <v/>
      </c>
      <c r="Y22" s="1035"/>
      <c r="Z22" s="1036"/>
      <c r="AA22" s="1034" t="str">
        <f>IF(AL8&gt;8,"Match 9","")</f>
        <v/>
      </c>
      <c r="AB22" s="1035"/>
      <c r="AC22" s="1036"/>
      <c r="AD22" s="1034" t="str">
        <f>IF(AL8&gt;9,"Match 10","")</f>
        <v/>
      </c>
      <c r="AE22" s="1035"/>
      <c r="AF22" s="1036"/>
      <c r="AG22" s="1037"/>
      <c r="AH22" s="1038"/>
      <c r="AI22" s="1038"/>
      <c r="AJ22" s="1038"/>
      <c r="AK22" s="1038"/>
      <c r="AL22" s="1038"/>
      <c r="AM22" s="1038"/>
      <c r="AN22" s="1038"/>
      <c r="AO22" s="1038"/>
      <c r="AP22" s="1038"/>
      <c r="AQ22" s="1038"/>
      <c r="AR22" s="1039"/>
      <c r="AT22" s="1008"/>
      <c r="AU22" s="1008"/>
    </row>
    <row r="23" spans="1:47" ht="15.75" x14ac:dyDescent="0.25">
      <c r="A23" s="868"/>
      <c r="B23" s="1040" t="s">
        <v>71</v>
      </c>
      <c r="C23" s="1041"/>
      <c r="D23" s="1042"/>
      <c r="E23" s="1040" t="s">
        <v>73</v>
      </c>
      <c r="F23" s="1041"/>
      <c r="G23" s="1042"/>
      <c r="H23" s="1040" t="s">
        <v>70</v>
      </c>
      <c r="I23" s="1041"/>
      <c r="J23" s="1042"/>
      <c r="K23" s="1032"/>
      <c r="L23" s="1040" t="s">
        <v>69</v>
      </c>
      <c r="M23" s="1041"/>
      <c r="N23" s="1042"/>
      <c r="O23" s="1040" t="s">
        <v>73</v>
      </c>
      <c r="P23" s="1041"/>
      <c r="Q23" s="1042"/>
      <c r="R23" s="1040" t="s">
        <v>70</v>
      </c>
      <c r="S23" s="1041"/>
      <c r="T23" s="1042"/>
      <c r="U23" s="1040"/>
      <c r="V23" s="1041"/>
      <c r="W23" s="1042"/>
      <c r="X23" s="1040"/>
      <c r="Y23" s="1041"/>
      <c r="Z23" s="1042"/>
      <c r="AA23" s="1040"/>
      <c r="AB23" s="1041"/>
      <c r="AC23" s="1042"/>
      <c r="AD23" s="1040"/>
      <c r="AE23" s="1041"/>
      <c r="AF23" s="1042"/>
      <c r="AG23" s="1043" t="s">
        <v>74</v>
      </c>
      <c r="AH23" s="1044">
        <v>1</v>
      </c>
      <c r="AI23" s="1044">
        <v>2</v>
      </c>
      <c r="AJ23" s="1044">
        <v>3</v>
      </c>
      <c r="AK23" s="1044">
        <v>4</v>
      </c>
      <c r="AL23" s="1044">
        <v>5</v>
      </c>
      <c r="AM23" s="1044">
        <v>6</v>
      </c>
      <c r="AN23" s="1044">
        <v>7</v>
      </c>
      <c r="AO23" s="1044">
        <v>8</v>
      </c>
      <c r="AP23" s="1044">
        <v>9</v>
      </c>
      <c r="AQ23" s="1044">
        <v>10</v>
      </c>
      <c r="AR23" s="1045" t="s">
        <v>75</v>
      </c>
      <c r="AT23" s="1008"/>
      <c r="AU23" s="1008"/>
    </row>
    <row r="24" spans="1:47" ht="15.75" x14ac:dyDescent="0.25">
      <c r="A24" s="868"/>
      <c r="B24" s="1046">
        <v>2</v>
      </c>
      <c r="C24" s="1047" t="s">
        <v>76</v>
      </c>
      <c r="D24" s="1048">
        <v>3</v>
      </c>
      <c r="E24" s="1046">
        <v>1</v>
      </c>
      <c r="F24" s="1047" t="str">
        <f>IF(AL8&gt;1,"v","")</f>
        <v>v</v>
      </c>
      <c r="G24" s="1048">
        <v>4</v>
      </c>
      <c r="H24" s="1046">
        <v>2</v>
      </c>
      <c r="I24" s="1047" t="str">
        <f>IF(AL8&gt;2,"v","")</f>
        <v>v</v>
      </c>
      <c r="J24" s="1048">
        <v>4</v>
      </c>
      <c r="K24" s="1032"/>
      <c r="L24" s="1046">
        <v>1</v>
      </c>
      <c r="M24" s="1047" t="str">
        <f>IF(AL8&gt;3,"v","")</f>
        <v>v</v>
      </c>
      <c r="N24" s="1048">
        <v>3</v>
      </c>
      <c r="O24" s="1046">
        <v>3</v>
      </c>
      <c r="P24" s="1047" t="str">
        <f>IF(AL8&gt;4,"v","")</f>
        <v>v</v>
      </c>
      <c r="Q24" s="1048">
        <v>4</v>
      </c>
      <c r="R24" s="1046">
        <v>1</v>
      </c>
      <c r="S24" s="1047" t="str">
        <f>IF(AL8&gt;5,"v","")</f>
        <v>v</v>
      </c>
      <c r="T24" s="1048">
        <v>2</v>
      </c>
      <c r="U24" s="1046"/>
      <c r="V24" s="1047" t="str">
        <f>IF(AL8&gt;6,"v","")</f>
        <v/>
      </c>
      <c r="W24" s="1048"/>
      <c r="X24" s="1046"/>
      <c r="Y24" s="1047" t="str">
        <f>IF(AL8&gt;7,"v","")</f>
        <v/>
      </c>
      <c r="Z24" s="1048"/>
      <c r="AA24" s="1046"/>
      <c r="AB24" s="1047" t="str">
        <f>IF(AL8&gt;8,"v","")</f>
        <v/>
      </c>
      <c r="AC24" s="1048"/>
      <c r="AD24" s="1046"/>
      <c r="AE24" s="1047" t="str">
        <f>IF(AL8&gt;9,"v","")</f>
        <v/>
      </c>
      <c r="AF24" s="1048"/>
      <c r="AG24" s="1049" t="str">
        <f>IF(AL9&gt;0,"Team 1","")</f>
        <v>Team 1</v>
      </c>
      <c r="AH24" s="1050" t="str">
        <f>IF(AL9&lt;1,"",IF(AL8&lt;1,"",IF(B24=1,B30-D30,IF(D24=1,D30-B30,""))))</f>
        <v/>
      </c>
      <c r="AI24" s="1050">
        <f>IF(AL9&lt;1,"",IF(AL8&lt;2,"",IF(E24=1,E30-G30,IF(G24=1,G30-E30,""))))</f>
        <v>-9</v>
      </c>
      <c r="AJ24" s="1050" t="str">
        <f>IF(AL9&lt;1,"",IF(AL8&lt;3,"",IF(H24=1,H30-J30,IF(J24=1,J30-H30,""))))</f>
        <v/>
      </c>
      <c r="AK24" s="1050">
        <f>IF(AL9&lt;1,"",IF(AL8&lt;4,"",IF(L24=1,L30-N30,IF(N24=1,N30-L30,""))))</f>
        <v>-2</v>
      </c>
      <c r="AL24" s="1050" t="str">
        <f>IF(AL9&lt;1,"",IF(AL8&lt;5,"",IF(O24=1,O30-Q30,IF(Q24=1,Q30-O30,""))))</f>
        <v/>
      </c>
      <c r="AM24" s="1050">
        <f>IF(AL9&lt;1,"",IF(AL8&lt;6,"",IF(R24=1,R30-T30,IF(T24=1,T30-R30,""))))</f>
        <v>-13</v>
      </c>
      <c r="AN24" s="1050" t="str">
        <f>IF(AL9&lt;1,"",IF(AL8&lt;7,"",IF(U24=1,U30-W30,IF(W24=1,W30-U30,""))))</f>
        <v/>
      </c>
      <c r="AO24" s="1050" t="str">
        <f>IF(AL9&lt;1,"",IF(AL8&lt;8,"",IF(X24=1,X30-Z30,IF(Z24=1,Z30-X30,""))))</f>
        <v/>
      </c>
      <c r="AP24" s="1050" t="str">
        <f>IF(AL9&lt;1,"",IF(AL8&lt;9,"",IF(AA24=1,AA30-AC30,IF(AC24=1,AC30-AA30,""))))</f>
        <v/>
      </c>
      <c r="AQ24" s="1050" t="str">
        <f>IF(AL9&lt;1,"",IF(AL8&lt;10,"",IF(AD24=1,AD30-AF30,IF(AF24=1,AF30-AD30,""))))</f>
        <v/>
      </c>
      <c r="AR24" s="1045">
        <f>SUM(AH24:AQ24)</f>
        <v>-24</v>
      </c>
      <c r="AT24" s="1008"/>
      <c r="AU24" s="1008"/>
    </row>
    <row r="25" spans="1:47" ht="15" x14ac:dyDescent="0.2">
      <c r="A25" s="846" t="s">
        <v>77</v>
      </c>
      <c r="B25" s="1051">
        <v>28</v>
      </c>
      <c r="C25" s="1052" t="s">
        <v>78</v>
      </c>
      <c r="D25" s="1053">
        <v>24</v>
      </c>
      <c r="E25" s="1051">
        <v>21</v>
      </c>
      <c r="F25" s="1052" t="str">
        <f>IF(AL8&gt;1,"/","")</f>
        <v>/</v>
      </c>
      <c r="G25" s="1053">
        <v>30</v>
      </c>
      <c r="H25" s="1051">
        <v>27</v>
      </c>
      <c r="I25" s="1052" t="str">
        <f>IF(AL8&gt;2,"/","")</f>
        <v>/</v>
      </c>
      <c r="J25" s="1053">
        <v>21</v>
      </c>
      <c r="K25" s="1032"/>
      <c r="L25" s="1051">
        <v>23</v>
      </c>
      <c r="M25" s="1052" t="str">
        <f>IF(AL8&gt;3,"/","")</f>
        <v>/</v>
      </c>
      <c r="N25" s="1053">
        <v>25</v>
      </c>
      <c r="O25" s="1051">
        <v>13</v>
      </c>
      <c r="P25" s="1052" t="str">
        <f>IF(AL8&gt;4,"/","")</f>
        <v>/</v>
      </c>
      <c r="Q25" s="1053">
        <v>34</v>
      </c>
      <c r="R25" s="1051">
        <v>20</v>
      </c>
      <c r="S25" s="1052" t="str">
        <f>IF(AL8&gt;5,"/","")</f>
        <v>/</v>
      </c>
      <c r="T25" s="1053">
        <v>33</v>
      </c>
      <c r="U25" s="1051"/>
      <c r="V25" s="1052" t="str">
        <f>IF(AL8&gt;6,"/","")</f>
        <v/>
      </c>
      <c r="W25" s="1053"/>
      <c r="X25" s="1051"/>
      <c r="Y25" s="1052" t="str">
        <f>IF(AL8&gt;7,"/","")</f>
        <v/>
      </c>
      <c r="Z25" s="1053"/>
      <c r="AA25" s="1051"/>
      <c r="AB25" s="1052" t="str">
        <f>IF(AL8&gt;8,"/","")</f>
        <v/>
      </c>
      <c r="AC25" s="1053"/>
      <c r="AD25" s="1051"/>
      <c r="AE25" s="1052" t="str">
        <f>IF(AL8&gt;9,"/","")</f>
        <v/>
      </c>
      <c r="AF25" s="1053"/>
      <c r="AG25" s="1049" t="str">
        <f>IF(AL9&gt;1,"Team 2","")</f>
        <v>Team 2</v>
      </c>
      <c r="AH25" s="1050">
        <f>IF(AL9&lt;2,"",IF(AL8&lt;1,"",IF(B24=2,B30-D30,IF(D24=2,D30-B30,""))))</f>
        <v>4</v>
      </c>
      <c r="AI25" s="1050" t="str">
        <f>IF(AL9&lt;2,"",IF(AL8&lt;2,"",IF(E24=2,E30-G30,IF(G24=2,G30-E30,""))))</f>
        <v/>
      </c>
      <c r="AJ25" s="1050">
        <f>IF(AL9&lt;2,"",IF(AL8&lt;3,"",IF(H24=2,H30-J30,IF(J24=2,J30-H30,""))))</f>
        <v>6</v>
      </c>
      <c r="AK25" s="1050" t="str">
        <f>IF(AL9&lt;2,"",IF(AL8&lt;4,"",IF(L24=2,L30-N30,IF(N24=2,N30-L30,""))))</f>
        <v/>
      </c>
      <c r="AL25" s="1050" t="str">
        <f>IF(AL9&lt;2,"",IF(AL8&lt;5,"",IF(O24=2,O30-Q30,IF(Q24=2,Q30-O30,""))))</f>
        <v/>
      </c>
      <c r="AM25" s="1050">
        <f>IF(AL9&lt;2,"",IF(AL8&lt;6,"",IF(R24=2,R30-T30,IF(T24=2,T30-R30,""))))</f>
        <v>13</v>
      </c>
      <c r="AN25" s="1050" t="str">
        <f>IF(AL9&lt;2,"",IF(AL8&lt;7,"",IF(U24=2,U30-W30,IF(W24=2,W30-U30,""))))</f>
        <v/>
      </c>
      <c r="AO25" s="1050" t="str">
        <f>IF(AL9&lt;2,"",IF(AL8&lt;8,"",IF(X24=2,X30-Z30,IF(Z24=2,Z30-X30,""))))</f>
        <v/>
      </c>
      <c r="AP25" s="1050" t="str">
        <f>IF(AL9&lt;2,"",IF(AL8&lt;9,"",IF(AA24=2,AA30-AC30,IF(AC24=2,AC30-AA30,""))))</f>
        <v/>
      </c>
      <c r="AQ25" s="1050" t="str">
        <f>IF(AL9&lt;2,"",IF(AL8&lt;10,"",IF(AD24=2,AD30-AF30,IF(AF24=2,AF30-AD30,""))))</f>
        <v/>
      </c>
      <c r="AR25" s="1045">
        <f>SUM(AH25:AQ25)</f>
        <v>23</v>
      </c>
    </row>
    <row r="26" spans="1:47" ht="15" x14ac:dyDescent="0.2">
      <c r="A26" s="845" t="str">
        <f>IF(AL7&gt;1,"Game 2","")</f>
        <v/>
      </c>
      <c r="B26" s="1051"/>
      <c r="C26" s="1052" t="s">
        <v>78</v>
      </c>
      <c r="D26" s="1053"/>
      <c r="E26" s="1051"/>
      <c r="F26" s="1052" t="str">
        <f>IF(AL8&gt;1,IF(AL7&gt;1,"/",""),"")</f>
        <v/>
      </c>
      <c r="G26" s="1053"/>
      <c r="H26" s="1051"/>
      <c r="I26" s="1052" t="str">
        <f>IF(AL8&gt;2,IF(AL7&gt;1,"/",""),"")</f>
        <v/>
      </c>
      <c r="J26" s="1053"/>
      <c r="K26" s="1032"/>
      <c r="L26" s="1051"/>
      <c r="M26" s="1052" t="str">
        <f>IF(AL8&gt;3,IF(AL7&gt;1,"/",""),"")</f>
        <v/>
      </c>
      <c r="N26" s="1053"/>
      <c r="O26" s="1051"/>
      <c r="P26" s="1052" t="str">
        <f>IF(AL8&gt;4,IF(AL7&gt;1,"/",""),"")</f>
        <v/>
      </c>
      <c r="Q26" s="1053"/>
      <c r="R26" s="1051"/>
      <c r="S26" s="1052" t="str">
        <f>IF(AL8&gt;5,IF(AL7&gt;1,"/",""),"")</f>
        <v/>
      </c>
      <c r="T26" s="1053"/>
      <c r="U26" s="1051"/>
      <c r="V26" s="1052" t="str">
        <f>IF(AL8&gt;6,IF(AL7&gt;1,"/",""),"")</f>
        <v/>
      </c>
      <c r="W26" s="1053"/>
      <c r="X26" s="1051"/>
      <c r="Y26" s="1052" t="str">
        <f>IF(AL8&gt;7,IF(AL7&gt;1,"/",""),"")</f>
        <v/>
      </c>
      <c r="Z26" s="1053"/>
      <c r="AA26" s="1051"/>
      <c r="AB26" s="1052" t="str">
        <f>IF(AL8&gt;8,IF(AL7&gt;1,"/",""),"")</f>
        <v/>
      </c>
      <c r="AC26" s="1053"/>
      <c r="AD26" s="1051"/>
      <c r="AE26" s="1052" t="str">
        <f>IF(AL8&gt;9,IF(AL7&gt;1,"/",""),"")</f>
        <v/>
      </c>
      <c r="AF26" s="1053"/>
      <c r="AG26" s="1049" t="str">
        <f>IF(AL9&gt;2,"Team 3","")</f>
        <v>Team 3</v>
      </c>
      <c r="AH26" s="1050">
        <f>IF(AL9&lt;3,"",IF(AL8&lt;1,"",IF(B24=3,B30-D30,IF(D24=3,D30-B30,""))))</f>
        <v>-4</v>
      </c>
      <c r="AI26" s="1050" t="str">
        <f>IF(AL9&lt;3,"",IF(AL8&lt;2,"",IF(E24=3,E30-G30,IF(G24=3,G30-E30,""))))</f>
        <v/>
      </c>
      <c r="AJ26" s="1050" t="str">
        <f>IF(AL9&lt;3,"",IF(AL8&lt;3,"",IF(H24=3,H30-J30,IF(J24=3,J30-H30,""))))</f>
        <v/>
      </c>
      <c r="AK26" s="1050">
        <f>IF(AL9&lt;3,"",IF(AL8&lt;4,"",IF(L24=3,L30-N30,IF(N24=3,N30-L30,""))))</f>
        <v>2</v>
      </c>
      <c r="AL26" s="1050">
        <f>IF(AL9&lt;3,"",IF(AL8&lt;5,"",IF(O24=3,O30-Q30,IF(Q24=3,Q30-O30,""))))</f>
        <v>-21</v>
      </c>
      <c r="AM26" s="1050" t="str">
        <f>IF(AL9&lt;3,"",IF(AL8&lt;6,"",IF(R24=3,R30-T30,IF(T24=3,T30-R30,""))))</f>
        <v/>
      </c>
      <c r="AN26" s="1050" t="str">
        <f>IF(AL9&lt;3,"",IF(AL8&lt;7,"",IF(U24=3,U30-W30,IF(W24=3,W30-U30,""))))</f>
        <v/>
      </c>
      <c r="AO26" s="1050" t="str">
        <f>IF(AL9&lt;3,"",IF(AL8&lt;8,"",IF(X24=3,X30-Z30,IF(Z24=3,Z30-X30,""))))</f>
        <v/>
      </c>
      <c r="AP26" s="1050" t="str">
        <f>IF(AL9&lt;3,"",IF(AL8&lt;9,"",IF(AA24=3,AA30-AC30,IF(AC24=3,AC30-AA30,""))))</f>
        <v/>
      </c>
      <c r="AQ26" s="1050" t="str">
        <f>IF(AL9&lt;3,"",IF(AL8&lt;9,"",IF(AD24=3,AD30-AF30,IF(AF24=3,AF30-AD30,""))))</f>
        <v/>
      </c>
      <c r="AR26" s="1045">
        <f>SUM(AH26:AQ26)</f>
        <v>-23</v>
      </c>
    </row>
    <row r="27" spans="1:47" ht="15" x14ac:dyDescent="0.2">
      <c r="A27" s="845" t="str">
        <f>IF(AL7&gt;2,"Game 3","")</f>
        <v/>
      </c>
      <c r="B27" s="1051"/>
      <c r="C27" s="1052" t="s">
        <v>78</v>
      </c>
      <c r="D27" s="1053"/>
      <c r="E27" s="1051"/>
      <c r="F27" s="1052" t="str">
        <f>IF(AL8&gt;1,IF(AL7&gt;2,"/",""),"")</f>
        <v/>
      </c>
      <c r="G27" s="1053"/>
      <c r="H27" s="1051"/>
      <c r="I27" s="1052" t="str">
        <f>IF(AL8&gt;2,IF(AL7&gt;2,"/",""),"")</f>
        <v/>
      </c>
      <c r="J27" s="1053"/>
      <c r="K27" s="1032"/>
      <c r="L27" s="1051"/>
      <c r="M27" s="1052" t="str">
        <f>IF(AL8&gt;3,IF(AL7&gt;2,"/",""),"")</f>
        <v/>
      </c>
      <c r="N27" s="1053"/>
      <c r="O27" s="1051"/>
      <c r="P27" s="1052" t="str">
        <f>IF(AL8&gt;4,IF(AL7&gt;2,"/",""),"")</f>
        <v/>
      </c>
      <c r="Q27" s="1053"/>
      <c r="R27" s="1051"/>
      <c r="S27" s="1052" t="str">
        <f>IF(AL8&gt;5,IF(AL7&gt;2,"/",""),"")</f>
        <v/>
      </c>
      <c r="T27" s="1053"/>
      <c r="U27" s="1051"/>
      <c r="V27" s="1052" t="str">
        <f>IF(AL8&gt;6,IF(AL7&gt;2,"/",""),"")</f>
        <v/>
      </c>
      <c r="W27" s="1053"/>
      <c r="X27" s="1051"/>
      <c r="Y27" s="1052" t="str">
        <f>IF(AL8&gt;7,IF(AL7&gt;2,"/",""),"")</f>
        <v/>
      </c>
      <c r="Z27" s="1053"/>
      <c r="AA27" s="1051"/>
      <c r="AB27" s="1052" t="str">
        <f>IF(AL8&gt;8,IF(AL7&gt;2,"/",""),"")</f>
        <v/>
      </c>
      <c r="AC27" s="1053"/>
      <c r="AD27" s="1051"/>
      <c r="AE27" s="1052" t="str">
        <f>IF(AL8&gt;9,IF(AL7&gt;2,"/",""),"")</f>
        <v/>
      </c>
      <c r="AF27" s="1053"/>
      <c r="AG27" s="1049" t="str">
        <f>IF(AL9&gt;3,"Team 4","")</f>
        <v>Team 4</v>
      </c>
      <c r="AH27" s="1050" t="str">
        <f>IF(AL9&lt;4,"",IF(AL8&lt;1,"",IF(B24=4,B30-D30,IF(D24=4,D30-B30,""))))</f>
        <v/>
      </c>
      <c r="AI27" s="1050">
        <f>IF(AL9&lt;4,"",IF(AL8&lt;2,"",IF(E24=4,E30-G30,IF(G24=4,G30-E30,""))))</f>
        <v>9</v>
      </c>
      <c r="AJ27" s="1050">
        <f>IF(AL9&lt;4,"",IF(AL8&lt;3,"",IF(H24=4,H30-J30,IF(J24=4,J30-H30,""))))</f>
        <v>-6</v>
      </c>
      <c r="AK27" s="1050" t="str">
        <f>IF(AL9&lt;4,"",IF(AL8&lt;4,"",IF(L24=4,L30-N30,IF(N24=4,N30-L30,""))))</f>
        <v/>
      </c>
      <c r="AL27" s="1050">
        <f>IF(AL9&lt;4,"",IF(AL8&lt;5,"",IF(O24=4,O30-Q30,IF(Q24=4,Q30-O30,""))))</f>
        <v>21</v>
      </c>
      <c r="AM27" s="1050" t="str">
        <f>IF(AL9&lt;4,"",IF(AL8&lt;6,"",IF(R24=4,R30-T30,IF(T24=4,T30-R30,""))))</f>
        <v/>
      </c>
      <c r="AN27" s="1050" t="str">
        <f>IF(AL9&lt;4,"",IF(AL8&lt;7,"",IF(U24=4,U30-W30,IF(W24=4,W30-U30,""))))</f>
        <v/>
      </c>
      <c r="AO27" s="1050" t="str">
        <f>IF(AL9&lt;4,"",IF(AL8&lt;8,"",IF(X24=4,X30-Z30,IF(Z24=4,Z30-X30,""))))</f>
        <v/>
      </c>
      <c r="AP27" s="1050" t="str">
        <f>IF(AL9&lt;4,"",IF(AL8&lt;9,"",IF(AA24=4,AA30-AC30,IF(AC24=4,AC30-AA30,""))))</f>
        <v/>
      </c>
      <c r="AQ27" s="1050" t="str">
        <f>IF(AL9&lt;4,"",IF(AL8&lt;10,"",IF(AD24=4,AD30-AF30,IF(AF24=4,AF30-AD30,""))))</f>
        <v/>
      </c>
      <c r="AR27" s="1045">
        <f>SUM(AH27:AQ27)</f>
        <v>24</v>
      </c>
    </row>
    <row r="28" spans="1:47" ht="15" x14ac:dyDescent="0.2">
      <c r="A28" s="845" t="str">
        <f>IF(AL7&gt;3,"Game 4","")</f>
        <v/>
      </c>
      <c r="B28" s="1051"/>
      <c r="C28" s="1052" t="s">
        <v>78</v>
      </c>
      <c r="D28" s="1053"/>
      <c r="E28" s="1051"/>
      <c r="F28" s="1052" t="str">
        <f>IF(AL8&gt;1,IF(AL7&gt;3,"/",""),"")</f>
        <v/>
      </c>
      <c r="G28" s="1053"/>
      <c r="H28" s="1051"/>
      <c r="I28" s="1052" t="str">
        <f>IF(AL8&gt;2,IF(AL7&gt;3,"/",""),"")</f>
        <v/>
      </c>
      <c r="J28" s="1053"/>
      <c r="K28" s="1032"/>
      <c r="L28" s="1051"/>
      <c r="M28" s="1052" t="str">
        <f>IF(AL8&gt;3,IF(AL7&gt;3,"/",""),"")</f>
        <v/>
      </c>
      <c r="N28" s="1053"/>
      <c r="O28" s="1051"/>
      <c r="P28" s="1052" t="str">
        <f>IF(AL8&gt;4,IF(AL7&gt;3,"/",""),"")</f>
        <v/>
      </c>
      <c r="Q28" s="1053"/>
      <c r="R28" s="1051"/>
      <c r="S28" s="1052" t="str">
        <f>IF(AL8&gt;5,IF(AL7&gt;3,"/",""),"")</f>
        <v/>
      </c>
      <c r="T28" s="1053"/>
      <c r="U28" s="1051"/>
      <c r="V28" s="1052" t="str">
        <f>IF(AL8&gt;6,IF(AL7&gt;3,"/",""),"")</f>
        <v/>
      </c>
      <c r="W28" s="1053"/>
      <c r="X28" s="1051"/>
      <c r="Y28" s="1052" t="str">
        <f>IF(AL8&gt;7,IF(AL7&gt;3,"/",""),"")</f>
        <v/>
      </c>
      <c r="Z28" s="1053"/>
      <c r="AA28" s="1051"/>
      <c r="AB28" s="1052" t="str">
        <f>IF(AL8&gt;8,IF(AL7&gt;3,"/",""),"")</f>
        <v/>
      </c>
      <c r="AC28" s="1053"/>
      <c r="AD28" s="1051"/>
      <c r="AE28" s="1052" t="str">
        <f>IF(AL8&gt;9,IF(AL7&gt;3,"/",""),"")</f>
        <v/>
      </c>
      <c r="AF28" s="1053"/>
      <c r="AG28" s="1049" t="str">
        <f>IF(AL9&gt;4,"Team 5","")</f>
        <v/>
      </c>
      <c r="AH28" s="1054" t="str">
        <f>IF(AL9&lt;5,"",IF(AL8&lt;1,"",IF(B24=5,B30-D30,IF(D24=5,D30-B30,""))))</f>
        <v/>
      </c>
      <c r="AI28" s="1050" t="str">
        <f>IF(AL9&lt;5,"",IF(AL8&lt;2,"",IF(E24=5,E30-G30,IF(G24=5,G30-E30,""))))</f>
        <v/>
      </c>
      <c r="AJ28" s="1050" t="str">
        <f>IF(AL9&lt;5,"",IF(AL8&lt;3,"",IF(H24=5,H30-J30,IF(J24=5,J30-H30,""))))</f>
        <v/>
      </c>
      <c r="AK28" s="1050" t="str">
        <f>IF(AL9&lt;5,"",IF(AL8&lt;4,"",IF(L24=5,L30-N30,IF(N24=5,N30-L30,""))))</f>
        <v/>
      </c>
      <c r="AL28" s="1050" t="str">
        <f>IF(AL9&lt;5,"",IF(AL8&lt;5,"",IF(O24=5,O30-Q30,IF(Q24=5,Q30-O30,""))))</f>
        <v/>
      </c>
      <c r="AM28" s="1050" t="str">
        <f>IF(AL9&lt;5,"",IF(AL8&lt;6,"",IF(R24=5,R30-T30,IF(T24=5,T30-R30,""))))</f>
        <v/>
      </c>
      <c r="AN28" s="1050" t="str">
        <f>IF(AL9&lt;5,"",IF(AL8&lt;7,"",IF(U24=5,U30-W30,IF(W24=5,W30-U30,""))))</f>
        <v/>
      </c>
      <c r="AO28" s="1050" t="str">
        <f>IF(AL9&lt;5,"",IF(AL8&lt;8,"",IF(X24=5,X30-Z30,IF(Z24=5,Z30-X30,""))))</f>
        <v/>
      </c>
      <c r="AP28" s="1050" t="str">
        <f>IF(AL9&lt;5,"",IF(AL8&lt;9,"",IF(AA24=5,AA30-AC30,IF(AC24=5,AC30-AA30,""))))</f>
        <v/>
      </c>
      <c r="AQ28" s="1050" t="str">
        <f>IF(AL9&lt;5,"",IF(AL8&lt;10,"",IF(AD24=5,AD30-AF30,IF(AF24=5,AF30-AD30,""))))</f>
        <v/>
      </c>
      <c r="AR28" s="1045">
        <f>SUM(AH28:AQ28)</f>
        <v>0</v>
      </c>
    </row>
    <row r="29" spans="1:47" ht="15" x14ac:dyDescent="0.2">
      <c r="A29" s="845" t="str">
        <f>IF(AL7&gt;4,"Game 5","")</f>
        <v/>
      </c>
      <c r="B29" s="1051"/>
      <c r="C29" s="1052" t="s">
        <v>78</v>
      </c>
      <c r="D29" s="1053"/>
      <c r="E29" s="1051"/>
      <c r="F29" s="1052" t="str">
        <f>IF(AL8&gt;1,IF(AL7&gt;4,"/",""),"")</f>
        <v/>
      </c>
      <c r="G29" s="1053"/>
      <c r="H29" s="1051"/>
      <c r="I29" s="1052" t="str">
        <f>IF(AL8&gt;2,IF(AL7&gt;4,"/",""),"")</f>
        <v/>
      </c>
      <c r="J29" s="1053"/>
      <c r="K29" s="1055"/>
      <c r="L29" s="1051"/>
      <c r="M29" s="1052" t="str">
        <f>IF(AL8&gt;3,IF(AL7&gt;4,"/",""),"")</f>
        <v/>
      </c>
      <c r="N29" s="1053"/>
      <c r="O29" s="1051"/>
      <c r="P29" s="1052" t="str">
        <f>IF(AL8&gt;4,IF(AL7&gt;4,"/",""),"")</f>
        <v/>
      </c>
      <c r="Q29" s="1053"/>
      <c r="R29" s="1051"/>
      <c r="S29" s="1052" t="str">
        <f>IF(AL8&gt;5,IF(AL7&gt;4,"/",""),"")</f>
        <v/>
      </c>
      <c r="T29" s="1053"/>
      <c r="U29" s="1051"/>
      <c r="V29" s="1052" t="str">
        <f>IF(AL8&gt;6,IF(AL7&gt;4,"/",""),"")</f>
        <v/>
      </c>
      <c r="W29" s="1053"/>
      <c r="X29" s="1051"/>
      <c r="Y29" s="1052" t="str">
        <f>IF(AL8&gt;7,IF(AL7&gt;4,"/",""),"")</f>
        <v/>
      </c>
      <c r="Z29" s="1053"/>
      <c r="AA29" s="1051"/>
      <c r="AB29" s="1052" t="str">
        <f>IF(AL8&gt;8,IF(AL7&gt;4,"/",""),"")</f>
        <v/>
      </c>
      <c r="AC29" s="1053"/>
      <c r="AD29" s="1051"/>
      <c r="AE29" s="1052" t="str">
        <f>IF(AL8&gt;9,IF(AL7&gt;4,"/",""),"")</f>
        <v/>
      </c>
      <c r="AF29" s="1053"/>
      <c r="AG29" s="868"/>
      <c r="AH29" s="868"/>
      <c r="AI29" s="868"/>
      <c r="AJ29" s="868"/>
      <c r="AK29" s="868"/>
      <c r="AL29" s="868"/>
      <c r="AM29" s="868"/>
      <c r="AN29" s="868"/>
      <c r="AO29" s="868"/>
      <c r="AP29" s="868"/>
      <c r="AQ29" s="868"/>
      <c r="AR29" s="868"/>
    </row>
    <row r="30" spans="1:47" hidden="1" x14ac:dyDescent="0.2">
      <c r="A30" s="1056"/>
      <c r="B30" s="1056">
        <f>IF($AL7=5,SUM(B25:B29),IF($AL7=4,SUM(B25:B28),IF($AL7=3,SUM(B25:B27),IF($AL7=2,SUM(B25:B26),B25))))</f>
        <v>28</v>
      </c>
      <c r="C30" s="1056"/>
      <c r="D30" s="1056">
        <f>IF($AL7=5,SUM(D25:D29),IF($AL7=4,SUM(D25:D28),IF($AL7=3,SUM(D25:D27),IF($AL7=2,SUM(D25:D26),D25))))</f>
        <v>24</v>
      </c>
      <c r="E30" s="1056">
        <f>IF($AL7=5,SUM(E25:E29),IF($AL7=4,SUM(E25:E28),IF($AL7=3,SUM(E25:E27),IF($AL7=2,SUM(E25:E26),E25))))</f>
        <v>21</v>
      </c>
      <c r="F30" s="1056"/>
      <c r="G30" s="1056">
        <f>IF($AL7=5,SUM(G25:G29),IF($AL7=4,SUM(G25:G28),IF($AL7=3,SUM(G25:G27),IF($AL7=2,SUM(G25:G26),G25))))</f>
        <v>30</v>
      </c>
      <c r="H30" s="1056">
        <f>IF($AL7=5,SUM(H25:H29),IF($AL7=4,SUM(H25:H28),IF($AL7=3,SUM(H25:H27),IF($AL7=2,SUM(H25:H26),H25))))</f>
        <v>27</v>
      </c>
      <c r="I30" s="1056"/>
      <c r="J30" s="1056">
        <f>IF($AL7=5,SUM(J25:J29),IF($AL7=4,SUM(J25:J28),IF($AL7=3,SUM(J25:J27),IF($AL7=2,SUM(J25:J26),J25))))</f>
        <v>21</v>
      </c>
      <c r="K30" s="1056"/>
      <c r="L30" s="1056">
        <f>IF($AL7=5,SUM(L25:L29),IF($AL7=4,SUM(L25:L28),IF($AL7=3,SUM(L25:L27),IF($AL7=2,SUM(L25:L26),L25))))</f>
        <v>23</v>
      </c>
      <c r="M30" s="1056"/>
      <c r="N30" s="1056">
        <f>IF($AL7=5,SUM(N25:N29),IF($AL7=4,SUM(N25:N28),IF($AL7=3,SUM(N25:N27),IF($AL7=2,SUM(N25:N26),N25))))</f>
        <v>25</v>
      </c>
      <c r="O30" s="1056">
        <f>IF($AL7=5,SUM(O25:O29),IF($AL7=4,SUM(O25:O28),IF($AL7=3,SUM(O25:O27),IF($AL7=2,SUM(O25:O26),O25))))</f>
        <v>13</v>
      </c>
      <c r="P30" s="1056"/>
      <c r="Q30" s="1056">
        <f>IF($AL7=5,SUM(Q25:Q29),IF($AL7=4,SUM(Q25:Q28),IF($AL7=3,SUM(Q25:Q27),IF($AL7=2,SUM(Q25:Q26),Q25))))</f>
        <v>34</v>
      </c>
      <c r="R30" s="1056">
        <f>IF($AL7=5,SUM(R25:R29),IF($AL7=4,SUM(R25:R28),IF($AL7=3,SUM(R25:R27),IF($AL7=2,SUM(R25:R26),R25))))</f>
        <v>20</v>
      </c>
      <c r="S30" s="1056"/>
      <c r="T30" s="1056">
        <f>IF($AL7=5,SUM(T25:T29),IF($AL7=4,SUM(T25:T28),IF($AL7=3,SUM(T25:T27),IF($AL7=2,SUM(T25:T26),T25))))</f>
        <v>33</v>
      </c>
      <c r="U30" s="1056">
        <f>IF($AL7=5,SUM(U25:U29),IF($AL7=4,SUM(U25:U28),IF($AL7=3,SUM(U25:U27),IF($AL7=2,SUM(U25:U26),U25))))</f>
        <v>0</v>
      </c>
      <c r="V30" s="1056"/>
      <c r="W30" s="1056">
        <f>IF($AL7=5,SUM(W25:W29),IF($AL7=4,SUM(W25:W28),IF($AL7=3,SUM(W25:W27),IF($AL7=2,SUM(W25:W26),W25))))</f>
        <v>0</v>
      </c>
      <c r="X30" s="1056">
        <f>IF($AL7=5,SUM(X25:X29),IF($AL7=4,SUM(X25:X28),IF($AL7=3,SUM(X25:X27),IF($AL7=2,SUM(X25:X26),X25))))</f>
        <v>0</v>
      </c>
      <c r="Y30" s="1056"/>
      <c r="Z30" s="1056">
        <f>IF($AL7=5,SUM(Z25:Z29),IF($AL7=4,SUM(Z25:Z28),IF($AL7=3,SUM(Z25:Z27),IF($AL7=2,SUM(Z25:Z26),Z25))))</f>
        <v>0</v>
      </c>
      <c r="AA30" s="1056">
        <f>IF($AL7=5,SUM(AA25:AA29),IF($AL7=4,SUM(AA25:AA28),IF($AL7=3,SUM(AA25:AA27),IF($AL7=2,SUM(AA25:AA26),AA25))))</f>
        <v>0</v>
      </c>
      <c r="AB30" s="1056"/>
      <c r="AC30" s="1056">
        <f>IF($AL7=5,SUM(AC25:AC29),IF($AL7=4,SUM(AC25:AC28),IF($AL7=3,SUM(AC25:AC27),IF($AL7=2,SUM(AC25:AC26),AC25))))</f>
        <v>0</v>
      </c>
      <c r="AD30" s="1056">
        <f>IF($AL7=5,SUM(AD25:AD29),IF($AL7=4,SUM(AD25:AD28),IF($AL7=3,SUM(AD25:AD27),IF($AL7=2,SUM(AD25:AD26),AD25))))</f>
        <v>0</v>
      </c>
      <c r="AE30" s="1056"/>
      <c r="AF30" s="1056">
        <f>IF($AL7=5,SUM(AF25:AF29),IF($AL7=4,SUM(AF25:AF28),IF($AL7=3,SUM(AF25:AF27),IF($AL7=2,SUM(AF25:AF26),AF25))))</f>
        <v>0</v>
      </c>
      <c r="AG30" s="868"/>
      <c r="AH30" s="868"/>
      <c r="AI30" s="868"/>
      <c r="AJ30" s="868"/>
      <c r="AK30" s="868"/>
      <c r="AL30" s="868"/>
      <c r="AM30" s="868"/>
      <c r="AN30" s="868"/>
      <c r="AO30" s="868"/>
      <c r="AP30" s="868"/>
      <c r="AQ30" s="868"/>
      <c r="AR30" s="868"/>
    </row>
    <row r="31" spans="1:47" s="1057" customFormat="1" ht="12.75" hidden="1" customHeight="1" x14ac:dyDescent="0.2">
      <c r="A31" s="1057" t="s">
        <v>79</v>
      </c>
      <c r="B31" s="1058">
        <f>IF(AND(B25&gt;D25,$AL8&gt;0,ISNUMBER(B25),ISNUMBER(D25)),1,0)</f>
        <v>1</v>
      </c>
      <c r="C31" s="1058"/>
      <c r="D31" s="1059">
        <f>IF(AND(D25&gt;B25,$AL8&gt;0,ISNUMBER(B25),ISNUMBER(D25)),1,0)</f>
        <v>0</v>
      </c>
      <c r="E31" s="1058">
        <f>IF(AND(E25&gt;G25,$AL8&gt;1,ISNUMBER(E25),ISNUMBER(G25)),1,0)</f>
        <v>0</v>
      </c>
      <c r="F31" s="1058"/>
      <c r="G31" s="1059">
        <f>IF(AND(G25&gt;E25,$AL8&gt;1,ISNUMBER(E25),ISNUMBER(G25)),1,0)</f>
        <v>1</v>
      </c>
      <c r="H31" s="1058">
        <f>IF(AND(H25&gt;J25,$AL8&gt;2,ISNUMBER(H25),ISNUMBER(J25)),1,0)</f>
        <v>1</v>
      </c>
      <c r="I31" s="1058"/>
      <c r="J31" s="1059">
        <f>IF(AND(J25&gt;H25,$AL8&gt;2,ISNUMBER(H25),ISNUMBER(J25)),1,0)</f>
        <v>0</v>
      </c>
      <c r="K31" s="1060"/>
      <c r="L31" s="1058">
        <f>IF(AND(L25&gt;N25,$AL8&gt;3,ISNUMBER(L25),ISNUMBER(N25)),1,0)</f>
        <v>0</v>
      </c>
      <c r="M31" s="1058"/>
      <c r="N31" s="1059">
        <f>IF(AND(N25&gt;L25,$AL8&gt;3,ISNUMBER(L25),ISNUMBER(N25)),1,0)</f>
        <v>1</v>
      </c>
      <c r="O31" s="1058">
        <f>IF(AND(O25&gt;Q25,$AL8&gt;4,ISNUMBER(O25),ISNUMBER(Q25)),1,0)</f>
        <v>0</v>
      </c>
      <c r="P31" s="1058"/>
      <c r="Q31" s="1059">
        <f>IF(AND(Q25&gt;O25,$AL8&gt;4,ISNUMBER(O25),ISNUMBER(Q25)),1,0)</f>
        <v>1</v>
      </c>
      <c r="R31" s="1058">
        <f>IF(AND(R25&gt;T25,$AL8&gt;5,ISNUMBER(R25),ISNUMBER(T25)),1,0)</f>
        <v>0</v>
      </c>
      <c r="S31" s="1058"/>
      <c r="T31" s="1059">
        <f>IF(AND(T25&gt;R25,$AL8&gt;5,ISNUMBER(R25),ISNUMBER(T25)),1,0)</f>
        <v>1</v>
      </c>
      <c r="U31" s="1058">
        <f>IF(AND(U25&gt;W25,$AL8&gt;6,ISNUMBER(U25),ISNUMBER(W25)),1,0)</f>
        <v>0</v>
      </c>
      <c r="V31" s="1058"/>
      <c r="W31" s="1059">
        <f>IF(AND(W25&gt;U25,$AL8&gt;6,ISNUMBER(U25),ISNUMBER(W25)),1,0)</f>
        <v>0</v>
      </c>
      <c r="X31" s="1058">
        <f>IF(AND(X25&gt;Z25,$AL8&gt;7,ISNUMBER(X25),ISNUMBER(Z25)),1,0)</f>
        <v>0</v>
      </c>
      <c r="Y31" s="1058"/>
      <c r="Z31" s="1059">
        <f>IF(AND(Z25&gt;X25,$AL8&gt;7,ISNUMBER(X25),ISNUMBER(Z25)),1,0)</f>
        <v>0</v>
      </c>
      <c r="AA31" s="1058">
        <f>IF(AND(AA25&gt;AC25,$AL8&gt;8,ISNUMBER(AA25),ISNUMBER(AC25)),1,0)</f>
        <v>0</v>
      </c>
      <c r="AB31" s="1058"/>
      <c r="AC31" s="1059">
        <f>IF(AND(AC25&gt;AA25,$AL8&gt;8,ISNUMBER(AA25),ISNUMBER(AC25)),1,0)</f>
        <v>0</v>
      </c>
      <c r="AD31" s="1058">
        <f>IF(AND(AD25&gt;AF25,$AL8&gt;9,ISNUMBER(AD25),ISNUMBER(AF25)),1,0)</f>
        <v>0</v>
      </c>
      <c r="AE31" s="1058"/>
      <c r="AF31" s="1059">
        <f>IF(AND(AF25&gt;AD25,$AL8&gt;9,ISNUMBER(AD25),ISNUMBER(AF25)),1,0)</f>
        <v>0</v>
      </c>
    </row>
    <row r="32" spans="1:47" s="1057" customFormat="1" ht="12.75" hidden="1" customHeight="1" x14ac:dyDescent="0.2">
      <c r="A32" s="1057" t="s">
        <v>80</v>
      </c>
      <c r="B32" s="1058">
        <f>IF(AND(B26&gt;D26,$AL8&gt;0,$AL7&gt;1,ISNUMBER(B26),ISNUMBER(D26)),1,0)</f>
        <v>0</v>
      </c>
      <c r="C32" s="1058"/>
      <c r="D32" s="1059">
        <f>IF(AND(D26&gt;B26,$AL8&gt;0,$AL7&gt;1,ISNUMBER(B26),ISNUMBER(D26)),1,0)</f>
        <v>0</v>
      </c>
      <c r="E32" s="1058">
        <f>IF(AND(E26&gt;G26,$AL8&gt;1,$AL7&gt;1,ISNUMBER(E26),ISNUMBER(G26)),1,0)</f>
        <v>0</v>
      </c>
      <c r="F32" s="1058"/>
      <c r="G32" s="1059">
        <f>IF(AND(G26&gt;E26,$AL8&gt;1,$AL7&gt;1,ISNUMBER(E26),ISNUMBER(G26)),1,0)</f>
        <v>0</v>
      </c>
      <c r="H32" s="1058">
        <f>IF(AND(H26&gt;J26,$AL8&gt;2,$AL7&gt;1,ISNUMBER(H26),ISNUMBER(J26)),1,0)</f>
        <v>0</v>
      </c>
      <c r="I32" s="1058"/>
      <c r="J32" s="1059">
        <f>IF(AND(J26&gt;H26,$AL8&gt;2,$AL7&gt;1,ISNUMBER(H26),ISNUMBER(J26)),1,0)</f>
        <v>0</v>
      </c>
      <c r="K32" s="1060"/>
      <c r="L32" s="1058">
        <f>IF(AND(L26&gt;N26,$AL8&gt;3,$AL7&gt;1,ISNUMBER(L26),ISNUMBER(N26)),1,0)</f>
        <v>0</v>
      </c>
      <c r="M32" s="1058"/>
      <c r="N32" s="1059">
        <f>IF(AND(N26&gt;L26,$AL8&gt;3,$AL7&gt;1,ISNUMBER(L26),ISNUMBER(N26)),1,0)</f>
        <v>0</v>
      </c>
      <c r="O32" s="1058">
        <f>IF(AND(O26&gt;Q26,$AL8&gt;4,$AL7&gt;1,ISNUMBER(O26),ISNUMBER(Q26)),1,0)</f>
        <v>0</v>
      </c>
      <c r="P32" s="1058"/>
      <c r="Q32" s="1059">
        <f>IF(AND(Q26&gt;O26,$AL8&gt;4,$AL7&gt;1,ISNUMBER(O26),ISNUMBER(Q26)),1,0)</f>
        <v>0</v>
      </c>
      <c r="R32" s="1058">
        <f>IF(AND(R26&gt;T26,$AL8&gt;5,$AL7&gt;1,ISNUMBER(R26),ISNUMBER(T26)),1,0)</f>
        <v>0</v>
      </c>
      <c r="S32" s="1058"/>
      <c r="T32" s="1059">
        <f>IF(AND(T26&gt;R26,$AL8&gt;5,$AL7&gt;1,ISNUMBER(R26),ISNUMBER(T26)),1,0)</f>
        <v>0</v>
      </c>
      <c r="U32" s="1058">
        <f>IF(AND(U26&gt;W26,$AL8&gt;6,$AL7&gt;1,ISNUMBER(U26),ISNUMBER(W26)),1,0)</f>
        <v>0</v>
      </c>
      <c r="V32" s="1058"/>
      <c r="W32" s="1059">
        <f>IF(AND(W26&gt;U26,$AL8&gt;6,$AL7&gt;1,ISNUMBER(U26),ISNUMBER(W26)),1,0)</f>
        <v>0</v>
      </c>
      <c r="X32" s="1058">
        <f>IF(AND(X26&gt;Z26,$AL8&gt;7,$AL7&gt;1,ISNUMBER(X26),ISNUMBER(Z26)),1,0)</f>
        <v>0</v>
      </c>
      <c r="Y32" s="1058"/>
      <c r="Z32" s="1059">
        <f>IF(AND(Z26&gt;X26,$AL8&gt;7,$AL7&gt;1,ISNUMBER(X26),ISNUMBER(Z26)),1,0)</f>
        <v>0</v>
      </c>
      <c r="AA32" s="1058">
        <f>IF(AND(AA26&gt;AC26,$AL8&gt;8,$AL7&gt;1,ISNUMBER(AA26),ISNUMBER(AC26)),1,0)</f>
        <v>0</v>
      </c>
      <c r="AB32" s="1058"/>
      <c r="AC32" s="1059">
        <f>IF(AND(AC26&gt;AA26,$AL8&gt;8,$AL7&gt;1,ISNUMBER(AA26),ISNUMBER(AC26)),1,0)</f>
        <v>0</v>
      </c>
      <c r="AD32" s="1058">
        <f>IF(AND(AD26&gt;AF26,$AL8&gt;9,$AL7&gt;1,ISNUMBER(AD26),ISNUMBER(AF26)),1,0)</f>
        <v>0</v>
      </c>
      <c r="AE32" s="1058"/>
      <c r="AF32" s="1059">
        <f>IF(AND(AF26&gt;AD26,$AL8&gt;9,$AL7&gt;1,ISNUMBER(AD26),ISNUMBER(AF26)),1,0)</f>
        <v>0</v>
      </c>
    </row>
    <row r="33" spans="1:34" s="1057" customFormat="1" ht="12.75" hidden="1" customHeight="1" x14ac:dyDescent="0.2">
      <c r="A33" s="1057" t="s">
        <v>81</v>
      </c>
      <c r="B33" s="1058">
        <f>IF(AND(B27&gt;D27,$AL8&gt;0,$AL7&gt;2,ISNUMBER(B27),ISNUMBER(D27)),1,0)</f>
        <v>0</v>
      </c>
      <c r="C33" s="1058"/>
      <c r="D33" s="1059">
        <f>IF(AND(D27&gt;B27,$AL8&gt;0,$AL7&gt;2,ISNUMBER(B27),ISNUMBER(D27)),1,0)</f>
        <v>0</v>
      </c>
      <c r="E33" s="1058">
        <f>IF(AND(E27&gt;G27,$AL8&gt;1,$AL7&gt;2,ISNUMBER(E27),ISNUMBER(G27)),1,0)</f>
        <v>0</v>
      </c>
      <c r="F33" s="1058"/>
      <c r="G33" s="1059">
        <f>IF(AND(G27&gt;E27,$AL8&gt;1,$AL7&gt;2,ISNUMBER(E27),ISNUMBER(G27)),1,0)</f>
        <v>0</v>
      </c>
      <c r="H33" s="1058">
        <f>IF(AND(H27&gt;J27,$AL8&gt;2,$AL7&gt;2,ISNUMBER(H27),ISNUMBER(J27)),1,0)</f>
        <v>0</v>
      </c>
      <c r="I33" s="1058"/>
      <c r="J33" s="1059">
        <f>IF(AND(J27&gt;H27,$AL8&gt;2,$AL7&gt;2,ISNUMBER(H27),ISNUMBER(J27)),1,0)</f>
        <v>0</v>
      </c>
      <c r="K33" s="1060"/>
      <c r="L33" s="1058">
        <f>IF(AND(L27&gt;N27,$AL8&gt;3,$AL7&gt;2,ISNUMBER(L27),ISNUMBER(N27)),1,0)</f>
        <v>0</v>
      </c>
      <c r="M33" s="1058"/>
      <c r="N33" s="1059">
        <f>IF(AND(N27&gt;L27,$AL8&gt;3,$AL7&gt;2,ISNUMBER(L27),ISNUMBER(N27)),1,0)</f>
        <v>0</v>
      </c>
      <c r="O33" s="1058">
        <f>IF(AND(O27&gt;Q27,$AL8&gt;4,$AL7&gt;2,ISNUMBER(O27),ISNUMBER(Q27)),1,0)</f>
        <v>0</v>
      </c>
      <c r="P33" s="1058"/>
      <c r="Q33" s="1059">
        <f>IF(AND(Q27&gt;O27,$AL8&gt;4,$AL7&gt;2,ISNUMBER(O27),ISNUMBER(Q27)),1,0)</f>
        <v>0</v>
      </c>
      <c r="R33" s="1058">
        <f>IF(AND(R27&gt;T27,$AL8&gt;5,$AL7&gt;2,ISNUMBER(R27),ISNUMBER(T27)),1,0)</f>
        <v>0</v>
      </c>
      <c r="S33" s="1058"/>
      <c r="T33" s="1059">
        <f>IF(AND(T27&gt;R27,$AL8&gt;5,$AL7&gt;2,ISNUMBER(R27),ISNUMBER(T27)),1,0)</f>
        <v>0</v>
      </c>
      <c r="U33" s="1058">
        <f>IF(AND(U27&gt;W27,$AL8&gt;6,$AL7&gt;2,ISNUMBER(U27),ISNUMBER(W27)),1,0)</f>
        <v>0</v>
      </c>
      <c r="V33" s="1058"/>
      <c r="W33" s="1059">
        <f>IF(AND(W27&gt;U27,$AL8&gt;6,$AL7&gt;2,ISNUMBER(U27),ISNUMBER(W27)),1,0)</f>
        <v>0</v>
      </c>
      <c r="X33" s="1058">
        <f>IF(AND(X27&gt;Z27,$AL8&gt;7,$AL7&gt;2,ISNUMBER(X27),ISNUMBER(Z27)),1,0)</f>
        <v>0</v>
      </c>
      <c r="Y33" s="1058"/>
      <c r="Z33" s="1059">
        <f>IF(AND(Z27&gt;X27,$AL8&gt;7,$AL7&gt;2,ISNUMBER(X27),ISNUMBER(Z27)),1,0)</f>
        <v>0</v>
      </c>
      <c r="AA33" s="1058">
        <f>IF(AND(AA27&gt;AC27,$AL8&gt;8,$AL7&gt;2,ISNUMBER(AA27),ISNUMBER(AC27)),1,0)</f>
        <v>0</v>
      </c>
      <c r="AB33" s="1058"/>
      <c r="AC33" s="1059">
        <f>IF(AND(AC27&gt;AA27,$AL8&gt;8,$AL7&gt;2,ISNUMBER(AA27),ISNUMBER(AC27)),1,0)</f>
        <v>0</v>
      </c>
      <c r="AD33" s="1058">
        <f>IF(AND(AD27&gt;AF27,$AL8&gt;9,$AL7&gt;2,ISNUMBER(AD27),ISNUMBER(AF27)),1,0)</f>
        <v>0</v>
      </c>
      <c r="AE33" s="1058"/>
      <c r="AF33" s="1059">
        <f>IF(AND(AF27&gt;AD27,$AL8&gt;9,$AL7&gt;2,ISNUMBER(AD27),ISNUMBER(AF27)),1,0)</f>
        <v>0</v>
      </c>
    </row>
    <row r="34" spans="1:34" s="1057" customFormat="1" ht="12.75" hidden="1" customHeight="1" x14ac:dyDescent="0.2">
      <c r="A34" s="1057" t="s">
        <v>82</v>
      </c>
      <c r="B34" s="1058">
        <f>IF(AND(B28&gt;D28,$AL8&gt;0,$AL7&gt;3,ISNUMBER(B28),ISNUMBER(D28)),1,0)</f>
        <v>0</v>
      </c>
      <c r="C34" s="1058"/>
      <c r="D34" s="1059">
        <f>IF(AND(D28&gt;B28,$AL8&gt;0,$AL7&gt;3,ISNUMBER(B28),ISNUMBER(D28)),1,0)</f>
        <v>0</v>
      </c>
      <c r="E34" s="1058">
        <f>IF(AND(E28&gt;G28,$AL8&gt;1,$AL7&gt;3,ISNUMBER(E28),ISNUMBER(G28)),1,0)</f>
        <v>0</v>
      </c>
      <c r="F34" s="1058"/>
      <c r="G34" s="1059">
        <f>IF(AND(G28&gt;E28,$AL8&gt;1,$AL7&gt;3,ISNUMBER(E28),ISNUMBER(G28)),1,0)</f>
        <v>0</v>
      </c>
      <c r="H34" s="1058">
        <f>IF(AND(H28&gt;J28,$AL8&gt;2,$AL7&gt;3,ISNUMBER(H28),ISNUMBER(J28)),1,0)</f>
        <v>0</v>
      </c>
      <c r="I34" s="1058"/>
      <c r="J34" s="1059">
        <f>IF(AND(J28&gt;H28,$AL8&gt;2,$AL7&gt;3,ISNUMBER(H28),ISNUMBER(J28)),1,0)</f>
        <v>0</v>
      </c>
      <c r="K34" s="1060"/>
      <c r="L34" s="1058">
        <f>IF(AND(L28&gt;N28,$AL8&gt;3,$AL7&gt;3,ISNUMBER(L28),ISNUMBER(N28)),1,0)</f>
        <v>0</v>
      </c>
      <c r="M34" s="1058"/>
      <c r="N34" s="1059">
        <f>IF(AND(N28&gt;L28,$AL8&gt;3,$AL7&gt;3,ISNUMBER(L28),ISNUMBER(N28)),1,0)</f>
        <v>0</v>
      </c>
      <c r="O34" s="1058">
        <f>IF(AND(O28&gt;Q28,$AL8&gt;4,$AL7&gt;3,ISNUMBER(O28),ISNUMBER(Q28)),1,0)</f>
        <v>0</v>
      </c>
      <c r="P34" s="1058"/>
      <c r="Q34" s="1059">
        <f>IF(AND(Q28&gt;O28,$AL8&gt;4,$AL7&gt;3,ISNUMBER(O28),ISNUMBER(Q28)),1,0)</f>
        <v>0</v>
      </c>
      <c r="R34" s="1058">
        <f>IF(AND(R28&gt;T28,$AL8&gt;5,$AL7&gt;3,ISNUMBER(R28),ISNUMBER(T28)),1,0)</f>
        <v>0</v>
      </c>
      <c r="S34" s="1058"/>
      <c r="T34" s="1059">
        <f>IF(AND(T28&gt;R28,$AL8&gt;5,$AL7&gt;3,ISNUMBER(R28),ISNUMBER(T28)),1,0)</f>
        <v>0</v>
      </c>
      <c r="U34" s="1058">
        <f>IF(AND(U28&gt;W28,$AL8&gt;6,$AL7&gt;3,ISNUMBER(U28),ISNUMBER(W28)),1,0)</f>
        <v>0</v>
      </c>
      <c r="V34" s="1058"/>
      <c r="W34" s="1059">
        <f>IF(AND(W28&gt;U28,$AL8&gt;6,$AL7&gt;3,ISNUMBER(U28),ISNUMBER(W28)),1,0)</f>
        <v>0</v>
      </c>
      <c r="X34" s="1058">
        <f>IF(AND(X28&gt;Z28,$AL8&gt;7,$AL7&gt;3,ISNUMBER(X28),ISNUMBER(Z28)),1,0)</f>
        <v>0</v>
      </c>
      <c r="Y34" s="1058"/>
      <c r="Z34" s="1059">
        <f>IF(AND(Z28&gt;X28,$AL8&gt;7,$AL7&gt;3,ISNUMBER(X28),ISNUMBER(Z28)),1,0)</f>
        <v>0</v>
      </c>
      <c r="AA34" s="1058">
        <f>IF(AND(AA28&gt;AC28,$AL8&gt;8,$AL7&gt;3,ISNUMBER(AA28),ISNUMBER(AC28)),1,0)</f>
        <v>0</v>
      </c>
      <c r="AB34" s="1058"/>
      <c r="AC34" s="1059">
        <f>IF(AND(AC28&gt;AA28,$AL8&gt;8,$AL7&gt;3,ISNUMBER(AA28),ISNUMBER(AC28)),1,0)</f>
        <v>0</v>
      </c>
      <c r="AD34" s="1058">
        <f>IF(AND(AD28&gt;AF28,$AL8&gt;9,$AL7&gt;3,ISNUMBER(AD28),ISNUMBER(AF28)),1,0)</f>
        <v>0</v>
      </c>
      <c r="AE34" s="1058"/>
      <c r="AF34" s="1059">
        <f>IF(AND(AF28&gt;AD28,$AL8&gt;9,$AL7&gt;3,ISNUMBER(AD28),ISNUMBER(AF28)),1,0)</f>
        <v>0</v>
      </c>
    </row>
    <row r="35" spans="1:34" s="1057" customFormat="1" ht="12.75" hidden="1" customHeight="1" x14ac:dyDescent="0.2">
      <c r="A35" s="1057" t="s">
        <v>83</v>
      </c>
      <c r="B35" s="1058">
        <f>IF(AND(B29&gt;D29,$AL8&gt;0,$AL7&gt;4,ISNUMBER(B29),ISNUMBER(D29)),1,0)</f>
        <v>0</v>
      </c>
      <c r="C35" s="1058"/>
      <c r="D35" s="1059">
        <f>IF(AND(D29&gt;B29,$AL8&gt;0,$AL7&gt;4,ISNUMBER(B29),ISNUMBER(D29)),1,0)</f>
        <v>0</v>
      </c>
      <c r="E35" s="1058">
        <f>IF(AND(E29&gt;G29,$AL8&gt;1,$AL7&gt;4,ISNUMBER(E29),ISNUMBER(G29)),1,0)</f>
        <v>0</v>
      </c>
      <c r="F35" s="1058"/>
      <c r="G35" s="1059">
        <f>IF(AND(G29&gt;E29,$AL8&gt;1,$AL7&gt;4,ISNUMBER(E29),ISNUMBER(G29)),1,0)</f>
        <v>0</v>
      </c>
      <c r="H35" s="1058">
        <f>IF(AND(H29&gt;J29,$AL8&gt;2,$AL7&gt;4,ISNUMBER(H29),ISNUMBER(J29)),1,0)</f>
        <v>0</v>
      </c>
      <c r="I35" s="1058"/>
      <c r="J35" s="1059">
        <f>IF(AND(J29&gt;H29,$AL8&gt;2,$AL7&gt;4,ISNUMBER(H29),ISNUMBER(J29)),1,0)</f>
        <v>0</v>
      </c>
      <c r="K35" s="1060"/>
      <c r="L35" s="1058">
        <f>IF(AND(L29&gt;N29,$AL8&gt;3,$AL7&gt;4,ISNUMBER(L29),ISNUMBER(N29)),1,0)</f>
        <v>0</v>
      </c>
      <c r="M35" s="1058"/>
      <c r="N35" s="1059">
        <f>IF(AND(N29&gt;L29,$AL8&gt;3,$AL7&gt;4,ISNUMBER(L29),ISNUMBER(N29)),1,0)</f>
        <v>0</v>
      </c>
      <c r="O35" s="1058">
        <f>IF(AND(O29&gt;Q29,$AL8&gt;4,$AL7&gt;4,ISNUMBER(O29),ISNUMBER(Q29)),1,0)</f>
        <v>0</v>
      </c>
      <c r="P35" s="1058"/>
      <c r="Q35" s="1059">
        <f>IF(AND(Q29&gt;O29,$AL8&gt;4,$AL7&gt;4,ISNUMBER(O29),ISNUMBER(Q29)),1,0)</f>
        <v>0</v>
      </c>
      <c r="R35" s="1058">
        <f>IF(AND(R29&gt;T29,$AL8&gt;5,$AL7&gt;4,ISNUMBER(R29),ISNUMBER(T29)),1,0)</f>
        <v>0</v>
      </c>
      <c r="S35" s="1058"/>
      <c r="T35" s="1059">
        <f>IF(AND(T29&gt;R29,$AL8&gt;5,$AL7&gt;4,ISNUMBER(R29),ISNUMBER(T29)),1,0)</f>
        <v>0</v>
      </c>
      <c r="U35" s="1058">
        <f>IF(AND(U29&gt;W29,$AL8&gt;6,$AL7&gt;4,ISNUMBER(U29),ISNUMBER(W29)),1,0)</f>
        <v>0</v>
      </c>
      <c r="V35" s="1058"/>
      <c r="W35" s="1059">
        <f>IF(AND(W29&gt;U29,$AL8&gt;6,$AL7&gt;4,ISNUMBER(U29),ISNUMBER(W29)),1,0)</f>
        <v>0</v>
      </c>
      <c r="X35" s="1058">
        <f>IF(AND(X29&gt;Z29,$AL8&gt;7,$AL7&gt;4,ISNUMBER(X29),ISNUMBER(Z29)),1,0)</f>
        <v>0</v>
      </c>
      <c r="Y35" s="1058"/>
      <c r="Z35" s="1059">
        <f>IF(AND(Z29&gt;X29,$AL8&gt;7,$AL7&gt;4,ISNUMBER(X29),ISNUMBER(Z29)),1,0)</f>
        <v>0</v>
      </c>
      <c r="AA35" s="1058">
        <f>IF(AND(AA29&gt;AC29,$AL8&gt;8,$AL7&gt;4,ISNUMBER(AA29),ISNUMBER(AC29)),1,0)</f>
        <v>0</v>
      </c>
      <c r="AB35" s="1058"/>
      <c r="AC35" s="1059">
        <f>IF(AND(AC29&gt;AA29,$AL8&gt;8,$AL7&gt;4,ISNUMBER(AA29),ISNUMBER(AC29)),1,0)</f>
        <v>0</v>
      </c>
      <c r="AD35" s="1058">
        <f>IF(AND(AD29&gt;AF29,$AL8&gt;9,$AL7&gt;4,ISNUMBER(AD29),ISNUMBER(AF29)),1,0)</f>
        <v>0</v>
      </c>
      <c r="AE35" s="1058"/>
      <c r="AF35" s="1059">
        <f>IF(AND(AF29&gt;AD29,$AL8&gt;9,$AL7&gt;4,ISNUMBER(AD29),ISNUMBER(AF29)),1,0)</f>
        <v>0</v>
      </c>
    </row>
    <row r="36" spans="1:34" s="1057" customFormat="1" ht="38.25" hidden="1" customHeight="1" x14ac:dyDescent="0.2">
      <c r="A36" s="1061" t="s">
        <v>84</v>
      </c>
      <c r="B36" s="1057">
        <f>SUM(B31:B35)</f>
        <v>1</v>
      </c>
      <c r="D36" s="1060">
        <f>SUM(D31:D35)</f>
        <v>0</v>
      </c>
      <c r="E36" s="1057">
        <f>SUM(E31:E35)</f>
        <v>0</v>
      </c>
      <c r="G36" s="1060">
        <f>SUM(G31:G35)</f>
        <v>1</v>
      </c>
      <c r="H36" s="1057">
        <f>SUM(H31:H35)</f>
        <v>1</v>
      </c>
      <c r="J36" s="1060">
        <f>SUM(J31:J35)</f>
        <v>0</v>
      </c>
      <c r="K36" s="1060"/>
      <c r="L36" s="1057">
        <f>SUM(L31:L35)</f>
        <v>0</v>
      </c>
      <c r="N36" s="1060">
        <f>SUM(N31:N35)</f>
        <v>1</v>
      </c>
      <c r="O36" s="1057">
        <f>SUM(O31:O35)</f>
        <v>0</v>
      </c>
      <c r="Q36" s="1060">
        <f>SUM(Q31:Q35)</f>
        <v>1</v>
      </c>
      <c r="R36" s="1057">
        <f>SUM(R31:R35)</f>
        <v>0</v>
      </c>
      <c r="T36" s="1060">
        <f>SUM(T31:T35)</f>
        <v>1</v>
      </c>
      <c r="U36" s="1057">
        <f>SUM(U31:U35)</f>
        <v>0</v>
      </c>
      <c r="W36" s="1060">
        <f>SUM(W31:W35)</f>
        <v>0</v>
      </c>
      <c r="X36" s="1057">
        <f>SUM(X31:X35)</f>
        <v>0</v>
      </c>
      <c r="Z36" s="1060">
        <f>SUM(Z31:Z35)</f>
        <v>0</v>
      </c>
      <c r="AA36" s="1057">
        <f>SUM(AA31:AA35)</f>
        <v>0</v>
      </c>
      <c r="AC36" s="1060">
        <f>SUM(AC31:AC35)</f>
        <v>0</v>
      </c>
      <c r="AD36" s="1057">
        <f>SUM(AD31:AD35)</f>
        <v>0</v>
      </c>
      <c r="AF36" s="1060">
        <f>SUM(AF31:AF35)</f>
        <v>0</v>
      </c>
    </row>
    <row r="37" spans="1:34" s="1057" customFormat="1" ht="25.5" hidden="1" customHeight="1" x14ac:dyDescent="0.2">
      <c r="A37" s="1061" t="s">
        <v>85</v>
      </c>
      <c r="B37" s="1057">
        <f>IF(B36&gt;D36,IF(C71=AL7,1,IF(C71=AL7-1,1,0)),0)</f>
        <v>1</v>
      </c>
      <c r="C37" s="1057">
        <f>B37+D37</f>
        <v>1</v>
      </c>
      <c r="D37" s="1060">
        <f>IF(D36&gt;B36,IF(C71=AL7,1,IF(C71=AL7-1,1,0)),0)</f>
        <v>0</v>
      </c>
      <c r="E37" s="1057">
        <f>IF(E36&gt;G36,IF(F71=AL7,1,IF(F71=AL7-1,1,0)),0)</f>
        <v>0</v>
      </c>
      <c r="F37" s="1057">
        <f>E37+G37</f>
        <v>1</v>
      </c>
      <c r="G37" s="1060">
        <f>IF(G36&gt;E36,IF(F71=AL7,1,IF(F71=AL7-1,1,0)),0)</f>
        <v>1</v>
      </c>
      <c r="H37" s="1057">
        <f>IF(H36&gt;J36,IF(I71=AL7,1,IF(I71=AL7-1,1,0)),0)</f>
        <v>1</v>
      </c>
      <c r="I37" s="1057">
        <f>H37+J37</f>
        <v>1</v>
      </c>
      <c r="J37" s="1060">
        <f>IF(J36&gt;H36,IF(I71=AL7,1,IF(I71=AL7-1,1,0)),0)</f>
        <v>0</v>
      </c>
      <c r="K37" s="1060"/>
      <c r="L37" s="1057">
        <f>IF(L36&gt;N36,IF(M71=AL7,1,IF(M71=AL7-1,1,0)),0)</f>
        <v>0</v>
      </c>
      <c r="M37" s="1057">
        <f>L37+N37</f>
        <v>1</v>
      </c>
      <c r="N37" s="1060">
        <f>IF(N36&gt;L36,IF(M71=AL7,1,IF(M71=AL7-1,1,0)),0)</f>
        <v>1</v>
      </c>
      <c r="O37" s="1057">
        <f>IF(O36&gt;Q36,IF(P71=AL7,1,IF(P71=AL7-1,1,0)),0)</f>
        <v>0</v>
      </c>
      <c r="P37" s="1057">
        <f>O37+Q37</f>
        <v>1</v>
      </c>
      <c r="Q37" s="1060">
        <f>IF(Q36&gt;O36,IF(P71=AL7,1,IF(P71=AL7-1,1,0)),0)</f>
        <v>1</v>
      </c>
      <c r="R37" s="1057">
        <f>IF(R36&gt;T36,IF(S71=AL7,1,IF(S71=AL7-1,1,0)),0)</f>
        <v>0</v>
      </c>
      <c r="S37" s="1057">
        <f>R37+T37</f>
        <v>1</v>
      </c>
      <c r="T37" s="1060">
        <f>IF(T36&gt;R36,IF(S71=AL7,1,IF(S71=AL7-1,1,0)),0)</f>
        <v>1</v>
      </c>
      <c r="U37" s="1057">
        <f>IF(U36&gt;W36,IF(V71=AL7,1,IF(V71=AL7-1,1,0)),0)</f>
        <v>0</v>
      </c>
      <c r="V37" s="1057">
        <f>U37+W37</f>
        <v>0</v>
      </c>
      <c r="W37" s="1060">
        <f>IF(W36&gt;U36,IF(V71=AL7,1,IF(V71=AL7-1,1,0)),0)</f>
        <v>0</v>
      </c>
      <c r="X37" s="1057">
        <f>IF(X36&gt;Z36,IF(Y71=AL7,1,IF(Y71=AL7-1,1,0)),0)</f>
        <v>0</v>
      </c>
      <c r="Y37" s="1057">
        <f>X37+Z37</f>
        <v>0</v>
      </c>
      <c r="Z37" s="1060">
        <f>IF(Z36&gt;X36,IF(Y71=AL7,1,IF(Y71=AL7-1,1,0)),0)</f>
        <v>0</v>
      </c>
      <c r="AA37" s="1057">
        <f>IF(AA36&gt;AC36,IF(AB71=AL7,1,IF(AB71=AL7-1,1,0)),0)</f>
        <v>0</v>
      </c>
      <c r="AB37" s="1057">
        <f>AA37+AC37</f>
        <v>0</v>
      </c>
      <c r="AC37" s="1060">
        <f>IF(AC36&gt;AA36,IF(AB71=AL7,1,IF(AB71=AL7-1,1,0)),0)</f>
        <v>0</v>
      </c>
      <c r="AD37" s="1057">
        <f>IF(AD36&gt;AF36,IF(AE71=AL7,1,IF(AE71=AL7-1,1,0)),0)</f>
        <v>0</v>
      </c>
      <c r="AE37" s="1057">
        <f>AD37+AF37</f>
        <v>0</v>
      </c>
      <c r="AF37" s="1060">
        <f>IF(AF36&gt;AD36,IF(AE71=AL7,1,IF(AE71=AL7-1,1,0)),0)</f>
        <v>0</v>
      </c>
    </row>
    <row r="38" spans="1:34" s="1057" customFormat="1" ht="25.5" hidden="1" customHeight="1" x14ac:dyDescent="0.2">
      <c r="A38" s="1061"/>
      <c r="D38" s="1060"/>
      <c r="G38" s="1060"/>
      <c r="J38" s="1060"/>
      <c r="K38" s="1060"/>
      <c r="N38" s="1060"/>
      <c r="Q38" s="1060"/>
      <c r="T38" s="1060"/>
      <c r="W38" s="1060"/>
      <c r="Z38" s="1060"/>
      <c r="AC38" s="1060"/>
      <c r="AF38" s="1060"/>
    </row>
    <row r="39" spans="1:34" s="1057" customFormat="1" ht="12.75" hidden="1" customHeight="1" x14ac:dyDescent="0.2">
      <c r="A39" s="1057" t="s">
        <v>86</v>
      </c>
      <c r="B39" s="1057">
        <f>IF(B31=1,B25,0)</f>
        <v>28</v>
      </c>
      <c r="D39" s="1060">
        <f t="shared" ref="D39:E43" si="2">IF(D31=1,D25,0)</f>
        <v>0</v>
      </c>
      <c r="E39" s="1057">
        <f t="shared" si="2"/>
        <v>0</v>
      </c>
      <c r="G39" s="1060">
        <f t="shared" ref="G39:H43" si="3">IF(G31=1,G25,0)</f>
        <v>30</v>
      </c>
      <c r="H39" s="1057">
        <f t="shared" si="3"/>
        <v>27</v>
      </c>
      <c r="J39" s="1060">
        <f>IF(J31=1,J25,0)</f>
        <v>0</v>
      </c>
      <c r="K39" s="1060"/>
      <c r="L39" s="1057">
        <f>IF(L31=1,L25,0)</f>
        <v>0</v>
      </c>
      <c r="N39" s="1060">
        <f t="shared" ref="N39:O43" si="4">IF(N31=1,N25,0)</f>
        <v>25</v>
      </c>
      <c r="O39" s="1057">
        <f t="shared" si="4"/>
        <v>0</v>
      </c>
      <c r="Q39" s="1060">
        <f t="shared" ref="Q39:R43" si="5">IF(Q31=1,Q25,0)</f>
        <v>34</v>
      </c>
      <c r="R39" s="1057">
        <f t="shared" si="5"/>
        <v>0</v>
      </c>
      <c r="T39" s="1060">
        <f t="shared" ref="T39:U43" si="6">IF(T31=1,T25,0)</f>
        <v>33</v>
      </c>
      <c r="U39" s="1057">
        <f t="shared" si="6"/>
        <v>0</v>
      </c>
      <c r="W39" s="1060">
        <f t="shared" ref="W39:X43" si="7">IF(W31=1,W25,0)</f>
        <v>0</v>
      </c>
      <c r="X39" s="1057">
        <f t="shared" si="7"/>
        <v>0</v>
      </c>
      <c r="Z39" s="1060">
        <f t="shared" ref="Z39:AA43" si="8">IF(Z31=1,Z25,0)</f>
        <v>0</v>
      </c>
      <c r="AA39" s="1057">
        <f t="shared" si="8"/>
        <v>0</v>
      </c>
      <c r="AC39" s="1060">
        <f t="shared" ref="AC39:AD43" si="9">IF(AC31=1,AC25,0)</f>
        <v>0</v>
      </c>
      <c r="AD39" s="1057">
        <f t="shared" si="9"/>
        <v>0</v>
      </c>
      <c r="AF39" s="1060">
        <f>IF(AF31=1,AF25,0)</f>
        <v>0</v>
      </c>
    </row>
    <row r="40" spans="1:34" s="1057" customFormat="1" ht="12.75" hidden="1" customHeight="1" x14ac:dyDescent="0.2">
      <c r="A40" s="1057" t="s">
        <v>87</v>
      </c>
      <c r="B40" s="1057">
        <f>IF(B32=1,B26,0)</f>
        <v>0</v>
      </c>
      <c r="D40" s="1060">
        <f t="shared" si="2"/>
        <v>0</v>
      </c>
      <c r="E40" s="1057">
        <f t="shared" si="2"/>
        <v>0</v>
      </c>
      <c r="G40" s="1060">
        <f t="shared" si="3"/>
        <v>0</v>
      </c>
      <c r="H40" s="1057">
        <f t="shared" si="3"/>
        <v>0</v>
      </c>
      <c r="J40" s="1060">
        <f>IF(J32=1,J26,0)</f>
        <v>0</v>
      </c>
      <c r="K40" s="1060"/>
      <c r="L40" s="1057">
        <f>IF(L32=1,L26,0)</f>
        <v>0</v>
      </c>
      <c r="N40" s="1060">
        <f t="shared" si="4"/>
        <v>0</v>
      </c>
      <c r="O40" s="1057">
        <f t="shared" si="4"/>
        <v>0</v>
      </c>
      <c r="Q40" s="1060">
        <f t="shared" si="5"/>
        <v>0</v>
      </c>
      <c r="R40" s="1057">
        <f t="shared" si="5"/>
        <v>0</v>
      </c>
      <c r="T40" s="1060">
        <f t="shared" si="6"/>
        <v>0</v>
      </c>
      <c r="U40" s="1057">
        <f t="shared" si="6"/>
        <v>0</v>
      </c>
      <c r="W40" s="1060">
        <f t="shared" si="7"/>
        <v>0</v>
      </c>
      <c r="X40" s="1057">
        <f t="shared" si="7"/>
        <v>0</v>
      </c>
      <c r="Z40" s="1060">
        <f t="shared" si="8"/>
        <v>0</v>
      </c>
      <c r="AA40" s="1057">
        <f t="shared" si="8"/>
        <v>0</v>
      </c>
      <c r="AC40" s="1060">
        <f t="shared" si="9"/>
        <v>0</v>
      </c>
      <c r="AD40" s="1057">
        <f t="shared" si="9"/>
        <v>0</v>
      </c>
      <c r="AF40" s="1060">
        <f>IF(AF32=1,AF26,0)</f>
        <v>0</v>
      </c>
    </row>
    <row r="41" spans="1:34" s="1057" customFormat="1" ht="12.75" hidden="1" customHeight="1" x14ac:dyDescent="0.2">
      <c r="A41" s="1057" t="s">
        <v>88</v>
      </c>
      <c r="B41" s="1057">
        <f>IF(B33=1,B27,0)</f>
        <v>0</v>
      </c>
      <c r="D41" s="1060">
        <f t="shared" si="2"/>
        <v>0</v>
      </c>
      <c r="E41" s="1057">
        <f t="shared" si="2"/>
        <v>0</v>
      </c>
      <c r="G41" s="1060">
        <f t="shared" si="3"/>
        <v>0</v>
      </c>
      <c r="H41" s="1057">
        <f t="shared" si="3"/>
        <v>0</v>
      </c>
      <c r="J41" s="1060">
        <f>IF(J33=1,J27,0)</f>
        <v>0</v>
      </c>
      <c r="K41" s="1060"/>
      <c r="L41" s="1057">
        <f>IF(L33=1,L27,0)</f>
        <v>0</v>
      </c>
      <c r="N41" s="1060">
        <f t="shared" si="4"/>
        <v>0</v>
      </c>
      <c r="O41" s="1057">
        <f t="shared" si="4"/>
        <v>0</v>
      </c>
      <c r="Q41" s="1060">
        <f t="shared" si="5"/>
        <v>0</v>
      </c>
      <c r="R41" s="1057">
        <f t="shared" si="5"/>
        <v>0</v>
      </c>
      <c r="T41" s="1060">
        <f t="shared" si="6"/>
        <v>0</v>
      </c>
      <c r="U41" s="1057">
        <f t="shared" si="6"/>
        <v>0</v>
      </c>
      <c r="W41" s="1060">
        <f t="shared" si="7"/>
        <v>0</v>
      </c>
      <c r="X41" s="1057">
        <f t="shared" si="7"/>
        <v>0</v>
      </c>
      <c r="Z41" s="1060">
        <f t="shared" si="8"/>
        <v>0</v>
      </c>
      <c r="AA41" s="1057">
        <f t="shared" si="8"/>
        <v>0</v>
      </c>
      <c r="AC41" s="1060">
        <f t="shared" si="9"/>
        <v>0</v>
      </c>
      <c r="AD41" s="1057">
        <f t="shared" si="9"/>
        <v>0</v>
      </c>
      <c r="AF41" s="1060">
        <f>IF(AF33=1,AF27,0)</f>
        <v>0</v>
      </c>
    </row>
    <row r="42" spans="1:34" s="1057" customFormat="1" ht="12.75" hidden="1" customHeight="1" x14ac:dyDescent="0.2">
      <c r="A42" s="1057" t="s">
        <v>89</v>
      </c>
      <c r="B42" s="1057">
        <f>IF(B34=1,B28,0)</f>
        <v>0</v>
      </c>
      <c r="D42" s="1060">
        <f t="shared" si="2"/>
        <v>0</v>
      </c>
      <c r="E42" s="1057">
        <f t="shared" si="2"/>
        <v>0</v>
      </c>
      <c r="G42" s="1060">
        <f t="shared" si="3"/>
        <v>0</v>
      </c>
      <c r="H42" s="1057">
        <f t="shared" si="3"/>
        <v>0</v>
      </c>
      <c r="J42" s="1060">
        <f>IF(J34=1,J28,0)</f>
        <v>0</v>
      </c>
      <c r="K42" s="1060"/>
      <c r="L42" s="1057">
        <f>IF(L34=1,L28,0)</f>
        <v>0</v>
      </c>
      <c r="N42" s="1060">
        <f t="shared" si="4"/>
        <v>0</v>
      </c>
      <c r="O42" s="1057">
        <f t="shared" si="4"/>
        <v>0</v>
      </c>
      <c r="Q42" s="1060">
        <f t="shared" si="5"/>
        <v>0</v>
      </c>
      <c r="R42" s="1057">
        <f t="shared" si="5"/>
        <v>0</v>
      </c>
      <c r="T42" s="1060">
        <f t="shared" si="6"/>
        <v>0</v>
      </c>
      <c r="U42" s="1057">
        <f t="shared" si="6"/>
        <v>0</v>
      </c>
      <c r="W42" s="1060">
        <f t="shared" si="7"/>
        <v>0</v>
      </c>
      <c r="X42" s="1057">
        <f t="shared" si="7"/>
        <v>0</v>
      </c>
      <c r="Z42" s="1060">
        <f t="shared" si="8"/>
        <v>0</v>
      </c>
      <c r="AA42" s="1057">
        <f t="shared" si="8"/>
        <v>0</v>
      </c>
      <c r="AC42" s="1060">
        <f t="shared" si="9"/>
        <v>0</v>
      </c>
      <c r="AD42" s="1057">
        <f t="shared" si="9"/>
        <v>0</v>
      </c>
      <c r="AF42" s="1060">
        <f>IF(AF34=1,AF28,0)</f>
        <v>0</v>
      </c>
    </row>
    <row r="43" spans="1:34" s="1057" customFormat="1" ht="12.75" hidden="1" customHeight="1" x14ac:dyDescent="0.2">
      <c r="A43" s="1057" t="s">
        <v>90</v>
      </c>
      <c r="B43" s="1057">
        <f>IF(B35=1,B29,0)</f>
        <v>0</v>
      </c>
      <c r="D43" s="1060">
        <f t="shared" si="2"/>
        <v>0</v>
      </c>
      <c r="E43" s="1057">
        <f t="shared" si="2"/>
        <v>0</v>
      </c>
      <c r="G43" s="1060">
        <f t="shared" si="3"/>
        <v>0</v>
      </c>
      <c r="H43" s="1057">
        <f t="shared" si="3"/>
        <v>0</v>
      </c>
      <c r="J43" s="1060">
        <f>IF(J35=1,J29,0)</f>
        <v>0</v>
      </c>
      <c r="K43" s="1060"/>
      <c r="L43" s="1057">
        <f>IF(L35=1,L29,0)</f>
        <v>0</v>
      </c>
      <c r="N43" s="1060">
        <f t="shared" si="4"/>
        <v>0</v>
      </c>
      <c r="O43" s="1057">
        <f t="shared" si="4"/>
        <v>0</v>
      </c>
      <c r="Q43" s="1060">
        <f t="shared" si="5"/>
        <v>0</v>
      </c>
      <c r="R43" s="1057">
        <f t="shared" si="5"/>
        <v>0</v>
      </c>
      <c r="T43" s="1060">
        <f t="shared" si="6"/>
        <v>0</v>
      </c>
      <c r="U43" s="1057">
        <f t="shared" si="6"/>
        <v>0</v>
      </c>
      <c r="W43" s="1060">
        <f t="shared" si="7"/>
        <v>0</v>
      </c>
      <c r="X43" s="1057">
        <f t="shared" si="7"/>
        <v>0</v>
      </c>
      <c r="Z43" s="1060">
        <f t="shared" si="8"/>
        <v>0</v>
      </c>
      <c r="AA43" s="1057">
        <f t="shared" si="8"/>
        <v>0</v>
      </c>
      <c r="AC43" s="1060">
        <f t="shared" si="9"/>
        <v>0</v>
      </c>
      <c r="AD43" s="1057">
        <f t="shared" si="9"/>
        <v>0</v>
      </c>
      <c r="AF43" s="1060">
        <f>IF(AF35=1,AF29,0)</f>
        <v>0</v>
      </c>
    </row>
    <row r="44" spans="1:34" s="1057" customFormat="1" ht="38.25" hidden="1" customHeight="1" x14ac:dyDescent="0.2">
      <c r="A44" s="1061" t="s">
        <v>91</v>
      </c>
      <c r="B44" s="1057">
        <f>SUM(B39:D43)</f>
        <v>28</v>
      </c>
      <c r="D44" s="1060"/>
      <c r="E44" s="1057">
        <f>SUM(E39:G43)</f>
        <v>30</v>
      </c>
      <c r="G44" s="1060"/>
      <c r="H44" s="1057">
        <f>SUM(H39:J43)</f>
        <v>27</v>
      </c>
      <c r="J44" s="1060"/>
      <c r="K44" s="1060"/>
      <c r="L44" s="1057">
        <f>SUM(L39:N43)</f>
        <v>25</v>
      </c>
      <c r="N44" s="1060"/>
      <c r="O44" s="1057">
        <f>SUM(O39:Q43)</f>
        <v>34</v>
      </c>
      <c r="Q44" s="1060"/>
      <c r="R44" s="1057">
        <f>SUM(R39:T43)</f>
        <v>33</v>
      </c>
      <c r="T44" s="1060"/>
      <c r="U44" s="1057">
        <f>SUM(U39:W43)</f>
        <v>0</v>
      </c>
      <c r="W44" s="1060"/>
      <c r="X44" s="1057">
        <f>SUM(X39:Z43)</f>
        <v>0</v>
      </c>
      <c r="Z44" s="1060"/>
      <c r="AA44" s="1057">
        <f>SUM(AA39:AC43)</f>
        <v>0</v>
      </c>
      <c r="AC44" s="1060"/>
      <c r="AD44" s="1057">
        <f>SUM(AD39:AF43)</f>
        <v>0</v>
      </c>
      <c r="AF44" s="1060"/>
    </row>
    <row r="45" spans="1:34" s="1057" customFormat="1" ht="38.25" hidden="1" customHeight="1" x14ac:dyDescent="0.2">
      <c r="A45" s="1057" t="s">
        <v>92</v>
      </c>
      <c r="D45" s="1060"/>
      <c r="G45" s="1060"/>
      <c r="J45" s="1060"/>
      <c r="K45" s="1060"/>
      <c r="N45" s="1060"/>
      <c r="Q45" s="1060"/>
      <c r="T45" s="1060"/>
      <c r="W45" s="1060"/>
      <c r="Z45" s="1060"/>
      <c r="AC45" s="1060"/>
      <c r="AF45" s="1060"/>
      <c r="AG45" s="1061" t="s">
        <v>93</v>
      </c>
      <c r="AH45" s="1057" t="s">
        <v>94</v>
      </c>
    </row>
    <row r="46" spans="1:34" s="1057" customFormat="1" ht="12.75" hidden="1" customHeight="1" x14ac:dyDescent="0.2">
      <c r="A46" s="1057" t="s">
        <v>95</v>
      </c>
      <c r="B46" s="1057">
        <f>IF(B24=1,IF(B37=1,1,0),0)</f>
        <v>0</v>
      </c>
      <c r="D46" s="1060">
        <f>IF(D24=1,IF(D37=1,1,0),0)</f>
        <v>0</v>
      </c>
      <c r="E46" s="1057">
        <f>IF(E24=1,IF(E37=1,1,0),0)</f>
        <v>0</v>
      </c>
      <c r="G46" s="1060">
        <f>IF(G24=1,IF(G37=1,1,0),0)</f>
        <v>0</v>
      </c>
      <c r="H46" s="1057">
        <f>IF(H24=1,IF(H37=1,1,0),0)</f>
        <v>0</v>
      </c>
      <c r="J46" s="1060">
        <f>IF(J24=1,IF(J37=1,1,0),0)</f>
        <v>0</v>
      </c>
      <c r="K46" s="1060"/>
      <c r="L46" s="1057">
        <f>IF(L24=1,IF(L37=1,1,0),0)</f>
        <v>0</v>
      </c>
      <c r="N46" s="1060">
        <f>IF(N24=1,IF(N37=1,1,0),0)</f>
        <v>0</v>
      </c>
      <c r="O46" s="1057">
        <f>IF(O24=1,IF(O37=1,1,0),0)</f>
        <v>0</v>
      </c>
      <c r="Q46" s="1060">
        <f>IF(Q24=1,IF(Q37=1,1,0),0)</f>
        <v>0</v>
      </c>
      <c r="R46" s="1057">
        <f>IF(R24=1,IF(R37=1,1,0),0)</f>
        <v>0</v>
      </c>
      <c r="T46" s="1060">
        <f>IF(T24=1,IF(T37=1,1,0),0)</f>
        <v>0</v>
      </c>
      <c r="U46" s="1057">
        <f>IF(U24=1,IF(U37=1,1,0),0)</f>
        <v>0</v>
      </c>
      <c r="W46" s="1060">
        <f>IF(W24=1,IF(W37=1,1,0),0)</f>
        <v>0</v>
      </c>
      <c r="X46" s="1057">
        <f>IF(X24=1,IF(X37=1,1,0),0)</f>
        <v>0</v>
      </c>
      <c r="Z46" s="1060">
        <f>IF(Z24=1,IF(Z37=1,1,0),0)</f>
        <v>0</v>
      </c>
      <c r="AA46" s="1057">
        <f>IF(AA24=1,IF(AA37=1,1,0),0)</f>
        <v>0</v>
      </c>
      <c r="AC46" s="1060">
        <f>IF(AC24=1,IF(AC37=1,1,0),0)</f>
        <v>0</v>
      </c>
      <c r="AD46" s="1057">
        <f>IF(AD24=1,IF(AD37=1,1,0),0)</f>
        <v>0</v>
      </c>
      <c r="AF46" s="1060">
        <f>IF(AF24=1,IF(AF37=1,1,0),0)</f>
        <v>0</v>
      </c>
      <c r="AG46" s="1057">
        <f>SUM(B46:AF46)</f>
        <v>0</v>
      </c>
      <c r="AH46" s="1057">
        <f>AG52-AG46</f>
        <v>3</v>
      </c>
    </row>
    <row r="47" spans="1:34" s="1057" customFormat="1" ht="12.75" hidden="1" customHeight="1" x14ac:dyDescent="0.2">
      <c r="A47" s="1057" t="s">
        <v>96</v>
      </c>
      <c r="B47" s="1057">
        <f>IF(B24=2,IF(B37=1,1,0),0)</f>
        <v>1</v>
      </c>
      <c r="D47" s="1060">
        <f>IF(D24=2,IF(D37=1,1,0),0)</f>
        <v>0</v>
      </c>
      <c r="E47" s="1057">
        <f>IF(E24=2,IF(E37=1,1,0),0)</f>
        <v>0</v>
      </c>
      <c r="G47" s="1060">
        <f>IF(G24=2,IF(G37=1,1,0),0)</f>
        <v>0</v>
      </c>
      <c r="H47" s="1057">
        <f>IF(H24=2,IF(H37=1,1,0),0)</f>
        <v>1</v>
      </c>
      <c r="J47" s="1060">
        <f>IF(J24=2,IF(J37=1,1,0),0)</f>
        <v>0</v>
      </c>
      <c r="K47" s="1060"/>
      <c r="L47" s="1057">
        <f>IF(L24=2,IF(L37=1,1,0),0)</f>
        <v>0</v>
      </c>
      <c r="N47" s="1060">
        <f>IF(N24=2,IF(N37=1,1,0),0)</f>
        <v>0</v>
      </c>
      <c r="O47" s="1057">
        <f>IF(O24=2,IF(O37=1,1,0),0)</f>
        <v>0</v>
      </c>
      <c r="Q47" s="1060">
        <f>IF(Q24=2,IF(Q37=1,1,0),0)</f>
        <v>0</v>
      </c>
      <c r="R47" s="1057">
        <f>IF(R24=2,IF(R37=1,1,0),0)</f>
        <v>0</v>
      </c>
      <c r="T47" s="1060">
        <f>IF(T24=2,IF(T37=1,1,0),0)</f>
        <v>1</v>
      </c>
      <c r="U47" s="1057">
        <f>IF(U24=2,IF(U37=1,1,0),0)</f>
        <v>0</v>
      </c>
      <c r="W47" s="1060">
        <f>IF(W24=2,IF(W37=1,1,0),0)</f>
        <v>0</v>
      </c>
      <c r="X47" s="1057">
        <f>IF(X24=2,IF(X37=1,1,0),0)</f>
        <v>0</v>
      </c>
      <c r="Z47" s="1060">
        <f>IF(Z24=2,IF(Z37=1,1,0),0)</f>
        <v>0</v>
      </c>
      <c r="AA47" s="1057">
        <f>IF(AA24=2,IF(AA37=1,1,0),0)</f>
        <v>0</v>
      </c>
      <c r="AC47" s="1060">
        <f>IF(AC24=2,IF(AC37=1,1,0),0)</f>
        <v>0</v>
      </c>
      <c r="AD47" s="1057">
        <f>IF(AD24=2,IF(AD37=1,1,0),0)</f>
        <v>0</v>
      </c>
      <c r="AF47" s="1060">
        <f>IF(AF24=2,IF(AF37=1,1,0),0)</f>
        <v>0</v>
      </c>
      <c r="AG47" s="1057">
        <f>SUM(B47:AF47)</f>
        <v>3</v>
      </c>
      <c r="AH47" s="1057">
        <f>AG53-AG47</f>
        <v>0</v>
      </c>
    </row>
    <row r="48" spans="1:34" s="1057" customFormat="1" ht="12.75" hidden="1" customHeight="1" x14ac:dyDescent="0.2">
      <c r="A48" s="1057" t="s">
        <v>97</v>
      </c>
      <c r="B48" s="1057">
        <f>IF(B24=3,IF(B37=1,1,0),0)</f>
        <v>0</v>
      </c>
      <c r="D48" s="1060">
        <f>IF(D24=3,IF(D37=1,1,0),0)</f>
        <v>0</v>
      </c>
      <c r="E48" s="1057">
        <f>IF(E24=3,IF(E37=1,1,0),0)</f>
        <v>0</v>
      </c>
      <c r="G48" s="1060">
        <f>IF(G24=3,IF(G37=1,1,0),0)</f>
        <v>0</v>
      </c>
      <c r="H48" s="1057">
        <f>IF(H24=3,IF(H37=1,1,0),0)</f>
        <v>0</v>
      </c>
      <c r="J48" s="1060">
        <f>IF(J24=3,IF(J37=1,1,0),0)</f>
        <v>0</v>
      </c>
      <c r="K48" s="1060"/>
      <c r="L48" s="1057">
        <f>IF(L24=3,IF(L37=1,1,0),0)</f>
        <v>0</v>
      </c>
      <c r="N48" s="1060">
        <f>IF(N24=3,IF(N37=1,1,0),0)</f>
        <v>1</v>
      </c>
      <c r="O48" s="1057">
        <f>IF(O24=3,IF(O37=1,1,0),0)</f>
        <v>0</v>
      </c>
      <c r="Q48" s="1060">
        <f>IF(Q24=3,IF(Q37=1,1,0),0)</f>
        <v>0</v>
      </c>
      <c r="R48" s="1057">
        <f>IF(R24=3,IF(R37=1,1,0),0)</f>
        <v>0</v>
      </c>
      <c r="T48" s="1060">
        <f>IF(T24=3,IF(T37=1,1,0),0)</f>
        <v>0</v>
      </c>
      <c r="U48" s="1057">
        <f>IF(U24=3,IF(U37=1,1,0),0)</f>
        <v>0</v>
      </c>
      <c r="W48" s="1060">
        <f>IF(W24=3,IF(W37=1,1,0),0)</f>
        <v>0</v>
      </c>
      <c r="X48" s="1057">
        <f>IF(X24=3,IF(X37=1,1,0),0)</f>
        <v>0</v>
      </c>
      <c r="Z48" s="1060">
        <f>IF(Z24=3,IF(Z37=1,1,0),0)</f>
        <v>0</v>
      </c>
      <c r="AA48" s="1057">
        <f>IF(AA24=3,IF(AA37=1,1,0),0)</f>
        <v>0</v>
      </c>
      <c r="AC48" s="1060">
        <f>IF(AC24=3,IF(AC37=1,1,0),0)</f>
        <v>0</v>
      </c>
      <c r="AD48" s="1057">
        <f>IF(AD24=3,IF(AD37=1,1,0),0)</f>
        <v>0</v>
      </c>
      <c r="AF48" s="1060">
        <f>IF(AF24=3,IF(AF37=1,1,0),0)</f>
        <v>0</v>
      </c>
      <c r="AG48" s="1057">
        <f>SUM(B48:AF48)</f>
        <v>1</v>
      </c>
      <c r="AH48" s="1057">
        <f>AG54-AG48</f>
        <v>2</v>
      </c>
    </row>
    <row r="49" spans="1:38" s="1057" customFormat="1" ht="12.75" hidden="1" customHeight="1" x14ac:dyDescent="0.2">
      <c r="A49" s="1057" t="s">
        <v>98</v>
      </c>
      <c r="B49" s="1057">
        <f>IF(B24=4,IF(B37=1,1,0),0)</f>
        <v>0</v>
      </c>
      <c r="D49" s="1060">
        <f>IF(D24=4,IF(D37=1,1,0),0)</f>
        <v>0</v>
      </c>
      <c r="E49" s="1057">
        <f>IF(E24=4,IF(E37=1,1,0),0)</f>
        <v>0</v>
      </c>
      <c r="G49" s="1060">
        <f>IF(G24=4,IF(G37=1,1,0),0)</f>
        <v>1</v>
      </c>
      <c r="H49" s="1057">
        <f>IF(H24=4,IF(H37=1,1,0),0)</f>
        <v>0</v>
      </c>
      <c r="J49" s="1060">
        <f>IF(J24=4,IF(J37=1,1,0),0)</f>
        <v>0</v>
      </c>
      <c r="K49" s="1060"/>
      <c r="L49" s="1057">
        <f>IF(L24=4,IF(L37=1,1,0),0)</f>
        <v>0</v>
      </c>
      <c r="N49" s="1060">
        <f>IF(N24=4,IF(N37=1,1,0),0)</f>
        <v>0</v>
      </c>
      <c r="O49" s="1057">
        <f>IF(O24=4,IF(O37=1,1,0),0)</f>
        <v>0</v>
      </c>
      <c r="Q49" s="1060">
        <f>IF(Q24=4,IF(Q37=1,1,0),0)</f>
        <v>1</v>
      </c>
      <c r="R49" s="1057">
        <f>IF(R24=4,IF(R37=1,1,0),0)</f>
        <v>0</v>
      </c>
      <c r="T49" s="1060">
        <f>IF(T24=4,IF(T37=1,1,0),0)</f>
        <v>0</v>
      </c>
      <c r="U49" s="1057">
        <f>IF(U24=4,IF(U37=1,1,0),0)</f>
        <v>0</v>
      </c>
      <c r="W49" s="1060">
        <f>IF(W24=4,IF(W37=1,1,0),0)</f>
        <v>0</v>
      </c>
      <c r="X49" s="1057">
        <f>IF(X24=4,IF(X37=1,1,0),0)</f>
        <v>0</v>
      </c>
      <c r="Z49" s="1060">
        <f>IF(Z24=4,IF(Z37=1,1,0),0)</f>
        <v>0</v>
      </c>
      <c r="AA49" s="1057">
        <f>IF(AA24=4,IF(AA37=1,1,0),0)</f>
        <v>0</v>
      </c>
      <c r="AC49" s="1060">
        <f>IF(AC24=4,IF(AC37=1,1,0),0)</f>
        <v>0</v>
      </c>
      <c r="AD49" s="1057">
        <f>IF(AD24=4,IF(AD37=1,1,0),0)</f>
        <v>0</v>
      </c>
      <c r="AF49" s="1060">
        <f>IF(AF24=4,IF(AF37=1,1,0),0)</f>
        <v>0</v>
      </c>
      <c r="AG49" s="1057">
        <f>SUM(B49:AF49)</f>
        <v>2</v>
      </c>
      <c r="AH49" s="1057">
        <f>AG55-AG49</f>
        <v>1</v>
      </c>
    </row>
    <row r="50" spans="1:38" s="1057" customFormat="1" ht="12.75" hidden="1" customHeight="1" x14ac:dyDescent="0.2">
      <c r="A50" s="1057" t="s">
        <v>99</v>
      </c>
      <c r="B50" s="1057">
        <f>IF(B24=5,IF(B37=1,1,0),0)</f>
        <v>0</v>
      </c>
      <c r="D50" s="1060">
        <f>IF(D24=5,IF(D37=1,1,0),0)</f>
        <v>0</v>
      </c>
      <c r="E50" s="1057">
        <f>IF(E24=5,IF(E37=1,1,0),0)</f>
        <v>0</v>
      </c>
      <c r="G50" s="1060">
        <f>IF(G24=5,IF(G37=1,1,0),0)</f>
        <v>0</v>
      </c>
      <c r="H50" s="1057">
        <f>IF(H24=5,IF(H37=1,1,0),0)</f>
        <v>0</v>
      </c>
      <c r="J50" s="1060">
        <f>IF(J24=5,IF(J37=1,1,0),0)</f>
        <v>0</v>
      </c>
      <c r="K50" s="1060"/>
      <c r="L50" s="1057">
        <f>IF(L24=5,IF(L37=1,1,0),0)</f>
        <v>0</v>
      </c>
      <c r="N50" s="1060">
        <f>IF(N24=5,IF(N37=1,1,0),0)</f>
        <v>0</v>
      </c>
      <c r="O50" s="1057">
        <f>IF(O24=5,IF(O37=1,1,0),0)</f>
        <v>0</v>
      </c>
      <c r="Q50" s="1060">
        <f>IF(Q24=5,IF(Q37=1,1,0),0)</f>
        <v>0</v>
      </c>
      <c r="R50" s="1057">
        <f>IF(R24=5,IF(R37=1,1,0),0)</f>
        <v>0</v>
      </c>
      <c r="T50" s="1060">
        <f>IF(T24=5,IF(T37=1,1,0),0)</f>
        <v>0</v>
      </c>
      <c r="U50" s="1057">
        <f>IF(U24=5,IF(U37=1,1,0),0)</f>
        <v>0</v>
      </c>
      <c r="W50" s="1060">
        <f>IF(W24=5,IF(W37=1,1,0),0)</f>
        <v>0</v>
      </c>
      <c r="X50" s="1057">
        <f>IF(X24=5,IF(X37=1,1,0),0)</f>
        <v>0</v>
      </c>
      <c r="Z50" s="1060">
        <f>IF(Z24=5,IF(Z37=1,1,0),0)</f>
        <v>0</v>
      </c>
      <c r="AA50" s="1057">
        <f>IF(AA24=5,IF(AA37=1,1,0),0)</f>
        <v>0</v>
      </c>
      <c r="AC50" s="1060">
        <f>IF(AC24=5,IF(AC37=1,1,0),0)</f>
        <v>0</v>
      </c>
      <c r="AD50" s="1057">
        <f>IF(AD24=5,IF(AD37=1,1,0),0)</f>
        <v>0</v>
      </c>
      <c r="AF50" s="1060">
        <f>IF(AF24=5,IF(AF37=1,1,0),0)</f>
        <v>0</v>
      </c>
      <c r="AG50" s="1057">
        <f>SUM(B50:AF50)</f>
        <v>0</v>
      </c>
      <c r="AH50" s="1057">
        <f>AG56-AG50</f>
        <v>0</v>
      </c>
    </row>
    <row r="51" spans="1:38" s="1057" customFormat="1" ht="38.25" hidden="1" customHeight="1" x14ac:dyDescent="0.2">
      <c r="A51" s="1061"/>
      <c r="D51" s="1060"/>
      <c r="G51" s="1060"/>
      <c r="J51" s="1060"/>
      <c r="K51" s="1060"/>
      <c r="N51" s="1060"/>
      <c r="Q51" s="1060"/>
      <c r="T51" s="1060"/>
      <c r="W51" s="1060"/>
      <c r="Z51" s="1060"/>
      <c r="AC51" s="1060"/>
      <c r="AF51" s="1060"/>
      <c r="AG51" s="1061" t="s">
        <v>100</v>
      </c>
    </row>
    <row r="52" spans="1:38" s="1057" customFormat="1" ht="12.75" hidden="1" customHeight="1" x14ac:dyDescent="0.2">
      <c r="A52" s="1057" t="s">
        <v>101</v>
      </c>
      <c r="B52" s="1057">
        <f>IF(B24=1,IF(C37=1,1,0),0)</f>
        <v>0</v>
      </c>
      <c r="D52" s="1060">
        <f>IF(D24=1,IF(C37=1,1,0),0)</f>
        <v>0</v>
      </c>
      <c r="E52" s="1057">
        <f>IF(E24=1,IF(F37=1,1,0),0)</f>
        <v>1</v>
      </c>
      <c r="G52" s="1060">
        <f>IF(G24=1,IF(F37=1,1,0),0)</f>
        <v>0</v>
      </c>
      <c r="H52" s="1057">
        <f>IF(H24=1,IF(I37=1,1,0),0)</f>
        <v>0</v>
      </c>
      <c r="J52" s="1060">
        <f>IF(J24=1,IF(I37=1,1,0),0)</f>
        <v>0</v>
      </c>
      <c r="K52" s="1060"/>
      <c r="L52" s="1057">
        <f>IF(L24=1,IF(M37=1,1,0),0)</f>
        <v>1</v>
      </c>
      <c r="N52" s="1060">
        <f>IF(N24=1,IF(M37=1,1,0),0)</f>
        <v>0</v>
      </c>
      <c r="O52" s="1057">
        <f>IF(O24=1,IF(P37=1,1,0),0)</f>
        <v>0</v>
      </c>
      <c r="Q52" s="1060">
        <f>IF(Q24=1,IF(P37=1,1,0),0)</f>
        <v>0</v>
      </c>
      <c r="R52" s="1057">
        <f>IF(R24=1,IF(S37=1,1,0),0)</f>
        <v>1</v>
      </c>
      <c r="T52" s="1060">
        <f>IF(T24=1,IF(S37=1,1,0),0)</f>
        <v>0</v>
      </c>
      <c r="U52" s="1057">
        <f>IF(U24=1,IF(V37=1,1,0),0)</f>
        <v>0</v>
      </c>
      <c r="W52" s="1060">
        <f>IF(W24=1,IF(V37=1,1,0),0)</f>
        <v>0</v>
      </c>
      <c r="X52" s="1057">
        <f>IF(X24=1,IF(Y37=1,1,0),0)</f>
        <v>0</v>
      </c>
      <c r="Z52" s="1060">
        <f>IF(Z24=1,IF(Y37=1,1,0),0)</f>
        <v>0</v>
      </c>
      <c r="AA52" s="1057">
        <f>IF(AA24=1,IF(AB37=1,1,0),0)</f>
        <v>0</v>
      </c>
      <c r="AC52" s="1060">
        <f>IF(AC24=1,IF(AB37=1,1,0),0)</f>
        <v>0</v>
      </c>
      <c r="AD52" s="1057">
        <f>IF(AD24=1,IF(AE37=1,1,0),0)</f>
        <v>0</v>
      </c>
      <c r="AF52" s="1060">
        <f>IF(AF24=1,IF(AE37=1,1,0),0)</f>
        <v>0</v>
      </c>
      <c r="AG52" s="1057">
        <f>SUM(B52:AF52)</f>
        <v>3</v>
      </c>
    </row>
    <row r="53" spans="1:38" s="1057" customFormat="1" ht="12.75" hidden="1" customHeight="1" x14ac:dyDescent="0.2">
      <c r="A53" s="1057" t="s">
        <v>102</v>
      </c>
      <c r="B53" s="1057">
        <f>IF(B24=2,IF(C37=1,1,0),0)</f>
        <v>1</v>
      </c>
      <c r="D53" s="1060">
        <f>IF(D24=2,IF(C37=1,1,0),0)</f>
        <v>0</v>
      </c>
      <c r="E53" s="1057">
        <f>IF(E24=2,IF(F37=1,1,0),0)</f>
        <v>0</v>
      </c>
      <c r="G53" s="1060">
        <f>IF(G24=2,IF(F37=1,1,0),0)</f>
        <v>0</v>
      </c>
      <c r="H53" s="1057">
        <f>IF(H24=2,IF(I37=1,1,0),0)</f>
        <v>1</v>
      </c>
      <c r="J53" s="1060">
        <f>IF(J24=2,IF(I37=1,1,0),0)</f>
        <v>0</v>
      </c>
      <c r="K53" s="1060"/>
      <c r="L53" s="1057">
        <f>IF(L24=2,IF(M37=1,1,0),0)</f>
        <v>0</v>
      </c>
      <c r="N53" s="1060">
        <f>IF(N24=2,IF(M37=1,1,0),0)</f>
        <v>0</v>
      </c>
      <c r="O53" s="1057">
        <f>IF(O24=2,IF(P37=1,1,0),0)</f>
        <v>0</v>
      </c>
      <c r="Q53" s="1060">
        <f>IF(Q24=2,IF(P37=1,1,0),0)</f>
        <v>0</v>
      </c>
      <c r="R53" s="1057">
        <f>IF(R24=2,IF(S37=1,1,0),0)</f>
        <v>0</v>
      </c>
      <c r="T53" s="1060">
        <f>IF(T24=2,IF(S37=1,1,0),0)</f>
        <v>1</v>
      </c>
      <c r="U53" s="1057">
        <f>IF(U24=2,IF(V37=1,1,0),0)</f>
        <v>0</v>
      </c>
      <c r="W53" s="1060">
        <f>IF(W24=2,IF(V37=1,1,0),0)</f>
        <v>0</v>
      </c>
      <c r="X53" s="1057">
        <f>IF(X24=2,IF(Y37=1,1,0),0)</f>
        <v>0</v>
      </c>
      <c r="Z53" s="1060">
        <f>IF(Z24=2,IF(Y37=1,1,0),0)</f>
        <v>0</v>
      </c>
      <c r="AA53" s="1057">
        <f>IF(AA24=2,IF(AB37=1,1,0),0)</f>
        <v>0</v>
      </c>
      <c r="AC53" s="1060">
        <f>IF(AC24=2,IF(AB37=1,1,0),0)</f>
        <v>0</v>
      </c>
      <c r="AD53" s="1057">
        <f>IF(AD24=2,IF(AE37=1,1,0),0)</f>
        <v>0</v>
      </c>
      <c r="AF53" s="1060">
        <f>IF(AF24=2,IF(AE37=1,1,0),0)</f>
        <v>0</v>
      </c>
      <c r="AG53" s="1057">
        <f>SUM(B53:AF53)</f>
        <v>3</v>
      </c>
    </row>
    <row r="54" spans="1:38" s="1057" customFormat="1" ht="12.75" hidden="1" customHeight="1" x14ac:dyDescent="0.2">
      <c r="A54" s="1057" t="s">
        <v>103</v>
      </c>
      <c r="B54" s="1057">
        <f>IF(B24=3,IF(C37=1,1,0),0)</f>
        <v>0</v>
      </c>
      <c r="D54" s="1060">
        <f>IF(D24=3,IF(C37=1,1,0),0)</f>
        <v>1</v>
      </c>
      <c r="E54" s="1057">
        <f>IF(E24=3,IF(F37=1,1,0),0)</f>
        <v>0</v>
      </c>
      <c r="G54" s="1060">
        <f>IF(G24=3,IF(F37=1,1,0),0)</f>
        <v>0</v>
      </c>
      <c r="H54" s="1057">
        <f>IF(H24=3,IF(I37=1,1,0),0)</f>
        <v>0</v>
      </c>
      <c r="J54" s="1060">
        <f>IF(J24=3,IF(I37=1,1,0),0)</f>
        <v>0</v>
      </c>
      <c r="K54" s="1060"/>
      <c r="L54" s="1057">
        <f>IF(L24=3,IF(M37=1,1,0),0)</f>
        <v>0</v>
      </c>
      <c r="N54" s="1060">
        <f>IF(N24=3,IF(M37=1,1,0),0)</f>
        <v>1</v>
      </c>
      <c r="O54" s="1057">
        <f>IF(O24=3,IF(P37=1,1,0),0)</f>
        <v>1</v>
      </c>
      <c r="Q54" s="1060">
        <f>IF(Q24=3,IF(P37=1,1,0),0)</f>
        <v>0</v>
      </c>
      <c r="R54" s="1057">
        <f>IF(R24=3,IF(S37=1,1,0),0)</f>
        <v>0</v>
      </c>
      <c r="T54" s="1060">
        <f>IF(T24=3,IF(S37=1,1,0),0)</f>
        <v>0</v>
      </c>
      <c r="U54" s="1057">
        <f>IF(U24=3,IF(V37=1,1,0),0)</f>
        <v>0</v>
      </c>
      <c r="W54" s="1060">
        <f>IF(W24=3,IF(V37=1,1,0),0)</f>
        <v>0</v>
      </c>
      <c r="X54" s="1057">
        <f>IF(X24=3,IF(Y37=1,1,0),0)</f>
        <v>0</v>
      </c>
      <c r="Z54" s="1060">
        <f>IF(Z24=3,IF(Y37=1,1,0),0)</f>
        <v>0</v>
      </c>
      <c r="AA54" s="1057">
        <f>IF(AA24=3,IF(AB37=1,1,0),0)</f>
        <v>0</v>
      </c>
      <c r="AC54" s="1060">
        <f>IF(AC24=3,IF(AB37=1,1,0),0)</f>
        <v>0</v>
      </c>
      <c r="AD54" s="1057">
        <f>IF(AD24=3,IF(AE37=1,1,0),0)</f>
        <v>0</v>
      </c>
      <c r="AF54" s="1060">
        <f>IF(AF24=3,IF(AE37=1,1,0),0)</f>
        <v>0</v>
      </c>
      <c r="AG54" s="1057">
        <f>SUM(B54:AF54)</f>
        <v>3</v>
      </c>
    </row>
    <row r="55" spans="1:38" s="1057" customFormat="1" ht="12.75" hidden="1" customHeight="1" x14ac:dyDescent="0.2">
      <c r="A55" s="1057" t="s">
        <v>104</v>
      </c>
      <c r="B55" s="1057">
        <f>IF(B24=4,IF(C37=1,1,0),0)</f>
        <v>0</v>
      </c>
      <c r="D55" s="1060">
        <f>IF(D24=4,IF(C37=1,1,0),0)</f>
        <v>0</v>
      </c>
      <c r="E55" s="1057">
        <f>IF(E24=4,IF(F37=1,1,0),0)</f>
        <v>0</v>
      </c>
      <c r="G55" s="1060">
        <f>IF(G24=4,IF(F37=1,1,0),0)</f>
        <v>1</v>
      </c>
      <c r="H55" s="1057">
        <f>IF(H24=4,IF(I37=1,1,0),0)</f>
        <v>0</v>
      </c>
      <c r="J55" s="1060">
        <f>IF(J24=4,IF(I37=1,1,0),0)</f>
        <v>1</v>
      </c>
      <c r="K55" s="1060"/>
      <c r="L55" s="1057">
        <f>IF(L24=4,IF(M37=1,1,0),0)</f>
        <v>0</v>
      </c>
      <c r="N55" s="1060">
        <f>IF(N24=4,IF(M37=1,1,0),0)</f>
        <v>0</v>
      </c>
      <c r="O55" s="1057">
        <f>IF(O24=4,IF(P37=1,1,0),0)</f>
        <v>0</v>
      </c>
      <c r="Q55" s="1060">
        <f>IF(Q24=4,IF(P37=1,1,0),0)</f>
        <v>1</v>
      </c>
      <c r="R55" s="1057">
        <f>IF(R24=4,IF(S37=1,1,0),0)</f>
        <v>0</v>
      </c>
      <c r="T55" s="1060">
        <f>IF(T24=4,IF(S37=1,1,0),0)</f>
        <v>0</v>
      </c>
      <c r="U55" s="1057">
        <f>IF(U24=4,IF(V37=1,1,0),0)</f>
        <v>0</v>
      </c>
      <c r="W55" s="1060">
        <f>IF(W24=4,IF(V37=1,1,0),0)</f>
        <v>0</v>
      </c>
      <c r="X55" s="1057">
        <f>IF(X24=4,IF(Y37=1,1,0),0)</f>
        <v>0</v>
      </c>
      <c r="Z55" s="1060">
        <f>IF(Z24=4,IF(Y37=1,1,0),0)</f>
        <v>0</v>
      </c>
      <c r="AA55" s="1057">
        <f>IF(AA24=4,IF(AB37=1,1,0),0)</f>
        <v>0</v>
      </c>
      <c r="AC55" s="1060">
        <f>IF(AC24=4,IF(AB37=1,1,0),0)</f>
        <v>0</v>
      </c>
      <c r="AD55" s="1057">
        <f>IF(AD24=4,IF(AE37=1,1,0),0)</f>
        <v>0</v>
      </c>
      <c r="AF55" s="1060">
        <f>IF(AF24=4,IF(AE37=1,1,0),0)</f>
        <v>0</v>
      </c>
      <c r="AG55" s="1057">
        <f>SUM(B55:AF55)</f>
        <v>3</v>
      </c>
    </row>
    <row r="56" spans="1:38" s="1057" customFormat="1" ht="12.75" hidden="1" customHeight="1" x14ac:dyDescent="0.2">
      <c r="A56" s="1057" t="s">
        <v>105</v>
      </c>
      <c r="B56" s="1057">
        <f>IF(B24=5,IF(C37=1,1,0),0)</f>
        <v>0</v>
      </c>
      <c r="D56" s="1060">
        <f>IF(D24=5,IF(C37=1,1,0),0)</f>
        <v>0</v>
      </c>
      <c r="E56" s="1057">
        <f>IF(E24=5,IF(F37=1,1,0),0)</f>
        <v>0</v>
      </c>
      <c r="G56" s="1060">
        <f>IF(G24=5,IF(F37=1,1,0),0)</f>
        <v>0</v>
      </c>
      <c r="H56" s="1057">
        <f>IF(H24=5,IF(I37=1,1,0),0)</f>
        <v>0</v>
      </c>
      <c r="J56" s="1060">
        <f>IF(J24=5,IF(I37=1,1,0),0)</f>
        <v>0</v>
      </c>
      <c r="K56" s="1060"/>
      <c r="L56" s="1057">
        <f>IF(L24=5,IF(M37=1,1,0),0)</f>
        <v>0</v>
      </c>
      <c r="N56" s="1060">
        <f>IF(N24=5,IF(M37=1,1,0),0)</f>
        <v>0</v>
      </c>
      <c r="O56" s="1057">
        <f>IF(O24=5,IF(P37=1,1,0),0)</f>
        <v>0</v>
      </c>
      <c r="Q56" s="1060">
        <f>IF(Q24=5,IF(P37=1,1,0),0)</f>
        <v>0</v>
      </c>
      <c r="R56" s="1057">
        <f>IF(R24=5,IF(S37=1,1,0),0)</f>
        <v>0</v>
      </c>
      <c r="T56" s="1060">
        <f>IF(T24=5,IF(S37=1,1,0),0)</f>
        <v>0</v>
      </c>
      <c r="U56" s="1057">
        <f>IF(U24=5,IF(V37=1,1,0),0)</f>
        <v>0</v>
      </c>
      <c r="W56" s="1060">
        <f>IF(W24=5,IF(V37=1,1,0),0)</f>
        <v>0</v>
      </c>
      <c r="X56" s="1057">
        <f>IF(X24=5,IF(Y37=1,1,0),0)</f>
        <v>0</v>
      </c>
      <c r="Z56" s="1060">
        <f>IF(Z24=5,IF(Y37=1,1,0),0)</f>
        <v>0</v>
      </c>
      <c r="AA56" s="1057">
        <f>IF(AA24=5,IF(AB37=1,1,0),0)</f>
        <v>0</v>
      </c>
      <c r="AC56" s="1060">
        <f>IF(AC24=5,IF(AB37=1,1,0),0)</f>
        <v>0</v>
      </c>
      <c r="AD56" s="1057">
        <f>IF(AD24=5,IF(AE37=1,1,0),0)</f>
        <v>0</v>
      </c>
      <c r="AF56" s="1060">
        <f>IF(AF24=5,IF(AE37=1,1,0),0)</f>
        <v>0</v>
      </c>
      <c r="AG56" s="1057">
        <f>SUM(B56:AF56)</f>
        <v>0</v>
      </c>
    </row>
    <row r="57" spans="1:38" s="1057" customFormat="1" ht="38.25" hidden="1" customHeight="1" x14ac:dyDescent="0.2">
      <c r="A57" s="1061"/>
      <c r="D57" s="1060"/>
      <c r="G57" s="1060"/>
      <c r="J57" s="1060"/>
      <c r="K57" s="1060"/>
      <c r="N57" s="1060"/>
      <c r="Q57" s="1060"/>
      <c r="T57" s="1060"/>
      <c r="W57" s="1060"/>
      <c r="Z57" s="1060"/>
      <c r="AC57" s="1060"/>
      <c r="AF57" s="1060"/>
      <c r="AG57" s="1061" t="s">
        <v>106</v>
      </c>
      <c r="AH57" s="1062"/>
      <c r="AI57" s="1062"/>
      <c r="AJ57" s="1062"/>
      <c r="AK57" s="1062"/>
      <c r="AL57" s="1062"/>
    </row>
    <row r="58" spans="1:38" s="1057" customFormat="1" ht="12.75" hidden="1" customHeight="1" x14ac:dyDescent="0.2">
      <c r="A58" s="1057" t="s">
        <v>101</v>
      </c>
      <c r="B58" s="1057">
        <f>IF(B24=1,B44,0)</f>
        <v>0</v>
      </c>
      <c r="D58" s="1060">
        <f>IF(D24=1,B44,0)</f>
        <v>0</v>
      </c>
      <c r="E58" s="1057">
        <f>IF(E24=1,E44,0)</f>
        <v>30</v>
      </c>
      <c r="G58" s="1060">
        <f>IF(G24=1,E44,0)</f>
        <v>0</v>
      </c>
      <c r="H58" s="1057">
        <f>IF(H24=1,H44,0)</f>
        <v>0</v>
      </c>
      <c r="J58" s="1060">
        <f>IF(J24=1,H44,0)</f>
        <v>0</v>
      </c>
      <c r="K58" s="1060"/>
      <c r="L58" s="1057">
        <f>IF(L24=1,L44,0)</f>
        <v>25</v>
      </c>
      <c r="N58" s="1060">
        <f>IF(N24=1,L44,0)</f>
        <v>0</v>
      </c>
      <c r="O58" s="1057">
        <f>IF(O24=1,O44,0)</f>
        <v>0</v>
      </c>
      <c r="Q58" s="1060">
        <f>IF(Q24=1,O44,0)</f>
        <v>0</v>
      </c>
      <c r="R58" s="1057">
        <f>IF(R24=1,R44,0)</f>
        <v>33</v>
      </c>
      <c r="T58" s="1060">
        <f>IF(T24=1,R44,0)</f>
        <v>0</v>
      </c>
      <c r="U58" s="1057">
        <f>IF(U24=1,U44,0)</f>
        <v>0</v>
      </c>
      <c r="W58" s="1060">
        <f>IF(W24=1,U44,0)</f>
        <v>0</v>
      </c>
      <c r="X58" s="1057">
        <f>IF(X24=1,X44,0)</f>
        <v>0</v>
      </c>
      <c r="Z58" s="1060">
        <f>IF(Z24=1,X44,0)</f>
        <v>0</v>
      </c>
      <c r="AA58" s="1057">
        <f>IF(AA24=1,AA44,0)</f>
        <v>0</v>
      </c>
      <c r="AC58" s="1060">
        <f>IF(AC24=1,AA44,0)</f>
        <v>0</v>
      </c>
      <c r="AD58" s="1057">
        <f>IF(AD24=1,AD44,0)</f>
        <v>0</v>
      </c>
      <c r="AF58" s="1060">
        <f>IF(AF24=1,AD44,0)</f>
        <v>0</v>
      </c>
      <c r="AG58" s="1057">
        <f>SUM(B58:AF58)</f>
        <v>88</v>
      </c>
    </row>
    <row r="59" spans="1:38" s="1057" customFormat="1" ht="12.75" hidden="1" customHeight="1" x14ac:dyDescent="0.2">
      <c r="A59" s="1057" t="s">
        <v>102</v>
      </c>
      <c r="B59" s="1057">
        <f>IF(B24=2,B44,0)</f>
        <v>28</v>
      </c>
      <c r="D59" s="1060">
        <f>IF(D24=2,B44,0)</f>
        <v>0</v>
      </c>
      <c r="E59" s="1057">
        <f>IF(E24=2,E44,0)</f>
        <v>0</v>
      </c>
      <c r="G59" s="1060">
        <f>IF(G24=2,E44,0)</f>
        <v>0</v>
      </c>
      <c r="H59" s="1057">
        <f>IF(H24=2,H44,0)</f>
        <v>27</v>
      </c>
      <c r="J59" s="1060">
        <f>IF(J24=2,H44,0)</f>
        <v>0</v>
      </c>
      <c r="K59" s="1060"/>
      <c r="L59" s="1057">
        <f>IF(L24=2,L44,0)</f>
        <v>0</v>
      </c>
      <c r="N59" s="1060">
        <f>IF(N24=2,L44,0)</f>
        <v>0</v>
      </c>
      <c r="O59" s="1057">
        <f>IF(O24=2,O44,0)</f>
        <v>0</v>
      </c>
      <c r="Q59" s="1060">
        <f>IF(Q24=2,O44,0)</f>
        <v>0</v>
      </c>
      <c r="R59" s="1057">
        <f>IF(R24=2,R44,0)</f>
        <v>0</v>
      </c>
      <c r="T59" s="1060">
        <f>IF(T24=2,R44,0)</f>
        <v>33</v>
      </c>
      <c r="U59" s="1057">
        <f>IF(U24=2,U44,0)</f>
        <v>0</v>
      </c>
      <c r="W59" s="1060">
        <f>IF(W24=2,U44,0)</f>
        <v>0</v>
      </c>
      <c r="X59" s="1057">
        <f>IF(X24=2,X44,0)</f>
        <v>0</v>
      </c>
      <c r="Z59" s="1060">
        <f>IF(Z24=2,X44,0)</f>
        <v>0</v>
      </c>
      <c r="AA59" s="1057">
        <f>IF(AA24=2,AA44,0)</f>
        <v>0</v>
      </c>
      <c r="AC59" s="1060">
        <f>IF(AC24=2,AA44,0)</f>
        <v>0</v>
      </c>
      <c r="AD59" s="1057">
        <f>IF(AD24=2,AD44,0)</f>
        <v>0</v>
      </c>
      <c r="AF59" s="1060">
        <f>IF(AF24=2,AD44,0)</f>
        <v>0</v>
      </c>
      <c r="AG59" s="1057">
        <f>SUM(B59:AF59)</f>
        <v>88</v>
      </c>
    </row>
    <row r="60" spans="1:38" s="1057" customFormat="1" ht="12.75" hidden="1" customHeight="1" x14ac:dyDescent="0.2">
      <c r="A60" s="1057" t="s">
        <v>103</v>
      </c>
      <c r="B60" s="1057">
        <f>IF(B24=3,B44,0)</f>
        <v>0</v>
      </c>
      <c r="D60" s="1060">
        <f>IF(D24=3,B44,0)</f>
        <v>28</v>
      </c>
      <c r="E60" s="1057">
        <f>IF(E24=3,E44,0)</f>
        <v>0</v>
      </c>
      <c r="G60" s="1060">
        <f>IF(G24=3,E44,0)</f>
        <v>0</v>
      </c>
      <c r="H60" s="1057">
        <f>IF(H24=3,H44,0)</f>
        <v>0</v>
      </c>
      <c r="J60" s="1060">
        <f>IF(J24=3,H44,0)</f>
        <v>0</v>
      </c>
      <c r="K60" s="1060"/>
      <c r="L60" s="1057">
        <f>IF(L24=3,L44,0)</f>
        <v>0</v>
      </c>
      <c r="N60" s="1060">
        <f>IF(N24=3,L44,0)</f>
        <v>25</v>
      </c>
      <c r="O60" s="1057">
        <f>IF(O24=3,O44,0)</f>
        <v>34</v>
      </c>
      <c r="Q60" s="1060">
        <f>IF(Q24=3,O44,0)</f>
        <v>0</v>
      </c>
      <c r="R60" s="1057">
        <f>IF(R24=3,R44,0)</f>
        <v>0</v>
      </c>
      <c r="T60" s="1060">
        <f>IF(T24=3,R44,0)</f>
        <v>0</v>
      </c>
      <c r="U60" s="1057">
        <f>IF(U24=3,U44,0)</f>
        <v>0</v>
      </c>
      <c r="W60" s="1060">
        <f>IF(W24=3,U44,0)</f>
        <v>0</v>
      </c>
      <c r="X60" s="1057">
        <f>IF(X24=3,X44,0)</f>
        <v>0</v>
      </c>
      <c r="Z60" s="1060">
        <f>IF(Z24=3,X44,0)</f>
        <v>0</v>
      </c>
      <c r="AA60" s="1057">
        <f>IF(AA24=3,AA44,0)</f>
        <v>0</v>
      </c>
      <c r="AC60" s="1060">
        <f>IF(AC24=3,AA44,0)</f>
        <v>0</v>
      </c>
      <c r="AD60" s="1057">
        <f>IF(AD24=3,AD44,0)</f>
        <v>0</v>
      </c>
      <c r="AF60" s="1060">
        <f>IF(AF24=3,AD44,0)</f>
        <v>0</v>
      </c>
      <c r="AG60" s="1057">
        <f>SUM(B60:AF60)</f>
        <v>87</v>
      </c>
    </row>
    <row r="61" spans="1:38" s="1057" customFormat="1" ht="12.75" hidden="1" customHeight="1" x14ac:dyDescent="0.2">
      <c r="A61" s="1057" t="s">
        <v>104</v>
      </c>
      <c r="B61" s="1057">
        <f>IF(B24=4,B44,0)</f>
        <v>0</v>
      </c>
      <c r="D61" s="1060">
        <f>IF(D24=4,B44,0)</f>
        <v>0</v>
      </c>
      <c r="E61" s="1057">
        <f>IF(E24=4,E44,0)</f>
        <v>0</v>
      </c>
      <c r="G61" s="1060">
        <f>IF(G24=4,E44,0)</f>
        <v>30</v>
      </c>
      <c r="H61" s="1057">
        <f>IF(H24=4,H44,0)</f>
        <v>0</v>
      </c>
      <c r="J61" s="1060">
        <f>IF(J24=4,H44,0)</f>
        <v>27</v>
      </c>
      <c r="K61" s="1060"/>
      <c r="L61" s="1057">
        <f>IF(L24=4,L44,0)</f>
        <v>0</v>
      </c>
      <c r="N61" s="1060">
        <f>IF(N24=4,L44,0)</f>
        <v>0</v>
      </c>
      <c r="O61" s="1057">
        <f>IF(O24=4,O44,0)</f>
        <v>0</v>
      </c>
      <c r="Q61" s="1060">
        <f>IF(Q24=4,O44,0)</f>
        <v>34</v>
      </c>
      <c r="R61" s="1057">
        <f>IF(R24=4,R44,0)</f>
        <v>0</v>
      </c>
      <c r="T61" s="1060">
        <f>IF(T24=4,R44,0)</f>
        <v>0</v>
      </c>
      <c r="U61" s="1057">
        <f>IF(U24=4,U44,0)</f>
        <v>0</v>
      </c>
      <c r="W61" s="1060">
        <f>IF(W24=4,U44,0)</f>
        <v>0</v>
      </c>
      <c r="X61" s="1057">
        <f>IF(X24=4,X44,0)</f>
        <v>0</v>
      </c>
      <c r="Z61" s="1060">
        <f>IF(Z24=4,X44,0)</f>
        <v>0</v>
      </c>
      <c r="AA61" s="1057">
        <f>IF(AA24=4,AA44,0)</f>
        <v>0</v>
      </c>
      <c r="AC61" s="1060">
        <f>IF(AC24=4,AA44,0)</f>
        <v>0</v>
      </c>
      <c r="AD61" s="1057">
        <f>IF(AD24=4,AD44,0)</f>
        <v>0</v>
      </c>
      <c r="AF61" s="1060">
        <f>IF(AF24=4,AD44,0)</f>
        <v>0</v>
      </c>
      <c r="AG61" s="1057">
        <f>SUM(B61:AF61)</f>
        <v>91</v>
      </c>
    </row>
    <row r="62" spans="1:38" s="1057" customFormat="1" ht="12.75" hidden="1" customHeight="1" x14ac:dyDescent="0.2">
      <c r="A62" s="1057" t="s">
        <v>105</v>
      </c>
      <c r="B62" s="1057">
        <f>IF(B24=5,B44,0)</f>
        <v>0</v>
      </c>
      <c r="D62" s="1060">
        <f>IF(D24=5,B44,0)</f>
        <v>0</v>
      </c>
      <c r="E62" s="1057">
        <f>IF(E24=5,E44,0)</f>
        <v>0</v>
      </c>
      <c r="G62" s="1060">
        <f>IF(G24=5,E44,0)</f>
        <v>0</v>
      </c>
      <c r="H62" s="1057">
        <f>IF(H24=5,H44,0)</f>
        <v>0</v>
      </c>
      <c r="J62" s="1060">
        <f>IF(J24=5,H44,0)</f>
        <v>0</v>
      </c>
      <c r="K62" s="1060"/>
      <c r="L62" s="1057">
        <f>IF(L24=5,L44,0)</f>
        <v>0</v>
      </c>
      <c r="N62" s="1060">
        <f>IF(N24=5,L44,0)</f>
        <v>0</v>
      </c>
      <c r="O62" s="1057">
        <f>IF(O24=5,O44,0)</f>
        <v>0</v>
      </c>
      <c r="Q62" s="1060">
        <f>IF(Q24=5,O44,0)</f>
        <v>0</v>
      </c>
      <c r="R62" s="1057">
        <f>IF(R24=5,R44,0)</f>
        <v>0</v>
      </c>
      <c r="T62" s="1060">
        <f>IF(T24=5,R44,0)</f>
        <v>0</v>
      </c>
      <c r="U62" s="1057">
        <f>IF(U24=5,U44,0)</f>
        <v>0</v>
      </c>
      <c r="W62" s="1060">
        <f>IF(W24=5,U44,0)</f>
        <v>0</v>
      </c>
      <c r="X62" s="1057">
        <f>IF(X24=5,X44,0)</f>
        <v>0</v>
      </c>
      <c r="Z62" s="1060">
        <f>IF(Z24=5,X44,0)</f>
        <v>0</v>
      </c>
      <c r="AA62" s="1057">
        <f>IF(AA24=5,AA44,0)</f>
        <v>0</v>
      </c>
      <c r="AC62" s="1060">
        <f>IF(AC24=5,AA44,0)</f>
        <v>0</v>
      </c>
      <c r="AD62" s="1057">
        <f>IF(AD24=5,AD44,0)</f>
        <v>0</v>
      </c>
      <c r="AF62" s="1060">
        <f>IF(AF24=5,AD44,0)</f>
        <v>0</v>
      </c>
      <c r="AG62" s="1057">
        <f>SUM(B62:AF62)</f>
        <v>0</v>
      </c>
    </row>
    <row r="63" spans="1:38" s="1057" customFormat="1" ht="38.25" hidden="1" customHeight="1" x14ac:dyDescent="0.2">
      <c r="A63" s="1057" t="s">
        <v>107</v>
      </c>
      <c r="D63" s="1060"/>
      <c r="G63" s="1060"/>
      <c r="J63" s="1060"/>
      <c r="K63" s="1060"/>
      <c r="N63" s="1060"/>
      <c r="Q63" s="1060"/>
      <c r="T63" s="1060"/>
      <c r="W63" s="1060"/>
      <c r="Z63" s="1060"/>
      <c r="AC63" s="1060"/>
      <c r="AF63" s="1060"/>
      <c r="AG63" s="1061" t="s">
        <v>108</v>
      </c>
      <c r="AH63" s="1057" t="s">
        <v>109</v>
      </c>
    </row>
    <row r="64" spans="1:38" s="1057" customFormat="1" ht="12.75" hidden="1" customHeight="1" x14ac:dyDescent="0.2">
      <c r="A64" s="1057" t="s">
        <v>95</v>
      </c>
      <c r="B64" s="1057">
        <f>IF(B24=1,SUMIF(B31:B35,"&gt;0"),0)</f>
        <v>0</v>
      </c>
      <c r="D64" s="1060">
        <f>IF(D24=1,SUMIF(D31:D35,"&gt;0"),0)</f>
        <v>0</v>
      </c>
      <c r="E64" s="1057">
        <f>IF(E24=1,SUMIF(E31:E35,"&gt;0"),0)</f>
        <v>0</v>
      </c>
      <c r="G64" s="1060">
        <f>IF(G24=1,SUMIF(G31:G35,"&gt;0"),0)</f>
        <v>0</v>
      </c>
      <c r="H64" s="1057">
        <f>IF(H24=1,SUMIF(H31:H35,"&gt;0"),0)</f>
        <v>0</v>
      </c>
      <c r="J64" s="1060">
        <f>IF(J24=1,SUMIF(J31:J35,"&gt;0"),0)</f>
        <v>0</v>
      </c>
      <c r="K64" s="1060"/>
      <c r="L64" s="1057">
        <f>IF(L24=1,SUMIF(L31:L35,"&gt;0"),0)</f>
        <v>0</v>
      </c>
      <c r="N64" s="1060">
        <f>IF(N24=1,SUMIF(N31:N35,"&gt;0"),0)</f>
        <v>0</v>
      </c>
      <c r="O64" s="1057">
        <f>IF(O24=1,SUMIF(O31:O35,"&gt;0"),0)</f>
        <v>0</v>
      </c>
      <c r="Q64" s="1060">
        <f>IF(Q24=1,SUMIF(Q31:Q35,"&gt;0"),0)</f>
        <v>0</v>
      </c>
      <c r="R64" s="1057">
        <f>IF(R24=1,SUMIF(R31:R35,"&gt;0"),0)</f>
        <v>0</v>
      </c>
      <c r="T64" s="1060">
        <f>IF(T24=1,SUMIF(T31:T35,"&gt;0"),0)</f>
        <v>0</v>
      </c>
      <c r="U64" s="1057">
        <f>IF(U24=1,SUMIF(U31:U35,"&gt;0"),0)</f>
        <v>0</v>
      </c>
      <c r="W64" s="1060">
        <f>IF(W24=1,SUMIF(W31:W35,"&gt;0"),0)</f>
        <v>0</v>
      </c>
      <c r="X64" s="1057">
        <f>IF(X24=1,SUMIF(X31:X35,"&gt;0"),0)</f>
        <v>0</v>
      </c>
      <c r="Z64" s="1060">
        <f>IF(Z24=1,SUMIF(Z31:Z35,"&gt;0"),0)</f>
        <v>0</v>
      </c>
      <c r="AA64" s="1057">
        <f>IF(AA24=1,SUMIF(AA31:AA35,"&gt;0"),0)</f>
        <v>0</v>
      </c>
      <c r="AC64" s="1060">
        <f>IF(AC24=1,SUMIF(AC31:AC35,"&gt;0"),0)</f>
        <v>0</v>
      </c>
      <c r="AD64" s="1057">
        <f>IF(AD24=1,SUMIF(AD31:AD35,"&gt;0"),0)</f>
        <v>0</v>
      </c>
      <c r="AF64" s="1060">
        <f>IF(AF24=1,SUMIF(AF31:AF35,"&gt;0"),0)</f>
        <v>0</v>
      </c>
      <c r="AG64" s="1057">
        <f>SUM(B64:AF64)</f>
        <v>0</v>
      </c>
      <c r="AH64" s="1057">
        <f>AG72-AG64</f>
        <v>3</v>
      </c>
    </row>
    <row r="65" spans="1:81" s="1057" customFormat="1" ht="12.75" hidden="1" customHeight="1" x14ac:dyDescent="0.2">
      <c r="A65" s="1057" t="s">
        <v>96</v>
      </c>
      <c r="B65" s="1057">
        <f>IF(B24=2,SUMIF(B31:B35,"&gt;0"),0)</f>
        <v>1</v>
      </c>
      <c r="D65" s="1060">
        <f>IF(D24=2,SUMIF(D31:D35,"&gt;0"),0)</f>
        <v>0</v>
      </c>
      <c r="E65" s="1057">
        <f>IF(E24=2,SUMIF(E31:E35,"&gt;0"),0)</f>
        <v>0</v>
      </c>
      <c r="G65" s="1060">
        <f>IF(G24=2,SUMIF(G31:G35,"&gt;0"),0)</f>
        <v>0</v>
      </c>
      <c r="H65" s="1057">
        <f>IF(H24=2,SUMIF(H31:H35,"&gt;0"),0)</f>
        <v>1</v>
      </c>
      <c r="J65" s="1060">
        <f>IF(J24=2,SUMIF(J31:J35,"&gt;0"),0)</f>
        <v>0</v>
      </c>
      <c r="K65" s="1060"/>
      <c r="L65" s="1057">
        <f>IF(L24=2,SUMIF(L31:L35,"&gt;0"),0)</f>
        <v>0</v>
      </c>
      <c r="N65" s="1060">
        <f>IF(N24=2,SUMIF(N31:N35,"&gt;0"),0)</f>
        <v>0</v>
      </c>
      <c r="O65" s="1057">
        <f>IF(O24=2,SUMIF(O31:O35,"&gt;0"),0)</f>
        <v>0</v>
      </c>
      <c r="Q65" s="1060">
        <f>IF(Q24=2,SUMIF(Q31:Q35,"&gt;0"),0)</f>
        <v>0</v>
      </c>
      <c r="R65" s="1057">
        <f>IF(R24=2,SUMIF(R31:R35,"&gt;0"),0)</f>
        <v>0</v>
      </c>
      <c r="T65" s="1060">
        <f>IF(T24=2,SUMIF(T31:T35,"&gt;0"),0)</f>
        <v>1</v>
      </c>
      <c r="U65" s="1057">
        <f>IF(U24=2,SUMIF(U31:U35,"&gt;0"),0)</f>
        <v>0</v>
      </c>
      <c r="W65" s="1060">
        <f>IF(W24=2,SUMIF(W31:W35,"&gt;0"),0)</f>
        <v>0</v>
      </c>
      <c r="X65" s="1057">
        <f>IF(X24=2,SUMIF(X31:X35,"&gt;0"),0)</f>
        <v>0</v>
      </c>
      <c r="Z65" s="1060">
        <f>IF(Z24=2,SUMIF(Z31:Z35,"&gt;0"),0)</f>
        <v>0</v>
      </c>
      <c r="AA65" s="1057">
        <f>IF(AA24=2,SUMIF(AA31:AA35,"&gt;0"),0)</f>
        <v>0</v>
      </c>
      <c r="AC65" s="1060">
        <f>IF(AC24=2,SUMIF(AC31:AC35,"&gt;0"),0)</f>
        <v>0</v>
      </c>
      <c r="AD65" s="1057">
        <f>IF(AD24=2,SUMIF(AD31:AD35,"&gt;0"),0)</f>
        <v>0</v>
      </c>
      <c r="AF65" s="1060">
        <f>IF(AF24=2,SUMIF(AF31:AF35,"&gt;0"),0)</f>
        <v>0</v>
      </c>
      <c r="AG65" s="1057">
        <f>SUM(B65:AF65)</f>
        <v>3</v>
      </c>
      <c r="AH65" s="1057">
        <f>AG73-AG65</f>
        <v>0</v>
      </c>
    </row>
    <row r="66" spans="1:81" s="1057" customFormat="1" ht="12.75" hidden="1" customHeight="1" x14ac:dyDescent="0.2">
      <c r="A66" s="1057" t="s">
        <v>97</v>
      </c>
      <c r="B66" s="1057">
        <f>IF(B24=3,SUMIF(B31:B35,"&gt;0"),0)</f>
        <v>0</v>
      </c>
      <c r="D66" s="1060">
        <f>IF(D24=3,SUMIF(D31:D35,"&gt;0"),0)</f>
        <v>0</v>
      </c>
      <c r="E66" s="1057">
        <f>IF(E24=3,SUMIF(E31:E35,"&gt;0"),0)</f>
        <v>0</v>
      </c>
      <c r="G66" s="1060">
        <f>IF(G24=3,SUMIF(G31:G35,"&gt;0"),0)</f>
        <v>0</v>
      </c>
      <c r="H66" s="1057">
        <f>IF(H24=3,SUMIF(H31:H35,"&gt;0"),0)</f>
        <v>0</v>
      </c>
      <c r="J66" s="1060">
        <f>IF(J24=3,SUMIF(J31:J35,"&gt;0"),0)</f>
        <v>0</v>
      </c>
      <c r="K66" s="1060"/>
      <c r="L66" s="1057">
        <f>IF(L24=3,SUMIF(L31:L35,"&gt;0"),0)</f>
        <v>0</v>
      </c>
      <c r="N66" s="1060">
        <f>IF(N24=3,SUMIF(N31:N35,"&gt;0"),0)</f>
        <v>1</v>
      </c>
      <c r="O66" s="1057">
        <f>IF(O24=3,SUMIF(O31:O35,"&gt;0"),0)</f>
        <v>0</v>
      </c>
      <c r="Q66" s="1060">
        <f>IF(Q24=3,SUMIF(Q31:Q35,"&gt;0"),0)</f>
        <v>0</v>
      </c>
      <c r="R66" s="1057">
        <f>IF(R24=3,SUMIF(R31:R35,"&gt;0"),0)</f>
        <v>0</v>
      </c>
      <c r="T66" s="1060">
        <f>IF(T24=3,SUMIF(T31:T35,"&gt;0"),0)</f>
        <v>0</v>
      </c>
      <c r="U66" s="1057">
        <f>IF(U24=3,SUMIF(U31:U35,"&gt;0"),0)</f>
        <v>0</v>
      </c>
      <c r="W66" s="1060">
        <f>IF(W24=3,SUMIF(W31:W35,"&gt;0"),0)</f>
        <v>0</v>
      </c>
      <c r="X66" s="1057">
        <f>IF(X24=3,SUMIF(X31:X35,"&gt;0"),0)</f>
        <v>0</v>
      </c>
      <c r="Z66" s="1060">
        <f>IF(Z24=3,SUMIF(Z31:Z35,"&gt;0"),0)</f>
        <v>0</v>
      </c>
      <c r="AA66" s="1057">
        <f>IF(AA24=3,SUMIF(AA31:AA35,"&gt;0"),0)</f>
        <v>0</v>
      </c>
      <c r="AC66" s="1060">
        <f>IF(AC24=3,SUMIF(AC31:AC35,"&gt;0"),0)</f>
        <v>0</v>
      </c>
      <c r="AD66" s="1057">
        <f>IF(AD24=3,SUMIF(AD31:AD35,"&gt;0"),0)</f>
        <v>0</v>
      </c>
      <c r="AF66" s="1060">
        <f>IF(AF24=3,SUMIF(AF31:AF35,"&gt;0"),0)</f>
        <v>0</v>
      </c>
      <c r="AG66" s="1057">
        <f>SUM(B66:AF66)</f>
        <v>1</v>
      </c>
      <c r="AH66" s="1057">
        <f>AG74-AG66</f>
        <v>2</v>
      </c>
    </row>
    <row r="67" spans="1:81" s="1057" customFormat="1" ht="12.75" hidden="1" customHeight="1" x14ac:dyDescent="0.2">
      <c r="A67" s="1057" t="s">
        <v>98</v>
      </c>
      <c r="B67" s="1057">
        <f>IF(B24=4,SUMIF(B31:B35,"&gt;0"),0)</f>
        <v>0</v>
      </c>
      <c r="D67" s="1060">
        <f>IF(D24=4,SUMIF(D31:D35,"&gt;0"),0)</f>
        <v>0</v>
      </c>
      <c r="E67" s="1057">
        <f>IF(E24=4,SUMIF(E31:E35,"&gt;0"),0)</f>
        <v>0</v>
      </c>
      <c r="G67" s="1060">
        <f>IF(G24=4,SUMIF(G31:G35,"&gt;0"),0)</f>
        <v>1</v>
      </c>
      <c r="H67" s="1057">
        <f>IF(H24=4,SUMIF(H31:H35,"&gt;0"),0)</f>
        <v>0</v>
      </c>
      <c r="J67" s="1060">
        <f>IF(J24=4,SUMIF(J31:J35,"&gt;0"),0)</f>
        <v>0</v>
      </c>
      <c r="K67" s="1060"/>
      <c r="L67" s="1057">
        <f>IF(L24=4,SUMIF(L31:L35,"&gt;0"),0)</f>
        <v>0</v>
      </c>
      <c r="N67" s="1060">
        <f>IF(N24=4,SUMIF(N31:N35,"&gt;0"),0)</f>
        <v>0</v>
      </c>
      <c r="O67" s="1057">
        <f>IF(O24=4,SUMIF(O31:O35,"&gt;0"),0)</f>
        <v>0</v>
      </c>
      <c r="Q67" s="1060">
        <f>IF(Q24=4,SUMIF(Q31:Q35,"&gt;0"),0)</f>
        <v>1</v>
      </c>
      <c r="R67" s="1057">
        <f>IF(R24=4,SUMIF(R31:R35,"&gt;0"),0)</f>
        <v>0</v>
      </c>
      <c r="T67" s="1060">
        <f>IF(T24=4,SUMIF(T31:T35,"&gt;0"),0)</f>
        <v>0</v>
      </c>
      <c r="U67" s="1057">
        <f>IF(U24=4,SUMIF(U31:U35,"&gt;0"),0)</f>
        <v>0</v>
      </c>
      <c r="W67" s="1060">
        <f>IF(W24=4,SUMIF(W31:W35,"&gt;0"),0)</f>
        <v>0</v>
      </c>
      <c r="X67" s="1057">
        <f>IF(X24=4,SUMIF(X31:X35,"&gt;0"),0)</f>
        <v>0</v>
      </c>
      <c r="Z67" s="1060">
        <f>IF(Z24=4,SUMIF(Z31:Z35,"&gt;0"),0)</f>
        <v>0</v>
      </c>
      <c r="AA67" s="1057">
        <f>IF(AA24=4,SUMIF(AA31:AA35,"&gt;0"),0)</f>
        <v>0</v>
      </c>
      <c r="AC67" s="1060">
        <f>IF(AC24=4,SUMIF(AC31:AC35,"&gt;0"),0)</f>
        <v>0</v>
      </c>
      <c r="AD67" s="1057">
        <f>IF(AD24=4,SUMIF(AD31:AD35,"&gt;0"),0)</f>
        <v>0</v>
      </c>
      <c r="AF67" s="1060">
        <f>IF(AF24=4,SUMIF(AF31:AF35,"&gt;0"),0)</f>
        <v>0</v>
      </c>
      <c r="AG67" s="1057">
        <f>SUM(B67:AF67)</f>
        <v>2</v>
      </c>
      <c r="AH67" s="1057">
        <f>AG75-AG67</f>
        <v>1</v>
      </c>
    </row>
    <row r="68" spans="1:81" s="1057" customFormat="1" ht="12.75" hidden="1" customHeight="1" x14ac:dyDescent="0.2">
      <c r="A68" s="1057" t="s">
        <v>99</v>
      </c>
      <c r="B68" s="1057">
        <f>IF(B24=5,SUMIF(B31:B35,"&gt;0"),0)</f>
        <v>0</v>
      </c>
      <c r="D68" s="1060">
        <f>IF(D24=5,SUMIF(D31:D35,"&gt;0"),0)</f>
        <v>0</v>
      </c>
      <c r="E68" s="1057">
        <f>IF(E24=5,SUMIF(E31:E35,"&gt;0"),0)</f>
        <v>0</v>
      </c>
      <c r="G68" s="1060">
        <f>IF(G24=5,SUMIF(G31:G35,"&gt;0"),0)</f>
        <v>0</v>
      </c>
      <c r="H68" s="1057">
        <f>IF(H24=5,SUMIF(H31:H35,"&gt;0"),0)</f>
        <v>0</v>
      </c>
      <c r="J68" s="1060">
        <f>IF(J24=5,SUMIF(J31:J35,"&gt;0"),0)</f>
        <v>0</v>
      </c>
      <c r="K68" s="1060"/>
      <c r="L68" s="1057">
        <f>IF(L24=5,SUMIF(L31:L35,"&gt;0"),0)</f>
        <v>0</v>
      </c>
      <c r="N68" s="1060">
        <f>IF(N24=5,SUMIF(N31:N35,"&gt;0"),0)</f>
        <v>0</v>
      </c>
      <c r="O68" s="1057">
        <f>IF(O24=5,SUMIF(O31:O35,"&gt;0"),0)</f>
        <v>0</v>
      </c>
      <c r="Q68" s="1060">
        <f>IF(Q24=5,SUMIF(Q31:Q35,"&gt;0"),0)</f>
        <v>0</v>
      </c>
      <c r="R68" s="1057">
        <f>IF(R24=5,SUMIF(R31:R35,"&gt;0"),0)</f>
        <v>0</v>
      </c>
      <c r="T68" s="1060">
        <f>IF(T24=5,SUMIF(T31:T35,"&gt;0"),0)</f>
        <v>0</v>
      </c>
      <c r="U68" s="1057">
        <f>IF(U24=5,SUMIF(U31:U35,"&gt;0"),0)</f>
        <v>0</v>
      </c>
      <c r="W68" s="1060">
        <f>IF(W24=5,SUMIF(W31:W35,"&gt;0"),0)</f>
        <v>0</v>
      </c>
      <c r="X68" s="1057">
        <f>IF(X24=5,SUMIF(X31:X35,"&gt;0"),0)</f>
        <v>0</v>
      </c>
      <c r="Z68" s="1060">
        <f>IF(Z24=5,SUMIF(Z31:Z35,"&gt;0"),0)</f>
        <v>0</v>
      </c>
      <c r="AA68" s="1057">
        <f>IF(AA24=5,SUMIF(AA31:AA35,"&gt;0"),0)</f>
        <v>0</v>
      </c>
      <c r="AC68" s="1060">
        <f>IF(AC24=5,SUMIF(AC31:AC35,"&gt;0"),0)</f>
        <v>0</v>
      </c>
      <c r="AD68" s="1057">
        <f>IF(AD24=5,SUMIF(AD31:AD35,"&gt;0"),0)</f>
        <v>0</v>
      </c>
      <c r="AF68" s="1060">
        <f>IF(AF24=5,SUMIF(AF31:AF35,"&gt;0"),0)</f>
        <v>0</v>
      </c>
      <c r="AG68" s="1057">
        <f>SUM(B68:AF68)</f>
        <v>0</v>
      </c>
      <c r="AH68" s="1057">
        <f>AG76-AG68</f>
        <v>0</v>
      </c>
    </row>
    <row r="69" spans="1:81" s="1057" customFormat="1" ht="12.75" hidden="1" customHeight="1" x14ac:dyDescent="0.2">
      <c r="D69" s="1060"/>
      <c r="G69" s="1060"/>
      <c r="J69" s="1060"/>
      <c r="K69" s="1060"/>
      <c r="N69" s="1060"/>
      <c r="Q69" s="1060"/>
      <c r="T69" s="1060"/>
      <c r="W69" s="1060"/>
      <c r="Z69" s="1060"/>
      <c r="AC69" s="1060"/>
      <c r="AF69" s="1060"/>
    </row>
    <row r="70" spans="1:81" s="1057" customFormat="1" ht="12.75" hidden="1" customHeight="1" x14ac:dyDescent="0.2">
      <c r="D70" s="1060"/>
      <c r="G70" s="1060"/>
      <c r="J70" s="1060"/>
      <c r="K70" s="1060"/>
      <c r="N70" s="1060"/>
      <c r="Q70" s="1060"/>
      <c r="T70" s="1060"/>
      <c r="W70" s="1060"/>
      <c r="Z70" s="1060"/>
      <c r="AC70" s="1060"/>
      <c r="AF70" s="1060"/>
    </row>
    <row r="71" spans="1:81" s="1057" customFormat="1" ht="51" hidden="1" customHeight="1" x14ac:dyDescent="0.2">
      <c r="A71" s="1061" t="s">
        <v>110</v>
      </c>
      <c r="C71" s="1057">
        <f>SUMIF(B64:D68,"&gt;0")</f>
        <v>1</v>
      </c>
      <c r="D71" s="1060"/>
      <c r="F71" s="1057">
        <f>SUMIF(E64:G68,"&gt;0")</f>
        <v>1</v>
      </c>
      <c r="G71" s="1060"/>
      <c r="I71" s="1057">
        <f>SUMIF(H64:J68,"&gt;0")</f>
        <v>1</v>
      </c>
      <c r="J71" s="1060"/>
      <c r="K71" s="1060"/>
      <c r="M71" s="1057">
        <f>SUMIF(L64:N68,"&gt;0")</f>
        <v>1</v>
      </c>
      <c r="N71" s="1060"/>
      <c r="P71" s="1057">
        <f>SUMIF(O64:Q68,"&gt;0")</f>
        <v>1</v>
      </c>
      <c r="Q71" s="1060"/>
      <c r="S71" s="1057">
        <f>SUMIF(R64:T68,"&gt;0")</f>
        <v>1</v>
      </c>
      <c r="T71" s="1060"/>
      <c r="V71" s="1057">
        <f>SUMIF(U64:W68,"&gt;0")</f>
        <v>0</v>
      </c>
      <c r="W71" s="1060"/>
      <c r="Y71" s="1057">
        <f>SUMIF(X64:Z68,"&gt;0")</f>
        <v>0</v>
      </c>
      <c r="Z71" s="1060"/>
      <c r="AB71" s="1057">
        <f>SUMIF(AA64:AC68,"&gt;0")</f>
        <v>0</v>
      </c>
      <c r="AC71" s="1060"/>
      <c r="AE71" s="1057">
        <f>SUMIF(AD64:AF68,"&gt;0")</f>
        <v>0</v>
      </c>
      <c r="AF71" s="1060"/>
      <c r="AG71" s="1061" t="s">
        <v>111</v>
      </c>
    </row>
    <row r="72" spans="1:81" s="1057" customFormat="1" ht="12.75" hidden="1" customHeight="1" x14ac:dyDescent="0.2">
      <c r="A72" s="1057" t="s">
        <v>101</v>
      </c>
      <c r="B72" s="1057">
        <f>IF(B24=1,C71,0)</f>
        <v>0</v>
      </c>
      <c r="D72" s="1060">
        <f>IF(D24=1,C71,0)</f>
        <v>0</v>
      </c>
      <c r="E72" s="1057">
        <f>IF(E24=1,F71,0)</f>
        <v>1</v>
      </c>
      <c r="G72" s="1060">
        <f>IF(G24=1,F71,0)</f>
        <v>0</v>
      </c>
      <c r="H72" s="1057">
        <f>IF(H24=1,I71,0)</f>
        <v>0</v>
      </c>
      <c r="J72" s="1060">
        <f>IF(J24=1,I71,0)</f>
        <v>0</v>
      </c>
      <c r="K72" s="1060"/>
      <c r="L72" s="1057">
        <f>IF(L24=1,M71,0)</f>
        <v>1</v>
      </c>
      <c r="N72" s="1060">
        <f>IF(N24=1,M71,0)</f>
        <v>0</v>
      </c>
      <c r="O72" s="1057">
        <f>IF(O24=1,P71,0)</f>
        <v>0</v>
      </c>
      <c r="Q72" s="1060">
        <f>IF(Q24=1,P71,0)</f>
        <v>0</v>
      </c>
      <c r="R72" s="1057">
        <f>IF(R24=1,S71,0)</f>
        <v>1</v>
      </c>
      <c r="T72" s="1060">
        <f>IF(T24=1,S71,0)</f>
        <v>0</v>
      </c>
      <c r="U72" s="1057">
        <f>IF(U24=1,V71,0)</f>
        <v>0</v>
      </c>
      <c r="W72" s="1060">
        <f>IF(W24=1,V71,0)</f>
        <v>0</v>
      </c>
      <c r="X72" s="1057">
        <f>IF(X24=1,Y71,0)</f>
        <v>0</v>
      </c>
      <c r="Z72" s="1060">
        <f>IF(Z24=1,Y71,0)</f>
        <v>0</v>
      </c>
      <c r="AA72" s="1057">
        <f>IF(AA24=1,AB71,0)</f>
        <v>0</v>
      </c>
      <c r="AC72" s="1060">
        <f>IF(AC24=1,AB71,0)</f>
        <v>0</v>
      </c>
      <c r="AD72" s="1057">
        <f>IF(AD24=1,AE71,0)</f>
        <v>0</v>
      </c>
      <c r="AF72" s="1060">
        <f>IF(AF24=1,AE71,0)</f>
        <v>0</v>
      </c>
      <c r="AG72" s="1057">
        <f>SUM(B72:AF72)</f>
        <v>3</v>
      </c>
    </row>
    <row r="73" spans="1:81" s="1057" customFormat="1" ht="12.75" hidden="1" customHeight="1" x14ac:dyDescent="0.2">
      <c r="A73" s="1057" t="s">
        <v>102</v>
      </c>
      <c r="B73" s="1057">
        <f>IF(B24=2,C71,0)</f>
        <v>1</v>
      </c>
      <c r="D73" s="1060">
        <f>IF(D24=2,C71,0)</f>
        <v>0</v>
      </c>
      <c r="E73" s="1057">
        <f>IF(E24=2,F71,0)</f>
        <v>0</v>
      </c>
      <c r="G73" s="1060">
        <f>IF(G24=2,F71,0)</f>
        <v>0</v>
      </c>
      <c r="H73" s="1057">
        <f>IF(H24=2,I71,0)</f>
        <v>1</v>
      </c>
      <c r="J73" s="1060">
        <f>IF(J24=2,I71,0)</f>
        <v>0</v>
      </c>
      <c r="K73" s="1060"/>
      <c r="L73" s="1057">
        <f>IF(L24=2,M71,0)</f>
        <v>0</v>
      </c>
      <c r="N73" s="1060">
        <f>IF(N24=2,M71,0)</f>
        <v>0</v>
      </c>
      <c r="O73" s="1057">
        <f>IF(O24=2,P71,0)</f>
        <v>0</v>
      </c>
      <c r="Q73" s="1060">
        <f>IF(Q24=2,P71,0)</f>
        <v>0</v>
      </c>
      <c r="R73" s="1057">
        <f>IF(R24=2,S71,0)</f>
        <v>0</v>
      </c>
      <c r="T73" s="1060">
        <f>IF(T24=2,S71,0)</f>
        <v>1</v>
      </c>
      <c r="U73" s="1057">
        <f>IF(U24=2,V71,0)</f>
        <v>0</v>
      </c>
      <c r="W73" s="1060">
        <f>IF(W24=2,V71,0)</f>
        <v>0</v>
      </c>
      <c r="X73" s="1057">
        <f>IF(X24=2,Y71,0)</f>
        <v>0</v>
      </c>
      <c r="Z73" s="1060">
        <f>IF(Z24=2,Y71,0)</f>
        <v>0</v>
      </c>
      <c r="AA73" s="1057">
        <f>IF(AA24=2,AB71,0)</f>
        <v>0</v>
      </c>
      <c r="AC73" s="1060">
        <f>IF(AC24=2,AB71,0)</f>
        <v>0</v>
      </c>
      <c r="AD73" s="1057">
        <f>IF(AD24=2,AE71,0)</f>
        <v>0</v>
      </c>
      <c r="AF73" s="1060">
        <f>IF(AF24=2,AE71,0)</f>
        <v>0</v>
      </c>
      <c r="AG73" s="1057">
        <f>SUM(B73:AF73)</f>
        <v>3</v>
      </c>
    </row>
    <row r="74" spans="1:81" s="1057" customFormat="1" ht="12.75" hidden="1" customHeight="1" x14ac:dyDescent="0.2">
      <c r="A74" s="1057" t="s">
        <v>103</v>
      </c>
      <c r="B74" s="1057">
        <f>IF(B24=3,C71,0)</f>
        <v>0</v>
      </c>
      <c r="D74" s="1060">
        <f>IF(D24=3,C71,0)</f>
        <v>1</v>
      </c>
      <c r="E74" s="1057">
        <f>IF(E24=3,F71,0)</f>
        <v>0</v>
      </c>
      <c r="G74" s="1060">
        <f>IF(G24=3,F71,0)</f>
        <v>0</v>
      </c>
      <c r="H74" s="1057">
        <f>IF(H24=3,I71,0)</f>
        <v>0</v>
      </c>
      <c r="J74" s="1060">
        <f>IF(J24=3,I71,0)</f>
        <v>0</v>
      </c>
      <c r="K74" s="1060"/>
      <c r="L74" s="1057">
        <f>IF(L24=3,M71,0)</f>
        <v>0</v>
      </c>
      <c r="N74" s="1060">
        <f>IF(N24=3,M71,0)</f>
        <v>1</v>
      </c>
      <c r="O74" s="1057">
        <f>IF(O24=3,P71,0)</f>
        <v>1</v>
      </c>
      <c r="Q74" s="1060">
        <f>IF(Q24=3,P71,0)</f>
        <v>0</v>
      </c>
      <c r="R74" s="1057">
        <f>IF(R24=3,S71,0)</f>
        <v>0</v>
      </c>
      <c r="T74" s="1060">
        <f>IF(T24=3,S71,0)</f>
        <v>0</v>
      </c>
      <c r="U74" s="1057">
        <f>IF(U24=3,V71,0)</f>
        <v>0</v>
      </c>
      <c r="W74" s="1060">
        <f>IF(W24=3,V71,0)</f>
        <v>0</v>
      </c>
      <c r="X74" s="1057">
        <f>IF(X24=3,Y71,0)</f>
        <v>0</v>
      </c>
      <c r="Z74" s="1060">
        <f>IF(Z24=3,Y71,0)</f>
        <v>0</v>
      </c>
      <c r="AA74" s="1057">
        <f>IF(AA24=3,AB71,0)</f>
        <v>0</v>
      </c>
      <c r="AC74" s="1060">
        <f>IF(AC24=3,AB71,0)</f>
        <v>0</v>
      </c>
      <c r="AD74" s="1057">
        <f>IF(AD24=3,AE71,0)</f>
        <v>0</v>
      </c>
      <c r="AF74" s="1060">
        <f>IF(AF24=3,AE71,0)</f>
        <v>0</v>
      </c>
      <c r="AG74" s="1057">
        <f>SUM(B74:AF74)</f>
        <v>3</v>
      </c>
    </row>
    <row r="75" spans="1:81" s="1057" customFormat="1" ht="12.75" hidden="1" customHeight="1" x14ac:dyDescent="0.2">
      <c r="A75" s="1057" t="s">
        <v>104</v>
      </c>
      <c r="B75" s="1057">
        <f>IF(B24=4,C71,0)</f>
        <v>0</v>
      </c>
      <c r="D75" s="1060">
        <f>IF(D24=4,C71,0)</f>
        <v>0</v>
      </c>
      <c r="E75" s="1057">
        <f>IF(E24=4,F71,0)</f>
        <v>0</v>
      </c>
      <c r="G75" s="1060">
        <f>IF(G24=4,F71,0)</f>
        <v>1</v>
      </c>
      <c r="H75" s="1057">
        <f>IF(H24=4,I71,0)</f>
        <v>0</v>
      </c>
      <c r="J75" s="1060">
        <f>IF(J24=4,I71,0)</f>
        <v>1</v>
      </c>
      <c r="K75" s="1060"/>
      <c r="L75" s="1057">
        <f>IF(L24=4,M71,0)</f>
        <v>0</v>
      </c>
      <c r="N75" s="1060">
        <f>IF(N24=4,M71,0)</f>
        <v>0</v>
      </c>
      <c r="O75" s="1057">
        <f>IF(O24=4,P71,0)</f>
        <v>0</v>
      </c>
      <c r="Q75" s="1060">
        <f>IF(Q24=4,P71,0)</f>
        <v>1</v>
      </c>
      <c r="R75" s="1057">
        <f>IF(R24=4,S71,0)</f>
        <v>0</v>
      </c>
      <c r="T75" s="1060">
        <f>IF(T24=4,S71,0)</f>
        <v>0</v>
      </c>
      <c r="U75" s="1057">
        <f>IF(U24=4,V71,0)</f>
        <v>0</v>
      </c>
      <c r="W75" s="1060">
        <f>IF(W24=4,V71,0)</f>
        <v>0</v>
      </c>
      <c r="X75" s="1057">
        <f>IF(X24=4,Y71,0)</f>
        <v>0</v>
      </c>
      <c r="Z75" s="1060">
        <f>IF(Z24=4,Y71,0)</f>
        <v>0</v>
      </c>
      <c r="AA75" s="1057">
        <f>IF(AA24=4,AB71,0)</f>
        <v>0</v>
      </c>
      <c r="AC75" s="1060">
        <f>IF(AC24=4,AB71,0)</f>
        <v>0</v>
      </c>
      <c r="AD75" s="1057">
        <f>IF(AD24=4,AE71,0)</f>
        <v>0</v>
      </c>
      <c r="AF75" s="1060">
        <f>IF(AF24=4,AE71,0)</f>
        <v>0</v>
      </c>
      <c r="AG75" s="1057">
        <f>SUM(B75:AF75)</f>
        <v>3</v>
      </c>
    </row>
    <row r="76" spans="1:81" s="1057" customFormat="1" ht="12.75" hidden="1" customHeight="1" x14ac:dyDescent="0.2">
      <c r="A76" s="1057" t="s">
        <v>105</v>
      </c>
      <c r="B76" s="1057">
        <f>IF(B24=5,C71,0)</f>
        <v>0</v>
      </c>
      <c r="D76" s="1060">
        <f>IF(D24=5,C71,0)</f>
        <v>0</v>
      </c>
      <c r="E76" s="1057">
        <f>IF(E24=5,F71,0)</f>
        <v>0</v>
      </c>
      <c r="G76" s="1060">
        <f>IF(G24=5,F71,0)</f>
        <v>0</v>
      </c>
      <c r="H76" s="1057">
        <f>IF(H24=5,I71,0)</f>
        <v>0</v>
      </c>
      <c r="J76" s="1060">
        <f>IF(J24=5,I71,0)</f>
        <v>0</v>
      </c>
      <c r="K76" s="1060"/>
      <c r="L76" s="1057">
        <f>IF(L24=5,M71,0)</f>
        <v>0</v>
      </c>
      <c r="N76" s="1060">
        <f>IF(N24=5,M71,0)</f>
        <v>0</v>
      </c>
      <c r="O76" s="1057">
        <f>IF(O24=5,P71,0)</f>
        <v>0</v>
      </c>
      <c r="Q76" s="1060">
        <f>IF(Q24=5,P71,0)</f>
        <v>0</v>
      </c>
      <c r="R76" s="1057">
        <f>IF(R24=5,S71,0)</f>
        <v>0</v>
      </c>
      <c r="T76" s="1060">
        <f>IF(T24=5,S71,0)</f>
        <v>0</v>
      </c>
      <c r="U76" s="1057">
        <f>IF(U24=5,V71,0)</f>
        <v>0</v>
      </c>
      <c r="W76" s="1060">
        <f>IF(W24=5,V71,0)</f>
        <v>0</v>
      </c>
      <c r="X76" s="1057">
        <f>IF(X24=5,Y71,0)</f>
        <v>0</v>
      </c>
      <c r="Z76" s="1060">
        <f>IF(Z24=5,Y71,0)</f>
        <v>0</v>
      </c>
      <c r="AA76" s="1057">
        <f>IF(AA24=5,AB71,0)</f>
        <v>0</v>
      </c>
      <c r="AC76" s="1060">
        <f>IF(AC24=5,AB71,0)</f>
        <v>0</v>
      </c>
      <c r="AD76" s="1057">
        <f>IF(AD24=5,AE71,0)</f>
        <v>0</v>
      </c>
      <c r="AF76" s="1060">
        <f>IF(AF24=5,AE71,0)</f>
        <v>0</v>
      </c>
      <c r="AG76" s="1057">
        <f>SUM(B76:AF76)</f>
        <v>0</v>
      </c>
    </row>
    <row r="77" spans="1:81" hidden="1" x14ac:dyDescent="0.2">
      <c r="A77" s="1063"/>
      <c r="B77" s="1063"/>
      <c r="C77" s="1063"/>
      <c r="D77" s="1063"/>
      <c r="E77" s="1063"/>
      <c r="F77" s="1063"/>
      <c r="G77" s="1063"/>
      <c r="H77" s="1063"/>
      <c r="I77" s="1063"/>
      <c r="J77" s="1063"/>
      <c r="K77" s="1063"/>
      <c r="L77" s="1063"/>
      <c r="M77" s="1063"/>
      <c r="N77" s="1063"/>
      <c r="O77" s="1063"/>
      <c r="P77" s="1063"/>
      <c r="Q77" s="1063"/>
      <c r="R77" s="1063"/>
      <c r="S77" s="1063"/>
      <c r="T77" s="1063"/>
      <c r="U77" s="1063"/>
      <c r="V77" s="1063"/>
      <c r="W77" s="1063"/>
      <c r="X77" s="1063"/>
      <c r="Y77" s="1063"/>
      <c r="Z77" s="1063"/>
      <c r="AA77" s="1063"/>
      <c r="AB77" s="1063"/>
      <c r="AC77" s="1063"/>
      <c r="AD77" s="1063"/>
      <c r="AE77" s="1063"/>
      <c r="AF77" s="1063"/>
      <c r="AG77" s="1063"/>
      <c r="AH77" s="1063"/>
      <c r="AI77" s="1063"/>
      <c r="AJ77" s="1063"/>
      <c r="AK77" s="1063"/>
      <c r="AL77" s="1063"/>
      <c r="AM77" s="1063"/>
      <c r="AN77" s="1063"/>
      <c r="AO77" s="1064"/>
      <c r="AP77" s="1064"/>
      <c r="AQ77" s="1064"/>
      <c r="AR77" s="1064"/>
      <c r="AS77" s="1065"/>
      <c r="AT77" s="1065"/>
      <c r="AU77" s="1065"/>
      <c r="AV77" s="1065"/>
      <c r="AW77" s="1066"/>
      <c r="BB77" s="1066"/>
      <c r="BE77" s="1066"/>
      <c r="BH77" s="1066"/>
      <c r="BK77" s="1066"/>
      <c r="BN77" s="1066"/>
      <c r="BQ77" s="1066"/>
      <c r="BT77" s="1066"/>
      <c r="BW77" s="1066"/>
      <c r="BZ77" s="1066"/>
      <c r="CC77" s="1066"/>
    </row>
    <row r="78" spans="1:81" s="1065" customFormat="1" hidden="1" x14ac:dyDescent="0.2">
      <c r="A78" s="1067"/>
      <c r="B78" s="1067"/>
      <c r="C78" s="1067" t="s">
        <v>112</v>
      </c>
      <c r="D78" s="1067">
        <v>1</v>
      </c>
      <c r="E78" s="1067"/>
      <c r="F78" s="1067"/>
      <c r="G78" s="1067">
        <v>2</v>
      </c>
      <c r="H78" s="1067"/>
      <c r="I78" s="1067"/>
      <c r="J78" s="1067">
        <v>3</v>
      </c>
      <c r="K78" s="1067"/>
      <c r="L78" s="1067"/>
      <c r="M78" s="1067"/>
      <c r="N78" s="1067">
        <v>4</v>
      </c>
      <c r="O78" s="1067"/>
      <c r="P78" s="1067"/>
      <c r="Q78" s="1067">
        <v>5</v>
      </c>
      <c r="R78" s="1067"/>
      <c r="S78" s="1067"/>
      <c r="T78" s="1067">
        <v>6</v>
      </c>
      <c r="U78" s="1067"/>
      <c r="V78" s="1067"/>
      <c r="W78" s="1067">
        <v>7</v>
      </c>
      <c r="X78" s="1067"/>
      <c r="Y78" s="1067"/>
      <c r="Z78" s="1067">
        <v>8</v>
      </c>
      <c r="AA78" s="1067"/>
      <c r="AB78" s="1067"/>
      <c r="AC78" s="1067">
        <v>9</v>
      </c>
      <c r="AD78" s="1067"/>
      <c r="AE78" s="1067"/>
      <c r="AF78" s="1067">
        <v>10</v>
      </c>
      <c r="AG78" s="846"/>
      <c r="AH78" s="1067"/>
      <c r="AJ78" s="1068"/>
      <c r="AK78" s="846"/>
      <c r="AL78" s="846"/>
      <c r="AM78" s="846"/>
      <c r="AN78" s="846"/>
      <c r="AO78" s="846"/>
      <c r="AP78" s="846"/>
      <c r="AT78" s="1068" t="s">
        <v>113</v>
      </c>
      <c r="AW78" s="1069"/>
      <c r="BB78" s="1069"/>
      <c r="BE78" s="1069"/>
      <c r="BH78" s="1069"/>
      <c r="BK78" s="1069"/>
      <c r="BN78" s="1069"/>
      <c r="BQ78" s="1069"/>
      <c r="BT78" s="1069"/>
      <c r="BW78" s="1069"/>
      <c r="BZ78" s="1069"/>
      <c r="CC78" s="1069"/>
    </row>
    <row r="79" spans="1:81" s="1065" customFormat="1" hidden="1" x14ac:dyDescent="0.2">
      <c r="A79" s="1070">
        <v>1</v>
      </c>
      <c r="B79" s="1070" t="str">
        <f>E8</f>
        <v>C1VB Juniors Royal</v>
      </c>
      <c r="C79" s="1070">
        <f>VLOOKUP(B79,AU$3:AY$33,3,FALSE)</f>
        <v>1255.6934893512482</v>
      </c>
      <c r="D79" s="1070">
        <f>IF(B72,B87,IF(D72,D87,C79))</f>
        <v>1255.6934893512482</v>
      </c>
      <c r="E79" s="1070"/>
      <c r="F79" s="1070"/>
      <c r="G79" s="1070">
        <f>IF(E72,E87,IF(G72,G87,D79))</f>
        <v>1247.4217878950387</v>
      </c>
      <c r="H79" s="1070"/>
      <c r="I79" s="1070"/>
      <c r="J79" s="1070">
        <f>IF(H72,H87,IF(J72,J87,G79))</f>
        <v>1247.4217878950387</v>
      </c>
      <c r="K79" s="1070"/>
      <c r="L79" s="1070"/>
      <c r="M79" s="1070"/>
      <c r="N79" s="1070">
        <f>IF(L72,L87,IF(N72,N87,J79))</f>
        <v>1238.4504360365675</v>
      </c>
      <c r="O79" s="1070"/>
      <c r="P79" s="1070"/>
      <c r="Q79" s="1070">
        <f>IF(O72,O87,IF(Q72,Q87,N79))</f>
        <v>1238.4504360365675</v>
      </c>
      <c r="R79" s="1070"/>
      <c r="S79" s="1070"/>
      <c r="T79" s="1070">
        <f>IF(R72,R87,IF(T72,T87,Q79))</f>
        <v>1232.4333282362945</v>
      </c>
      <c r="U79" s="1070"/>
      <c r="V79" s="1070"/>
      <c r="W79" s="1070">
        <f>IF(U72,U87,IF(W72,W87,T79))</f>
        <v>1232.4333282362945</v>
      </c>
      <c r="X79" s="1070"/>
      <c r="Y79" s="1070"/>
      <c r="Z79" s="1070">
        <f>IF(X72,X87,IF(Z72,Z87,W79))</f>
        <v>1232.4333282362945</v>
      </c>
      <c r="AA79" s="1070"/>
      <c r="AB79" s="1070"/>
      <c r="AC79" s="1070">
        <f>IF(AA72,AA87,IF(AC72,AC87,Z79))</f>
        <v>1232.4333282362945</v>
      </c>
      <c r="AD79" s="1070"/>
      <c r="AE79" s="1070"/>
      <c r="AF79" s="1070">
        <f>IF(AD72,AD87,IF(AF72,AF87,AC79))</f>
        <v>1232.4333282362945</v>
      </c>
      <c r="AG79" s="846"/>
      <c r="AH79" s="846"/>
      <c r="AK79" s="846"/>
      <c r="AL79" s="846"/>
      <c r="AM79" s="846"/>
      <c r="AN79" s="846"/>
      <c r="AO79" s="846"/>
      <c r="AP79" s="846"/>
      <c r="AT79" s="1065" t="str">
        <f>B79</f>
        <v>C1VB Juniors Royal</v>
      </c>
      <c r="AU79" s="1065">
        <f>AF79</f>
        <v>1232.4333282362945</v>
      </c>
      <c r="AW79" s="1069"/>
      <c r="BB79" s="1069"/>
      <c r="BE79" s="1069"/>
      <c r="BH79" s="1069"/>
      <c r="BK79" s="1069"/>
      <c r="BN79" s="1069"/>
      <c r="BQ79" s="1069"/>
      <c r="BT79" s="1069"/>
      <c r="BW79" s="1069"/>
      <c r="BZ79" s="1069"/>
      <c r="CC79" s="1069"/>
    </row>
    <row r="80" spans="1:81" s="1065" customFormat="1" hidden="1" x14ac:dyDescent="0.2">
      <c r="A80" s="1070">
        <v>2</v>
      </c>
      <c r="B80" s="1070" t="str">
        <f>E10</f>
        <v>SC Midlands KP Boys</v>
      </c>
      <c r="C80" s="1070">
        <f>VLOOKUP(B80,AU$3:AY$33,3,FALSE)</f>
        <v>1314.2550386408398</v>
      </c>
      <c r="D80" s="1070">
        <f>IF(B73,B87,IF(D73,D87,C80))</f>
        <v>1319.9390218314727</v>
      </c>
      <c r="E80" s="1070"/>
      <c r="F80" s="1070"/>
      <c r="G80" s="1070">
        <f>IF(E73,E87,IF(G73,G87,D80))</f>
        <v>1319.9390218314727</v>
      </c>
      <c r="H80" s="1070"/>
      <c r="I80" s="1070"/>
      <c r="J80" s="1070">
        <f>IF(H73,H87,IF(J73,J87,G80))</f>
        <v>1326.3978717120317</v>
      </c>
      <c r="K80" s="1070"/>
      <c r="L80" s="1070"/>
      <c r="M80" s="1070"/>
      <c r="N80" s="1070">
        <f>IF(L73,L87,IF(N73,N87,J80))</f>
        <v>1326.3978717120317</v>
      </c>
      <c r="O80" s="1070"/>
      <c r="P80" s="1070"/>
      <c r="Q80" s="1070">
        <f>IF(O73,O87,IF(Q73,Q87,N80))</f>
        <v>1326.3978717120317</v>
      </c>
      <c r="R80" s="1070"/>
      <c r="S80" s="1070"/>
      <c r="T80" s="1070">
        <f>IF(R73,R87,IF(T73,T87,Q80))</f>
        <v>1332.4149795123046</v>
      </c>
      <c r="U80" s="1070"/>
      <c r="V80" s="1070"/>
      <c r="W80" s="1070">
        <f>IF(U73,U87,IF(W73,W87,T80))</f>
        <v>1332.4149795123046</v>
      </c>
      <c r="X80" s="1070"/>
      <c r="Y80" s="1070"/>
      <c r="Z80" s="1070">
        <f>IF(X73,X87,IF(Z73,Z87,W80))</f>
        <v>1332.4149795123046</v>
      </c>
      <c r="AA80" s="1070"/>
      <c r="AB80" s="1070"/>
      <c r="AC80" s="1070">
        <f>IF(AA73,AA87,IF(AC73,AC87,Z80))</f>
        <v>1332.4149795123046</v>
      </c>
      <c r="AD80" s="1070"/>
      <c r="AE80" s="1070"/>
      <c r="AF80" s="1070">
        <f>IF(AD73,AD87,IF(AF73,AF87,AC80))</f>
        <v>1332.4149795123046</v>
      </c>
      <c r="AG80" s="846"/>
      <c r="AH80" s="846"/>
      <c r="AK80" s="846"/>
      <c r="AM80" s="846"/>
      <c r="AN80" s="846"/>
      <c r="AO80" s="846"/>
      <c r="AP80" s="846"/>
      <c r="AT80" s="1065" t="str">
        <f>B80</f>
        <v>SC Midlands KP Boys</v>
      </c>
      <c r="AU80" s="1065">
        <f>AF80</f>
        <v>1332.4149795123046</v>
      </c>
      <c r="AW80" s="1069"/>
      <c r="BB80" s="1069"/>
      <c r="BE80" s="1069"/>
      <c r="BH80" s="1069"/>
      <c r="BK80" s="1069"/>
      <c r="BN80" s="1069"/>
      <c r="BQ80" s="1069"/>
      <c r="BT80" s="1069"/>
      <c r="BW80" s="1069"/>
      <c r="BZ80" s="1069"/>
      <c r="CC80" s="1069"/>
    </row>
    <row r="81" spans="1:81" s="1065" customFormat="1" hidden="1" x14ac:dyDescent="0.2">
      <c r="A81" s="1070">
        <v>3</v>
      </c>
      <c r="B81" s="1070" t="str">
        <f>E12</f>
        <v>SC Midlands KP White</v>
      </c>
      <c r="C81" s="1070">
        <f>VLOOKUP(B81,AU$3:AY$33,3,FALSE)</f>
        <v>1210.7113361544355</v>
      </c>
      <c r="D81" s="1070">
        <f>IF(B74,B87,IF(D74,D87,C81))</f>
        <v>1205.0273529638025</v>
      </c>
      <c r="E81" s="1070"/>
      <c r="F81" s="1070"/>
      <c r="G81" s="1070">
        <f>IF(E74,E87,IF(G74,G87,D81))</f>
        <v>1205.0273529638025</v>
      </c>
      <c r="H81" s="1070"/>
      <c r="I81" s="1070"/>
      <c r="J81" s="1070">
        <f>IF(H74,H87,IF(J74,J87,G81))</f>
        <v>1205.0273529638025</v>
      </c>
      <c r="K81" s="1070"/>
      <c r="L81" s="1070"/>
      <c r="M81" s="1070"/>
      <c r="N81" s="1070">
        <f>IF(L74,L87,IF(N74,N87,J81))</f>
        <v>1213.9987048222738</v>
      </c>
      <c r="O81" s="1070"/>
      <c r="P81" s="1070"/>
      <c r="Q81" s="1070">
        <f>IF(O74,O87,IF(Q74,Q87,N81))</f>
        <v>1206.7266798132362</v>
      </c>
      <c r="R81" s="1070"/>
      <c r="S81" s="1070"/>
      <c r="T81" s="1070">
        <f>IF(R74,R87,IF(T74,T87,Q81))</f>
        <v>1206.7266798132362</v>
      </c>
      <c r="U81" s="1070"/>
      <c r="V81" s="1070"/>
      <c r="W81" s="1070">
        <f>IF(U74,U87,IF(W74,W87,T81))</f>
        <v>1206.7266798132362</v>
      </c>
      <c r="X81" s="1070"/>
      <c r="Y81" s="1070"/>
      <c r="Z81" s="1070">
        <f>IF(X74,X87,IF(Z74,Z87,W81))</f>
        <v>1206.7266798132362</v>
      </c>
      <c r="AA81" s="1070"/>
      <c r="AB81" s="1070"/>
      <c r="AC81" s="1070">
        <f>IF(AA74,AA87,IF(AC74,AC87,Z81))</f>
        <v>1206.7266798132362</v>
      </c>
      <c r="AD81" s="1070"/>
      <c r="AE81" s="1070"/>
      <c r="AF81" s="1070">
        <f>IF(AD74,AD87,IF(AF74,AF87,AC81))</f>
        <v>1206.7266798132362</v>
      </c>
      <c r="AG81" s="846"/>
      <c r="AH81" s="846"/>
      <c r="AK81" s="846"/>
      <c r="AM81" s="846"/>
      <c r="AN81" s="846"/>
      <c r="AO81" s="846"/>
      <c r="AP81" s="846"/>
      <c r="AT81" s="1065" t="str">
        <f>B81</f>
        <v>SC Midlands KP White</v>
      </c>
      <c r="AU81" s="1065">
        <f>AF81</f>
        <v>1206.7266798132362</v>
      </c>
      <c r="AW81" s="1069"/>
      <c r="BB81" s="1069"/>
      <c r="BE81" s="1069"/>
      <c r="BH81" s="1069"/>
      <c r="BK81" s="1069"/>
      <c r="BN81" s="1069"/>
      <c r="BQ81" s="1069"/>
      <c r="BT81" s="1069"/>
      <c r="BW81" s="1069"/>
      <c r="BZ81" s="1069"/>
      <c r="CC81" s="1069"/>
    </row>
    <row r="82" spans="1:81" s="1065" customFormat="1" hidden="1" x14ac:dyDescent="0.2">
      <c r="A82" s="1070">
        <v>4</v>
      </c>
      <c r="B82" s="1070" t="str">
        <f>E14</f>
        <v>Intense kids power col</v>
      </c>
      <c r="C82" s="1070">
        <f>VLOOKUP(B82,AU$3:AY$33,3,FALSE)</f>
        <v>1243.8891049954495</v>
      </c>
      <c r="D82" s="1070">
        <f>IF(B75,B87,IF(D75,D87,C82))</f>
        <v>1243.8891049954495</v>
      </c>
      <c r="E82" s="1070"/>
      <c r="F82" s="1070"/>
      <c r="G82" s="1070">
        <f>IF(E75,E87,IF(G75,G87,D82))</f>
        <v>1252.160806451659</v>
      </c>
      <c r="H82" s="1070"/>
      <c r="I82" s="1070"/>
      <c r="J82" s="1070">
        <f>IF(H75,H87,IF(J75,J87,G82))</f>
        <v>1245.7019565711</v>
      </c>
      <c r="K82" s="1070"/>
      <c r="L82" s="1070"/>
      <c r="M82" s="1070"/>
      <c r="N82" s="1070">
        <f>IF(L75,L87,IF(N75,N87,J82))</f>
        <v>1245.7019565711</v>
      </c>
      <c r="O82" s="1070"/>
      <c r="P82" s="1070"/>
      <c r="Q82" s="1070">
        <f>IF(O75,O87,IF(Q75,Q87,N82))</f>
        <v>1252.9739815801377</v>
      </c>
      <c r="R82" s="1070"/>
      <c r="S82" s="1070"/>
      <c r="T82" s="1070">
        <f>IF(R75,R87,IF(T75,T87,Q82))</f>
        <v>1252.9739815801377</v>
      </c>
      <c r="U82" s="1070"/>
      <c r="V82" s="1070"/>
      <c r="W82" s="1070">
        <f>IF(U75,U87,IF(W75,W87,T82))</f>
        <v>1252.9739815801377</v>
      </c>
      <c r="X82" s="1070"/>
      <c r="Y82" s="1070"/>
      <c r="Z82" s="1070">
        <f>IF(X75,X87,IF(Z75,Z87,W82))</f>
        <v>1252.9739815801377</v>
      </c>
      <c r="AA82" s="1070"/>
      <c r="AB82" s="1070"/>
      <c r="AC82" s="1070">
        <f>IF(AA75,AA87,IF(AC75,AC87,Z82))</f>
        <v>1252.9739815801377</v>
      </c>
      <c r="AD82" s="1070"/>
      <c r="AE82" s="1070"/>
      <c r="AF82" s="1070">
        <f>IF(AD75,AD87,IF(AF75,AF87,AC82))</f>
        <v>1252.9739815801377</v>
      </c>
      <c r="AG82" s="846"/>
      <c r="AH82" s="846"/>
      <c r="AK82" s="846"/>
      <c r="AM82" s="846"/>
      <c r="AN82" s="846"/>
      <c r="AO82" s="846"/>
      <c r="AP82" s="846"/>
      <c r="AT82" s="1065" t="str">
        <f>B82</f>
        <v>Intense kids power col</v>
      </c>
      <c r="AU82" s="1065">
        <f>AF82</f>
        <v>1252.9739815801377</v>
      </c>
      <c r="AW82" s="1069"/>
      <c r="BB82" s="1069"/>
      <c r="BE82" s="1069"/>
      <c r="BH82" s="1069"/>
      <c r="BK82" s="1069"/>
      <c r="BN82" s="1069"/>
      <c r="BQ82" s="1069"/>
      <c r="BT82" s="1069"/>
      <c r="BW82" s="1069"/>
      <c r="BZ82" s="1069"/>
      <c r="CC82" s="1069"/>
    </row>
    <row r="83" spans="1:81" s="1065" customFormat="1" hidden="1" x14ac:dyDescent="0.2">
      <c r="A83" s="1070">
        <v>5</v>
      </c>
      <c r="B83" s="1070">
        <f>E16</f>
        <v>0</v>
      </c>
      <c r="C83" s="1070" t="e">
        <f>VLOOKUP(B83,AU$3:AY$33,3,FALSE)</f>
        <v>#N/A</v>
      </c>
      <c r="D83" s="1070" t="e">
        <f>IF(B76,B87,IF(D76,D87,C83))</f>
        <v>#N/A</v>
      </c>
      <c r="E83" s="1070"/>
      <c r="F83" s="1070"/>
      <c r="G83" s="1070" t="e">
        <f>IF(E76,E87,IF(G76,G87,D83))</f>
        <v>#N/A</v>
      </c>
      <c r="H83" s="1070"/>
      <c r="I83" s="1070"/>
      <c r="J83" s="1070" t="e">
        <f>IF(H76,H87,IF(J76,J87,G83))</f>
        <v>#N/A</v>
      </c>
      <c r="K83" s="1070"/>
      <c r="L83" s="1070"/>
      <c r="M83" s="1070"/>
      <c r="N83" s="1070" t="e">
        <f>IF(L76,L87,IF(N76,N87,J83))</f>
        <v>#N/A</v>
      </c>
      <c r="O83" s="1070"/>
      <c r="P83" s="1070"/>
      <c r="Q83" s="1070" t="e">
        <f>IF(O76,O87,IF(Q76,Q87,N83))</f>
        <v>#N/A</v>
      </c>
      <c r="R83" s="1070"/>
      <c r="S83" s="1070"/>
      <c r="T83" s="1070" t="e">
        <f>IF(R76,R87,IF(T76,T87,Q83))</f>
        <v>#N/A</v>
      </c>
      <c r="U83" s="1070"/>
      <c r="V83" s="1070"/>
      <c r="W83" s="1070" t="e">
        <f>IF(U76,U87,IF(W76,W87,T83))</f>
        <v>#N/A</v>
      </c>
      <c r="X83" s="1070"/>
      <c r="Y83" s="1070"/>
      <c r="Z83" s="1070" t="e">
        <f>IF(X76,X87,IF(Z76,Z87,W83))</f>
        <v>#N/A</v>
      </c>
      <c r="AA83" s="1070"/>
      <c r="AB83" s="1070"/>
      <c r="AC83" s="1070" t="e">
        <f>IF(AA76,AA87,IF(AC76,AC87,Z83))</f>
        <v>#N/A</v>
      </c>
      <c r="AD83" s="1070"/>
      <c r="AE83" s="1070"/>
      <c r="AF83" s="1070" t="e">
        <f>IF(AD76,AD87,IF(AF76,AF87,AC83))</f>
        <v>#N/A</v>
      </c>
      <c r="AG83" s="846"/>
      <c r="AH83" s="846"/>
      <c r="AK83" s="846"/>
      <c r="AM83" s="846"/>
      <c r="AN83" s="846"/>
      <c r="AO83" s="846"/>
      <c r="AP83" s="846"/>
      <c r="AT83" s="1065">
        <f>B83</f>
        <v>0</v>
      </c>
      <c r="AU83" s="1065" t="e">
        <f>AF83</f>
        <v>#N/A</v>
      </c>
      <c r="AW83" s="1069"/>
      <c r="BB83" s="1069"/>
      <c r="BE83" s="1069"/>
      <c r="BH83" s="1069"/>
      <c r="BK83" s="1069"/>
      <c r="BN83" s="1069"/>
      <c r="BQ83" s="1069"/>
      <c r="BT83" s="1069"/>
      <c r="BW83" s="1069"/>
      <c r="BZ83" s="1069"/>
      <c r="CC83" s="1069"/>
    </row>
    <row r="84" spans="1:81" s="1065" customFormat="1" hidden="1" x14ac:dyDescent="0.2">
      <c r="A84" s="1070"/>
      <c r="B84" s="1070"/>
      <c r="C84" s="1070"/>
      <c r="D84" s="1070"/>
      <c r="E84" s="1070"/>
      <c r="F84" s="1070"/>
      <c r="G84" s="1070"/>
      <c r="H84" s="1070"/>
      <c r="I84" s="1070"/>
      <c r="J84" s="1070"/>
      <c r="K84" s="1070"/>
      <c r="L84" s="1070"/>
      <c r="M84" s="1070"/>
      <c r="N84" s="1070"/>
      <c r="O84" s="1070"/>
      <c r="P84" s="1070"/>
      <c r="Q84" s="1070"/>
      <c r="R84" s="1070"/>
      <c r="S84" s="1070"/>
      <c r="T84" s="1070"/>
      <c r="U84" s="1070"/>
      <c r="V84" s="1070"/>
      <c r="W84" s="1070"/>
      <c r="X84" s="1070"/>
      <c r="Y84" s="1070"/>
      <c r="Z84" s="1070"/>
      <c r="AA84" s="1070"/>
      <c r="AB84" s="1070"/>
      <c r="AC84" s="1070"/>
      <c r="AD84" s="1070"/>
      <c r="AE84" s="1070"/>
      <c r="AF84" s="1070"/>
      <c r="AG84" s="846"/>
      <c r="AH84" s="846"/>
      <c r="AK84" s="846"/>
      <c r="AM84" s="846"/>
      <c r="AN84" s="846"/>
      <c r="AO84" s="846"/>
      <c r="AP84" s="846"/>
      <c r="AW84" s="1069"/>
      <c r="BB84" s="1069"/>
      <c r="BE84" s="1069"/>
      <c r="BH84" s="1069"/>
      <c r="BK84" s="1069"/>
      <c r="BN84" s="1069"/>
      <c r="BQ84" s="1069"/>
      <c r="BT84" s="1069"/>
      <c r="BW84" s="1069"/>
      <c r="BZ84" s="1069"/>
      <c r="CC84" s="1069"/>
    </row>
    <row r="85" spans="1:81" s="1065" customFormat="1" hidden="1" x14ac:dyDescent="0.2">
      <c r="A85" s="1070" t="s">
        <v>114</v>
      </c>
      <c r="B85" s="1070">
        <f>VLOOKUP(B24,$A79:$AF83,3,FALSE)</f>
        <v>1314.2550386408398</v>
      </c>
      <c r="C85" s="1070">
        <v>1</v>
      </c>
      <c r="D85" s="1070">
        <f>VLOOKUP(D24,$A79:$AF83,3,FALSE)</f>
        <v>1210.7113361544355</v>
      </c>
      <c r="E85" s="1070">
        <f>VLOOKUP(E24,$A79:$AF83,4,FALSE)</f>
        <v>1255.6934893512482</v>
      </c>
      <c r="F85" s="1070">
        <v>2</v>
      </c>
      <c r="G85" s="1070">
        <f>VLOOKUP(G24,$A79:$AF83,4,FALSE)</f>
        <v>1243.8891049954495</v>
      </c>
      <c r="H85" s="1070">
        <f>VLOOKUP(H24,$A79:$AF83,7,FALSE)</f>
        <v>1319.9390218314727</v>
      </c>
      <c r="I85" s="1070">
        <v>3</v>
      </c>
      <c r="J85" s="1070">
        <f>VLOOKUP(J24,$A79:$AF83,7,FALSE)</f>
        <v>1252.160806451659</v>
      </c>
      <c r="K85" s="1070"/>
      <c r="L85" s="1070">
        <f>VLOOKUP(L24,$A79:$AF83,10,FALSE)</f>
        <v>1247.4217878950387</v>
      </c>
      <c r="M85" s="1070">
        <v>4</v>
      </c>
      <c r="N85" s="1070">
        <f>VLOOKUP(N24,$A79:$AF83,10,FALSE)</f>
        <v>1205.0273529638025</v>
      </c>
      <c r="O85" s="1070">
        <f>VLOOKUP(O24,$A79:$AF83,14,FALSE)</f>
        <v>1213.9987048222738</v>
      </c>
      <c r="P85" s="1070">
        <v>5</v>
      </c>
      <c r="Q85" s="1070">
        <f>VLOOKUP(Q24,$A79:$AF83,14,FALSE)</f>
        <v>1245.7019565711</v>
      </c>
      <c r="R85" s="1070">
        <f>VLOOKUP(R24,$A79:$AF83,17,FALSE)</f>
        <v>1238.4504360365675</v>
      </c>
      <c r="S85" s="1070">
        <v>6</v>
      </c>
      <c r="T85" s="1070">
        <f>VLOOKUP(T24,$A79:$AF83,17,FALSE)</f>
        <v>1326.3978717120317</v>
      </c>
      <c r="U85" s="1070" t="e">
        <f>VLOOKUP(U24,$A79:$AF83,20,FALSE)</f>
        <v>#N/A</v>
      </c>
      <c r="V85" s="1070">
        <v>7</v>
      </c>
      <c r="W85" s="1070" t="e">
        <f>VLOOKUP(W24,$A79:$AF83,20,FALSE)</f>
        <v>#N/A</v>
      </c>
      <c r="X85" s="1070" t="e">
        <f>VLOOKUP(X24,$A79:$AF83,23,FALSE)</f>
        <v>#N/A</v>
      </c>
      <c r="Y85" s="1070">
        <v>8</v>
      </c>
      <c r="Z85" s="1070" t="e">
        <f>VLOOKUP(Z24,$A79:$AF83,23,FALSE)</f>
        <v>#N/A</v>
      </c>
      <c r="AA85" s="1070" t="e">
        <f>VLOOKUP(AA24,$A79:$AF83,26,FALSE)</f>
        <v>#N/A</v>
      </c>
      <c r="AB85" s="1070">
        <v>9</v>
      </c>
      <c r="AC85" s="1070" t="e">
        <f>VLOOKUP(AC24,$A79:$AF83,26,FALSE)</f>
        <v>#N/A</v>
      </c>
      <c r="AD85" s="1070" t="e">
        <f>VLOOKUP(AD24,$A79:$AF83,29,FALSE)</f>
        <v>#N/A</v>
      </c>
      <c r="AE85" s="1070">
        <v>10</v>
      </c>
      <c r="AF85" s="1070" t="e">
        <f>VLOOKUP(AF24,$A79:$AF83,29,FALSE)</f>
        <v>#N/A</v>
      </c>
      <c r="AG85" s="846"/>
      <c r="AH85" s="1063"/>
      <c r="AI85" s="1063"/>
      <c r="AJ85" s="1063"/>
      <c r="AK85" s="1063"/>
      <c r="AL85" s="1063"/>
      <c r="AM85" s="1063"/>
      <c r="AN85" s="1063"/>
      <c r="AO85" s="1064"/>
      <c r="AP85" s="1064"/>
      <c r="AQ85" s="1064"/>
      <c r="AR85" s="1064"/>
      <c r="AW85" s="1069"/>
      <c r="BB85" s="1069"/>
      <c r="BE85" s="1069"/>
      <c r="BH85" s="1069"/>
      <c r="BK85" s="1069"/>
      <c r="BN85" s="1069"/>
      <c r="BQ85" s="1069"/>
      <c r="BT85" s="1069"/>
      <c r="BW85" s="1069"/>
      <c r="BZ85" s="1069"/>
      <c r="CC85" s="1069"/>
    </row>
    <row r="86" spans="1:81" s="1075" customFormat="1" hidden="1" x14ac:dyDescent="0.2">
      <c r="A86" s="1071" t="s">
        <v>115</v>
      </c>
      <c r="B86" s="1071">
        <f>1/(1+(10^-((B85-D85)/400)))*(B36+D36)</f>
        <v>0.64475105058544646</v>
      </c>
      <c r="C86" s="1071"/>
      <c r="D86" s="1071">
        <f>1/(1+(10^-((D85-B85)/400)))*(B36+D36)</f>
        <v>0.35524894941455354</v>
      </c>
      <c r="E86" s="1071">
        <f>1/(1+(10^-((E85-G85)/400)))*(E36+G36)</f>
        <v>0.51698134101308879</v>
      </c>
      <c r="F86" s="1071"/>
      <c r="G86" s="1071">
        <f>1/(1+(10^-((G85-E85)/400)))*(E36+G36)</f>
        <v>0.48301865898691126</v>
      </c>
      <c r="H86" s="1071">
        <f>1/(1+(10^-((H85-J85)/400)))*(H36+J36)</f>
        <v>0.59632188246506213</v>
      </c>
      <c r="I86" s="1071"/>
      <c r="J86" s="1071">
        <f>1/(1+(10^-((J85-H85)/400)))*(H36+J36)</f>
        <v>0.40367811753493782</v>
      </c>
      <c r="K86" s="1071"/>
      <c r="L86" s="1071">
        <f>1/(1+(10^-((L85-N85)/400)))*(L36+N36)</f>
        <v>0.56070949115445912</v>
      </c>
      <c r="M86" s="1071"/>
      <c r="N86" s="1071">
        <f>1/(1+(10^-((N85-L85)/400)))*(L36+N36)</f>
        <v>0.43929050884554088</v>
      </c>
      <c r="O86" s="1071">
        <f>1/(1+(10^-((O85-Q85)/400)))*(O36+Q36)</f>
        <v>0.45450156306485001</v>
      </c>
      <c r="P86" s="1071"/>
      <c r="Q86" s="1071">
        <f>1/(1+(10^-((Q85-O85)/400)))*(O36+Q36)</f>
        <v>0.54549843693514999</v>
      </c>
      <c r="R86" s="1071">
        <f>1/(1+(10^-((R85-T85)/400)))*(R36+T36)</f>
        <v>0.37606923751705224</v>
      </c>
      <c r="S86" s="1071"/>
      <c r="T86" s="1071">
        <f>1/(1+(10^-((T85-R85)/400)))*(R36+T36)</f>
        <v>0.62393076248294776</v>
      </c>
      <c r="U86" s="1071" t="e">
        <f>1/(1+(10^-((U85-W85)/400)))*(U36+W36)</f>
        <v>#N/A</v>
      </c>
      <c r="V86" s="1071"/>
      <c r="W86" s="1071" t="e">
        <f>1/(1+(10^-((W85-U85)/400)))*(U36+W36)</f>
        <v>#N/A</v>
      </c>
      <c r="X86" s="1071" t="e">
        <f>1/(1+(10^-((X85-Z85)/400)))*(X36+Z36)</f>
        <v>#N/A</v>
      </c>
      <c r="Y86" s="1071"/>
      <c r="Z86" s="1071" t="e">
        <f>1/(1+(10^-((Z85-X85)/400)))*(X36+Z36)</f>
        <v>#N/A</v>
      </c>
      <c r="AA86" s="1071" t="e">
        <f>1/(1+(10^-((AA85-AC85)/400)))*(AA36+AC36)</f>
        <v>#N/A</v>
      </c>
      <c r="AB86" s="1071"/>
      <c r="AC86" s="1071" t="e">
        <f>1/(1+(10^-((AC85-AA85)/400)))*(AA36+AC36)</f>
        <v>#N/A</v>
      </c>
      <c r="AD86" s="1071" t="e">
        <f>1/(1+(10^-((AD85-AF85)/400)))*(AD36+AF36)</f>
        <v>#N/A</v>
      </c>
      <c r="AE86" s="1071"/>
      <c r="AF86" s="1071" t="e">
        <f>1/(1+(10^-((AF85-AD85)/400)))*(AD36+AF36)</f>
        <v>#N/A</v>
      </c>
      <c r="AG86" s="1072"/>
      <c r="AH86" s="1073"/>
      <c r="AI86" s="1073"/>
      <c r="AJ86" s="1073"/>
      <c r="AK86" s="1073"/>
      <c r="AL86" s="1073"/>
      <c r="AM86" s="1073"/>
      <c r="AN86" s="1073"/>
      <c r="AO86" s="1074"/>
      <c r="AP86" s="1074"/>
      <c r="AQ86" s="1074"/>
      <c r="AR86" s="1074"/>
      <c r="AW86" s="1076"/>
      <c r="BB86" s="1076"/>
      <c r="BE86" s="1076"/>
      <c r="BH86" s="1076"/>
      <c r="BK86" s="1076"/>
      <c r="BN86" s="1076"/>
      <c r="BQ86" s="1076"/>
      <c r="BT86" s="1076"/>
      <c r="BW86" s="1076"/>
      <c r="BZ86" s="1076"/>
      <c r="CC86" s="1076"/>
    </row>
    <row r="87" spans="1:81" s="1081" customFormat="1" hidden="1" x14ac:dyDescent="0.2">
      <c r="A87" s="1077" t="s">
        <v>116</v>
      </c>
      <c r="B87" s="1077">
        <f>B85+(B36-B86)*$BA$1</f>
        <v>1319.9390218314727</v>
      </c>
      <c r="C87" s="1077"/>
      <c r="D87" s="1077">
        <f>D85+(D36-D86)*$BA$1</f>
        <v>1205.0273529638025</v>
      </c>
      <c r="E87" s="1077">
        <f>E85+(E36-E86)*$BA$1</f>
        <v>1247.4217878950387</v>
      </c>
      <c r="F87" s="1077"/>
      <c r="G87" s="1077">
        <f>G85+(G36-G86)*$BA$1</f>
        <v>1252.160806451659</v>
      </c>
      <c r="H87" s="1077">
        <f>H85+(H36-H86)*$BA$1</f>
        <v>1326.3978717120317</v>
      </c>
      <c r="I87" s="1077"/>
      <c r="J87" s="1077">
        <f>J85+(J36-J86)*$BA$1</f>
        <v>1245.7019565711</v>
      </c>
      <c r="K87" s="1077"/>
      <c r="L87" s="1077">
        <f>L85+(L36-L86)*$BA$1</f>
        <v>1238.4504360365675</v>
      </c>
      <c r="M87" s="1077"/>
      <c r="N87" s="1077">
        <f>N85+(N36-N86)*$BA$1</f>
        <v>1213.9987048222738</v>
      </c>
      <c r="O87" s="1077">
        <f>O85+(O36-O86)*$BA$1</f>
        <v>1206.7266798132362</v>
      </c>
      <c r="P87" s="1077"/>
      <c r="Q87" s="1077">
        <f>Q85+(Q36-Q86)*$BA$1</f>
        <v>1252.9739815801377</v>
      </c>
      <c r="R87" s="1077">
        <f>R85+(R36-R86)*$BA$1</f>
        <v>1232.4333282362945</v>
      </c>
      <c r="S87" s="1077"/>
      <c r="T87" s="1077">
        <f>T85+(T36-T86)*$BA$1</f>
        <v>1332.4149795123046</v>
      </c>
      <c r="U87" s="1077" t="e">
        <f>U85+(U36-U86)*$BA$1</f>
        <v>#N/A</v>
      </c>
      <c r="V87" s="1077"/>
      <c r="W87" s="1077" t="e">
        <f>W85+(W36-W86)*$BA$1</f>
        <v>#N/A</v>
      </c>
      <c r="X87" s="1077" t="e">
        <f>X85+(X36-X86)*$BA$1</f>
        <v>#N/A</v>
      </c>
      <c r="Y87" s="1077"/>
      <c r="Z87" s="1077" t="e">
        <f>Z85+(Z36-Z86)*$BA$1</f>
        <v>#N/A</v>
      </c>
      <c r="AA87" s="1077" t="e">
        <f>AA85+(AA36-AA86)*$BA$1</f>
        <v>#N/A</v>
      </c>
      <c r="AB87" s="1077"/>
      <c r="AC87" s="1077" t="e">
        <f>AC85+(AC36-AC86)*$BA$1</f>
        <v>#N/A</v>
      </c>
      <c r="AD87" s="1077" t="e">
        <f>AD85+(AD36-AD86)*$BA$1</f>
        <v>#N/A</v>
      </c>
      <c r="AE87" s="1077"/>
      <c r="AF87" s="1077" t="e">
        <f>AF85+(AF36-AF86)*$BA$1</f>
        <v>#N/A</v>
      </c>
      <c r="AG87" s="1078"/>
      <c r="AH87" s="1079"/>
      <c r="AI87" s="1079"/>
      <c r="AJ87" s="1079"/>
      <c r="AK87" s="1079"/>
      <c r="AL87" s="1079"/>
      <c r="AM87" s="1079"/>
      <c r="AN87" s="1079"/>
      <c r="AO87" s="1080"/>
      <c r="AP87" s="1080"/>
      <c r="AQ87" s="1080"/>
      <c r="AR87" s="1080"/>
      <c r="AW87" s="1082"/>
      <c r="BB87" s="1082"/>
      <c r="BE87" s="1082"/>
      <c r="BH87" s="1082"/>
      <c r="BK87" s="1082"/>
      <c r="BN87" s="1082"/>
      <c r="BQ87" s="1082"/>
      <c r="BT87" s="1082"/>
      <c r="BW87" s="1082"/>
      <c r="BZ87" s="1082"/>
      <c r="CC87" s="1082"/>
    </row>
    <row r="88" spans="1:81" s="1081" customFormat="1" hidden="1" x14ac:dyDescent="0.2">
      <c r="A88" s="1077"/>
      <c r="B88" s="1077"/>
      <c r="C88" s="1077"/>
      <c r="D88" s="1077"/>
      <c r="E88" s="1077"/>
      <c r="F88" s="1077"/>
      <c r="G88" s="1077"/>
      <c r="H88" s="1077"/>
      <c r="I88" s="1077"/>
      <c r="J88" s="1077"/>
      <c r="K88" s="1077"/>
      <c r="L88" s="1077"/>
      <c r="M88" s="1077"/>
      <c r="N88" s="1077"/>
      <c r="O88" s="1077"/>
      <c r="P88" s="1077"/>
      <c r="Q88" s="1077"/>
      <c r="R88" s="1077"/>
      <c r="S88" s="1077"/>
      <c r="T88" s="1077"/>
      <c r="U88" s="1077"/>
      <c r="V88" s="1077"/>
      <c r="W88" s="1077"/>
      <c r="X88" s="1077"/>
      <c r="Y88" s="1077"/>
      <c r="Z88" s="1077"/>
      <c r="AA88" s="1077"/>
      <c r="AB88" s="1077"/>
      <c r="AC88" s="1077"/>
      <c r="AD88" s="1077"/>
      <c r="AE88" s="1077"/>
      <c r="AF88" s="1077"/>
      <c r="AG88" s="1078"/>
      <c r="AH88" s="1079"/>
      <c r="AI88" s="1079"/>
      <c r="AJ88" s="1079"/>
      <c r="AK88" s="1079"/>
      <c r="AL88" s="1079"/>
      <c r="AM88" s="1079"/>
      <c r="AN88" s="1079"/>
      <c r="AO88" s="1080"/>
      <c r="AP88" s="1080"/>
      <c r="AQ88" s="1080"/>
      <c r="AR88" s="1080"/>
      <c r="AW88" s="1082"/>
      <c r="BB88" s="1082"/>
      <c r="BE88" s="1082"/>
      <c r="BH88" s="1082"/>
      <c r="BK88" s="1082"/>
      <c r="BN88" s="1082"/>
      <c r="BQ88" s="1082"/>
      <c r="BT88" s="1082"/>
      <c r="BW88" s="1082"/>
      <c r="BZ88" s="1082"/>
      <c r="CC88" s="1082"/>
    </row>
    <row r="89" spans="1:81" s="1065" customFormat="1" x14ac:dyDescent="0.2">
      <c r="A89" s="1083" t="str">
        <f>IF($AL10=1,"Pool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89" s="1083"/>
      <c r="C89" s="1083"/>
      <c r="D89" s="1083"/>
      <c r="E89" s="1083"/>
      <c r="F89" s="1083"/>
      <c r="G89" s="1083"/>
      <c r="H89" s="1083"/>
      <c r="I89" s="1083"/>
      <c r="J89" s="1083"/>
      <c r="K89" s="1083"/>
      <c r="L89" s="1083"/>
      <c r="M89" s="1083"/>
      <c r="N89" s="1083"/>
      <c r="O89" s="1083"/>
      <c r="P89" s="1083"/>
      <c r="Q89" s="1083"/>
      <c r="R89" s="1083"/>
      <c r="S89" s="1083"/>
      <c r="T89" s="1083"/>
      <c r="U89" s="1083"/>
      <c r="V89" s="1083"/>
      <c r="W89" s="1083"/>
      <c r="X89" s="1083"/>
      <c r="Y89" s="1083"/>
      <c r="Z89" s="1083"/>
      <c r="AA89" s="1083"/>
      <c r="AB89" s="1083"/>
      <c r="AC89" s="1083"/>
      <c r="AD89" s="1083"/>
      <c r="AE89" s="1083"/>
      <c r="AF89" s="1083"/>
      <c r="AG89" s="1083"/>
      <c r="AH89" s="1083"/>
      <c r="AI89" s="1083"/>
      <c r="AJ89" s="1083"/>
      <c r="AK89" s="1083"/>
      <c r="AL89" s="1083"/>
      <c r="AM89" s="1083"/>
      <c r="AN89" s="1084"/>
      <c r="AO89" s="1084"/>
      <c r="AP89" s="1084"/>
      <c r="AQ89" s="1084"/>
    </row>
    <row r="90" spans="1:81" s="1065" customFormat="1" ht="13.5" thickBot="1" x14ac:dyDescent="0.25">
      <c r="A90" s="1085"/>
      <c r="B90" s="1085"/>
      <c r="C90" s="1085"/>
      <c r="D90" s="1085"/>
      <c r="E90" s="1085"/>
      <c r="F90" s="1085"/>
      <c r="G90" s="1085"/>
      <c r="H90" s="1085"/>
      <c r="I90" s="1085"/>
      <c r="J90" s="1085"/>
      <c r="K90" s="1085"/>
      <c r="L90" s="1085"/>
      <c r="M90" s="1085"/>
      <c r="N90" s="1085"/>
      <c r="O90" s="1085"/>
      <c r="P90" s="1085"/>
      <c r="Q90" s="1085"/>
      <c r="R90" s="1085"/>
      <c r="S90" s="1085"/>
      <c r="T90" s="1085"/>
      <c r="U90" s="1085"/>
      <c r="V90" s="1085"/>
      <c r="W90" s="1085"/>
      <c r="X90" s="1085"/>
      <c r="Y90" s="1085"/>
      <c r="Z90" s="1085"/>
      <c r="AA90" s="1085"/>
      <c r="AB90" s="1085"/>
      <c r="AC90" s="1085"/>
      <c r="AD90" s="1085"/>
      <c r="AE90" s="1085"/>
      <c r="AF90" s="1085"/>
      <c r="AG90" s="1085"/>
      <c r="AH90" s="1085"/>
      <c r="AI90" s="1085"/>
      <c r="AJ90" s="1085"/>
      <c r="AK90" s="1085"/>
      <c r="AL90" s="1085"/>
      <c r="AM90" s="1085"/>
      <c r="AN90" s="1085"/>
      <c r="AO90" s="1085"/>
      <c r="AP90" s="1085"/>
      <c r="AQ90" s="1085"/>
      <c r="AR90" s="1085"/>
    </row>
    <row r="91" spans="1:81" ht="24" customHeight="1" thickBot="1" x14ac:dyDescent="0.25">
      <c r="A91" s="919" t="s">
        <v>33</v>
      </c>
      <c r="B91" s="920" t="s">
        <v>117</v>
      </c>
      <c r="C91" s="921" t="s">
        <v>35</v>
      </c>
      <c r="D91" s="922"/>
      <c r="E91" s="922"/>
      <c r="F91" s="922"/>
      <c r="G91" s="922"/>
      <c r="H91" s="923"/>
      <c r="I91" s="924">
        <v>2</v>
      </c>
      <c r="J91" s="925"/>
      <c r="K91" s="926" t="str">
        <f>"Pool "&amp;B91&amp;" - Round 1 - Court "&amp;I91</f>
        <v>Pool B - Round 1 - Court 2</v>
      </c>
      <c r="L91" s="927"/>
      <c r="M91" s="927"/>
      <c r="N91" s="927"/>
      <c r="O91" s="927"/>
      <c r="P91" s="927"/>
      <c r="Q91" s="927"/>
      <c r="R91" s="927"/>
      <c r="S91" s="927"/>
      <c r="T91" s="927"/>
      <c r="U91" s="927"/>
      <c r="V91" s="927"/>
      <c r="W91" s="927"/>
      <c r="X91" s="927"/>
      <c r="Y91" s="927"/>
      <c r="Z91" s="927"/>
      <c r="AA91" s="927"/>
      <c r="AB91" s="927"/>
      <c r="AC91" s="927"/>
      <c r="AD91" s="927"/>
      <c r="AE91" s="927"/>
      <c r="AF91" s="927"/>
      <c r="AG91" s="927"/>
      <c r="AH91" s="927"/>
      <c r="AI91" s="927"/>
      <c r="AJ91" s="928"/>
      <c r="AK91" s="868"/>
      <c r="AL91" s="868"/>
      <c r="AM91" s="868"/>
      <c r="AN91" s="868"/>
      <c r="AO91" s="868"/>
      <c r="AP91" s="868"/>
      <c r="AQ91" s="868"/>
      <c r="AR91" s="868"/>
    </row>
    <row r="92" spans="1:81" ht="27" customHeight="1" thickBot="1" x14ac:dyDescent="0.25">
      <c r="A92" s="930" t="s">
        <v>38</v>
      </c>
      <c r="B92" s="902" t="s">
        <v>10</v>
      </c>
      <c r="C92" s="931"/>
      <c r="D92" s="931"/>
      <c r="E92" s="931"/>
      <c r="F92" s="931"/>
      <c r="G92" s="931"/>
      <c r="H92" s="931"/>
      <c r="I92" s="931"/>
      <c r="J92" s="931"/>
      <c r="K92" s="931"/>
      <c r="L92" s="931"/>
      <c r="M92" s="902" t="str">
        <f>IF($AL95=0,"Games Won","Matches Won")</f>
        <v>Matches Won</v>
      </c>
      <c r="N92" s="931"/>
      <c r="O92" s="931"/>
      <c r="P92" s="931"/>
      <c r="Q92" s="931"/>
      <c r="R92" s="932"/>
      <c r="S92" s="902" t="str">
        <f>IF($AL95=0,"Games Lost","Matches Lost")</f>
        <v>Matches Lost</v>
      </c>
      <c r="T92" s="933"/>
      <c r="U92" s="933"/>
      <c r="V92" s="933"/>
      <c r="W92" s="934"/>
      <c r="X92" s="935" t="s">
        <v>39</v>
      </c>
      <c r="Y92" s="936"/>
      <c r="Z92" s="937"/>
      <c r="AA92" s="935" t="s">
        <v>40</v>
      </c>
      <c r="AB92" s="936"/>
      <c r="AC92" s="937"/>
      <c r="AD92" s="938" t="s">
        <v>41</v>
      </c>
      <c r="AE92" s="939"/>
      <c r="AF92" s="940"/>
      <c r="AG92" s="941" t="s">
        <v>42</v>
      </c>
      <c r="AH92" s="942" t="s">
        <v>9</v>
      </c>
      <c r="AI92" s="943" t="s">
        <v>43</v>
      </c>
      <c r="AJ92" s="944"/>
      <c r="AK92" s="945"/>
      <c r="AL92" s="946">
        <v>1</v>
      </c>
      <c r="AM92" s="947" t="s">
        <v>44</v>
      </c>
      <c r="AN92" s="947"/>
      <c r="AO92" s="947"/>
      <c r="AP92" s="947"/>
      <c r="AQ92" s="947"/>
      <c r="AR92" s="947"/>
      <c r="AS92" s="948"/>
    </row>
    <row r="93" spans="1:81" ht="18.75" customHeight="1" x14ac:dyDescent="0.2">
      <c r="A93" s="949" t="str">
        <f>IF($AL94&gt;0,"1","")</f>
        <v>1</v>
      </c>
      <c r="B93" s="950" t="s">
        <v>10</v>
      </c>
      <c r="C93" s="951"/>
      <c r="D93" s="952"/>
      <c r="E93" s="953" t="str">
        <f>AU4</f>
        <v>Foothills Vanessa</v>
      </c>
      <c r="F93" s="954"/>
      <c r="G93" s="954"/>
      <c r="H93" s="954"/>
      <c r="I93" s="954"/>
      <c r="J93" s="954"/>
      <c r="K93" s="954"/>
      <c r="L93" s="955"/>
      <c r="M93" s="956">
        <f>IF($AL95=0,AG149,AG131)</f>
        <v>1</v>
      </c>
      <c r="N93" s="957"/>
      <c r="O93" s="957"/>
      <c r="P93" s="957"/>
      <c r="Q93" s="957"/>
      <c r="R93" s="932"/>
      <c r="S93" s="956">
        <f>IF($AL95=0,AH149,AH131)</f>
        <v>3</v>
      </c>
      <c r="T93" s="957"/>
      <c r="U93" s="957"/>
      <c r="V93" s="957"/>
      <c r="W93" s="957"/>
      <c r="X93" s="956">
        <f>AR109</f>
        <v>-4</v>
      </c>
      <c r="Y93" s="957"/>
      <c r="Z93" s="957"/>
      <c r="AA93" s="958">
        <f>IF(AG143&gt;0,(AR109/AG143),0)</f>
        <v>-3.125E-2</v>
      </c>
      <c r="AB93" s="959"/>
      <c r="AC93" s="959"/>
      <c r="AD93" s="960">
        <f>IF(AG157=0,0,(AG149/AG157))</f>
        <v>0.25</v>
      </c>
      <c r="AE93" s="961"/>
      <c r="AF93" s="962"/>
      <c r="AG93" s="963">
        <v>2</v>
      </c>
      <c r="AH93" s="963">
        <v>4</v>
      </c>
      <c r="AI93" s="964"/>
      <c r="AJ93" s="965"/>
      <c r="AK93" s="945"/>
      <c r="AL93" s="946">
        <v>6</v>
      </c>
      <c r="AM93" s="947" t="s">
        <v>47</v>
      </c>
      <c r="AN93" s="947"/>
      <c r="AO93" s="947"/>
      <c r="AP93" s="947"/>
      <c r="AQ93" s="947"/>
      <c r="AR93" s="947"/>
      <c r="AS93" s="948"/>
    </row>
    <row r="94" spans="1:81" ht="18.75" customHeight="1" thickBot="1" x14ac:dyDescent="0.25">
      <c r="A94" s="966"/>
      <c r="B94" s="967" t="s">
        <v>11</v>
      </c>
      <c r="C94" s="968"/>
      <c r="D94" s="969"/>
      <c r="E94" s="970" t="str">
        <f>AV4</f>
        <v>fj2footh2pm</v>
      </c>
      <c r="F94" s="971"/>
      <c r="G94" s="971"/>
      <c r="H94" s="971"/>
      <c r="I94" s="971"/>
      <c r="J94" s="971"/>
      <c r="K94" s="971"/>
      <c r="L94" s="971"/>
      <c r="M94" s="972"/>
      <c r="N94" s="973"/>
      <c r="O94" s="973"/>
      <c r="P94" s="973"/>
      <c r="Q94" s="973"/>
      <c r="R94" s="932"/>
      <c r="S94" s="972"/>
      <c r="T94" s="973"/>
      <c r="U94" s="973"/>
      <c r="V94" s="973"/>
      <c r="W94" s="973"/>
      <c r="X94" s="972"/>
      <c r="Y94" s="973"/>
      <c r="Z94" s="973"/>
      <c r="AA94" s="974"/>
      <c r="AB94" s="975"/>
      <c r="AC94" s="975"/>
      <c r="AD94" s="976"/>
      <c r="AE94" s="977"/>
      <c r="AF94" s="978"/>
      <c r="AG94" s="979"/>
      <c r="AH94" s="979"/>
      <c r="AI94" s="980"/>
      <c r="AJ94" s="981"/>
      <c r="AK94" s="945"/>
      <c r="AL94" s="946">
        <v>3</v>
      </c>
      <c r="AM94" s="947" t="s">
        <v>50</v>
      </c>
      <c r="AN94" s="945"/>
      <c r="AO94" s="945"/>
      <c r="AP94" s="945"/>
      <c r="AQ94" s="945"/>
      <c r="AR94" s="945"/>
      <c r="AS94" s="845"/>
    </row>
    <row r="95" spans="1:81" ht="18.75" customHeight="1" x14ac:dyDescent="0.2">
      <c r="A95" s="949" t="str">
        <f>IF($AL94&gt;1,"2","")</f>
        <v>2</v>
      </c>
      <c r="B95" s="950" t="s">
        <v>10</v>
      </c>
      <c r="C95" s="951"/>
      <c r="D95" s="952"/>
      <c r="E95" s="953" t="str">
        <f>AU5</f>
        <v>C1VB Juniors Grey</v>
      </c>
      <c r="F95" s="954"/>
      <c r="G95" s="954"/>
      <c r="H95" s="954"/>
      <c r="I95" s="954"/>
      <c r="J95" s="954"/>
      <c r="K95" s="954"/>
      <c r="L95" s="955"/>
      <c r="M95" s="956">
        <f>IF($AL95=0,AG150,AG132)</f>
        <v>1</v>
      </c>
      <c r="N95" s="957"/>
      <c r="O95" s="957"/>
      <c r="P95" s="957"/>
      <c r="Q95" s="957"/>
      <c r="R95" s="932"/>
      <c r="S95" s="956">
        <f>IF($AL95=0,AH150,AH132)</f>
        <v>3</v>
      </c>
      <c r="T95" s="957"/>
      <c r="U95" s="957"/>
      <c r="V95" s="957"/>
      <c r="W95" s="957"/>
      <c r="X95" s="956">
        <f>AR110</f>
        <v>-15</v>
      </c>
      <c r="Y95" s="957"/>
      <c r="Z95" s="957"/>
      <c r="AA95" s="958">
        <f>IF(AG144&gt;0,(AR110/AG144),0)</f>
        <v>-0.12096774193548387</v>
      </c>
      <c r="AB95" s="959"/>
      <c r="AC95" s="959"/>
      <c r="AD95" s="960">
        <f>IF(AG158=0,0,(AG150/AG158))</f>
        <v>0.25</v>
      </c>
      <c r="AE95" s="961"/>
      <c r="AF95" s="962"/>
      <c r="AG95" s="963">
        <v>3</v>
      </c>
      <c r="AH95" s="963">
        <v>4</v>
      </c>
      <c r="AI95" s="964"/>
      <c r="AJ95" s="965"/>
      <c r="AK95" s="945"/>
      <c r="AL95" s="946">
        <v>1</v>
      </c>
      <c r="AM95" s="947" t="s">
        <v>53</v>
      </c>
      <c r="AN95" s="947"/>
      <c r="AO95" s="947"/>
      <c r="AP95" s="947"/>
      <c r="AQ95" s="947"/>
      <c r="AR95" s="947"/>
      <c r="AS95" s="948"/>
    </row>
    <row r="96" spans="1:81" ht="18.75" customHeight="1" thickBot="1" x14ac:dyDescent="0.25">
      <c r="A96" s="966"/>
      <c r="B96" s="988" t="s">
        <v>11</v>
      </c>
      <c r="C96" s="989"/>
      <c r="D96" s="989"/>
      <c r="E96" s="970" t="str">
        <f>AV5</f>
        <v>fj2crone8pm</v>
      </c>
      <c r="F96" s="971"/>
      <c r="G96" s="971"/>
      <c r="H96" s="971"/>
      <c r="I96" s="971"/>
      <c r="J96" s="971"/>
      <c r="K96" s="971"/>
      <c r="L96" s="971"/>
      <c r="M96" s="972"/>
      <c r="N96" s="973"/>
      <c r="O96" s="973"/>
      <c r="P96" s="973"/>
      <c r="Q96" s="973"/>
      <c r="R96" s="932"/>
      <c r="S96" s="972"/>
      <c r="T96" s="973"/>
      <c r="U96" s="973"/>
      <c r="V96" s="973"/>
      <c r="W96" s="973"/>
      <c r="X96" s="972"/>
      <c r="Y96" s="973"/>
      <c r="Z96" s="973"/>
      <c r="AA96" s="974"/>
      <c r="AB96" s="975"/>
      <c r="AC96" s="975"/>
      <c r="AD96" s="976"/>
      <c r="AE96" s="977"/>
      <c r="AF96" s="978"/>
      <c r="AG96" s="979"/>
      <c r="AH96" s="979"/>
      <c r="AI96" s="980"/>
      <c r="AJ96" s="981"/>
      <c r="AK96" s="945"/>
      <c r="AL96" s="946">
        <v>1</v>
      </c>
      <c r="AM96" s="947" t="s">
        <v>56</v>
      </c>
      <c r="AN96" s="945"/>
      <c r="AO96" s="945"/>
      <c r="AP96" s="945"/>
      <c r="AQ96" s="945"/>
      <c r="AR96" s="945"/>
      <c r="AS96" s="845"/>
    </row>
    <row r="97" spans="1:45" ht="18.75" customHeight="1" x14ac:dyDescent="0.2">
      <c r="A97" s="949" t="str">
        <f>IF($AL94&gt;2,"3","")</f>
        <v>3</v>
      </c>
      <c r="B97" s="990" t="s">
        <v>10</v>
      </c>
      <c r="C97" s="991"/>
      <c r="D97" s="991"/>
      <c r="E97" s="953" t="str">
        <f>AU8</f>
        <v>MOTO 12'1</v>
      </c>
      <c r="F97" s="954"/>
      <c r="G97" s="954"/>
      <c r="H97" s="954"/>
      <c r="I97" s="954"/>
      <c r="J97" s="954"/>
      <c r="K97" s="954"/>
      <c r="L97" s="955"/>
      <c r="M97" s="956">
        <f>IF($AL95=0,AG151,AG133)</f>
        <v>4</v>
      </c>
      <c r="N97" s="957"/>
      <c r="O97" s="957"/>
      <c r="P97" s="957"/>
      <c r="Q97" s="957"/>
      <c r="R97" s="932"/>
      <c r="S97" s="956">
        <f>IF($AL95=0,AH151,AH133)</f>
        <v>0</v>
      </c>
      <c r="T97" s="957"/>
      <c r="U97" s="957"/>
      <c r="V97" s="957"/>
      <c r="W97" s="957"/>
      <c r="X97" s="956">
        <f>AR111</f>
        <v>19</v>
      </c>
      <c r="Y97" s="957"/>
      <c r="Z97" s="957"/>
      <c r="AA97" s="958">
        <f>IF(AG145&gt;0,(AR111/AG145),0)</f>
        <v>0.16379310344827586</v>
      </c>
      <c r="AB97" s="959"/>
      <c r="AC97" s="959"/>
      <c r="AD97" s="960">
        <f>IF(AG159=0,0,(AG151/AG159))</f>
        <v>1</v>
      </c>
      <c r="AE97" s="961"/>
      <c r="AF97" s="962"/>
      <c r="AG97" s="963">
        <v>1</v>
      </c>
      <c r="AH97" s="963">
        <v>1</v>
      </c>
      <c r="AI97" s="964"/>
      <c r="AJ97" s="965"/>
      <c r="AK97" s="992"/>
      <c r="AL97" s="946">
        <v>4</v>
      </c>
      <c r="AM97" s="993" t="s">
        <v>59</v>
      </c>
      <c r="AN97" s="947"/>
      <c r="AO97" s="947"/>
      <c r="AP97" s="947"/>
      <c r="AQ97" s="947"/>
      <c r="AR97" s="947"/>
      <c r="AS97" s="948"/>
    </row>
    <row r="98" spans="1:45" ht="18.75" customHeight="1" thickBot="1" x14ac:dyDescent="0.25">
      <c r="A98" s="966"/>
      <c r="B98" s="988" t="s">
        <v>11</v>
      </c>
      <c r="C98" s="989"/>
      <c r="D98" s="989"/>
      <c r="E98" s="970" t="str">
        <f>AV8</f>
        <v>fj1motoj1pm</v>
      </c>
      <c r="F98" s="971"/>
      <c r="G98" s="971"/>
      <c r="H98" s="971"/>
      <c r="I98" s="971"/>
      <c r="J98" s="971"/>
      <c r="K98" s="971"/>
      <c r="L98" s="971"/>
      <c r="M98" s="972"/>
      <c r="N98" s="973"/>
      <c r="O98" s="973"/>
      <c r="P98" s="973"/>
      <c r="Q98" s="973"/>
      <c r="R98" s="932"/>
      <c r="S98" s="972"/>
      <c r="T98" s="973"/>
      <c r="U98" s="973"/>
      <c r="V98" s="973"/>
      <c r="W98" s="973"/>
      <c r="X98" s="972"/>
      <c r="Y98" s="973"/>
      <c r="Z98" s="973"/>
      <c r="AA98" s="974"/>
      <c r="AB98" s="975"/>
      <c r="AC98" s="975"/>
      <c r="AD98" s="976"/>
      <c r="AE98" s="977"/>
      <c r="AF98" s="978"/>
      <c r="AG98" s="979"/>
      <c r="AH98" s="979"/>
      <c r="AI98" s="980"/>
      <c r="AJ98" s="981"/>
      <c r="AK98" s="992"/>
      <c r="AL98" s="1000"/>
      <c r="AM98" s="1001"/>
      <c r="AN98" s="1001"/>
      <c r="AO98" s="1001"/>
      <c r="AP98" s="1001"/>
      <c r="AQ98" s="1001"/>
      <c r="AR98" s="945"/>
      <c r="AS98" s="845"/>
    </row>
    <row r="99" spans="1:45" ht="18.75" customHeight="1" x14ac:dyDescent="0.2">
      <c r="A99" s="949" t="str">
        <f>IF($AL94&gt;3,"4","")</f>
        <v/>
      </c>
      <c r="B99" s="990" t="s">
        <v>10</v>
      </c>
      <c r="C99" s="991"/>
      <c r="D99" s="991"/>
      <c r="E99" s="953">
        <f>AU10</f>
        <v>0</v>
      </c>
      <c r="F99" s="954"/>
      <c r="G99" s="954"/>
      <c r="H99" s="954"/>
      <c r="I99" s="954"/>
      <c r="J99" s="954"/>
      <c r="K99" s="954"/>
      <c r="L99" s="955"/>
      <c r="M99" s="956">
        <f>IF($AL95=0,AG152,AG134)</f>
        <v>0</v>
      </c>
      <c r="N99" s="957"/>
      <c r="O99" s="957"/>
      <c r="P99" s="957"/>
      <c r="Q99" s="957"/>
      <c r="R99" s="932"/>
      <c r="S99" s="956">
        <f>IF($AL95=0,AH152,AH134)</f>
        <v>0</v>
      </c>
      <c r="T99" s="957"/>
      <c r="U99" s="957"/>
      <c r="V99" s="957"/>
      <c r="W99" s="957"/>
      <c r="X99" s="956">
        <f>AR112</f>
        <v>0</v>
      </c>
      <c r="Y99" s="957"/>
      <c r="Z99" s="957"/>
      <c r="AA99" s="958">
        <f>IF(AG146&gt;0,(AR112/AG146),0)</f>
        <v>0</v>
      </c>
      <c r="AB99" s="959"/>
      <c r="AC99" s="959"/>
      <c r="AD99" s="960">
        <f>IF(AG160=0,0,(AG152/AG160))</f>
        <v>0</v>
      </c>
      <c r="AE99" s="961"/>
      <c r="AF99" s="962"/>
      <c r="AG99" s="963"/>
      <c r="AH99" s="963"/>
      <c r="AI99" s="964"/>
      <c r="AJ99" s="965"/>
      <c r="AK99" s="868"/>
      <c r="AL99" s="1001"/>
      <c r="AM99" s="1001"/>
      <c r="AN99" s="1001"/>
      <c r="AO99" s="1001"/>
      <c r="AP99" s="1001"/>
      <c r="AQ99" s="1001"/>
      <c r="AR99" s="947"/>
      <c r="AS99" s="948"/>
    </row>
    <row r="100" spans="1:45" ht="18.75" customHeight="1" thickBot="1" x14ac:dyDescent="0.25">
      <c r="A100" s="966"/>
      <c r="B100" s="988" t="s">
        <v>11</v>
      </c>
      <c r="C100" s="989"/>
      <c r="D100" s="989"/>
      <c r="E100" s="970">
        <f>AV10</f>
        <v>0</v>
      </c>
      <c r="F100" s="971"/>
      <c r="G100" s="971"/>
      <c r="H100" s="971"/>
      <c r="I100" s="971"/>
      <c r="J100" s="971"/>
      <c r="K100" s="971"/>
      <c r="L100" s="971"/>
      <c r="M100" s="972"/>
      <c r="N100" s="973"/>
      <c r="O100" s="973"/>
      <c r="P100" s="973"/>
      <c r="Q100" s="973"/>
      <c r="R100" s="932"/>
      <c r="S100" s="972"/>
      <c r="T100" s="973"/>
      <c r="U100" s="973"/>
      <c r="V100" s="973"/>
      <c r="W100" s="973"/>
      <c r="X100" s="972"/>
      <c r="Y100" s="973"/>
      <c r="Z100" s="973"/>
      <c r="AA100" s="974"/>
      <c r="AB100" s="975"/>
      <c r="AC100" s="975"/>
      <c r="AD100" s="976"/>
      <c r="AE100" s="977"/>
      <c r="AF100" s="978"/>
      <c r="AG100" s="979"/>
      <c r="AH100" s="979"/>
      <c r="AI100" s="980"/>
      <c r="AJ100" s="981"/>
      <c r="AK100" s="868"/>
      <c r="AL100" s="1001"/>
      <c r="AM100" s="1001"/>
      <c r="AN100" s="1001"/>
      <c r="AO100" s="1001"/>
      <c r="AP100" s="1001"/>
      <c r="AQ100" s="1001"/>
      <c r="AR100" s="868"/>
      <c r="AS100" s="845"/>
    </row>
    <row r="101" spans="1:45" ht="18.75" customHeight="1" x14ac:dyDescent="0.2">
      <c r="A101" s="949" t="str">
        <f>IF($AL94&gt;4,"5","")</f>
        <v/>
      </c>
      <c r="B101" s="990" t="s">
        <v>10</v>
      </c>
      <c r="C101" s="991"/>
      <c r="D101" s="991"/>
      <c r="E101" s="953">
        <f>AU12</f>
        <v>0</v>
      </c>
      <c r="F101" s="954"/>
      <c r="G101" s="954"/>
      <c r="H101" s="954"/>
      <c r="I101" s="954"/>
      <c r="J101" s="954"/>
      <c r="K101" s="954"/>
      <c r="L101" s="955"/>
      <c r="M101" s="956">
        <f>IF($AL95=0,AG153,AG135)</f>
        <v>0</v>
      </c>
      <c r="N101" s="957"/>
      <c r="O101" s="957"/>
      <c r="P101" s="957"/>
      <c r="Q101" s="957"/>
      <c r="R101" s="932"/>
      <c r="S101" s="956">
        <f>IF($AL95=0,AH153,AH135)</f>
        <v>0</v>
      </c>
      <c r="T101" s="957"/>
      <c r="U101" s="957"/>
      <c r="V101" s="957"/>
      <c r="W101" s="957"/>
      <c r="X101" s="956">
        <f>AR113</f>
        <v>0</v>
      </c>
      <c r="Y101" s="957"/>
      <c r="Z101" s="957"/>
      <c r="AA101" s="958">
        <f>IF(AG147&gt;0,(AR113/AG147),0)</f>
        <v>0</v>
      </c>
      <c r="AB101" s="959"/>
      <c r="AC101" s="959"/>
      <c r="AD101" s="960">
        <f>IF(AG161=0,0,(AG153/AG161))</f>
        <v>0</v>
      </c>
      <c r="AE101" s="961"/>
      <c r="AF101" s="962"/>
      <c r="AG101" s="963"/>
      <c r="AH101" s="963"/>
      <c r="AI101" s="964"/>
      <c r="AJ101" s="965"/>
      <c r="AK101" s="868"/>
      <c r="AL101" s="1001"/>
      <c r="AM101" s="1001"/>
      <c r="AN101" s="1001"/>
      <c r="AO101" s="1001"/>
      <c r="AP101" s="1001"/>
      <c r="AQ101" s="1001"/>
      <c r="AR101" s="868"/>
      <c r="AS101" s="845"/>
    </row>
    <row r="102" spans="1:45" ht="18.75" customHeight="1" thickBot="1" x14ac:dyDescent="0.25">
      <c r="A102" s="966"/>
      <c r="B102" s="1009" t="s">
        <v>11</v>
      </c>
      <c r="C102" s="1010"/>
      <c r="D102" s="1010"/>
      <c r="E102" s="1011">
        <f>AV12</f>
        <v>0</v>
      </c>
      <c r="F102" s="1012"/>
      <c r="G102" s="1012"/>
      <c r="H102" s="1012"/>
      <c r="I102" s="1012"/>
      <c r="J102" s="1012"/>
      <c r="K102" s="1012"/>
      <c r="L102" s="1012"/>
      <c r="M102" s="1013"/>
      <c r="N102" s="1014"/>
      <c r="O102" s="1014"/>
      <c r="P102" s="1014"/>
      <c r="Q102" s="1014"/>
      <c r="R102" s="932"/>
      <c r="S102" s="972"/>
      <c r="T102" s="973"/>
      <c r="U102" s="973"/>
      <c r="V102" s="973"/>
      <c r="W102" s="973"/>
      <c r="X102" s="972"/>
      <c r="Y102" s="973"/>
      <c r="Z102" s="973"/>
      <c r="AA102" s="974"/>
      <c r="AB102" s="975"/>
      <c r="AC102" s="975"/>
      <c r="AD102" s="976"/>
      <c r="AE102" s="977"/>
      <c r="AF102" s="978"/>
      <c r="AG102" s="979"/>
      <c r="AH102" s="1015"/>
      <c r="AI102" s="980"/>
      <c r="AJ102" s="981"/>
      <c r="AK102" s="868"/>
      <c r="AL102" s="1001"/>
      <c r="AM102" s="1001"/>
      <c r="AN102" s="1001"/>
      <c r="AO102" s="1001"/>
      <c r="AP102" s="1001"/>
      <c r="AQ102" s="1001"/>
      <c r="AR102" s="868"/>
      <c r="AS102" s="845"/>
    </row>
    <row r="103" spans="1:45" ht="21" customHeight="1" thickTop="1" thickBot="1" x14ac:dyDescent="0.25">
      <c r="A103" s="1016"/>
      <c r="B103" s="1017" t="s">
        <v>1128</v>
      </c>
      <c r="C103" s="1018"/>
      <c r="D103" s="1018"/>
      <c r="E103" s="1018"/>
      <c r="F103" s="1018"/>
      <c r="G103" s="1018"/>
      <c r="H103" s="1018"/>
      <c r="I103" s="1018"/>
      <c r="J103" s="1018"/>
      <c r="K103" s="1018"/>
      <c r="L103" s="1018"/>
      <c r="M103" s="1018"/>
      <c r="N103" s="1018"/>
      <c r="O103" s="1018"/>
      <c r="P103" s="1018"/>
      <c r="Q103" s="1018"/>
      <c r="R103" s="1018"/>
      <c r="S103" s="1018"/>
      <c r="T103" s="1018"/>
      <c r="U103" s="1018"/>
      <c r="V103" s="1018"/>
      <c r="W103" s="1018"/>
      <c r="X103" s="1018"/>
      <c r="Y103" s="1018"/>
      <c r="Z103" s="1018"/>
      <c r="AA103" s="1018"/>
      <c r="AB103" s="1018"/>
      <c r="AC103" s="1018"/>
      <c r="AD103" s="1018"/>
      <c r="AE103" s="1018"/>
      <c r="AF103" s="1018"/>
      <c r="AG103" s="1018"/>
      <c r="AH103" s="1018"/>
      <c r="AI103" s="1018"/>
      <c r="AJ103" s="1019"/>
      <c r="AK103" s="868"/>
      <c r="AL103" s="1001"/>
      <c r="AM103" s="1001"/>
      <c r="AN103" s="1001"/>
      <c r="AO103" s="1001"/>
      <c r="AP103" s="1001"/>
      <c r="AQ103" s="1001"/>
      <c r="AR103" s="868"/>
      <c r="AS103" s="845"/>
    </row>
    <row r="104" spans="1:45" ht="13.5" customHeight="1" thickTop="1" x14ac:dyDescent="0.2">
      <c r="A104" s="846" t="s">
        <v>64</v>
      </c>
      <c r="B104" s="1020">
        <v>0.35416666666666669</v>
      </c>
      <c r="C104" s="1021"/>
      <c r="D104" s="1022"/>
      <c r="E104" s="1020">
        <v>0.39583333333333331</v>
      </c>
      <c r="F104" s="1021"/>
      <c r="G104" s="1022"/>
      <c r="H104" s="1020">
        <v>0.4375</v>
      </c>
      <c r="I104" s="1021"/>
      <c r="J104" s="1022"/>
      <c r="K104" s="1086" t="s">
        <v>1129</v>
      </c>
      <c r="L104" s="1020">
        <v>0.5</v>
      </c>
      <c r="M104" s="1021"/>
      <c r="N104" s="1022"/>
      <c r="O104" s="1020">
        <v>4.1666666666666664E-2</v>
      </c>
      <c r="P104" s="1021"/>
      <c r="Q104" s="1022"/>
      <c r="R104" s="1020">
        <v>8.3333333333333329E-2</v>
      </c>
      <c r="S104" s="1021"/>
      <c r="T104" s="1022"/>
      <c r="U104" s="1020">
        <v>4.1666666666666664E-2</v>
      </c>
      <c r="V104" s="1021"/>
      <c r="W104" s="1022"/>
      <c r="X104" s="1020">
        <v>7.2916666666666671E-2</v>
      </c>
      <c r="Y104" s="1021"/>
      <c r="Z104" s="1022"/>
      <c r="AA104" s="1020">
        <v>0.10416666666666667</v>
      </c>
      <c r="AB104" s="1021"/>
      <c r="AC104" s="1022"/>
      <c r="AD104" s="1020">
        <v>0.13541666666666666</v>
      </c>
      <c r="AE104" s="1021"/>
      <c r="AF104" s="1022"/>
      <c r="AG104" s="1024" t="s">
        <v>65</v>
      </c>
      <c r="AH104" s="1025"/>
      <c r="AI104" s="1025"/>
      <c r="AJ104" s="1025"/>
      <c r="AK104" s="1026"/>
      <c r="AL104" s="1026"/>
      <c r="AM104" s="1026"/>
      <c r="AN104" s="1026"/>
      <c r="AO104" s="1026"/>
      <c r="AP104" s="1026"/>
      <c r="AQ104" s="1026"/>
      <c r="AR104" s="1027"/>
    </row>
    <row r="105" spans="1:45" x14ac:dyDescent="0.2">
      <c r="A105" s="1028" t="s">
        <v>66</v>
      </c>
      <c r="B105" s="1029"/>
      <c r="C105" s="1030"/>
      <c r="D105" s="1031"/>
      <c r="E105" s="1029"/>
      <c r="F105" s="1030"/>
      <c r="G105" s="1031"/>
      <c r="H105" s="1029"/>
      <c r="I105" s="1030"/>
      <c r="J105" s="1031"/>
      <c r="K105" s="1087"/>
      <c r="L105" s="1029"/>
      <c r="M105" s="1030"/>
      <c r="N105" s="1031"/>
      <c r="O105" s="1029"/>
      <c r="P105" s="1030"/>
      <c r="Q105" s="1031"/>
      <c r="R105" s="1029"/>
      <c r="S105" s="1030"/>
      <c r="T105" s="1031"/>
      <c r="U105" s="1029"/>
      <c r="V105" s="1030"/>
      <c r="W105" s="1031"/>
      <c r="X105" s="1029"/>
      <c r="Y105" s="1030"/>
      <c r="Z105" s="1031"/>
      <c r="AA105" s="1029"/>
      <c r="AB105" s="1030"/>
      <c r="AC105" s="1031"/>
      <c r="AD105" s="1029"/>
      <c r="AE105" s="1030"/>
      <c r="AF105" s="1031"/>
      <c r="AG105" s="1024"/>
      <c r="AH105" s="1025"/>
      <c r="AI105" s="1025"/>
      <c r="AJ105" s="1025"/>
      <c r="AK105" s="1025"/>
      <c r="AL105" s="1025"/>
      <c r="AM105" s="1025"/>
      <c r="AN105" s="1025"/>
      <c r="AO105" s="1025"/>
      <c r="AP105" s="1025"/>
      <c r="AQ105" s="1025"/>
      <c r="AR105" s="1033"/>
    </row>
    <row r="106" spans="1:45" x14ac:dyDescent="0.2">
      <c r="A106" s="1028" t="s">
        <v>67</v>
      </c>
      <c r="B106" s="1029"/>
      <c r="C106" s="1030"/>
      <c r="D106" s="1031"/>
      <c r="E106" s="1029"/>
      <c r="F106" s="1030"/>
      <c r="G106" s="1031"/>
      <c r="H106" s="1029"/>
      <c r="I106" s="1030"/>
      <c r="J106" s="1031"/>
      <c r="K106" s="1087"/>
      <c r="L106" s="1029"/>
      <c r="M106" s="1030"/>
      <c r="N106" s="1031"/>
      <c r="O106" s="1029"/>
      <c r="P106" s="1030"/>
      <c r="Q106" s="1031"/>
      <c r="R106" s="1029"/>
      <c r="S106" s="1030"/>
      <c r="T106" s="1031"/>
      <c r="U106" s="1029"/>
      <c r="V106" s="1030"/>
      <c r="W106" s="1031"/>
      <c r="X106" s="1029"/>
      <c r="Y106" s="1030"/>
      <c r="Z106" s="1031"/>
      <c r="AA106" s="1029"/>
      <c r="AB106" s="1030"/>
      <c r="AC106" s="1031"/>
      <c r="AD106" s="1029"/>
      <c r="AE106" s="1030"/>
      <c r="AF106" s="1031"/>
      <c r="AG106" s="1024"/>
      <c r="AH106" s="1025"/>
      <c r="AI106" s="1025"/>
      <c r="AJ106" s="1025"/>
      <c r="AK106" s="1025"/>
      <c r="AL106" s="1025"/>
      <c r="AM106" s="1025"/>
      <c r="AN106" s="1025"/>
      <c r="AO106" s="1025"/>
      <c r="AP106" s="1025"/>
      <c r="AQ106" s="1025"/>
      <c r="AR106" s="1033"/>
    </row>
    <row r="107" spans="1:45" ht="13.5" thickBot="1" x14ac:dyDescent="0.25">
      <c r="A107" s="868"/>
      <c r="B107" s="1034" t="s">
        <v>68</v>
      </c>
      <c r="C107" s="1035"/>
      <c r="D107" s="1036"/>
      <c r="E107" s="1034" t="str">
        <f>IF(AL93&gt;1,"Match 2","")</f>
        <v>Match 2</v>
      </c>
      <c r="F107" s="1035"/>
      <c r="G107" s="1036"/>
      <c r="H107" s="1034" t="str">
        <f>IF(AL93&gt;2,"Match 3","")</f>
        <v>Match 3</v>
      </c>
      <c r="I107" s="1035"/>
      <c r="J107" s="1036"/>
      <c r="K107" s="1087"/>
      <c r="L107" s="1034" t="str">
        <f>IF(AL93&gt;3,"Match 4","")</f>
        <v>Match 4</v>
      </c>
      <c r="M107" s="1035"/>
      <c r="N107" s="1036"/>
      <c r="O107" s="1034" t="str">
        <f>IF(AL93&gt;4,"Match 5","")</f>
        <v>Match 5</v>
      </c>
      <c r="P107" s="1035"/>
      <c r="Q107" s="1036"/>
      <c r="R107" s="1034" t="str">
        <f>IF(AL93&gt;5,"Match 6","")</f>
        <v>Match 6</v>
      </c>
      <c r="S107" s="1035"/>
      <c r="T107" s="1036"/>
      <c r="U107" s="1034" t="str">
        <f>IF(AL93&gt;6,"Match 7","")</f>
        <v/>
      </c>
      <c r="V107" s="1035"/>
      <c r="W107" s="1036"/>
      <c r="X107" s="1034" t="str">
        <f>IF(AL93&gt;7,"Match 8","")</f>
        <v/>
      </c>
      <c r="Y107" s="1035"/>
      <c r="Z107" s="1036"/>
      <c r="AA107" s="1034" t="str">
        <f>IF(AL93&gt;8,"Match 9","")</f>
        <v/>
      </c>
      <c r="AB107" s="1035"/>
      <c r="AC107" s="1036"/>
      <c r="AD107" s="1034" t="str">
        <f>IF(AL93&gt;9,"Match 10","")</f>
        <v/>
      </c>
      <c r="AE107" s="1035"/>
      <c r="AF107" s="1036"/>
      <c r="AG107" s="1037"/>
      <c r="AH107" s="1038"/>
      <c r="AI107" s="1038"/>
      <c r="AJ107" s="1038"/>
      <c r="AK107" s="1038"/>
      <c r="AL107" s="1038"/>
      <c r="AM107" s="1038"/>
      <c r="AN107" s="1038"/>
      <c r="AO107" s="1038"/>
      <c r="AP107" s="1038"/>
      <c r="AQ107" s="1038"/>
      <c r="AR107" s="1039"/>
    </row>
    <row r="108" spans="1:45" ht="15.75" x14ac:dyDescent="0.25">
      <c r="A108" s="868"/>
      <c r="B108" s="1040" t="s">
        <v>70</v>
      </c>
      <c r="C108" s="1041"/>
      <c r="D108" s="1042"/>
      <c r="E108" s="1040" t="s">
        <v>71</v>
      </c>
      <c r="F108" s="1041"/>
      <c r="G108" s="1042"/>
      <c r="H108" s="1040" t="s">
        <v>73</v>
      </c>
      <c r="I108" s="1041"/>
      <c r="J108" s="1042"/>
      <c r="K108" s="1087"/>
      <c r="L108" s="1040" t="s">
        <v>70</v>
      </c>
      <c r="M108" s="1041"/>
      <c r="N108" s="1042"/>
      <c r="O108" s="1040" t="s">
        <v>71</v>
      </c>
      <c r="P108" s="1041"/>
      <c r="Q108" s="1042"/>
      <c r="R108" s="1040" t="s">
        <v>73</v>
      </c>
      <c r="S108" s="1041"/>
      <c r="T108" s="1042"/>
      <c r="U108" s="1040" t="s">
        <v>69</v>
      </c>
      <c r="V108" s="1041"/>
      <c r="W108" s="1042"/>
      <c r="X108" s="1040" t="s">
        <v>73</v>
      </c>
      <c r="Y108" s="1041"/>
      <c r="Z108" s="1042"/>
      <c r="AA108" s="1040" t="s">
        <v>1117</v>
      </c>
      <c r="AB108" s="1041"/>
      <c r="AC108" s="1042"/>
      <c r="AD108" s="1040" t="s">
        <v>70</v>
      </c>
      <c r="AE108" s="1041"/>
      <c r="AF108" s="1042"/>
      <c r="AG108" s="1043" t="s">
        <v>74</v>
      </c>
      <c r="AH108" s="1044">
        <v>1</v>
      </c>
      <c r="AI108" s="1044">
        <v>2</v>
      </c>
      <c r="AJ108" s="1044">
        <v>3</v>
      </c>
      <c r="AK108" s="1044">
        <v>4</v>
      </c>
      <c r="AL108" s="1044">
        <v>5</v>
      </c>
      <c r="AM108" s="1044">
        <v>6</v>
      </c>
      <c r="AN108" s="1044">
        <v>7</v>
      </c>
      <c r="AO108" s="1044">
        <v>8</v>
      </c>
      <c r="AP108" s="1044">
        <v>9</v>
      </c>
      <c r="AQ108" s="1044">
        <v>10</v>
      </c>
      <c r="AR108" s="1045" t="s">
        <v>75</v>
      </c>
    </row>
    <row r="109" spans="1:45" ht="15.75" x14ac:dyDescent="0.25">
      <c r="A109" s="868"/>
      <c r="B109" s="1046">
        <v>1</v>
      </c>
      <c r="C109" s="1047" t="s">
        <v>76</v>
      </c>
      <c r="D109" s="1048">
        <v>3</v>
      </c>
      <c r="E109" s="1046">
        <v>2</v>
      </c>
      <c r="F109" s="1047" t="str">
        <f>IF(AL93&gt;1,"v","")</f>
        <v>v</v>
      </c>
      <c r="G109" s="1048">
        <v>3</v>
      </c>
      <c r="H109" s="1046">
        <v>1</v>
      </c>
      <c r="I109" s="1047" t="str">
        <f>IF(AL93&gt;2,"v","")</f>
        <v>v</v>
      </c>
      <c r="J109" s="1048">
        <v>2</v>
      </c>
      <c r="K109" s="1087"/>
      <c r="L109" s="1046">
        <v>1</v>
      </c>
      <c r="M109" s="1047" t="str">
        <f>IF(AL93&gt;3,"v","")</f>
        <v>v</v>
      </c>
      <c r="N109" s="1048">
        <v>3</v>
      </c>
      <c r="O109" s="1046">
        <v>2</v>
      </c>
      <c r="P109" s="1047" t="str">
        <f>IF(AL93&gt;4,"v","")</f>
        <v>v</v>
      </c>
      <c r="Q109" s="1048">
        <v>3</v>
      </c>
      <c r="R109" s="1046">
        <v>1</v>
      </c>
      <c r="S109" s="1047" t="str">
        <f>IF(AL93&gt;5,"v","")</f>
        <v>v</v>
      </c>
      <c r="T109" s="1048">
        <v>2</v>
      </c>
      <c r="U109" s="1046">
        <v>2</v>
      </c>
      <c r="V109" s="1047" t="str">
        <f>IF(AL93&gt;6,"v","")</f>
        <v/>
      </c>
      <c r="W109" s="1048">
        <v>3</v>
      </c>
      <c r="X109" s="1046">
        <v>1</v>
      </c>
      <c r="Y109" s="1047" t="str">
        <f>IF(AL93&gt;7,"v","")</f>
        <v/>
      </c>
      <c r="Z109" s="1048">
        <v>5</v>
      </c>
      <c r="AA109" s="1046">
        <v>3</v>
      </c>
      <c r="AB109" s="1047" t="str">
        <f>IF(AL93&gt;8,"v","")</f>
        <v/>
      </c>
      <c r="AC109" s="1048">
        <v>4</v>
      </c>
      <c r="AD109" s="1046">
        <v>1</v>
      </c>
      <c r="AE109" s="1047" t="str">
        <f>IF(AL93&gt;9,"v","")</f>
        <v/>
      </c>
      <c r="AF109" s="1048">
        <v>2</v>
      </c>
      <c r="AG109" s="1049" t="str">
        <f>IF(AL94&gt;0,"Team 1","")</f>
        <v>Team 1</v>
      </c>
      <c r="AH109" s="1050">
        <f>IF(AL94&lt;1,"",IF(AL93&lt;1,"",IF(B109=1,B115-D115,IF(D109=1,D115-B115,""))))</f>
        <v>-8</v>
      </c>
      <c r="AI109" s="1050" t="str">
        <f>IF(AL94&lt;1,"",IF(AL93&lt;2,"",IF(E109=1,E115-G115,IF(G109=1,G115-E115,""))))</f>
        <v/>
      </c>
      <c r="AJ109" s="1050">
        <f>IF(AL94&lt;1,"",IF(AL93&lt;3,"",IF(H109=1,H115-J115,IF(J109=1,J115-H115,""))))</f>
        <v>-6</v>
      </c>
      <c r="AK109" s="1050">
        <f>IF(AL94&lt;1,"",IF(AL93&lt;4,"",IF(L109=1,L115-N115,IF(N109=1,N115-L115,""))))</f>
        <v>-1</v>
      </c>
      <c r="AL109" s="1050" t="str">
        <f>IF(AL94&lt;1,"",IF(AL93&lt;5,"",IF(O109=1,O115-Q115,IF(Q109=1,Q115-O115,""))))</f>
        <v/>
      </c>
      <c r="AM109" s="1050">
        <f>IF(AL94&lt;1,"",IF(AL93&lt;6,"",IF(R109=1,R115-T115,IF(T109=1,T115-R115,""))))</f>
        <v>11</v>
      </c>
      <c r="AN109" s="1050" t="str">
        <f>IF(AL94&lt;1,"",IF(AL93&lt;7,"",IF(U109=1,U115-W115,IF(W109=1,W115-U115,""))))</f>
        <v/>
      </c>
      <c r="AO109" s="1050" t="str">
        <f>IF(AL94&lt;1,"",IF(AL93&lt;8,"",IF(X109=1,X115-Z115,IF(Z109=1,Z115-X115,""))))</f>
        <v/>
      </c>
      <c r="AP109" s="1050" t="str">
        <f>IF(AL94&lt;1,"",IF(AL93&lt;9,"",IF(AA109=1,AA115-AC115,IF(AC109=1,AC115-AA115,""))))</f>
        <v/>
      </c>
      <c r="AQ109" s="1050" t="str">
        <f>IF(AL94&lt;1,"",IF(AL93&lt;10,"",IF(AD109=1,AD115-AF115,IF(AF109=1,AF115-AD115,""))))</f>
        <v/>
      </c>
      <c r="AR109" s="1045">
        <f>SUM(AH109:AQ109)</f>
        <v>-4</v>
      </c>
    </row>
    <row r="110" spans="1:45" ht="15" x14ac:dyDescent="0.2">
      <c r="A110" s="846" t="s">
        <v>77</v>
      </c>
      <c r="B110" s="1051">
        <v>22</v>
      </c>
      <c r="C110" s="1052" t="s">
        <v>78</v>
      </c>
      <c r="D110" s="1053">
        <v>30</v>
      </c>
      <c r="E110" s="1051">
        <v>25</v>
      </c>
      <c r="F110" s="1052" t="str">
        <f>IF(AL93&gt;1,"/","")</f>
        <v>/</v>
      </c>
      <c r="G110" s="1053">
        <v>29</v>
      </c>
      <c r="H110" s="1051">
        <v>27</v>
      </c>
      <c r="I110" s="1052" t="str">
        <f>IF(AL93&gt;2,"/","")</f>
        <v>/</v>
      </c>
      <c r="J110" s="1053">
        <v>33</v>
      </c>
      <c r="K110" s="1087"/>
      <c r="L110" s="1051">
        <v>29</v>
      </c>
      <c r="M110" s="1052" t="str">
        <f>IF(AL93&gt;3,"/","")</f>
        <v>/</v>
      </c>
      <c r="N110" s="1053">
        <v>30</v>
      </c>
      <c r="O110" s="1051">
        <v>21</v>
      </c>
      <c r="P110" s="1052" t="str">
        <f>IF(AL93&gt;4,"/","")</f>
        <v>/</v>
      </c>
      <c r="Q110" s="1053">
        <v>27</v>
      </c>
      <c r="R110" s="1051">
        <v>35</v>
      </c>
      <c r="S110" s="1052" t="str">
        <f>IF(AL93&gt;5,"/","")</f>
        <v>/</v>
      </c>
      <c r="T110" s="1053">
        <v>24</v>
      </c>
      <c r="U110" s="1051"/>
      <c r="V110" s="1052" t="str">
        <f>IF(AL93&gt;6,"/","")</f>
        <v/>
      </c>
      <c r="W110" s="1053"/>
      <c r="X110" s="1051"/>
      <c r="Y110" s="1052" t="str">
        <f>IF(AL93&gt;7,"/","")</f>
        <v/>
      </c>
      <c r="Z110" s="1053"/>
      <c r="AA110" s="1051"/>
      <c r="AB110" s="1052" t="str">
        <f>IF(AL93&gt;8,"/","")</f>
        <v/>
      </c>
      <c r="AC110" s="1053"/>
      <c r="AD110" s="1051"/>
      <c r="AE110" s="1052" t="str">
        <f>IF(AL93&gt;9,"/","")</f>
        <v/>
      </c>
      <c r="AF110" s="1053"/>
      <c r="AG110" s="1049" t="str">
        <f>IF(AL94&gt;1,"Team 2","")</f>
        <v>Team 2</v>
      </c>
      <c r="AH110" s="1050" t="str">
        <f>IF(AL94&lt;2,"",IF(AL93&lt;1,"",IF(B109=2,B115-D115,IF(D109=2,D115-B115,""))))</f>
        <v/>
      </c>
      <c r="AI110" s="1050">
        <f>IF(AL94&lt;2,"",IF(AL93&lt;2,"",IF(E109=2,E115-G115,IF(G109=2,G115-E115,""))))</f>
        <v>-4</v>
      </c>
      <c r="AJ110" s="1050">
        <f>IF(AL94&lt;2,"",IF(AL93&lt;3,"",IF(H109=2,H115-J115,IF(J109=2,J115-H115,""))))</f>
        <v>6</v>
      </c>
      <c r="AK110" s="1050" t="str">
        <f>IF(AL94&lt;2,"",IF(AL93&lt;4,"",IF(L109=2,L115-N115,IF(N109=2,N115-L115,""))))</f>
        <v/>
      </c>
      <c r="AL110" s="1050">
        <f>IF(AL94&lt;2,"",IF(AL93&lt;5,"",IF(O109=2,O115-Q115,IF(Q109=2,Q115-O115,""))))</f>
        <v>-6</v>
      </c>
      <c r="AM110" s="1050">
        <f>IF(AL94&lt;2,"",IF(AL93&lt;6,"",IF(R109=2,R115-T115,IF(T109=2,T115-R115,""))))</f>
        <v>-11</v>
      </c>
      <c r="AN110" s="1050" t="str">
        <f>IF(AL94&lt;2,"",IF(AL93&lt;7,"",IF(U109=2,U115-W115,IF(W109=2,W115-U115,""))))</f>
        <v/>
      </c>
      <c r="AO110" s="1050" t="str">
        <f>IF(AL94&lt;2,"",IF(AL93&lt;8,"",IF(X109=2,X115-Z115,IF(Z109=2,Z115-X115,""))))</f>
        <v/>
      </c>
      <c r="AP110" s="1050" t="str">
        <f>IF(AL94&lt;2,"",IF(AL93&lt;9,"",IF(AA109=2,AA115-AC115,IF(AC109=2,AC115-AA115,""))))</f>
        <v/>
      </c>
      <c r="AQ110" s="1050" t="str">
        <f>IF(AL94&lt;2,"",IF(AL93&lt;10,"",IF(AD109=2,AD115-AF115,IF(AF109=2,AF115-AD115,""))))</f>
        <v/>
      </c>
      <c r="AR110" s="1045">
        <f>SUM(AH110:AQ110)</f>
        <v>-15</v>
      </c>
    </row>
    <row r="111" spans="1:45" ht="15" x14ac:dyDescent="0.2">
      <c r="A111" s="845" t="str">
        <f>IF(AL92&gt;1,"Game 2","")</f>
        <v/>
      </c>
      <c r="B111" s="1051"/>
      <c r="C111" s="1052" t="s">
        <v>78</v>
      </c>
      <c r="D111" s="1053"/>
      <c r="E111" s="1051"/>
      <c r="F111" s="1052" t="str">
        <f>IF(AL93&gt;1,IF(AL92&gt;1,"/",""),"")</f>
        <v/>
      </c>
      <c r="G111" s="1053"/>
      <c r="H111" s="1051"/>
      <c r="I111" s="1052" t="str">
        <f>IF(AL93&gt;2,IF(AL92&gt;1,"/",""),"")</f>
        <v/>
      </c>
      <c r="J111" s="1053"/>
      <c r="K111" s="1087"/>
      <c r="L111" s="1051"/>
      <c r="M111" s="1052" t="str">
        <f>IF(AL93&gt;3,IF(AL92&gt;1,"/",""),"")</f>
        <v/>
      </c>
      <c r="N111" s="1053"/>
      <c r="O111" s="1051"/>
      <c r="P111" s="1052" t="str">
        <f>IF(AL93&gt;4,IF(AL92&gt;1,"/",""),"")</f>
        <v/>
      </c>
      <c r="Q111" s="1053"/>
      <c r="R111" s="1051"/>
      <c r="S111" s="1052" t="str">
        <f>IF(AL93&gt;5,IF(AL92&gt;1,"/",""),"")</f>
        <v/>
      </c>
      <c r="T111" s="1053"/>
      <c r="U111" s="1051"/>
      <c r="V111" s="1052" t="str">
        <f>IF(AL93&gt;6,IF(AL92&gt;1,"/",""),"")</f>
        <v/>
      </c>
      <c r="W111" s="1053"/>
      <c r="X111" s="1051"/>
      <c r="Y111" s="1052" t="str">
        <f>IF(AL93&gt;7,IF(AL92&gt;1,"/",""),"")</f>
        <v/>
      </c>
      <c r="Z111" s="1053"/>
      <c r="AA111" s="1051"/>
      <c r="AB111" s="1052" t="str">
        <f>IF(AL93&gt;8,IF(AL92&gt;1,"/",""),"")</f>
        <v/>
      </c>
      <c r="AC111" s="1053"/>
      <c r="AD111" s="1051"/>
      <c r="AE111" s="1052" t="str">
        <f>IF(AL93&gt;9,IF(AL92&gt;1,"/",""),"")</f>
        <v/>
      </c>
      <c r="AF111" s="1053"/>
      <c r="AG111" s="1049" t="str">
        <f>IF(AL94&gt;2,"Team 3","")</f>
        <v>Team 3</v>
      </c>
      <c r="AH111" s="1050">
        <f>IF(AL94&lt;3,"",IF(AL93&lt;1,"",IF(B109=3,B115-D115,IF(D109=3,D115-B115,""))))</f>
        <v>8</v>
      </c>
      <c r="AI111" s="1050">
        <f>IF(AL94&lt;3,"",IF(AL93&lt;2,"",IF(E109=3,E115-G115,IF(G109=3,G115-E115,""))))</f>
        <v>4</v>
      </c>
      <c r="AJ111" s="1050" t="str">
        <f>IF(AL94&lt;3,"",IF(AL93&lt;3,"",IF(H109=3,H115-J115,IF(J109=3,J115-H115,""))))</f>
        <v/>
      </c>
      <c r="AK111" s="1050">
        <f>IF(AL94&lt;3,"",IF(AL93&lt;4,"",IF(L109=3,L115-N115,IF(N109=3,N115-L115,""))))</f>
        <v>1</v>
      </c>
      <c r="AL111" s="1050">
        <f>IF(AL94&lt;3,"",IF(AL93&lt;5,"",IF(O109=3,O115-Q115,IF(Q109=3,Q115-O115,""))))</f>
        <v>6</v>
      </c>
      <c r="AM111" s="1050" t="str">
        <f>IF(AL94&lt;3,"",IF(AL93&lt;6,"",IF(R109=3,R115-T115,IF(T109=3,T115-R115,""))))</f>
        <v/>
      </c>
      <c r="AN111" s="1050" t="str">
        <f>IF(AL94&lt;3,"",IF(AL93&lt;7,"",IF(U109=3,U115-W115,IF(W109=3,W115-U115,""))))</f>
        <v/>
      </c>
      <c r="AO111" s="1050" t="str">
        <f>IF(AL94&lt;3,"",IF(AL93&lt;8,"",IF(X109=3,X115-Z115,IF(Z109=3,Z115-X115,""))))</f>
        <v/>
      </c>
      <c r="AP111" s="1050" t="str">
        <f>IF(AL94&lt;3,"",IF(AL93&lt;9,"",IF(AA109=3,AA115-AC115,IF(AC109=3,AC115-AA115,""))))</f>
        <v/>
      </c>
      <c r="AQ111" s="1050" t="str">
        <f>IF(AL94&lt;3,"",IF(AL93&lt;9,"",IF(AD109=3,AD115-AF115,IF(AF109=3,AF115-AD115,""))))</f>
        <v/>
      </c>
      <c r="AR111" s="1045">
        <f>SUM(AH111:AQ111)</f>
        <v>19</v>
      </c>
    </row>
    <row r="112" spans="1:45" ht="15" x14ac:dyDescent="0.2">
      <c r="A112" s="845" t="str">
        <f>IF(AL92&gt;2,"Game 3","")</f>
        <v/>
      </c>
      <c r="B112" s="1051"/>
      <c r="C112" s="1052" t="s">
        <v>78</v>
      </c>
      <c r="D112" s="1053"/>
      <c r="E112" s="1051"/>
      <c r="F112" s="1052" t="str">
        <f>IF(AL93&gt;1,IF(AL92&gt;2,"/",""),"")</f>
        <v/>
      </c>
      <c r="G112" s="1053"/>
      <c r="H112" s="1051"/>
      <c r="I112" s="1052" t="str">
        <f>IF(AL93&gt;2,IF(AL92&gt;2,"/",""),"")</f>
        <v/>
      </c>
      <c r="J112" s="1053"/>
      <c r="K112" s="1087"/>
      <c r="L112" s="1051"/>
      <c r="M112" s="1052" t="str">
        <f>IF(AL93&gt;3,IF(AL92&gt;2,"/",""),"")</f>
        <v/>
      </c>
      <c r="N112" s="1053"/>
      <c r="O112" s="1051"/>
      <c r="P112" s="1052" t="str">
        <f>IF(AL93&gt;4,IF(AL92&gt;2,"/",""),"")</f>
        <v/>
      </c>
      <c r="Q112" s="1053"/>
      <c r="R112" s="1051"/>
      <c r="S112" s="1052" t="str">
        <f>IF(AL93&gt;5,IF(AL92&gt;2,"/",""),"")</f>
        <v/>
      </c>
      <c r="T112" s="1053"/>
      <c r="U112" s="1051"/>
      <c r="V112" s="1052" t="str">
        <f>IF(AL93&gt;6,IF(AL92&gt;2,"/",""),"")</f>
        <v/>
      </c>
      <c r="W112" s="1053"/>
      <c r="X112" s="1051"/>
      <c r="Y112" s="1052" t="str">
        <f>IF(AL93&gt;7,IF(AL92&gt;2,"/",""),"")</f>
        <v/>
      </c>
      <c r="Z112" s="1053"/>
      <c r="AA112" s="1051"/>
      <c r="AB112" s="1052" t="str">
        <f>IF(AL93&gt;8,IF(AL92&gt;2,"/",""),"")</f>
        <v/>
      </c>
      <c r="AC112" s="1053"/>
      <c r="AD112" s="1051"/>
      <c r="AE112" s="1052" t="str">
        <f>IF(AL93&gt;9,IF(AL92&gt;2,"/",""),"")</f>
        <v/>
      </c>
      <c r="AF112" s="1053"/>
      <c r="AG112" s="1049" t="str">
        <f>IF(AL94&gt;3,"Team 4","")</f>
        <v/>
      </c>
      <c r="AH112" s="1050" t="str">
        <f>IF(AL94&lt;4,"",IF(AL93&lt;1,"",IF(B109=4,B115-D115,IF(D109=4,D115-B115,""))))</f>
        <v/>
      </c>
      <c r="AI112" s="1050" t="str">
        <f>IF(AL94&lt;4,"",IF(AL93&lt;2,"",IF(E109=4,E115-G115,IF(G109=4,G115-E115,""))))</f>
        <v/>
      </c>
      <c r="AJ112" s="1050" t="str">
        <f>IF(AL94&lt;4,"",IF(AL93&lt;3,"",IF(H109=4,H115-J115,IF(J109=4,J115-H115,""))))</f>
        <v/>
      </c>
      <c r="AK112" s="1050" t="str">
        <f>IF(AL94&lt;4,"",IF(AL93&lt;4,"",IF(L109=4,L115-N115,IF(N109=4,N115-L115,""))))</f>
        <v/>
      </c>
      <c r="AL112" s="1050" t="str">
        <f>IF(AL94&lt;4,"",IF(AL93&lt;5,"",IF(O109=4,O115-Q115,IF(Q109=4,Q115-O115,""))))</f>
        <v/>
      </c>
      <c r="AM112" s="1050" t="str">
        <f>IF(AL94&lt;4,"",IF(AL93&lt;6,"",IF(R109=4,R115-T115,IF(T109=4,T115-R115,""))))</f>
        <v/>
      </c>
      <c r="AN112" s="1050" t="str">
        <f>IF(AL94&lt;4,"",IF(AL93&lt;7,"",IF(U109=4,U115-W115,IF(W109=4,W115-U115,""))))</f>
        <v/>
      </c>
      <c r="AO112" s="1050" t="str">
        <f>IF(AL94&lt;4,"",IF(AL93&lt;8,"",IF(X109=4,X115-Z115,IF(Z109=4,Z115-X115,""))))</f>
        <v/>
      </c>
      <c r="AP112" s="1050" t="str">
        <f>IF(AL94&lt;4,"",IF(AL93&lt;9,"",IF(AA109=4,AA115-AC115,IF(AC109=4,AC115-AA115,""))))</f>
        <v/>
      </c>
      <c r="AQ112" s="1050" t="str">
        <f>IF(AL94&lt;4,"",IF(AL93&lt;10,"",IF(AD109=4,AD115-AF115,IF(AF109=4,AF115-AD115,""))))</f>
        <v/>
      </c>
      <c r="AR112" s="1045">
        <f>SUM(AH112:AQ112)</f>
        <v>0</v>
      </c>
    </row>
    <row r="113" spans="1:44" ht="15" x14ac:dyDescent="0.2">
      <c r="A113" s="845" t="str">
        <f>IF(AL92&gt;3,"Game 4","")</f>
        <v/>
      </c>
      <c r="B113" s="1051"/>
      <c r="C113" s="1052" t="s">
        <v>78</v>
      </c>
      <c r="D113" s="1053"/>
      <c r="E113" s="1051"/>
      <c r="F113" s="1052" t="str">
        <f>IF(AL93&gt;1,IF(AL92&gt;3,"/",""),"")</f>
        <v/>
      </c>
      <c r="G113" s="1053"/>
      <c r="H113" s="1051"/>
      <c r="I113" s="1052" t="str">
        <f>IF(AL93&gt;2,IF(AL92&gt;3,"/",""),"")</f>
        <v/>
      </c>
      <c r="J113" s="1053"/>
      <c r="K113" s="1087"/>
      <c r="L113" s="1051"/>
      <c r="M113" s="1052" t="str">
        <f>IF(AL93&gt;3,IF(AL92&gt;3,"/",""),"")</f>
        <v/>
      </c>
      <c r="N113" s="1053"/>
      <c r="O113" s="1051"/>
      <c r="P113" s="1052" t="str">
        <f>IF(AL93&gt;4,IF(AL92&gt;3,"/",""),"")</f>
        <v/>
      </c>
      <c r="Q113" s="1053"/>
      <c r="R113" s="1051"/>
      <c r="S113" s="1052" t="str">
        <f>IF(AL93&gt;5,IF(AL92&gt;3,"/",""),"")</f>
        <v/>
      </c>
      <c r="T113" s="1053"/>
      <c r="U113" s="1051"/>
      <c r="V113" s="1052" t="str">
        <f>IF(AL93&gt;6,IF(AL92&gt;3,"/",""),"")</f>
        <v/>
      </c>
      <c r="W113" s="1053"/>
      <c r="X113" s="1051"/>
      <c r="Y113" s="1052" t="str">
        <f>IF(AL93&gt;7,IF(AL92&gt;3,"/",""),"")</f>
        <v/>
      </c>
      <c r="Z113" s="1053"/>
      <c r="AA113" s="1051"/>
      <c r="AB113" s="1052" t="str">
        <f>IF(AL93&gt;8,IF(AL92&gt;3,"/",""),"")</f>
        <v/>
      </c>
      <c r="AC113" s="1053"/>
      <c r="AD113" s="1051"/>
      <c r="AE113" s="1052" t="str">
        <f>IF(AL93&gt;9,IF(AL92&gt;3,"/",""),"")</f>
        <v/>
      </c>
      <c r="AF113" s="1053"/>
      <c r="AG113" s="1049" t="str">
        <f>IF(AL94&gt;4,"Team 5","")</f>
        <v/>
      </c>
      <c r="AH113" s="1054" t="str">
        <f>IF(AL94&lt;5,"",IF(AL93&lt;1,"",IF(B109=5,B115-D115,IF(D109=5,D115-B115,""))))</f>
        <v/>
      </c>
      <c r="AI113" s="1050" t="str">
        <f>IF(AL94&lt;5,"",IF(AL93&lt;2,"",IF(E109=5,E115-G115,IF(G109=5,G115-E115,""))))</f>
        <v/>
      </c>
      <c r="AJ113" s="1050" t="str">
        <f>IF(AL94&lt;5,"",IF(AL93&lt;3,"",IF(H109=5,H115-J115,IF(J109=5,J115-H115,""))))</f>
        <v/>
      </c>
      <c r="AK113" s="1050" t="str">
        <f>IF(AL94&lt;5,"",IF(AL93&lt;4,"",IF(L109=5,L115-N115,IF(N109=5,N115-L115,""))))</f>
        <v/>
      </c>
      <c r="AL113" s="1050" t="str">
        <f>IF(AL94&lt;5,"",IF(AL93&lt;5,"",IF(O109=5,O115-Q115,IF(Q109=5,Q115-O115,""))))</f>
        <v/>
      </c>
      <c r="AM113" s="1050" t="str">
        <f>IF(AL94&lt;5,"",IF(AL93&lt;6,"",IF(R109=5,R115-T115,IF(T109=5,T115-R115,""))))</f>
        <v/>
      </c>
      <c r="AN113" s="1050" t="str">
        <f>IF(AL94&lt;5,"",IF(AL93&lt;7,"",IF(U109=5,U115-W115,IF(W109=5,W115-U115,""))))</f>
        <v/>
      </c>
      <c r="AO113" s="1050" t="str">
        <f>IF(AL94&lt;5,"",IF(AL93&lt;8,"",IF(X109=5,X115-Z115,IF(Z109=5,Z115-X115,""))))</f>
        <v/>
      </c>
      <c r="AP113" s="1050" t="str">
        <f>IF(AL94&lt;5,"",IF(AL93&lt;9,"",IF(AA109=5,AA115-AC115,IF(AC109=5,AC115-AA115,""))))</f>
        <v/>
      </c>
      <c r="AQ113" s="1050" t="str">
        <f>IF(AL94&lt;5,"",IF(AL93&lt;10,"",IF(AD109=5,AD115-AF115,IF(AF109=5,AF115-AD115,""))))</f>
        <v/>
      </c>
      <c r="AR113" s="1045">
        <f>SUM(AH113:AQ113)</f>
        <v>0</v>
      </c>
    </row>
    <row r="114" spans="1:44" ht="15" x14ac:dyDescent="0.2">
      <c r="A114" s="845" t="str">
        <f>IF(AL92&gt;4,"Game 5","")</f>
        <v/>
      </c>
      <c r="B114" s="1051"/>
      <c r="C114" s="1052" t="s">
        <v>78</v>
      </c>
      <c r="D114" s="1053"/>
      <c r="E114" s="1051"/>
      <c r="F114" s="1052" t="str">
        <f>IF(AL93&gt;1,IF(AL92&gt;4,"/",""),"")</f>
        <v/>
      </c>
      <c r="G114" s="1053"/>
      <c r="H114" s="1051"/>
      <c r="I114" s="1052" t="str">
        <f>IF(AL93&gt;2,IF(AL92&gt;4,"/",""),"")</f>
        <v/>
      </c>
      <c r="J114" s="1053"/>
      <c r="K114" s="1088"/>
      <c r="L114" s="1051"/>
      <c r="M114" s="1052" t="str">
        <f>IF(AL93&gt;3,IF(AL92&gt;4,"/",""),"")</f>
        <v/>
      </c>
      <c r="N114" s="1053"/>
      <c r="O114" s="1051"/>
      <c r="P114" s="1052" t="str">
        <f>IF(AL93&gt;4,IF(AL92&gt;4,"/",""),"")</f>
        <v/>
      </c>
      <c r="Q114" s="1053"/>
      <c r="R114" s="1051"/>
      <c r="S114" s="1052" t="str">
        <f>IF(AL93&gt;5,IF(AL92&gt;4,"/",""),"")</f>
        <v/>
      </c>
      <c r="T114" s="1053"/>
      <c r="U114" s="1051"/>
      <c r="V114" s="1052" t="str">
        <f>IF(AL93&gt;6,IF(AL92&gt;4,"/",""),"")</f>
        <v/>
      </c>
      <c r="W114" s="1053"/>
      <c r="X114" s="1051"/>
      <c r="Y114" s="1052" t="str">
        <f>IF(AL93&gt;7,IF(AL92&gt;4,"/",""),"")</f>
        <v/>
      </c>
      <c r="Z114" s="1053"/>
      <c r="AA114" s="1051"/>
      <c r="AB114" s="1052" t="str">
        <f>IF(AL93&gt;8,IF(AL92&gt;4,"/",""),"")</f>
        <v/>
      </c>
      <c r="AC114" s="1053"/>
      <c r="AD114" s="1051"/>
      <c r="AE114" s="1052" t="str">
        <f>IF(AL93&gt;9,IF(AL92&gt;4,"/",""),"")</f>
        <v/>
      </c>
      <c r="AF114" s="1053"/>
      <c r="AG114" s="868"/>
      <c r="AH114" s="868"/>
      <c r="AI114" s="868"/>
      <c r="AJ114" s="868"/>
      <c r="AK114" s="868"/>
      <c r="AL114" s="868"/>
      <c r="AM114" s="868"/>
      <c r="AN114" s="868"/>
      <c r="AO114" s="868"/>
      <c r="AP114" s="868"/>
      <c r="AQ114" s="868"/>
      <c r="AR114" s="868"/>
    </row>
    <row r="115" spans="1:44" hidden="1" x14ac:dyDescent="0.2">
      <c r="A115" s="1056"/>
      <c r="B115" s="1056">
        <f>IF($AL92=5,SUM(B110:B114),IF($AL92=4,SUM(B110:B113),IF($AL92=3,SUM(B110:B112),IF($AL92=2,SUM(B110:B111),B110))))</f>
        <v>22</v>
      </c>
      <c r="C115" s="1056"/>
      <c r="D115" s="1056">
        <f>IF($AL92=5,SUM(D110:D114),IF($AL92=4,SUM(D110:D113),IF($AL92=3,SUM(D110:D112),IF($AL92=2,SUM(D110:D111),D110))))</f>
        <v>30</v>
      </c>
      <c r="E115" s="1056">
        <f>IF($AL92=5,SUM(E110:E114),IF($AL92=4,SUM(E110:E113),IF($AL92=3,SUM(E110:E112),IF($AL92=2,SUM(E110:E111),E110))))</f>
        <v>25</v>
      </c>
      <c r="F115" s="1056"/>
      <c r="G115" s="1056">
        <f>IF($AL92=5,SUM(G110:G114),IF($AL92=4,SUM(G110:G113),IF($AL92=3,SUM(G110:G112),IF($AL92=2,SUM(G110:G111),G110))))</f>
        <v>29</v>
      </c>
      <c r="H115" s="1056">
        <f>IF($AL92=5,SUM(H110:H114),IF($AL92=4,SUM(H110:H113),IF($AL92=3,SUM(H110:H112),IF($AL92=2,SUM(H110:H111),H110))))</f>
        <v>27</v>
      </c>
      <c r="I115" s="1056"/>
      <c r="J115" s="1056">
        <f>IF($AL92=5,SUM(J110:J114),IF($AL92=4,SUM(J110:J113),IF($AL92=3,SUM(J110:J112),IF($AL92=2,SUM(J110:J111),J110))))</f>
        <v>33</v>
      </c>
      <c r="K115" s="1056"/>
      <c r="L115" s="1056">
        <f>IF($AL92=5,SUM(L110:L114),IF($AL92=4,SUM(L110:L113),IF($AL92=3,SUM(L110:L112),IF($AL92=2,SUM(L110:L111),L110))))</f>
        <v>29</v>
      </c>
      <c r="M115" s="1056"/>
      <c r="N115" s="1056">
        <f>IF($AL92=5,SUM(N110:N114),IF($AL92=4,SUM(N110:N113),IF($AL92=3,SUM(N110:N112),IF($AL92=2,SUM(N110:N111),N110))))</f>
        <v>30</v>
      </c>
      <c r="O115" s="1056">
        <f>IF($AL92=5,SUM(O110:O114),IF($AL92=4,SUM(O110:O113),IF($AL92=3,SUM(O110:O112),IF($AL92=2,SUM(O110:O111),O110))))</f>
        <v>21</v>
      </c>
      <c r="P115" s="1056"/>
      <c r="Q115" s="1056">
        <f>IF($AL92=5,SUM(Q110:Q114),IF($AL92=4,SUM(Q110:Q113),IF($AL92=3,SUM(Q110:Q112),IF($AL92=2,SUM(Q110:Q111),Q110))))</f>
        <v>27</v>
      </c>
      <c r="R115" s="1056">
        <f>IF($AL92=5,SUM(R110:R114),IF($AL92=4,SUM(R110:R113),IF($AL92=3,SUM(R110:R112),IF($AL92=2,SUM(R110:R111),R110))))</f>
        <v>35</v>
      </c>
      <c r="S115" s="1056"/>
      <c r="T115" s="1056">
        <f>IF($AL92=5,SUM(T110:T114),IF($AL92=4,SUM(T110:T113),IF($AL92=3,SUM(T110:T112),IF($AL92=2,SUM(T110:T111),T110))))</f>
        <v>24</v>
      </c>
      <c r="U115" s="1056">
        <f>IF($AL92=5,SUM(U110:U114),IF($AL92=4,SUM(U110:U113),IF($AL92=3,SUM(U110:U112),IF($AL92=2,SUM(U110:U111),U110))))</f>
        <v>0</v>
      </c>
      <c r="V115" s="1056"/>
      <c r="W115" s="1056">
        <f>IF($AL92=5,SUM(W110:W114),IF($AL92=4,SUM(W110:W113),IF($AL92=3,SUM(W110:W112),IF($AL92=2,SUM(W110:W111),W110))))</f>
        <v>0</v>
      </c>
      <c r="X115" s="1056">
        <f>IF($AL92=5,SUM(X110:X114),IF($AL92=4,SUM(X110:X113),IF($AL92=3,SUM(X110:X112),IF($AL92=2,SUM(X110:X111),X110))))</f>
        <v>0</v>
      </c>
      <c r="Y115" s="1056"/>
      <c r="Z115" s="1056">
        <f>IF($AL92=5,SUM(Z110:Z114),IF($AL92=4,SUM(Z110:Z113),IF($AL92=3,SUM(Z110:Z112),IF($AL92=2,SUM(Z110:Z111),Z110))))</f>
        <v>0</v>
      </c>
      <c r="AA115" s="1056">
        <f>IF($AL92=5,SUM(AA110:AA114),IF($AL92=4,SUM(AA110:AA113),IF($AL92=3,SUM(AA110:AA112),IF($AL92=2,SUM(AA110:AA111),AA110))))</f>
        <v>0</v>
      </c>
      <c r="AB115" s="1056"/>
      <c r="AC115" s="1056">
        <f>IF($AL92=5,SUM(AC110:AC114),IF($AL92=4,SUM(AC110:AC113),IF($AL92=3,SUM(AC110:AC112),IF($AL92=2,SUM(AC110:AC111),AC110))))</f>
        <v>0</v>
      </c>
      <c r="AD115" s="1056">
        <f>IF($AL92=5,SUM(AD110:AD114),IF($AL92=4,SUM(AD110:AD113),IF($AL92=3,SUM(AD110:AD112),IF($AL92=2,SUM(AD110:AD111),AD110))))</f>
        <v>0</v>
      </c>
      <c r="AE115" s="1056"/>
      <c r="AF115" s="1056">
        <f>IF($AL92=5,SUM(AF110:AF114),IF($AL92=4,SUM(AF110:AF113),IF($AL92=3,SUM(AF110:AF112),IF($AL92=2,SUM(AF110:AF111),AF110))))</f>
        <v>0</v>
      </c>
      <c r="AG115" s="868"/>
      <c r="AH115" s="868"/>
      <c r="AI115" s="868"/>
      <c r="AJ115" s="868"/>
      <c r="AK115" s="868"/>
      <c r="AL115" s="868"/>
      <c r="AM115" s="868"/>
      <c r="AN115" s="868"/>
      <c r="AO115" s="868"/>
      <c r="AP115" s="868"/>
      <c r="AQ115" s="868"/>
      <c r="AR115" s="868"/>
    </row>
    <row r="116" spans="1:44" s="1057" customFormat="1" ht="12.75" hidden="1" customHeight="1" x14ac:dyDescent="0.2">
      <c r="A116" s="1057" t="s">
        <v>79</v>
      </c>
      <c r="B116" s="1058">
        <f>IF(AND(B110&gt;D110,$AL93&gt;0,ISNUMBER(B110),ISNUMBER(D110)),1,0)</f>
        <v>0</v>
      </c>
      <c r="C116" s="1058"/>
      <c r="D116" s="1059">
        <f>IF(AND(D110&gt;B110,$AL93&gt;0,ISNUMBER(B110),ISNUMBER(D110)),1,0)</f>
        <v>1</v>
      </c>
      <c r="E116" s="1058">
        <f>IF(AND(E110&gt;G110,$AL93&gt;1,ISNUMBER(E110),ISNUMBER(G110)),1,0)</f>
        <v>0</v>
      </c>
      <c r="F116" s="1058"/>
      <c r="G116" s="1059">
        <f>IF(AND(G110&gt;E110,$AL93&gt;1,ISNUMBER(E110),ISNUMBER(G110)),1,0)</f>
        <v>1</v>
      </c>
      <c r="H116" s="1058">
        <f>IF(AND(H110&gt;J110,$AL93&gt;2,ISNUMBER(H110),ISNUMBER(J110)),1,0)</f>
        <v>0</v>
      </c>
      <c r="I116" s="1058"/>
      <c r="J116" s="1059">
        <f>IF(AND(J110&gt;H110,$AL93&gt;2,ISNUMBER(H110),ISNUMBER(J110)),1,0)</f>
        <v>1</v>
      </c>
      <c r="K116" s="1060"/>
      <c r="L116" s="1058">
        <f>IF(AND(L110&gt;N110,$AL93&gt;3,ISNUMBER(L110),ISNUMBER(N110)),1,0)</f>
        <v>0</v>
      </c>
      <c r="M116" s="1058"/>
      <c r="N116" s="1059">
        <f>IF(AND(N110&gt;L110,$AL93&gt;3,ISNUMBER(L110),ISNUMBER(N110)),1,0)</f>
        <v>1</v>
      </c>
      <c r="O116" s="1058">
        <f>IF(AND(O110&gt;Q110,$AL93&gt;4,ISNUMBER(O110),ISNUMBER(Q110)),1,0)</f>
        <v>0</v>
      </c>
      <c r="P116" s="1058"/>
      <c r="Q116" s="1059">
        <f>IF(AND(Q110&gt;O110,$AL93&gt;4,ISNUMBER(O110),ISNUMBER(Q110)),1,0)</f>
        <v>1</v>
      </c>
      <c r="R116" s="1058">
        <f>IF(AND(R110&gt;T110,$AL93&gt;5,ISNUMBER(R110),ISNUMBER(T110)),1,0)</f>
        <v>1</v>
      </c>
      <c r="S116" s="1058"/>
      <c r="T116" s="1059">
        <f>IF(AND(T110&gt;R110,$AL93&gt;5,ISNUMBER(R110),ISNUMBER(T110)),1,0)</f>
        <v>0</v>
      </c>
      <c r="U116" s="1058">
        <f>IF(AND(U110&gt;W110,$AL93&gt;6,ISNUMBER(U110),ISNUMBER(W110)),1,0)</f>
        <v>0</v>
      </c>
      <c r="V116" s="1058"/>
      <c r="W116" s="1059">
        <f>IF(AND(W110&gt;U110,$AL93&gt;6,ISNUMBER(U110),ISNUMBER(W110)),1,0)</f>
        <v>0</v>
      </c>
      <c r="X116" s="1058">
        <f>IF(AND(X110&gt;Z110,$AL93&gt;7,ISNUMBER(X110),ISNUMBER(Z110)),1,0)</f>
        <v>0</v>
      </c>
      <c r="Y116" s="1058"/>
      <c r="Z116" s="1059">
        <f>IF(AND(Z110&gt;X110,$AL93&gt;7,ISNUMBER(X110),ISNUMBER(Z110)),1,0)</f>
        <v>0</v>
      </c>
      <c r="AA116" s="1058">
        <f>IF(AND(AA110&gt;AC110,$AL93&gt;8,ISNUMBER(AA110),ISNUMBER(AC110)),1,0)</f>
        <v>0</v>
      </c>
      <c r="AB116" s="1058"/>
      <c r="AC116" s="1059">
        <f>IF(AND(AC110&gt;AA110,$AL93&gt;8,ISNUMBER(AA110),ISNUMBER(AC110)),1,0)</f>
        <v>0</v>
      </c>
      <c r="AD116" s="1058">
        <f>IF(AND(AD110&gt;AF110,$AL93&gt;9,ISNUMBER(AD110),ISNUMBER(AF110)),1,0)</f>
        <v>0</v>
      </c>
      <c r="AE116" s="1058"/>
      <c r="AF116" s="1059">
        <f>IF(AND(AF110&gt;AD110,$AL93&gt;9,ISNUMBER(AD110),ISNUMBER(AF110)),1,0)</f>
        <v>0</v>
      </c>
    </row>
    <row r="117" spans="1:44" s="1057" customFormat="1" ht="12.75" hidden="1" customHeight="1" x14ac:dyDescent="0.2">
      <c r="A117" s="1057" t="s">
        <v>80</v>
      </c>
      <c r="B117" s="1058">
        <f>IF(AND(B111&gt;D111,$AL93&gt;0,$AL92&gt;1,ISNUMBER(B111),ISNUMBER(D111)),1,0)</f>
        <v>0</v>
      </c>
      <c r="C117" s="1058"/>
      <c r="D117" s="1059">
        <f>IF(AND(D111&gt;B111,$AL93&gt;0,$AL92&gt;1,ISNUMBER(B111),ISNUMBER(D111)),1,0)</f>
        <v>0</v>
      </c>
      <c r="E117" s="1058">
        <f>IF(AND(E111&gt;G111,$AL93&gt;1,$AL92&gt;1,ISNUMBER(E111),ISNUMBER(G111)),1,0)</f>
        <v>0</v>
      </c>
      <c r="F117" s="1058"/>
      <c r="G117" s="1059">
        <f>IF(AND(G111&gt;E111,$AL93&gt;1,$AL92&gt;1,ISNUMBER(E111),ISNUMBER(G111)),1,0)</f>
        <v>0</v>
      </c>
      <c r="H117" s="1058">
        <f>IF(AND(H111&gt;J111,$AL93&gt;2,$AL92&gt;1,ISNUMBER(H111),ISNUMBER(J111)),1,0)</f>
        <v>0</v>
      </c>
      <c r="I117" s="1058"/>
      <c r="J117" s="1059">
        <f>IF(AND(J111&gt;H111,$AL93&gt;2,$AL92&gt;1,ISNUMBER(H111),ISNUMBER(J111)),1,0)</f>
        <v>0</v>
      </c>
      <c r="K117" s="1060"/>
      <c r="L117" s="1058">
        <f>IF(AND(L111&gt;N111,$AL93&gt;3,$AL92&gt;1,ISNUMBER(L111),ISNUMBER(N111)),1,0)</f>
        <v>0</v>
      </c>
      <c r="M117" s="1058"/>
      <c r="N117" s="1059">
        <f>IF(AND(N111&gt;L111,$AL93&gt;3,$AL92&gt;1,ISNUMBER(L111),ISNUMBER(N111)),1,0)</f>
        <v>0</v>
      </c>
      <c r="O117" s="1058">
        <f>IF(AND(O111&gt;Q111,$AL93&gt;4,$AL92&gt;1,ISNUMBER(O111),ISNUMBER(Q111)),1,0)</f>
        <v>0</v>
      </c>
      <c r="P117" s="1058"/>
      <c r="Q117" s="1059">
        <f>IF(AND(Q111&gt;O111,$AL93&gt;4,$AL92&gt;1,ISNUMBER(O111),ISNUMBER(Q111)),1,0)</f>
        <v>0</v>
      </c>
      <c r="R117" s="1058">
        <f>IF(AND(R111&gt;T111,$AL93&gt;5,$AL92&gt;1,ISNUMBER(R111),ISNUMBER(T111)),1,0)</f>
        <v>0</v>
      </c>
      <c r="S117" s="1058"/>
      <c r="T117" s="1059">
        <f>IF(AND(T111&gt;R111,$AL93&gt;5,$AL92&gt;1,ISNUMBER(R111),ISNUMBER(T111)),1,0)</f>
        <v>0</v>
      </c>
      <c r="U117" s="1058">
        <f>IF(AND(U111&gt;W111,$AL93&gt;6,$AL92&gt;1,ISNUMBER(U111),ISNUMBER(W111)),1,0)</f>
        <v>0</v>
      </c>
      <c r="V117" s="1058"/>
      <c r="W117" s="1059">
        <f>IF(AND(W111&gt;U111,$AL93&gt;6,$AL92&gt;1,ISNUMBER(U111),ISNUMBER(W111)),1,0)</f>
        <v>0</v>
      </c>
      <c r="X117" s="1058">
        <f>IF(AND(X111&gt;Z111,$AL93&gt;7,$AL92&gt;1,ISNUMBER(X111),ISNUMBER(Z111)),1,0)</f>
        <v>0</v>
      </c>
      <c r="Y117" s="1058"/>
      <c r="Z117" s="1059">
        <f>IF(AND(Z111&gt;X111,$AL93&gt;7,$AL92&gt;1,ISNUMBER(X111),ISNUMBER(Z111)),1,0)</f>
        <v>0</v>
      </c>
      <c r="AA117" s="1058">
        <f>IF(AND(AA111&gt;AC111,$AL93&gt;8,$AL92&gt;1,ISNUMBER(AA111),ISNUMBER(AC111)),1,0)</f>
        <v>0</v>
      </c>
      <c r="AB117" s="1058"/>
      <c r="AC117" s="1059">
        <f>IF(AND(AC111&gt;AA111,$AL93&gt;8,$AL92&gt;1,ISNUMBER(AA111),ISNUMBER(AC111)),1,0)</f>
        <v>0</v>
      </c>
      <c r="AD117" s="1058">
        <f>IF(AND(AD111&gt;AF111,$AL93&gt;9,$AL92&gt;1,ISNUMBER(AD111),ISNUMBER(AF111)),1,0)</f>
        <v>0</v>
      </c>
      <c r="AE117" s="1058"/>
      <c r="AF117" s="1059">
        <f>IF(AND(AF111&gt;AD111,$AL93&gt;9,$AL92&gt;1,ISNUMBER(AD111),ISNUMBER(AF111)),1,0)</f>
        <v>0</v>
      </c>
    </row>
    <row r="118" spans="1:44" s="1057" customFormat="1" ht="12.75" hidden="1" customHeight="1" x14ac:dyDescent="0.2">
      <c r="A118" s="1057" t="s">
        <v>81</v>
      </c>
      <c r="B118" s="1058">
        <f>IF(AND(B112&gt;D112,$AL93&gt;0,$AL92&gt;2,ISNUMBER(B112),ISNUMBER(D112)),1,0)</f>
        <v>0</v>
      </c>
      <c r="C118" s="1058"/>
      <c r="D118" s="1059">
        <f>IF(AND(D112&gt;B112,$AL93&gt;0,$AL92&gt;2,ISNUMBER(B112),ISNUMBER(D112)),1,0)</f>
        <v>0</v>
      </c>
      <c r="E118" s="1058">
        <f>IF(AND(E112&gt;G112,$AL93&gt;1,$AL92&gt;2,ISNUMBER(E112),ISNUMBER(G112)),1,0)</f>
        <v>0</v>
      </c>
      <c r="F118" s="1058"/>
      <c r="G118" s="1059">
        <f>IF(AND(G112&gt;E112,$AL93&gt;1,$AL92&gt;2,ISNUMBER(E112),ISNUMBER(G112)),1,0)</f>
        <v>0</v>
      </c>
      <c r="H118" s="1058">
        <f>IF(AND(H112&gt;J112,$AL93&gt;2,$AL92&gt;2,ISNUMBER(H112),ISNUMBER(J112)),1,0)</f>
        <v>0</v>
      </c>
      <c r="I118" s="1058"/>
      <c r="J118" s="1059">
        <f>IF(AND(J112&gt;H112,$AL93&gt;2,$AL92&gt;2,ISNUMBER(H112),ISNUMBER(J112)),1,0)</f>
        <v>0</v>
      </c>
      <c r="K118" s="1060"/>
      <c r="L118" s="1058">
        <f>IF(AND(L112&gt;N112,$AL93&gt;3,$AL92&gt;2,ISNUMBER(L112),ISNUMBER(N112)),1,0)</f>
        <v>0</v>
      </c>
      <c r="M118" s="1058"/>
      <c r="N118" s="1059">
        <f>IF(AND(N112&gt;L112,$AL93&gt;3,$AL92&gt;2,ISNUMBER(L112),ISNUMBER(N112)),1,0)</f>
        <v>0</v>
      </c>
      <c r="O118" s="1058">
        <f>IF(AND(O112&gt;Q112,$AL93&gt;4,$AL92&gt;2,ISNUMBER(O112),ISNUMBER(Q112)),1,0)</f>
        <v>0</v>
      </c>
      <c r="P118" s="1058"/>
      <c r="Q118" s="1059">
        <f>IF(AND(Q112&gt;O112,$AL93&gt;4,$AL92&gt;2,ISNUMBER(O112),ISNUMBER(Q112)),1,0)</f>
        <v>0</v>
      </c>
      <c r="R118" s="1058">
        <f>IF(AND(R112&gt;T112,$AL93&gt;5,$AL92&gt;2,ISNUMBER(R112),ISNUMBER(T112)),1,0)</f>
        <v>0</v>
      </c>
      <c r="S118" s="1058"/>
      <c r="T118" s="1059">
        <f>IF(AND(T112&gt;R112,$AL93&gt;5,$AL92&gt;2,ISNUMBER(R112),ISNUMBER(T112)),1,0)</f>
        <v>0</v>
      </c>
      <c r="U118" s="1058">
        <f>IF(AND(U112&gt;W112,$AL93&gt;6,$AL92&gt;2,ISNUMBER(U112),ISNUMBER(W112)),1,0)</f>
        <v>0</v>
      </c>
      <c r="V118" s="1058"/>
      <c r="W118" s="1059">
        <f>IF(AND(W112&gt;U112,$AL93&gt;6,$AL92&gt;2,ISNUMBER(U112),ISNUMBER(W112)),1,0)</f>
        <v>0</v>
      </c>
      <c r="X118" s="1058">
        <f>IF(AND(X112&gt;Z112,$AL93&gt;7,$AL92&gt;2,ISNUMBER(X112),ISNUMBER(Z112)),1,0)</f>
        <v>0</v>
      </c>
      <c r="Y118" s="1058"/>
      <c r="Z118" s="1059">
        <f>IF(AND(Z112&gt;X112,$AL93&gt;7,$AL92&gt;2,ISNUMBER(X112),ISNUMBER(Z112)),1,0)</f>
        <v>0</v>
      </c>
      <c r="AA118" s="1058">
        <f>IF(AND(AA112&gt;AC112,$AL93&gt;8,$AL92&gt;2,ISNUMBER(AA112),ISNUMBER(AC112)),1,0)</f>
        <v>0</v>
      </c>
      <c r="AB118" s="1058"/>
      <c r="AC118" s="1059">
        <f>IF(AND(AC112&gt;AA112,$AL93&gt;8,$AL92&gt;2,ISNUMBER(AA112),ISNUMBER(AC112)),1,0)</f>
        <v>0</v>
      </c>
      <c r="AD118" s="1058">
        <f>IF(AND(AD112&gt;AF112,$AL93&gt;9,$AL92&gt;2,ISNUMBER(AD112),ISNUMBER(AF112)),1,0)</f>
        <v>0</v>
      </c>
      <c r="AE118" s="1058"/>
      <c r="AF118" s="1059">
        <f>IF(AND(AF112&gt;AD112,$AL93&gt;9,$AL92&gt;2,ISNUMBER(AD112),ISNUMBER(AF112)),1,0)</f>
        <v>0</v>
      </c>
    </row>
    <row r="119" spans="1:44" s="1057" customFormat="1" ht="12.75" hidden="1" customHeight="1" x14ac:dyDescent="0.2">
      <c r="A119" s="1057" t="s">
        <v>82</v>
      </c>
      <c r="B119" s="1058">
        <f>IF(AND(B113&gt;D113,$AL93&gt;0,$AL92&gt;3,ISNUMBER(B113),ISNUMBER(D113)),1,0)</f>
        <v>0</v>
      </c>
      <c r="C119" s="1058"/>
      <c r="D119" s="1059">
        <f>IF(AND(D113&gt;B113,$AL93&gt;0,$AL92&gt;3,ISNUMBER(B113),ISNUMBER(D113)),1,0)</f>
        <v>0</v>
      </c>
      <c r="E119" s="1058">
        <f>IF(AND(E113&gt;G113,$AL93&gt;1,$AL92&gt;3,ISNUMBER(E113),ISNUMBER(G113)),1,0)</f>
        <v>0</v>
      </c>
      <c r="F119" s="1058"/>
      <c r="G119" s="1059">
        <f>IF(AND(G113&gt;E113,$AL93&gt;1,$AL92&gt;3,ISNUMBER(E113),ISNUMBER(G113)),1,0)</f>
        <v>0</v>
      </c>
      <c r="H119" s="1058">
        <f>IF(AND(H113&gt;J113,$AL93&gt;2,$AL92&gt;3,ISNUMBER(H113),ISNUMBER(J113)),1,0)</f>
        <v>0</v>
      </c>
      <c r="I119" s="1058"/>
      <c r="J119" s="1059">
        <f>IF(AND(J113&gt;H113,$AL93&gt;2,$AL92&gt;3,ISNUMBER(H113),ISNUMBER(J113)),1,0)</f>
        <v>0</v>
      </c>
      <c r="K119" s="1060"/>
      <c r="L119" s="1058">
        <f>IF(AND(L113&gt;N113,$AL93&gt;3,$AL92&gt;3,ISNUMBER(L113),ISNUMBER(N113)),1,0)</f>
        <v>0</v>
      </c>
      <c r="M119" s="1058"/>
      <c r="N119" s="1059">
        <f>IF(AND(N113&gt;L113,$AL93&gt;3,$AL92&gt;3,ISNUMBER(L113),ISNUMBER(N113)),1,0)</f>
        <v>0</v>
      </c>
      <c r="O119" s="1058">
        <f>IF(AND(O113&gt;Q113,$AL93&gt;4,$AL92&gt;3,ISNUMBER(O113),ISNUMBER(Q113)),1,0)</f>
        <v>0</v>
      </c>
      <c r="P119" s="1058"/>
      <c r="Q119" s="1059">
        <f>IF(AND(Q113&gt;O113,$AL93&gt;4,$AL92&gt;3,ISNUMBER(O113),ISNUMBER(Q113)),1,0)</f>
        <v>0</v>
      </c>
      <c r="R119" s="1058">
        <f>IF(AND(R113&gt;T113,$AL93&gt;5,$AL92&gt;3,ISNUMBER(R113),ISNUMBER(T113)),1,0)</f>
        <v>0</v>
      </c>
      <c r="S119" s="1058"/>
      <c r="T119" s="1059">
        <f>IF(AND(T113&gt;R113,$AL93&gt;5,$AL92&gt;3,ISNUMBER(R113),ISNUMBER(T113)),1,0)</f>
        <v>0</v>
      </c>
      <c r="U119" s="1058">
        <f>IF(AND(U113&gt;W113,$AL93&gt;6,$AL92&gt;3,ISNUMBER(U113),ISNUMBER(W113)),1,0)</f>
        <v>0</v>
      </c>
      <c r="V119" s="1058"/>
      <c r="W119" s="1059">
        <f>IF(AND(W113&gt;U113,$AL93&gt;6,$AL92&gt;3,ISNUMBER(U113),ISNUMBER(W113)),1,0)</f>
        <v>0</v>
      </c>
      <c r="X119" s="1058">
        <f>IF(AND(X113&gt;Z113,$AL93&gt;7,$AL92&gt;3,ISNUMBER(X113),ISNUMBER(Z113)),1,0)</f>
        <v>0</v>
      </c>
      <c r="Y119" s="1058"/>
      <c r="Z119" s="1059">
        <f>IF(AND(Z113&gt;X113,$AL93&gt;7,$AL92&gt;3,ISNUMBER(X113),ISNUMBER(Z113)),1,0)</f>
        <v>0</v>
      </c>
      <c r="AA119" s="1058">
        <f>IF(AND(AA113&gt;AC113,$AL93&gt;8,$AL92&gt;3,ISNUMBER(AA113),ISNUMBER(AC113)),1,0)</f>
        <v>0</v>
      </c>
      <c r="AB119" s="1058"/>
      <c r="AC119" s="1059">
        <f>IF(AND(AC113&gt;AA113,$AL93&gt;8,$AL92&gt;3,ISNUMBER(AA113),ISNUMBER(AC113)),1,0)</f>
        <v>0</v>
      </c>
      <c r="AD119" s="1058">
        <f>IF(AND(AD113&gt;AF113,$AL93&gt;9,$AL92&gt;3,ISNUMBER(AD113),ISNUMBER(AF113)),1,0)</f>
        <v>0</v>
      </c>
      <c r="AE119" s="1058"/>
      <c r="AF119" s="1059">
        <f>IF(AND(AF113&gt;AD113,$AL93&gt;9,$AL92&gt;3,ISNUMBER(AD113),ISNUMBER(AF113)),1,0)</f>
        <v>0</v>
      </c>
    </row>
    <row r="120" spans="1:44" s="1057" customFormat="1" ht="12.75" hidden="1" customHeight="1" x14ac:dyDescent="0.2">
      <c r="A120" s="1057" t="s">
        <v>83</v>
      </c>
      <c r="B120" s="1058">
        <f>IF(AND(B114&gt;D114,$AL93&gt;0,$AL92&gt;4,ISNUMBER(B114),ISNUMBER(D114)),1,0)</f>
        <v>0</v>
      </c>
      <c r="C120" s="1058"/>
      <c r="D120" s="1059">
        <f>IF(AND(D114&gt;B114,$AL93&gt;0,$AL92&gt;4,ISNUMBER(B114),ISNUMBER(D114)),1,0)</f>
        <v>0</v>
      </c>
      <c r="E120" s="1058">
        <f>IF(AND(E114&gt;G114,$AL93&gt;1,$AL92&gt;4,ISNUMBER(E114),ISNUMBER(G114)),1,0)</f>
        <v>0</v>
      </c>
      <c r="F120" s="1058"/>
      <c r="G120" s="1059">
        <f>IF(AND(G114&gt;E114,$AL93&gt;1,$AL92&gt;4,ISNUMBER(E114),ISNUMBER(G114)),1,0)</f>
        <v>0</v>
      </c>
      <c r="H120" s="1058">
        <f>IF(AND(H114&gt;J114,$AL93&gt;2,$AL92&gt;4,ISNUMBER(H114),ISNUMBER(J114)),1,0)</f>
        <v>0</v>
      </c>
      <c r="I120" s="1058"/>
      <c r="J120" s="1059">
        <f>IF(AND(J114&gt;H114,$AL93&gt;2,$AL92&gt;4,ISNUMBER(H114),ISNUMBER(J114)),1,0)</f>
        <v>0</v>
      </c>
      <c r="K120" s="1060"/>
      <c r="L120" s="1058">
        <f>IF(AND(L114&gt;N114,$AL93&gt;3,$AL92&gt;4,ISNUMBER(L114),ISNUMBER(N114)),1,0)</f>
        <v>0</v>
      </c>
      <c r="M120" s="1058"/>
      <c r="N120" s="1059">
        <f>IF(AND(N114&gt;L114,$AL93&gt;3,$AL92&gt;4,ISNUMBER(L114),ISNUMBER(N114)),1,0)</f>
        <v>0</v>
      </c>
      <c r="O120" s="1058">
        <f>IF(AND(O114&gt;Q114,$AL93&gt;4,$AL92&gt;4,ISNUMBER(O114),ISNUMBER(Q114)),1,0)</f>
        <v>0</v>
      </c>
      <c r="P120" s="1058"/>
      <c r="Q120" s="1059">
        <f>IF(AND(Q114&gt;O114,$AL93&gt;4,$AL92&gt;4,ISNUMBER(O114),ISNUMBER(Q114)),1,0)</f>
        <v>0</v>
      </c>
      <c r="R120" s="1058">
        <f>IF(AND(R114&gt;T114,$AL93&gt;5,$AL92&gt;4,ISNUMBER(R114),ISNUMBER(T114)),1,0)</f>
        <v>0</v>
      </c>
      <c r="S120" s="1058"/>
      <c r="T120" s="1059">
        <f>IF(AND(T114&gt;R114,$AL93&gt;5,$AL92&gt;4,ISNUMBER(R114),ISNUMBER(T114)),1,0)</f>
        <v>0</v>
      </c>
      <c r="U120" s="1058">
        <f>IF(AND(U114&gt;W114,$AL93&gt;6,$AL92&gt;4,ISNUMBER(U114),ISNUMBER(W114)),1,0)</f>
        <v>0</v>
      </c>
      <c r="V120" s="1058"/>
      <c r="W120" s="1059">
        <f>IF(AND(W114&gt;U114,$AL93&gt;6,$AL92&gt;4,ISNUMBER(U114),ISNUMBER(W114)),1,0)</f>
        <v>0</v>
      </c>
      <c r="X120" s="1058">
        <f>IF(AND(X114&gt;Z114,$AL93&gt;7,$AL92&gt;4,ISNUMBER(X114),ISNUMBER(Z114)),1,0)</f>
        <v>0</v>
      </c>
      <c r="Y120" s="1058"/>
      <c r="Z120" s="1059">
        <f>IF(AND(Z114&gt;X114,$AL93&gt;7,$AL92&gt;4,ISNUMBER(X114),ISNUMBER(Z114)),1,0)</f>
        <v>0</v>
      </c>
      <c r="AA120" s="1058">
        <f>IF(AND(AA114&gt;AC114,$AL93&gt;8,$AL92&gt;4,ISNUMBER(AA114),ISNUMBER(AC114)),1,0)</f>
        <v>0</v>
      </c>
      <c r="AB120" s="1058"/>
      <c r="AC120" s="1059">
        <f>IF(AND(AC114&gt;AA114,$AL93&gt;8,$AL92&gt;4,ISNUMBER(AA114),ISNUMBER(AC114)),1,0)</f>
        <v>0</v>
      </c>
      <c r="AD120" s="1058">
        <f>IF(AND(AD114&gt;AF114,$AL93&gt;9,$AL92&gt;4,ISNUMBER(AD114),ISNUMBER(AF114)),1,0)</f>
        <v>0</v>
      </c>
      <c r="AE120" s="1058"/>
      <c r="AF120" s="1059">
        <f>IF(AND(AF114&gt;AD114,$AL93&gt;9,$AL92&gt;4,ISNUMBER(AD114),ISNUMBER(AF114)),1,0)</f>
        <v>0</v>
      </c>
    </row>
    <row r="121" spans="1:44" s="1057" customFormat="1" ht="38.25" hidden="1" customHeight="1" x14ac:dyDescent="0.2">
      <c r="A121" s="1061" t="s">
        <v>84</v>
      </c>
      <c r="B121" s="1057">
        <f>SUM(B116:B120)</f>
        <v>0</v>
      </c>
      <c r="D121" s="1060">
        <f>SUM(D116:D120)</f>
        <v>1</v>
      </c>
      <c r="E121" s="1057">
        <f>SUM(E116:E120)</f>
        <v>0</v>
      </c>
      <c r="G121" s="1060">
        <f>SUM(G116:G120)</f>
        <v>1</v>
      </c>
      <c r="H121" s="1057">
        <f>SUM(H116:H120)</f>
        <v>0</v>
      </c>
      <c r="J121" s="1060">
        <f>SUM(J116:J120)</f>
        <v>1</v>
      </c>
      <c r="K121" s="1060"/>
      <c r="L121" s="1057">
        <f>SUM(L116:L120)</f>
        <v>0</v>
      </c>
      <c r="N121" s="1060">
        <f>SUM(N116:N120)</f>
        <v>1</v>
      </c>
      <c r="O121" s="1057">
        <f>SUM(O116:O120)</f>
        <v>0</v>
      </c>
      <c r="Q121" s="1060">
        <f>SUM(Q116:Q120)</f>
        <v>1</v>
      </c>
      <c r="R121" s="1057">
        <f>SUM(R116:R120)</f>
        <v>1</v>
      </c>
      <c r="T121" s="1060">
        <f>SUM(T116:T120)</f>
        <v>0</v>
      </c>
      <c r="U121" s="1057">
        <f>SUM(U116:U120)</f>
        <v>0</v>
      </c>
      <c r="W121" s="1060">
        <f>SUM(W116:W120)</f>
        <v>0</v>
      </c>
      <c r="X121" s="1057">
        <f>SUM(X116:X120)</f>
        <v>0</v>
      </c>
      <c r="Z121" s="1060">
        <f>SUM(Z116:Z120)</f>
        <v>0</v>
      </c>
      <c r="AA121" s="1057">
        <f>SUM(AA116:AA120)</f>
        <v>0</v>
      </c>
      <c r="AC121" s="1060">
        <f>SUM(AC116:AC120)</f>
        <v>0</v>
      </c>
      <c r="AD121" s="1057">
        <f>SUM(AD116:AD120)</f>
        <v>0</v>
      </c>
      <c r="AF121" s="1060">
        <f>SUM(AF116:AF120)</f>
        <v>0</v>
      </c>
    </row>
    <row r="122" spans="1:44" s="1057" customFormat="1" ht="25.5" hidden="1" customHeight="1" x14ac:dyDescent="0.2">
      <c r="A122" s="1061" t="s">
        <v>85</v>
      </c>
      <c r="B122" s="1057">
        <f>IF(B121&gt;D121,IF(C156=AL92,1,IF(C156=AL92-1,1,0)),0)</f>
        <v>0</v>
      </c>
      <c r="C122" s="1057">
        <f>B122+D122</f>
        <v>1</v>
      </c>
      <c r="D122" s="1060">
        <f>IF(D121&gt;B121,IF(C156=AL92,1,IF(C156=AL92-1,1,0)),0)</f>
        <v>1</v>
      </c>
      <c r="E122" s="1057">
        <f>IF(E121&gt;G121,IF(F156=AL92,1,IF(F156=AL92-1,1,0)),0)</f>
        <v>0</v>
      </c>
      <c r="F122" s="1057">
        <f>E122+G122</f>
        <v>1</v>
      </c>
      <c r="G122" s="1060">
        <f>IF(G121&gt;E121,IF(F156=AL92,1,IF(F156=AL92-1,1,0)),0)</f>
        <v>1</v>
      </c>
      <c r="H122" s="1057">
        <f>IF(H121&gt;J121,IF(I156=AL92,1,IF(I156=AL92-1,1,0)),0)</f>
        <v>0</v>
      </c>
      <c r="I122" s="1057">
        <f>H122+J122</f>
        <v>1</v>
      </c>
      <c r="J122" s="1060">
        <f>IF(J121&gt;H121,IF(I156=AL92,1,IF(I156=AL92-1,1,0)),0)</f>
        <v>1</v>
      </c>
      <c r="K122" s="1060"/>
      <c r="L122" s="1057">
        <f>IF(L121&gt;N121,IF(M156=AL92,1,IF(M156=AL92-1,1,0)),0)</f>
        <v>0</v>
      </c>
      <c r="M122" s="1057">
        <f>L122+N122</f>
        <v>1</v>
      </c>
      <c r="N122" s="1060">
        <f>IF(N121&gt;L121,IF(M156=AL92,1,IF(M156=AL92-1,1,0)),0)</f>
        <v>1</v>
      </c>
      <c r="O122" s="1057">
        <f>IF(O121&gt;Q121,IF(P156=AL92,1,IF(P156=AL92-1,1,0)),0)</f>
        <v>0</v>
      </c>
      <c r="P122" s="1057">
        <f>O122+Q122</f>
        <v>1</v>
      </c>
      <c r="Q122" s="1060">
        <f>IF(Q121&gt;O121,IF(P156=AL92,1,IF(P156=AL92-1,1,0)),0)</f>
        <v>1</v>
      </c>
      <c r="R122" s="1057">
        <f>IF(R121&gt;T121,IF(S156=AL92,1,IF(S156=AL92-1,1,0)),0)</f>
        <v>1</v>
      </c>
      <c r="S122" s="1057">
        <f>R122+T122</f>
        <v>1</v>
      </c>
      <c r="T122" s="1060">
        <f>IF(T121&gt;R121,IF(S156=AL92,1,IF(S156=AL92-1,1,0)),0)</f>
        <v>0</v>
      </c>
      <c r="U122" s="1057">
        <f>IF(U121&gt;W121,IF(V156=AL92,1,IF(V156=AL92-1,1,0)),0)</f>
        <v>0</v>
      </c>
      <c r="V122" s="1057">
        <f>U122+W122</f>
        <v>0</v>
      </c>
      <c r="W122" s="1060">
        <f>IF(W121&gt;U121,IF(V156=AL92,1,IF(V156=AL92-1,1,0)),0)</f>
        <v>0</v>
      </c>
      <c r="X122" s="1057">
        <f>IF(X121&gt;Z121,IF(Y156=AL92,1,IF(Y156=AL92-1,1,0)),0)</f>
        <v>0</v>
      </c>
      <c r="Y122" s="1057">
        <f>X122+Z122</f>
        <v>0</v>
      </c>
      <c r="Z122" s="1060">
        <f>IF(Z121&gt;X121,IF(Y156=AL92,1,IF(Y156=AL92-1,1,0)),0)</f>
        <v>0</v>
      </c>
      <c r="AA122" s="1057">
        <f>IF(AA121&gt;AC121,IF(AB156=AL92,1,IF(AB156=AL92-1,1,0)),0)</f>
        <v>0</v>
      </c>
      <c r="AB122" s="1057">
        <f>AA122+AC122</f>
        <v>0</v>
      </c>
      <c r="AC122" s="1060">
        <f>IF(AC121&gt;AA121,IF(AB156=AL92,1,IF(AB156=AL92-1,1,0)),0)</f>
        <v>0</v>
      </c>
      <c r="AD122" s="1057">
        <f>IF(AD121&gt;AF121,IF(AE156=AL92,1,IF(AE156=AL92-1,1,0)),0)</f>
        <v>0</v>
      </c>
      <c r="AE122" s="1057">
        <f>AD122+AF122</f>
        <v>0</v>
      </c>
      <c r="AF122" s="1060">
        <f>IF(AF121&gt;AD121,IF(AE156=AL92,1,IF(AE156=AL92-1,1,0)),0)</f>
        <v>0</v>
      </c>
    </row>
    <row r="123" spans="1:44" s="1057" customFormat="1" ht="25.5" hidden="1" customHeight="1" x14ac:dyDescent="0.2">
      <c r="A123" s="1061"/>
      <c r="D123" s="1060"/>
      <c r="G123" s="1060"/>
      <c r="J123" s="1060"/>
      <c r="K123" s="1060"/>
      <c r="N123" s="1060"/>
      <c r="Q123" s="1060"/>
      <c r="T123" s="1060"/>
      <c r="W123" s="1060"/>
      <c r="Z123" s="1060"/>
      <c r="AC123" s="1060"/>
      <c r="AF123" s="1060"/>
    </row>
    <row r="124" spans="1:44" s="1057" customFormat="1" ht="12.75" hidden="1" customHeight="1" x14ac:dyDescent="0.2">
      <c r="A124" s="1057" t="s">
        <v>86</v>
      </c>
      <c r="B124" s="1057">
        <f>IF(B116=1,B110,0)</f>
        <v>0</v>
      </c>
      <c r="D124" s="1060">
        <f t="shared" ref="D124:E128" si="10">IF(D116=1,D110,0)</f>
        <v>30</v>
      </c>
      <c r="E124" s="1057">
        <f t="shared" si="10"/>
        <v>0</v>
      </c>
      <c r="G124" s="1060">
        <f t="shared" ref="G124:H128" si="11">IF(G116=1,G110,0)</f>
        <v>29</v>
      </c>
      <c r="H124" s="1057">
        <f t="shared" si="11"/>
        <v>0</v>
      </c>
      <c r="J124" s="1060">
        <f>IF(J116=1,J110,0)</f>
        <v>33</v>
      </c>
      <c r="K124" s="1060"/>
      <c r="L124" s="1057">
        <f>IF(L116=1,L110,0)</f>
        <v>0</v>
      </c>
      <c r="N124" s="1060">
        <f t="shared" ref="N124:O128" si="12">IF(N116=1,N110,0)</f>
        <v>30</v>
      </c>
      <c r="O124" s="1057">
        <f t="shared" si="12"/>
        <v>0</v>
      </c>
      <c r="Q124" s="1060">
        <f t="shared" ref="Q124:R128" si="13">IF(Q116=1,Q110,0)</f>
        <v>27</v>
      </c>
      <c r="R124" s="1057">
        <f t="shared" si="13"/>
        <v>35</v>
      </c>
      <c r="T124" s="1060">
        <f t="shared" ref="T124:U128" si="14">IF(T116=1,T110,0)</f>
        <v>0</v>
      </c>
      <c r="U124" s="1057">
        <f t="shared" si="14"/>
        <v>0</v>
      </c>
      <c r="W124" s="1060">
        <f t="shared" ref="W124:X128" si="15">IF(W116=1,W110,0)</f>
        <v>0</v>
      </c>
      <c r="X124" s="1057">
        <f t="shared" si="15"/>
        <v>0</v>
      </c>
      <c r="Z124" s="1060">
        <f t="shared" ref="Z124:AA128" si="16">IF(Z116=1,Z110,0)</f>
        <v>0</v>
      </c>
      <c r="AA124" s="1057">
        <f t="shared" si="16"/>
        <v>0</v>
      </c>
      <c r="AC124" s="1060">
        <f t="shared" ref="AC124:AD128" si="17">IF(AC116=1,AC110,0)</f>
        <v>0</v>
      </c>
      <c r="AD124" s="1057">
        <f t="shared" si="17"/>
        <v>0</v>
      </c>
      <c r="AF124" s="1060">
        <f>IF(AF116=1,AF110,0)</f>
        <v>0</v>
      </c>
    </row>
    <row r="125" spans="1:44" s="1057" customFormat="1" ht="12.75" hidden="1" customHeight="1" x14ac:dyDescent="0.2">
      <c r="A125" s="1057" t="s">
        <v>87</v>
      </c>
      <c r="B125" s="1057">
        <f>IF(B117=1,B111,0)</f>
        <v>0</v>
      </c>
      <c r="D125" s="1060">
        <f t="shared" si="10"/>
        <v>0</v>
      </c>
      <c r="E125" s="1057">
        <f t="shared" si="10"/>
        <v>0</v>
      </c>
      <c r="G125" s="1060">
        <f t="shared" si="11"/>
        <v>0</v>
      </c>
      <c r="H125" s="1057">
        <f t="shared" si="11"/>
        <v>0</v>
      </c>
      <c r="J125" s="1060">
        <f>IF(J117=1,J111,0)</f>
        <v>0</v>
      </c>
      <c r="K125" s="1060"/>
      <c r="L125" s="1057">
        <f>IF(L117=1,L111,0)</f>
        <v>0</v>
      </c>
      <c r="N125" s="1060">
        <f t="shared" si="12"/>
        <v>0</v>
      </c>
      <c r="O125" s="1057">
        <f t="shared" si="12"/>
        <v>0</v>
      </c>
      <c r="Q125" s="1060">
        <f t="shared" si="13"/>
        <v>0</v>
      </c>
      <c r="R125" s="1057">
        <f t="shared" si="13"/>
        <v>0</v>
      </c>
      <c r="T125" s="1060">
        <f t="shared" si="14"/>
        <v>0</v>
      </c>
      <c r="U125" s="1057">
        <f t="shared" si="14"/>
        <v>0</v>
      </c>
      <c r="W125" s="1060">
        <f t="shared" si="15"/>
        <v>0</v>
      </c>
      <c r="X125" s="1057">
        <f t="shared" si="15"/>
        <v>0</v>
      </c>
      <c r="Z125" s="1060">
        <f t="shared" si="16"/>
        <v>0</v>
      </c>
      <c r="AA125" s="1057">
        <f t="shared" si="16"/>
        <v>0</v>
      </c>
      <c r="AC125" s="1060">
        <f t="shared" si="17"/>
        <v>0</v>
      </c>
      <c r="AD125" s="1057">
        <f t="shared" si="17"/>
        <v>0</v>
      </c>
      <c r="AF125" s="1060">
        <f>IF(AF117=1,AF111,0)</f>
        <v>0</v>
      </c>
    </row>
    <row r="126" spans="1:44" s="1057" customFormat="1" ht="12.75" hidden="1" customHeight="1" x14ac:dyDescent="0.2">
      <c r="A126" s="1057" t="s">
        <v>88</v>
      </c>
      <c r="B126" s="1057">
        <f>IF(B118=1,B112,0)</f>
        <v>0</v>
      </c>
      <c r="D126" s="1060">
        <f t="shared" si="10"/>
        <v>0</v>
      </c>
      <c r="E126" s="1057">
        <f t="shared" si="10"/>
        <v>0</v>
      </c>
      <c r="G126" s="1060">
        <f t="shared" si="11"/>
        <v>0</v>
      </c>
      <c r="H126" s="1057">
        <f t="shared" si="11"/>
        <v>0</v>
      </c>
      <c r="J126" s="1060">
        <f>IF(J118=1,J112,0)</f>
        <v>0</v>
      </c>
      <c r="K126" s="1060"/>
      <c r="L126" s="1057">
        <f>IF(L118=1,L112,0)</f>
        <v>0</v>
      </c>
      <c r="N126" s="1060">
        <f t="shared" si="12"/>
        <v>0</v>
      </c>
      <c r="O126" s="1057">
        <f t="shared" si="12"/>
        <v>0</v>
      </c>
      <c r="Q126" s="1060">
        <f t="shared" si="13"/>
        <v>0</v>
      </c>
      <c r="R126" s="1057">
        <f t="shared" si="13"/>
        <v>0</v>
      </c>
      <c r="T126" s="1060">
        <f t="shared" si="14"/>
        <v>0</v>
      </c>
      <c r="U126" s="1057">
        <f t="shared" si="14"/>
        <v>0</v>
      </c>
      <c r="W126" s="1060">
        <f t="shared" si="15"/>
        <v>0</v>
      </c>
      <c r="X126" s="1057">
        <f t="shared" si="15"/>
        <v>0</v>
      </c>
      <c r="Z126" s="1060">
        <f t="shared" si="16"/>
        <v>0</v>
      </c>
      <c r="AA126" s="1057">
        <f t="shared" si="16"/>
        <v>0</v>
      </c>
      <c r="AC126" s="1060">
        <f t="shared" si="17"/>
        <v>0</v>
      </c>
      <c r="AD126" s="1057">
        <f t="shared" si="17"/>
        <v>0</v>
      </c>
      <c r="AF126" s="1060">
        <f>IF(AF118=1,AF112,0)</f>
        <v>0</v>
      </c>
    </row>
    <row r="127" spans="1:44" s="1057" customFormat="1" ht="12.75" hidden="1" customHeight="1" x14ac:dyDescent="0.2">
      <c r="A127" s="1057" t="s">
        <v>89</v>
      </c>
      <c r="B127" s="1057">
        <f>IF(B119=1,B113,0)</f>
        <v>0</v>
      </c>
      <c r="D127" s="1060">
        <f t="shared" si="10"/>
        <v>0</v>
      </c>
      <c r="E127" s="1057">
        <f t="shared" si="10"/>
        <v>0</v>
      </c>
      <c r="G127" s="1060">
        <f t="shared" si="11"/>
        <v>0</v>
      </c>
      <c r="H127" s="1057">
        <f t="shared" si="11"/>
        <v>0</v>
      </c>
      <c r="J127" s="1060">
        <f>IF(J119=1,J113,0)</f>
        <v>0</v>
      </c>
      <c r="K127" s="1060"/>
      <c r="L127" s="1057">
        <f>IF(L119=1,L113,0)</f>
        <v>0</v>
      </c>
      <c r="N127" s="1060">
        <f t="shared" si="12"/>
        <v>0</v>
      </c>
      <c r="O127" s="1057">
        <f t="shared" si="12"/>
        <v>0</v>
      </c>
      <c r="Q127" s="1060">
        <f t="shared" si="13"/>
        <v>0</v>
      </c>
      <c r="R127" s="1057">
        <f t="shared" si="13"/>
        <v>0</v>
      </c>
      <c r="T127" s="1060">
        <f t="shared" si="14"/>
        <v>0</v>
      </c>
      <c r="U127" s="1057">
        <f t="shared" si="14"/>
        <v>0</v>
      </c>
      <c r="W127" s="1060">
        <f t="shared" si="15"/>
        <v>0</v>
      </c>
      <c r="X127" s="1057">
        <f t="shared" si="15"/>
        <v>0</v>
      </c>
      <c r="Z127" s="1060">
        <f t="shared" si="16"/>
        <v>0</v>
      </c>
      <c r="AA127" s="1057">
        <f t="shared" si="16"/>
        <v>0</v>
      </c>
      <c r="AC127" s="1060">
        <f t="shared" si="17"/>
        <v>0</v>
      </c>
      <c r="AD127" s="1057">
        <f t="shared" si="17"/>
        <v>0</v>
      </c>
      <c r="AF127" s="1060">
        <f>IF(AF119=1,AF113,0)</f>
        <v>0</v>
      </c>
    </row>
    <row r="128" spans="1:44" s="1057" customFormat="1" ht="12.75" hidden="1" customHeight="1" x14ac:dyDescent="0.2">
      <c r="A128" s="1057" t="s">
        <v>90</v>
      </c>
      <c r="B128" s="1057">
        <f>IF(B120=1,B114,0)</f>
        <v>0</v>
      </c>
      <c r="D128" s="1060">
        <f t="shared" si="10"/>
        <v>0</v>
      </c>
      <c r="E128" s="1057">
        <f t="shared" si="10"/>
        <v>0</v>
      </c>
      <c r="G128" s="1060">
        <f t="shared" si="11"/>
        <v>0</v>
      </c>
      <c r="H128" s="1057">
        <f t="shared" si="11"/>
        <v>0</v>
      </c>
      <c r="J128" s="1060">
        <f>IF(J120=1,J114,0)</f>
        <v>0</v>
      </c>
      <c r="K128" s="1060"/>
      <c r="L128" s="1057">
        <f>IF(L120=1,L114,0)</f>
        <v>0</v>
      </c>
      <c r="N128" s="1060">
        <f t="shared" si="12"/>
        <v>0</v>
      </c>
      <c r="O128" s="1057">
        <f t="shared" si="12"/>
        <v>0</v>
      </c>
      <c r="Q128" s="1060">
        <f t="shared" si="13"/>
        <v>0</v>
      </c>
      <c r="R128" s="1057">
        <f t="shared" si="13"/>
        <v>0</v>
      </c>
      <c r="T128" s="1060">
        <f t="shared" si="14"/>
        <v>0</v>
      </c>
      <c r="U128" s="1057">
        <f t="shared" si="14"/>
        <v>0</v>
      </c>
      <c r="W128" s="1060">
        <f t="shared" si="15"/>
        <v>0</v>
      </c>
      <c r="X128" s="1057">
        <f t="shared" si="15"/>
        <v>0</v>
      </c>
      <c r="Z128" s="1060">
        <f t="shared" si="16"/>
        <v>0</v>
      </c>
      <c r="AA128" s="1057">
        <f t="shared" si="16"/>
        <v>0</v>
      </c>
      <c r="AC128" s="1060">
        <f t="shared" si="17"/>
        <v>0</v>
      </c>
      <c r="AD128" s="1057">
        <f t="shared" si="17"/>
        <v>0</v>
      </c>
      <c r="AF128" s="1060">
        <f>IF(AF120=1,AF114,0)</f>
        <v>0</v>
      </c>
    </row>
    <row r="129" spans="1:38" s="1057" customFormat="1" ht="38.25" hidden="1" customHeight="1" x14ac:dyDescent="0.2">
      <c r="A129" s="1061" t="s">
        <v>91</v>
      </c>
      <c r="B129" s="1057">
        <f>SUM(B124:D128)</f>
        <v>30</v>
      </c>
      <c r="D129" s="1060"/>
      <c r="E129" s="1057">
        <f>SUM(E124:G128)</f>
        <v>29</v>
      </c>
      <c r="G129" s="1060"/>
      <c r="H129" s="1057">
        <f>SUM(H124:J128)</f>
        <v>33</v>
      </c>
      <c r="J129" s="1060"/>
      <c r="K129" s="1060"/>
      <c r="L129" s="1057">
        <f>SUM(L124:N128)</f>
        <v>30</v>
      </c>
      <c r="N129" s="1060"/>
      <c r="O129" s="1057">
        <f>SUM(O124:Q128)</f>
        <v>27</v>
      </c>
      <c r="Q129" s="1060"/>
      <c r="R129" s="1057">
        <f>SUM(R124:T128)</f>
        <v>35</v>
      </c>
      <c r="T129" s="1060"/>
      <c r="U129" s="1057">
        <f>SUM(U124:W128)</f>
        <v>0</v>
      </c>
      <c r="W129" s="1060"/>
      <c r="X129" s="1057">
        <f>SUM(X124:Z128)</f>
        <v>0</v>
      </c>
      <c r="Z129" s="1060"/>
      <c r="AA129" s="1057">
        <f>SUM(AA124:AC128)</f>
        <v>0</v>
      </c>
      <c r="AC129" s="1060"/>
      <c r="AD129" s="1057">
        <f>SUM(AD124:AF128)</f>
        <v>0</v>
      </c>
      <c r="AF129" s="1060"/>
    </row>
    <row r="130" spans="1:38" s="1057" customFormat="1" ht="38.25" hidden="1" customHeight="1" x14ac:dyDescent="0.2">
      <c r="A130" s="1057" t="s">
        <v>92</v>
      </c>
      <c r="D130" s="1060"/>
      <c r="G130" s="1060"/>
      <c r="J130" s="1060"/>
      <c r="K130" s="1060"/>
      <c r="N130" s="1060"/>
      <c r="Q130" s="1060"/>
      <c r="T130" s="1060"/>
      <c r="W130" s="1060"/>
      <c r="Z130" s="1060"/>
      <c r="AC130" s="1060"/>
      <c r="AF130" s="1060"/>
      <c r="AG130" s="1061" t="s">
        <v>93</v>
      </c>
      <c r="AH130" s="1057" t="s">
        <v>94</v>
      </c>
    </row>
    <row r="131" spans="1:38" s="1057" customFormat="1" ht="12.75" hidden="1" customHeight="1" x14ac:dyDescent="0.2">
      <c r="A131" s="1057" t="s">
        <v>95</v>
      </c>
      <c r="B131" s="1057">
        <f>IF(B109=1,IF(B122=1,1,0),0)</f>
        <v>0</v>
      </c>
      <c r="D131" s="1060">
        <f>IF(D109=1,IF(D122=1,1,0),0)</f>
        <v>0</v>
      </c>
      <c r="E131" s="1057">
        <f>IF(E109=1,IF(E122=1,1,0),0)</f>
        <v>0</v>
      </c>
      <c r="G131" s="1060">
        <f>IF(G109=1,IF(G122=1,1,0),0)</f>
        <v>0</v>
      </c>
      <c r="H131" s="1057">
        <f>IF(H109=1,IF(H122=1,1,0),0)</f>
        <v>0</v>
      </c>
      <c r="J131" s="1060">
        <f>IF(J109=1,IF(J122=1,1,0),0)</f>
        <v>0</v>
      </c>
      <c r="K131" s="1060"/>
      <c r="L131" s="1057">
        <f>IF(L109=1,IF(L122=1,1,0),0)</f>
        <v>0</v>
      </c>
      <c r="N131" s="1060">
        <f>IF(N109=1,IF(N122=1,1,0),0)</f>
        <v>0</v>
      </c>
      <c r="O131" s="1057">
        <f>IF(O109=1,IF(O122=1,1,0),0)</f>
        <v>0</v>
      </c>
      <c r="Q131" s="1060">
        <f>IF(Q109=1,IF(Q122=1,1,0),0)</f>
        <v>0</v>
      </c>
      <c r="R131" s="1057">
        <f>IF(R109=1,IF(R122=1,1,0),0)</f>
        <v>1</v>
      </c>
      <c r="T131" s="1060">
        <f>IF(T109=1,IF(T122=1,1,0),0)</f>
        <v>0</v>
      </c>
      <c r="U131" s="1057">
        <f>IF(U109=1,IF(U122=1,1,0),0)</f>
        <v>0</v>
      </c>
      <c r="W131" s="1060">
        <f>IF(W109=1,IF(W122=1,1,0),0)</f>
        <v>0</v>
      </c>
      <c r="X131" s="1057">
        <f>IF(X109=1,IF(X122=1,1,0),0)</f>
        <v>0</v>
      </c>
      <c r="Z131" s="1060">
        <f>IF(Z109=1,IF(Z122=1,1,0),0)</f>
        <v>0</v>
      </c>
      <c r="AA131" s="1057">
        <f>IF(AA109=1,IF(AA122=1,1,0),0)</f>
        <v>0</v>
      </c>
      <c r="AC131" s="1060">
        <f>IF(AC109=1,IF(AC122=1,1,0),0)</f>
        <v>0</v>
      </c>
      <c r="AD131" s="1057">
        <f>IF(AD109=1,IF(AD122=1,1,0),0)</f>
        <v>0</v>
      </c>
      <c r="AF131" s="1060">
        <f>IF(AF109=1,IF(AF122=1,1,0),0)</f>
        <v>0</v>
      </c>
      <c r="AG131" s="1057">
        <f>SUM(B131:AF131)</f>
        <v>1</v>
      </c>
      <c r="AH131" s="1057">
        <f>AG137-AG131</f>
        <v>3</v>
      </c>
    </row>
    <row r="132" spans="1:38" s="1057" customFormat="1" ht="12.75" hidden="1" customHeight="1" x14ac:dyDescent="0.2">
      <c r="A132" s="1057" t="s">
        <v>96</v>
      </c>
      <c r="B132" s="1057">
        <f>IF(B109=2,IF(B122=1,1,0),0)</f>
        <v>0</v>
      </c>
      <c r="D132" s="1060">
        <f>IF(D109=2,IF(D122=1,1,0),0)</f>
        <v>0</v>
      </c>
      <c r="E132" s="1057">
        <f>IF(E109=2,IF(E122=1,1,0),0)</f>
        <v>0</v>
      </c>
      <c r="G132" s="1060">
        <f>IF(G109=2,IF(G122=1,1,0),0)</f>
        <v>0</v>
      </c>
      <c r="H132" s="1057">
        <f>IF(H109=2,IF(H122=1,1,0),0)</f>
        <v>0</v>
      </c>
      <c r="J132" s="1060">
        <f>IF(J109=2,IF(J122=1,1,0),0)</f>
        <v>1</v>
      </c>
      <c r="K132" s="1060"/>
      <c r="L132" s="1057">
        <f>IF(L109=2,IF(L122=1,1,0),0)</f>
        <v>0</v>
      </c>
      <c r="N132" s="1060">
        <f>IF(N109=2,IF(N122=1,1,0),0)</f>
        <v>0</v>
      </c>
      <c r="O132" s="1057">
        <f>IF(O109=2,IF(O122=1,1,0),0)</f>
        <v>0</v>
      </c>
      <c r="Q132" s="1060">
        <f>IF(Q109=2,IF(Q122=1,1,0),0)</f>
        <v>0</v>
      </c>
      <c r="R132" s="1057">
        <f>IF(R109=2,IF(R122=1,1,0),0)</f>
        <v>0</v>
      </c>
      <c r="T132" s="1060">
        <f>IF(T109=2,IF(T122=1,1,0),0)</f>
        <v>0</v>
      </c>
      <c r="U132" s="1057">
        <f>IF(U109=2,IF(U122=1,1,0),0)</f>
        <v>0</v>
      </c>
      <c r="W132" s="1060">
        <f>IF(W109=2,IF(W122=1,1,0),0)</f>
        <v>0</v>
      </c>
      <c r="X132" s="1057">
        <f>IF(X109=2,IF(X122=1,1,0),0)</f>
        <v>0</v>
      </c>
      <c r="Z132" s="1060">
        <f>IF(Z109=2,IF(Z122=1,1,0),0)</f>
        <v>0</v>
      </c>
      <c r="AA132" s="1057">
        <f>IF(AA109=2,IF(AA122=1,1,0),0)</f>
        <v>0</v>
      </c>
      <c r="AC132" s="1060">
        <f>IF(AC109=2,IF(AC122=1,1,0),0)</f>
        <v>0</v>
      </c>
      <c r="AD132" s="1057">
        <f>IF(AD109=2,IF(AD122=1,1,0),0)</f>
        <v>0</v>
      </c>
      <c r="AF132" s="1060">
        <f>IF(AF109=2,IF(AF122=1,1,0),0)</f>
        <v>0</v>
      </c>
      <c r="AG132" s="1057">
        <f>SUM(B132:AF132)</f>
        <v>1</v>
      </c>
      <c r="AH132" s="1057">
        <f>AG138-AG132</f>
        <v>3</v>
      </c>
    </row>
    <row r="133" spans="1:38" s="1057" customFormat="1" ht="12.75" hidden="1" customHeight="1" x14ac:dyDescent="0.2">
      <c r="A133" s="1057" t="s">
        <v>97</v>
      </c>
      <c r="B133" s="1057">
        <f>IF(B109=3,IF(B122=1,1,0),0)</f>
        <v>0</v>
      </c>
      <c r="D133" s="1060">
        <f>IF(D109=3,IF(D122=1,1,0),0)</f>
        <v>1</v>
      </c>
      <c r="E133" s="1057">
        <f>IF(E109=3,IF(E122=1,1,0),0)</f>
        <v>0</v>
      </c>
      <c r="G133" s="1060">
        <f>IF(G109=3,IF(G122=1,1,0),0)</f>
        <v>1</v>
      </c>
      <c r="H133" s="1057">
        <f>IF(H109=3,IF(H122=1,1,0),0)</f>
        <v>0</v>
      </c>
      <c r="J133" s="1060">
        <f>IF(J109=3,IF(J122=1,1,0),0)</f>
        <v>0</v>
      </c>
      <c r="K133" s="1060"/>
      <c r="L133" s="1057">
        <f>IF(L109=3,IF(L122=1,1,0),0)</f>
        <v>0</v>
      </c>
      <c r="N133" s="1060">
        <f>IF(N109=3,IF(N122=1,1,0),0)</f>
        <v>1</v>
      </c>
      <c r="O133" s="1057">
        <f>IF(O109=3,IF(O122=1,1,0),0)</f>
        <v>0</v>
      </c>
      <c r="Q133" s="1060">
        <f>IF(Q109=3,IF(Q122=1,1,0),0)</f>
        <v>1</v>
      </c>
      <c r="R133" s="1057">
        <f>IF(R109=3,IF(R122=1,1,0),0)</f>
        <v>0</v>
      </c>
      <c r="T133" s="1060">
        <f>IF(T109=3,IF(T122=1,1,0),0)</f>
        <v>0</v>
      </c>
      <c r="U133" s="1057">
        <f>IF(U109=3,IF(U122=1,1,0),0)</f>
        <v>0</v>
      </c>
      <c r="W133" s="1060">
        <f>IF(W109=3,IF(W122=1,1,0),0)</f>
        <v>0</v>
      </c>
      <c r="X133" s="1057">
        <f>IF(X109=3,IF(X122=1,1,0),0)</f>
        <v>0</v>
      </c>
      <c r="Z133" s="1060">
        <f>IF(Z109=3,IF(Z122=1,1,0),0)</f>
        <v>0</v>
      </c>
      <c r="AA133" s="1057">
        <f>IF(AA109=3,IF(AA122=1,1,0),0)</f>
        <v>0</v>
      </c>
      <c r="AC133" s="1060">
        <f>IF(AC109=3,IF(AC122=1,1,0),0)</f>
        <v>0</v>
      </c>
      <c r="AD133" s="1057">
        <f>IF(AD109=3,IF(AD122=1,1,0),0)</f>
        <v>0</v>
      </c>
      <c r="AF133" s="1060">
        <f>IF(AF109=3,IF(AF122=1,1,0),0)</f>
        <v>0</v>
      </c>
      <c r="AG133" s="1057">
        <f>SUM(B133:AF133)</f>
        <v>4</v>
      </c>
      <c r="AH133" s="1057">
        <f>AG139-AG133</f>
        <v>0</v>
      </c>
    </row>
    <row r="134" spans="1:38" s="1057" customFormat="1" ht="12.75" hidden="1" customHeight="1" x14ac:dyDescent="0.2">
      <c r="A134" s="1057" t="s">
        <v>98</v>
      </c>
      <c r="B134" s="1057">
        <f>IF(B109=4,IF(B122=1,1,0),0)</f>
        <v>0</v>
      </c>
      <c r="D134" s="1060">
        <f>IF(D109=4,IF(D122=1,1,0),0)</f>
        <v>0</v>
      </c>
      <c r="E134" s="1057">
        <f>IF(E109=4,IF(E122=1,1,0),0)</f>
        <v>0</v>
      </c>
      <c r="G134" s="1060">
        <f>IF(G109=4,IF(G122=1,1,0),0)</f>
        <v>0</v>
      </c>
      <c r="H134" s="1057">
        <f>IF(H109=4,IF(H122=1,1,0),0)</f>
        <v>0</v>
      </c>
      <c r="J134" s="1060">
        <f>IF(J109=4,IF(J122=1,1,0),0)</f>
        <v>0</v>
      </c>
      <c r="K134" s="1060"/>
      <c r="L134" s="1057">
        <f>IF(L109=4,IF(L122=1,1,0),0)</f>
        <v>0</v>
      </c>
      <c r="N134" s="1060">
        <f>IF(N109=4,IF(N122=1,1,0),0)</f>
        <v>0</v>
      </c>
      <c r="O134" s="1057">
        <f>IF(O109=4,IF(O122=1,1,0),0)</f>
        <v>0</v>
      </c>
      <c r="Q134" s="1060">
        <f>IF(Q109=4,IF(Q122=1,1,0),0)</f>
        <v>0</v>
      </c>
      <c r="R134" s="1057">
        <f>IF(R109=4,IF(R122=1,1,0),0)</f>
        <v>0</v>
      </c>
      <c r="T134" s="1060">
        <f>IF(T109=4,IF(T122=1,1,0),0)</f>
        <v>0</v>
      </c>
      <c r="U134" s="1057">
        <f>IF(U109=4,IF(U122=1,1,0),0)</f>
        <v>0</v>
      </c>
      <c r="W134" s="1060">
        <f>IF(W109=4,IF(W122=1,1,0),0)</f>
        <v>0</v>
      </c>
      <c r="X134" s="1057">
        <f>IF(X109=4,IF(X122=1,1,0),0)</f>
        <v>0</v>
      </c>
      <c r="Z134" s="1060">
        <f>IF(Z109=4,IF(Z122=1,1,0),0)</f>
        <v>0</v>
      </c>
      <c r="AA134" s="1057">
        <f>IF(AA109=4,IF(AA122=1,1,0),0)</f>
        <v>0</v>
      </c>
      <c r="AC134" s="1060">
        <f>IF(AC109=4,IF(AC122=1,1,0),0)</f>
        <v>0</v>
      </c>
      <c r="AD134" s="1057">
        <f>IF(AD109=4,IF(AD122=1,1,0),0)</f>
        <v>0</v>
      </c>
      <c r="AF134" s="1060">
        <f>IF(AF109=4,IF(AF122=1,1,0),0)</f>
        <v>0</v>
      </c>
      <c r="AG134" s="1057">
        <f>SUM(B134:AF134)</f>
        <v>0</v>
      </c>
      <c r="AH134" s="1057">
        <f>AG140-AG134</f>
        <v>0</v>
      </c>
    </row>
    <row r="135" spans="1:38" s="1057" customFormat="1" ht="12.75" hidden="1" customHeight="1" x14ac:dyDescent="0.2">
      <c r="A135" s="1057" t="s">
        <v>99</v>
      </c>
      <c r="B135" s="1057">
        <f>IF(B109=5,IF(B122=1,1,0),0)</f>
        <v>0</v>
      </c>
      <c r="D135" s="1060">
        <f>IF(D109=5,IF(D122=1,1,0),0)</f>
        <v>0</v>
      </c>
      <c r="E135" s="1057">
        <f>IF(E109=5,IF(E122=1,1,0),0)</f>
        <v>0</v>
      </c>
      <c r="G135" s="1060">
        <f>IF(G109=5,IF(G122=1,1,0),0)</f>
        <v>0</v>
      </c>
      <c r="H135" s="1057">
        <f>IF(H109=5,IF(H122=1,1,0),0)</f>
        <v>0</v>
      </c>
      <c r="J135" s="1060">
        <f>IF(J109=5,IF(J122=1,1,0),0)</f>
        <v>0</v>
      </c>
      <c r="K135" s="1060"/>
      <c r="L135" s="1057">
        <f>IF(L109=5,IF(L122=1,1,0),0)</f>
        <v>0</v>
      </c>
      <c r="N135" s="1060">
        <f>IF(N109=5,IF(N122=1,1,0),0)</f>
        <v>0</v>
      </c>
      <c r="O135" s="1057">
        <f>IF(O109=5,IF(O122=1,1,0),0)</f>
        <v>0</v>
      </c>
      <c r="Q135" s="1060">
        <f>IF(Q109=5,IF(Q122=1,1,0),0)</f>
        <v>0</v>
      </c>
      <c r="R135" s="1057">
        <f>IF(R109=5,IF(R122=1,1,0),0)</f>
        <v>0</v>
      </c>
      <c r="T135" s="1060">
        <f>IF(T109=5,IF(T122=1,1,0),0)</f>
        <v>0</v>
      </c>
      <c r="U135" s="1057">
        <f>IF(U109=5,IF(U122=1,1,0),0)</f>
        <v>0</v>
      </c>
      <c r="W135" s="1060">
        <f>IF(W109=5,IF(W122=1,1,0),0)</f>
        <v>0</v>
      </c>
      <c r="X135" s="1057">
        <f>IF(X109=5,IF(X122=1,1,0),0)</f>
        <v>0</v>
      </c>
      <c r="Z135" s="1060">
        <f>IF(Z109=5,IF(Z122=1,1,0),0)</f>
        <v>0</v>
      </c>
      <c r="AA135" s="1057">
        <f>IF(AA109=5,IF(AA122=1,1,0),0)</f>
        <v>0</v>
      </c>
      <c r="AC135" s="1060">
        <f>IF(AC109=5,IF(AC122=1,1,0),0)</f>
        <v>0</v>
      </c>
      <c r="AD135" s="1057">
        <f>IF(AD109=5,IF(AD122=1,1,0),0)</f>
        <v>0</v>
      </c>
      <c r="AF135" s="1060">
        <f>IF(AF109=5,IF(AF122=1,1,0),0)</f>
        <v>0</v>
      </c>
      <c r="AG135" s="1057">
        <f>SUM(B135:AF135)</f>
        <v>0</v>
      </c>
      <c r="AH135" s="1057">
        <f>AG141-AG135</f>
        <v>0</v>
      </c>
    </row>
    <row r="136" spans="1:38" s="1057" customFormat="1" ht="38.25" hidden="1" customHeight="1" x14ac:dyDescent="0.2">
      <c r="A136" s="1061"/>
      <c r="D136" s="1060"/>
      <c r="G136" s="1060"/>
      <c r="J136" s="1060"/>
      <c r="K136" s="1060"/>
      <c r="N136" s="1060"/>
      <c r="Q136" s="1060"/>
      <c r="T136" s="1060"/>
      <c r="W136" s="1060"/>
      <c r="Z136" s="1060"/>
      <c r="AC136" s="1060"/>
      <c r="AF136" s="1060"/>
      <c r="AG136" s="1061" t="s">
        <v>100</v>
      </c>
    </row>
    <row r="137" spans="1:38" s="1057" customFormat="1" ht="12.75" hidden="1" customHeight="1" x14ac:dyDescent="0.2">
      <c r="A137" s="1057" t="s">
        <v>101</v>
      </c>
      <c r="B137" s="1057">
        <f>IF(B109=1,IF(C122=1,1,0),0)</f>
        <v>1</v>
      </c>
      <c r="D137" s="1060">
        <f>IF(D109=1,IF(C122=1,1,0),0)</f>
        <v>0</v>
      </c>
      <c r="E137" s="1057">
        <f>IF(E109=1,IF(F122=1,1,0),0)</f>
        <v>0</v>
      </c>
      <c r="G137" s="1060">
        <f>IF(G109=1,IF(F122=1,1,0),0)</f>
        <v>0</v>
      </c>
      <c r="H137" s="1057">
        <f>IF(H109=1,IF(I122=1,1,0),0)</f>
        <v>1</v>
      </c>
      <c r="J137" s="1060">
        <f>IF(J109=1,IF(I122=1,1,0),0)</f>
        <v>0</v>
      </c>
      <c r="K137" s="1060"/>
      <c r="L137" s="1057">
        <f>IF(L109=1,IF(M122=1,1,0),0)</f>
        <v>1</v>
      </c>
      <c r="N137" s="1060">
        <f>IF(N109=1,IF(M122=1,1,0),0)</f>
        <v>0</v>
      </c>
      <c r="O137" s="1057">
        <f>IF(O109=1,IF(P122=1,1,0),0)</f>
        <v>0</v>
      </c>
      <c r="Q137" s="1060">
        <f>IF(Q109=1,IF(P122=1,1,0),0)</f>
        <v>0</v>
      </c>
      <c r="R137" s="1057">
        <f>IF(R109=1,IF(S122=1,1,0),0)</f>
        <v>1</v>
      </c>
      <c r="T137" s="1060">
        <f>IF(T109=1,IF(S122=1,1,0),0)</f>
        <v>0</v>
      </c>
      <c r="U137" s="1057">
        <f>IF(U109=1,IF(V122=1,1,0),0)</f>
        <v>0</v>
      </c>
      <c r="W137" s="1060">
        <f>IF(W109=1,IF(V122=1,1,0),0)</f>
        <v>0</v>
      </c>
      <c r="X137" s="1057">
        <f>IF(X109=1,IF(Y122=1,1,0),0)</f>
        <v>0</v>
      </c>
      <c r="Z137" s="1060">
        <f>IF(Z109=1,IF(Y122=1,1,0),0)</f>
        <v>0</v>
      </c>
      <c r="AA137" s="1057">
        <f>IF(AA109=1,IF(AB122=1,1,0),0)</f>
        <v>0</v>
      </c>
      <c r="AC137" s="1060">
        <f>IF(AC109=1,IF(AB122=1,1,0),0)</f>
        <v>0</v>
      </c>
      <c r="AD137" s="1057">
        <f>IF(AD109=1,IF(AE122=1,1,0),0)</f>
        <v>0</v>
      </c>
      <c r="AF137" s="1060">
        <f>IF(AF109=1,IF(AE122=1,1,0),0)</f>
        <v>0</v>
      </c>
      <c r="AG137" s="1057">
        <f>SUM(B137:AF137)</f>
        <v>4</v>
      </c>
    </row>
    <row r="138" spans="1:38" s="1057" customFormat="1" ht="12.75" hidden="1" customHeight="1" x14ac:dyDescent="0.2">
      <c r="A138" s="1057" t="s">
        <v>102</v>
      </c>
      <c r="B138" s="1057">
        <f>IF(B109=2,IF(C122=1,1,0),0)</f>
        <v>0</v>
      </c>
      <c r="D138" s="1060">
        <f>IF(D109=2,IF(C122=1,1,0),0)</f>
        <v>0</v>
      </c>
      <c r="E138" s="1057">
        <f>IF(E109=2,IF(F122=1,1,0),0)</f>
        <v>1</v>
      </c>
      <c r="G138" s="1060">
        <f>IF(G109=2,IF(F122=1,1,0),0)</f>
        <v>0</v>
      </c>
      <c r="H138" s="1057">
        <f>IF(H109=2,IF(I122=1,1,0),0)</f>
        <v>0</v>
      </c>
      <c r="J138" s="1060">
        <f>IF(J109=2,IF(I122=1,1,0),0)</f>
        <v>1</v>
      </c>
      <c r="K138" s="1060"/>
      <c r="L138" s="1057">
        <f>IF(L109=2,IF(M122=1,1,0),0)</f>
        <v>0</v>
      </c>
      <c r="N138" s="1060">
        <f>IF(N109=2,IF(M122=1,1,0),0)</f>
        <v>0</v>
      </c>
      <c r="O138" s="1057">
        <f>IF(O109=2,IF(P122=1,1,0),0)</f>
        <v>1</v>
      </c>
      <c r="Q138" s="1060">
        <f>IF(Q109=2,IF(P122=1,1,0),0)</f>
        <v>0</v>
      </c>
      <c r="R138" s="1057">
        <f>IF(R109=2,IF(S122=1,1,0),0)</f>
        <v>0</v>
      </c>
      <c r="T138" s="1060">
        <f>IF(T109=2,IF(S122=1,1,0),0)</f>
        <v>1</v>
      </c>
      <c r="U138" s="1057">
        <f>IF(U109=2,IF(V122=1,1,0),0)</f>
        <v>0</v>
      </c>
      <c r="W138" s="1060">
        <f>IF(W109=2,IF(V122=1,1,0),0)</f>
        <v>0</v>
      </c>
      <c r="X138" s="1057">
        <f>IF(X109=2,IF(Y122=1,1,0),0)</f>
        <v>0</v>
      </c>
      <c r="Z138" s="1060">
        <f>IF(Z109=2,IF(Y122=1,1,0),0)</f>
        <v>0</v>
      </c>
      <c r="AA138" s="1057">
        <f>IF(AA109=2,IF(AB122=1,1,0),0)</f>
        <v>0</v>
      </c>
      <c r="AC138" s="1060">
        <f>IF(AC109=2,IF(AB122=1,1,0),0)</f>
        <v>0</v>
      </c>
      <c r="AD138" s="1057">
        <f>IF(AD109=2,IF(AE122=1,1,0),0)</f>
        <v>0</v>
      </c>
      <c r="AF138" s="1060">
        <f>IF(AF109=2,IF(AE122=1,1,0),0)</f>
        <v>0</v>
      </c>
      <c r="AG138" s="1057">
        <f>SUM(B138:AF138)</f>
        <v>4</v>
      </c>
    </row>
    <row r="139" spans="1:38" s="1057" customFormat="1" ht="12.75" hidden="1" customHeight="1" x14ac:dyDescent="0.2">
      <c r="A139" s="1057" t="s">
        <v>103</v>
      </c>
      <c r="B139" s="1057">
        <f>IF(B109=3,IF(C122=1,1,0),0)</f>
        <v>0</v>
      </c>
      <c r="D139" s="1060">
        <f>IF(D109=3,IF(C122=1,1,0),0)</f>
        <v>1</v>
      </c>
      <c r="E139" s="1057">
        <f>IF(E109=3,IF(F122=1,1,0),0)</f>
        <v>0</v>
      </c>
      <c r="G139" s="1060">
        <f>IF(G109=3,IF(F122=1,1,0),0)</f>
        <v>1</v>
      </c>
      <c r="H139" s="1057">
        <f>IF(H109=3,IF(I122=1,1,0),0)</f>
        <v>0</v>
      </c>
      <c r="J139" s="1060">
        <f>IF(J109=3,IF(I122=1,1,0),0)</f>
        <v>0</v>
      </c>
      <c r="K139" s="1060"/>
      <c r="L139" s="1057">
        <f>IF(L109=3,IF(M122=1,1,0),0)</f>
        <v>0</v>
      </c>
      <c r="N139" s="1060">
        <f>IF(N109=3,IF(M122=1,1,0),0)</f>
        <v>1</v>
      </c>
      <c r="O139" s="1057">
        <f>IF(O109=3,IF(P122=1,1,0),0)</f>
        <v>0</v>
      </c>
      <c r="Q139" s="1060">
        <f>IF(Q109=3,IF(P122=1,1,0),0)</f>
        <v>1</v>
      </c>
      <c r="R139" s="1057">
        <f>IF(R109=3,IF(S122=1,1,0),0)</f>
        <v>0</v>
      </c>
      <c r="T139" s="1060">
        <f>IF(T109=3,IF(S122=1,1,0),0)</f>
        <v>0</v>
      </c>
      <c r="U139" s="1057">
        <f>IF(U109=3,IF(V122=1,1,0),0)</f>
        <v>0</v>
      </c>
      <c r="W139" s="1060">
        <f>IF(W109=3,IF(V122=1,1,0),0)</f>
        <v>0</v>
      </c>
      <c r="X139" s="1057">
        <f>IF(X109=3,IF(Y122=1,1,0),0)</f>
        <v>0</v>
      </c>
      <c r="Z139" s="1060">
        <f>IF(Z109=3,IF(Y122=1,1,0),0)</f>
        <v>0</v>
      </c>
      <c r="AA139" s="1057">
        <f>IF(AA109=3,IF(AB122=1,1,0),0)</f>
        <v>0</v>
      </c>
      <c r="AC139" s="1060">
        <f>IF(AC109=3,IF(AB122=1,1,0),0)</f>
        <v>0</v>
      </c>
      <c r="AD139" s="1057">
        <f>IF(AD109=3,IF(AE122=1,1,0),0)</f>
        <v>0</v>
      </c>
      <c r="AF139" s="1060">
        <f>IF(AF109=3,IF(AE122=1,1,0),0)</f>
        <v>0</v>
      </c>
      <c r="AG139" s="1057">
        <f>SUM(B139:AF139)</f>
        <v>4</v>
      </c>
    </row>
    <row r="140" spans="1:38" s="1057" customFormat="1" ht="12.75" hidden="1" customHeight="1" x14ac:dyDescent="0.2">
      <c r="A140" s="1057" t="s">
        <v>104</v>
      </c>
      <c r="B140" s="1057">
        <f>IF(B109=4,IF(C122=1,1,0),0)</f>
        <v>0</v>
      </c>
      <c r="D140" s="1060">
        <f>IF(D109=4,IF(C122=1,1,0),0)</f>
        <v>0</v>
      </c>
      <c r="E140" s="1057">
        <f>IF(E109=4,IF(F122=1,1,0),0)</f>
        <v>0</v>
      </c>
      <c r="G140" s="1060">
        <f>IF(G109=4,IF(F122=1,1,0),0)</f>
        <v>0</v>
      </c>
      <c r="H140" s="1057">
        <f>IF(H109=4,IF(I122=1,1,0),0)</f>
        <v>0</v>
      </c>
      <c r="J140" s="1060">
        <f>IF(J109=4,IF(I122=1,1,0),0)</f>
        <v>0</v>
      </c>
      <c r="K140" s="1060"/>
      <c r="L140" s="1057">
        <f>IF(L109=4,IF(M122=1,1,0),0)</f>
        <v>0</v>
      </c>
      <c r="N140" s="1060">
        <f>IF(N109=4,IF(M122=1,1,0),0)</f>
        <v>0</v>
      </c>
      <c r="O140" s="1057">
        <f>IF(O109=4,IF(P122=1,1,0),0)</f>
        <v>0</v>
      </c>
      <c r="Q140" s="1060">
        <f>IF(Q109=4,IF(P122=1,1,0),0)</f>
        <v>0</v>
      </c>
      <c r="R140" s="1057">
        <f>IF(R109=4,IF(S122=1,1,0),0)</f>
        <v>0</v>
      </c>
      <c r="T140" s="1060">
        <f>IF(T109=4,IF(S122=1,1,0),0)</f>
        <v>0</v>
      </c>
      <c r="U140" s="1057">
        <f>IF(U109=4,IF(V122=1,1,0),0)</f>
        <v>0</v>
      </c>
      <c r="W140" s="1060">
        <f>IF(W109=4,IF(V122=1,1,0),0)</f>
        <v>0</v>
      </c>
      <c r="X140" s="1057">
        <f>IF(X109=4,IF(Y122=1,1,0),0)</f>
        <v>0</v>
      </c>
      <c r="Z140" s="1060">
        <f>IF(Z109=4,IF(Y122=1,1,0),0)</f>
        <v>0</v>
      </c>
      <c r="AA140" s="1057">
        <f>IF(AA109=4,IF(AB122=1,1,0),0)</f>
        <v>0</v>
      </c>
      <c r="AC140" s="1060">
        <f>IF(AC109=4,IF(AB122=1,1,0),0)</f>
        <v>0</v>
      </c>
      <c r="AD140" s="1057">
        <f>IF(AD109=4,IF(AE122=1,1,0),0)</f>
        <v>0</v>
      </c>
      <c r="AF140" s="1060">
        <f>IF(AF109=4,IF(AE122=1,1,0),0)</f>
        <v>0</v>
      </c>
      <c r="AG140" s="1057">
        <f>SUM(B140:AF140)</f>
        <v>0</v>
      </c>
    </row>
    <row r="141" spans="1:38" s="1057" customFormat="1" ht="12.75" hidden="1" customHeight="1" x14ac:dyDescent="0.2">
      <c r="A141" s="1057" t="s">
        <v>105</v>
      </c>
      <c r="B141" s="1057">
        <f>IF(B109=5,IF(C122=1,1,0),0)</f>
        <v>0</v>
      </c>
      <c r="D141" s="1060">
        <f>IF(D109=5,IF(C122=1,1,0),0)</f>
        <v>0</v>
      </c>
      <c r="E141" s="1057">
        <f>IF(E109=5,IF(F122=1,1,0),0)</f>
        <v>0</v>
      </c>
      <c r="G141" s="1060">
        <f>IF(G109=5,IF(F122=1,1,0),0)</f>
        <v>0</v>
      </c>
      <c r="H141" s="1057">
        <f>IF(H109=5,IF(I122=1,1,0),0)</f>
        <v>0</v>
      </c>
      <c r="J141" s="1060">
        <f>IF(J109=5,IF(I122=1,1,0),0)</f>
        <v>0</v>
      </c>
      <c r="K141" s="1060"/>
      <c r="L141" s="1057">
        <f>IF(L109=5,IF(M122=1,1,0),0)</f>
        <v>0</v>
      </c>
      <c r="N141" s="1060">
        <f>IF(N109=5,IF(M122=1,1,0),0)</f>
        <v>0</v>
      </c>
      <c r="O141" s="1057">
        <f>IF(O109=5,IF(P122=1,1,0),0)</f>
        <v>0</v>
      </c>
      <c r="Q141" s="1060">
        <f>IF(Q109=5,IF(P122=1,1,0),0)</f>
        <v>0</v>
      </c>
      <c r="R141" s="1057">
        <f>IF(R109=5,IF(S122=1,1,0),0)</f>
        <v>0</v>
      </c>
      <c r="T141" s="1060">
        <f>IF(T109=5,IF(S122=1,1,0),0)</f>
        <v>0</v>
      </c>
      <c r="U141" s="1057">
        <f>IF(U109=5,IF(V122=1,1,0),0)</f>
        <v>0</v>
      </c>
      <c r="W141" s="1060">
        <f>IF(W109=5,IF(V122=1,1,0),0)</f>
        <v>0</v>
      </c>
      <c r="X141" s="1057">
        <f>IF(X109=5,IF(Y122=1,1,0),0)</f>
        <v>0</v>
      </c>
      <c r="Z141" s="1060">
        <f>IF(Z109=5,IF(Y122=1,1,0),0)</f>
        <v>0</v>
      </c>
      <c r="AA141" s="1057">
        <f>IF(AA109=5,IF(AB122=1,1,0),0)</f>
        <v>0</v>
      </c>
      <c r="AC141" s="1060">
        <f>IF(AC109=5,IF(AB122=1,1,0),0)</f>
        <v>0</v>
      </c>
      <c r="AD141" s="1057">
        <f>IF(AD109=5,IF(AE122=1,1,0),0)</f>
        <v>0</v>
      </c>
      <c r="AF141" s="1060">
        <f>IF(AF109=5,IF(AE122=1,1,0),0)</f>
        <v>0</v>
      </c>
      <c r="AG141" s="1057">
        <f>SUM(B141:AF141)</f>
        <v>0</v>
      </c>
    </row>
    <row r="142" spans="1:38" s="1057" customFormat="1" ht="38.25" hidden="1" customHeight="1" x14ac:dyDescent="0.2">
      <c r="A142" s="1061"/>
      <c r="D142" s="1060"/>
      <c r="G142" s="1060"/>
      <c r="J142" s="1060"/>
      <c r="K142" s="1060"/>
      <c r="N142" s="1060"/>
      <c r="Q142" s="1060"/>
      <c r="T142" s="1060"/>
      <c r="W142" s="1060"/>
      <c r="Z142" s="1060"/>
      <c r="AC142" s="1060"/>
      <c r="AF142" s="1060"/>
      <c r="AG142" s="1061" t="s">
        <v>106</v>
      </c>
      <c r="AH142" s="1062"/>
      <c r="AI142" s="1062"/>
      <c r="AJ142" s="1062"/>
      <c r="AK142" s="1062"/>
      <c r="AL142" s="1062"/>
    </row>
    <row r="143" spans="1:38" s="1057" customFormat="1" ht="12.75" hidden="1" customHeight="1" x14ac:dyDescent="0.2">
      <c r="A143" s="1057" t="s">
        <v>101</v>
      </c>
      <c r="B143" s="1057">
        <f>IF(B109=1,B129,0)</f>
        <v>30</v>
      </c>
      <c r="D143" s="1060">
        <f>IF(D109=1,B129,0)</f>
        <v>0</v>
      </c>
      <c r="E143" s="1057">
        <f>IF(E109=1,E129,0)</f>
        <v>0</v>
      </c>
      <c r="G143" s="1060">
        <f>IF(G109=1,E129,0)</f>
        <v>0</v>
      </c>
      <c r="H143" s="1057">
        <f>IF(H109=1,H129,0)</f>
        <v>33</v>
      </c>
      <c r="J143" s="1060">
        <f>IF(J109=1,H129,0)</f>
        <v>0</v>
      </c>
      <c r="K143" s="1060"/>
      <c r="L143" s="1057">
        <f>IF(L109=1,L129,0)</f>
        <v>30</v>
      </c>
      <c r="N143" s="1060">
        <f>IF(N109=1,L129,0)</f>
        <v>0</v>
      </c>
      <c r="O143" s="1057">
        <f>IF(O109=1,O129,0)</f>
        <v>0</v>
      </c>
      <c r="Q143" s="1060">
        <f>IF(Q109=1,O129,0)</f>
        <v>0</v>
      </c>
      <c r="R143" s="1057">
        <f>IF(R109=1,R129,0)</f>
        <v>35</v>
      </c>
      <c r="T143" s="1060">
        <f>IF(T109=1,R129,0)</f>
        <v>0</v>
      </c>
      <c r="U143" s="1057">
        <f>IF(U109=1,U129,0)</f>
        <v>0</v>
      </c>
      <c r="W143" s="1060">
        <f>IF(W109=1,U129,0)</f>
        <v>0</v>
      </c>
      <c r="X143" s="1057">
        <f>IF(X109=1,X129,0)</f>
        <v>0</v>
      </c>
      <c r="Z143" s="1060">
        <f>IF(Z109=1,X129,0)</f>
        <v>0</v>
      </c>
      <c r="AA143" s="1057">
        <f>IF(AA109=1,AA129,0)</f>
        <v>0</v>
      </c>
      <c r="AC143" s="1060">
        <f>IF(AC109=1,AA129,0)</f>
        <v>0</v>
      </c>
      <c r="AD143" s="1057">
        <f>IF(AD109=1,AD129,0)</f>
        <v>0</v>
      </c>
      <c r="AF143" s="1060">
        <f>IF(AF109=1,AD129,0)</f>
        <v>0</v>
      </c>
      <c r="AG143" s="1057">
        <f>SUM(B143:AF143)</f>
        <v>128</v>
      </c>
    </row>
    <row r="144" spans="1:38" s="1057" customFormat="1" ht="12.75" hidden="1" customHeight="1" x14ac:dyDescent="0.2">
      <c r="A144" s="1057" t="s">
        <v>102</v>
      </c>
      <c r="B144" s="1057">
        <f>IF(B109=2,B129,0)</f>
        <v>0</v>
      </c>
      <c r="D144" s="1060">
        <f>IF(D109=2,B129,0)</f>
        <v>0</v>
      </c>
      <c r="E144" s="1057">
        <f>IF(E109=2,E129,0)</f>
        <v>29</v>
      </c>
      <c r="G144" s="1060">
        <f>IF(G109=2,E129,0)</f>
        <v>0</v>
      </c>
      <c r="H144" s="1057">
        <f>IF(H109=2,H129,0)</f>
        <v>0</v>
      </c>
      <c r="J144" s="1060">
        <f>IF(J109=2,H129,0)</f>
        <v>33</v>
      </c>
      <c r="K144" s="1060"/>
      <c r="L144" s="1057">
        <f>IF(L109=2,L129,0)</f>
        <v>0</v>
      </c>
      <c r="N144" s="1060">
        <f>IF(N109=2,L129,0)</f>
        <v>0</v>
      </c>
      <c r="O144" s="1057">
        <f>IF(O109=2,O129,0)</f>
        <v>27</v>
      </c>
      <c r="Q144" s="1060">
        <f>IF(Q109=2,O129,0)</f>
        <v>0</v>
      </c>
      <c r="R144" s="1057">
        <f>IF(R109=2,R129,0)</f>
        <v>0</v>
      </c>
      <c r="T144" s="1060">
        <f>IF(T109=2,R129,0)</f>
        <v>35</v>
      </c>
      <c r="U144" s="1057">
        <f>IF(U109=2,U129,0)</f>
        <v>0</v>
      </c>
      <c r="W144" s="1060">
        <f>IF(W109=2,U129,0)</f>
        <v>0</v>
      </c>
      <c r="X144" s="1057">
        <f>IF(X109=2,X129,0)</f>
        <v>0</v>
      </c>
      <c r="Z144" s="1060">
        <f>IF(Z109=2,X129,0)</f>
        <v>0</v>
      </c>
      <c r="AA144" s="1057">
        <f>IF(AA109=2,AA129,0)</f>
        <v>0</v>
      </c>
      <c r="AC144" s="1060">
        <f>IF(AC109=2,AA129,0)</f>
        <v>0</v>
      </c>
      <c r="AD144" s="1057">
        <f>IF(AD109=2,AD129,0)</f>
        <v>0</v>
      </c>
      <c r="AF144" s="1060">
        <f>IF(AF109=2,AD129,0)</f>
        <v>0</v>
      </c>
      <c r="AG144" s="1057">
        <f>SUM(B144:AF144)</f>
        <v>124</v>
      </c>
    </row>
    <row r="145" spans="1:34" s="1057" customFormat="1" ht="12.75" hidden="1" customHeight="1" x14ac:dyDescent="0.2">
      <c r="A145" s="1057" t="s">
        <v>103</v>
      </c>
      <c r="B145" s="1057">
        <f>IF(B109=3,B129,0)</f>
        <v>0</v>
      </c>
      <c r="D145" s="1060">
        <f>IF(D109=3,B129,0)</f>
        <v>30</v>
      </c>
      <c r="E145" s="1057">
        <f>IF(E109=3,E129,0)</f>
        <v>0</v>
      </c>
      <c r="G145" s="1060">
        <f>IF(G109=3,E129,0)</f>
        <v>29</v>
      </c>
      <c r="H145" s="1057">
        <f>IF(H109=3,H129,0)</f>
        <v>0</v>
      </c>
      <c r="J145" s="1060">
        <f>IF(J109=3,H129,0)</f>
        <v>0</v>
      </c>
      <c r="K145" s="1060"/>
      <c r="L145" s="1057">
        <f>IF(L109=3,L129,0)</f>
        <v>0</v>
      </c>
      <c r="N145" s="1060">
        <f>IF(N109=3,L129,0)</f>
        <v>30</v>
      </c>
      <c r="O145" s="1057">
        <f>IF(O109=3,O129,0)</f>
        <v>0</v>
      </c>
      <c r="Q145" s="1060">
        <f>IF(Q109=3,O129,0)</f>
        <v>27</v>
      </c>
      <c r="R145" s="1057">
        <f>IF(R109=3,R129,0)</f>
        <v>0</v>
      </c>
      <c r="T145" s="1060">
        <f>IF(T109=3,R129,0)</f>
        <v>0</v>
      </c>
      <c r="U145" s="1057">
        <f>IF(U109=3,U129,0)</f>
        <v>0</v>
      </c>
      <c r="W145" s="1060">
        <f>IF(W109=3,U129,0)</f>
        <v>0</v>
      </c>
      <c r="X145" s="1057">
        <f>IF(X109=3,X129,0)</f>
        <v>0</v>
      </c>
      <c r="Z145" s="1060">
        <f>IF(Z109=3,X129,0)</f>
        <v>0</v>
      </c>
      <c r="AA145" s="1057">
        <f>IF(AA109=3,AA129,0)</f>
        <v>0</v>
      </c>
      <c r="AC145" s="1060">
        <f>IF(AC109=3,AA129,0)</f>
        <v>0</v>
      </c>
      <c r="AD145" s="1057">
        <f>IF(AD109=3,AD129,0)</f>
        <v>0</v>
      </c>
      <c r="AF145" s="1060">
        <f>IF(AF109=3,AD129,0)</f>
        <v>0</v>
      </c>
      <c r="AG145" s="1057">
        <f>SUM(B145:AF145)</f>
        <v>116</v>
      </c>
    </row>
    <row r="146" spans="1:34" s="1057" customFormat="1" ht="12.75" hidden="1" customHeight="1" x14ac:dyDescent="0.2">
      <c r="A146" s="1057" t="s">
        <v>104</v>
      </c>
      <c r="B146" s="1057">
        <f>IF(B109=4,B129,0)</f>
        <v>0</v>
      </c>
      <c r="D146" s="1060">
        <f>IF(D109=4,B129,0)</f>
        <v>0</v>
      </c>
      <c r="E146" s="1057">
        <f>IF(E109=4,E129,0)</f>
        <v>0</v>
      </c>
      <c r="G146" s="1060">
        <f>IF(G109=4,E129,0)</f>
        <v>0</v>
      </c>
      <c r="H146" s="1057">
        <f>IF(H109=4,H129,0)</f>
        <v>0</v>
      </c>
      <c r="J146" s="1060">
        <f>IF(J109=4,H129,0)</f>
        <v>0</v>
      </c>
      <c r="K146" s="1060"/>
      <c r="L146" s="1057">
        <f>IF(L109=4,L129,0)</f>
        <v>0</v>
      </c>
      <c r="N146" s="1060">
        <f>IF(N109=4,L129,0)</f>
        <v>0</v>
      </c>
      <c r="O146" s="1057">
        <f>IF(O109=4,O129,0)</f>
        <v>0</v>
      </c>
      <c r="Q146" s="1060">
        <f>IF(Q109=4,O129,0)</f>
        <v>0</v>
      </c>
      <c r="R146" s="1057">
        <f>IF(R109=4,R129,0)</f>
        <v>0</v>
      </c>
      <c r="T146" s="1060">
        <f>IF(T109=4,R129,0)</f>
        <v>0</v>
      </c>
      <c r="U146" s="1057">
        <f>IF(U109=4,U129,0)</f>
        <v>0</v>
      </c>
      <c r="W146" s="1060">
        <f>IF(W109=4,U129,0)</f>
        <v>0</v>
      </c>
      <c r="X146" s="1057">
        <f>IF(X109=4,X129,0)</f>
        <v>0</v>
      </c>
      <c r="Z146" s="1060">
        <f>IF(Z109=4,X129,0)</f>
        <v>0</v>
      </c>
      <c r="AA146" s="1057">
        <f>IF(AA109=4,AA129,0)</f>
        <v>0</v>
      </c>
      <c r="AC146" s="1060">
        <f>IF(AC109=4,AA129,0)</f>
        <v>0</v>
      </c>
      <c r="AD146" s="1057">
        <f>IF(AD109=4,AD129,0)</f>
        <v>0</v>
      </c>
      <c r="AF146" s="1060">
        <f>IF(AF109=4,AD129,0)</f>
        <v>0</v>
      </c>
      <c r="AG146" s="1057">
        <f>SUM(B146:AF146)</f>
        <v>0</v>
      </c>
    </row>
    <row r="147" spans="1:34" s="1057" customFormat="1" ht="12.75" hidden="1" customHeight="1" x14ac:dyDescent="0.2">
      <c r="A147" s="1057" t="s">
        <v>105</v>
      </c>
      <c r="B147" s="1057">
        <f>IF(B109=5,B129,0)</f>
        <v>0</v>
      </c>
      <c r="D147" s="1060">
        <f>IF(D109=5,B129,0)</f>
        <v>0</v>
      </c>
      <c r="E147" s="1057">
        <f>IF(E109=5,E129,0)</f>
        <v>0</v>
      </c>
      <c r="G147" s="1060">
        <f>IF(G109=5,E129,0)</f>
        <v>0</v>
      </c>
      <c r="H147" s="1057">
        <f>IF(H109=5,H129,0)</f>
        <v>0</v>
      </c>
      <c r="J147" s="1060">
        <f>IF(J109=5,H129,0)</f>
        <v>0</v>
      </c>
      <c r="K147" s="1060"/>
      <c r="L147" s="1057">
        <f>IF(L109=5,L129,0)</f>
        <v>0</v>
      </c>
      <c r="N147" s="1060">
        <f>IF(N109=5,L129,0)</f>
        <v>0</v>
      </c>
      <c r="O147" s="1057">
        <f>IF(O109=5,O129,0)</f>
        <v>0</v>
      </c>
      <c r="Q147" s="1060">
        <f>IF(Q109=5,O129,0)</f>
        <v>0</v>
      </c>
      <c r="R147" s="1057">
        <f>IF(R109=5,R129,0)</f>
        <v>0</v>
      </c>
      <c r="T147" s="1060">
        <f>IF(T109=5,R129,0)</f>
        <v>0</v>
      </c>
      <c r="U147" s="1057">
        <f>IF(U109=5,U129,0)</f>
        <v>0</v>
      </c>
      <c r="W147" s="1060">
        <f>IF(W109=5,U129,0)</f>
        <v>0</v>
      </c>
      <c r="X147" s="1057">
        <f>IF(X109=5,X129,0)</f>
        <v>0</v>
      </c>
      <c r="Z147" s="1060">
        <f>IF(Z109=5,X129,0)</f>
        <v>0</v>
      </c>
      <c r="AA147" s="1057">
        <f>IF(AA109=5,AA129,0)</f>
        <v>0</v>
      </c>
      <c r="AC147" s="1060">
        <f>IF(AC109=5,AA129,0)</f>
        <v>0</v>
      </c>
      <c r="AD147" s="1057">
        <f>IF(AD109=5,AD129,0)</f>
        <v>0</v>
      </c>
      <c r="AF147" s="1060">
        <f>IF(AF109=5,AD129,0)</f>
        <v>0</v>
      </c>
      <c r="AG147" s="1057">
        <f>SUM(B147:AF147)</f>
        <v>0</v>
      </c>
    </row>
    <row r="148" spans="1:34" s="1057" customFormat="1" ht="38.25" hidden="1" customHeight="1" x14ac:dyDescent="0.2">
      <c r="A148" s="1057" t="s">
        <v>107</v>
      </c>
      <c r="D148" s="1060"/>
      <c r="G148" s="1060"/>
      <c r="J148" s="1060"/>
      <c r="K148" s="1060"/>
      <c r="N148" s="1060"/>
      <c r="Q148" s="1060"/>
      <c r="T148" s="1060"/>
      <c r="W148" s="1060"/>
      <c r="Z148" s="1060"/>
      <c r="AC148" s="1060"/>
      <c r="AF148" s="1060"/>
      <c r="AG148" s="1061" t="s">
        <v>108</v>
      </c>
      <c r="AH148" s="1057" t="s">
        <v>109</v>
      </c>
    </row>
    <row r="149" spans="1:34" s="1057" customFormat="1" ht="12.75" hidden="1" customHeight="1" x14ac:dyDescent="0.2">
      <c r="A149" s="1057" t="s">
        <v>95</v>
      </c>
      <c r="B149" s="1057">
        <f>IF(B109=1,SUMIF(B116:B120,"&gt;0"),0)</f>
        <v>0</v>
      </c>
      <c r="D149" s="1060">
        <f>IF(D109=1,SUMIF(D116:D120,"&gt;0"),0)</f>
        <v>0</v>
      </c>
      <c r="E149" s="1057">
        <f>IF(E109=1,SUMIF(E116:E120,"&gt;0"),0)</f>
        <v>0</v>
      </c>
      <c r="G149" s="1060">
        <f>IF(G109=1,SUMIF(G116:G120,"&gt;0"),0)</f>
        <v>0</v>
      </c>
      <c r="H149" s="1057">
        <f>IF(H109=1,SUMIF(H116:H120,"&gt;0"),0)</f>
        <v>0</v>
      </c>
      <c r="J149" s="1060">
        <f>IF(J109=1,SUMIF(J116:J120,"&gt;0"),0)</f>
        <v>0</v>
      </c>
      <c r="K149" s="1060"/>
      <c r="L149" s="1057">
        <f>IF(L109=1,SUMIF(L116:L120,"&gt;0"),0)</f>
        <v>0</v>
      </c>
      <c r="N149" s="1060">
        <f>IF(N109=1,SUMIF(N116:N120,"&gt;0"),0)</f>
        <v>0</v>
      </c>
      <c r="O149" s="1057">
        <f>IF(O109=1,SUMIF(O116:O120,"&gt;0"),0)</f>
        <v>0</v>
      </c>
      <c r="Q149" s="1060">
        <f>IF(Q109=1,SUMIF(Q116:Q120,"&gt;0"),0)</f>
        <v>0</v>
      </c>
      <c r="R149" s="1057">
        <f>IF(R109=1,SUMIF(R116:R120,"&gt;0"),0)</f>
        <v>1</v>
      </c>
      <c r="T149" s="1060">
        <f>IF(T109=1,SUMIF(T116:T120,"&gt;0"),0)</f>
        <v>0</v>
      </c>
      <c r="U149" s="1057">
        <f>IF(U109=1,SUMIF(U116:U120,"&gt;0"),0)</f>
        <v>0</v>
      </c>
      <c r="W149" s="1060">
        <f>IF(W109=1,SUMIF(W116:W120,"&gt;0"),0)</f>
        <v>0</v>
      </c>
      <c r="X149" s="1057">
        <f>IF(X109=1,SUMIF(X116:X120,"&gt;0"),0)</f>
        <v>0</v>
      </c>
      <c r="Z149" s="1060">
        <f>IF(Z109=1,SUMIF(Z116:Z120,"&gt;0"),0)</f>
        <v>0</v>
      </c>
      <c r="AA149" s="1057">
        <f>IF(AA109=1,SUMIF(AA116:AA120,"&gt;0"),0)</f>
        <v>0</v>
      </c>
      <c r="AC149" s="1060">
        <f>IF(AC109=1,SUMIF(AC116:AC120,"&gt;0"),0)</f>
        <v>0</v>
      </c>
      <c r="AD149" s="1057">
        <f>IF(AD109=1,SUMIF(AD116:AD120,"&gt;0"),0)</f>
        <v>0</v>
      </c>
      <c r="AF149" s="1060">
        <f>IF(AF109=1,SUMIF(AF116:AF120,"&gt;0"),0)</f>
        <v>0</v>
      </c>
      <c r="AG149" s="1057">
        <f>SUM(B149:AF149)</f>
        <v>1</v>
      </c>
      <c r="AH149" s="1057">
        <f>AG157-AG149</f>
        <v>3</v>
      </c>
    </row>
    <row r="150" spans="1:34" s="1057" customFormat="1" ht="12.75" hidden="1" customHeight="1" x14ac:dyDescent="0.2">
      <c r="A150" s="1057" t="s">
        <v>96</v>
      </c>
      <c r="B150" s="1057">
        <f>IF(B109=2,SUMIF(B116:B120,"&gt;0"),0)</f>
        <v>0</v>
      </c>
      <c r="D150" s="1060">
        <f>IF(D109=2,SUMIF(D116:D120,"&gt;0"),0)</f>
        <v>0</v>
      </c>
      <c r="E150" s="1057">
        <f>IF(E109=2,SUMIF(E116:E120,"&gt;0"),0)</f>
        <v>0</v>
      </c>
      <c r="G150" s="1060">
        <f>IF(G109=2,SUMIF(G116:G120,"&gt;0"),0)</f>
        <v>0</v>
      </c>
      <c r="H150" s="1057">
        <f>IF(H109=2,SUMIF(H116:H120,"&gt;0"),0)</f>
        <v>0</v>
      </c>
      <c r="J150" s="1060">
        <f>IF(J109=2,SUMIF(J116:J120,"&gt;0"),0)</f>
        <v>1</v>
      </c>
      <c r="K150" s="1060"/>
      <c r="L150" s="1057">
        <f>IF(L109=2,SUMIF(L116:L120,"&gt;0"),0)</f>
        <v>0</v>
      </c>
      <c r="N150" s="1060">
        <f>IF(N109=2,SUMIF(N116:N120,"&gt;0"),0)</f>
        <v>0</v>
      </c>
      <c r="O150" s="1057">
        <f>IF(O109=2,SUMIF(O116:O120,"&gt;0"),0)</f>
        <v>0</v>
      </c>
      <c r="Q150" s="1060">
        <f>IF(Q109=2,SUMIF(Q116:Q120,"&gt;0"),0)</f>
        <v>0</v>
      </c>
      <c r="R150" s="1057">
        <f>IF(R109=2,SUMIF(R116:R120,"&gt;0"),0)</f>
        <v>0</v>
      </c>
      <c r="T150" s="1060">
        <f>IF(T109=2,SUMIF(T116:T120,"&gt;0"),0)</f>
        <v>0</v>
      </c>
      <c r="U150" s="1057">
        <f>IF(U109=2,SUMIF(U116:U120,"&gt;0"),0)</f>
        <v>0</v>
      </c>
      <c r="W150" s="1060">
        <f>IF(W109=2,SUMIF(W116:W120,"&gt;0"),0)</f>
        <v>0</v>
      </c>
      <c r="X150" s="1057">
        <f>IF(X109=2,SUMIF(X116:X120,"&gt;0"),0)</f>
        <v>0</v>
      </c>
      <c r="Z150" s="1060">
        <f>IF(Z109=2,SUMIF(Z116:Z120,"&gt;0"),0)</f>
        <v>0</v>
      </c>
      <c r="AA150" s="1057">
        <f>IF(AA109=2,SUMIF(AA116:AA120,"&gt;0"),0)</f>
        <v>0</v>
      </c>
      <c r="AC150" s="1060">
        <f>IF(AC109=2,SUMIF(AC116:AC120,"&gt;0"),0)</f>
        <v>0</v>
      </c>
      <c r="AD150" s="1057">
        <f>IF(AD109=2,SUMIF(AD116:AD120,"&gt;0"),0)</f>
        <v>0</v>
      </c>
      <c r="AF150" s="1060">
        <f>IF(AF109=2,SUMIF(AF116:AF120,"&gt;0"),0)</f>
        <v>0</v>
      </c>
      <c r="AG150" s="1057">
        <f>SUM(B150:AF150)</f>
        <v>1</v>
      </c>
      <c r="AH150" s="1057">
        <f>AG158-AG150</f>
        <v>3</v>
      </c>
    </row>
    <row r="151" spans="1:34" s="1057" customFormat="1" ht="12.75" hidden="1" customHeight="1" x14ac:dyDescent="0.2">
      <c r="A151" s="1057" t="s">
        <v>97</v>
      </c>
      <c r="B151" s="1057">
        <f>IF(B109=3,SUMIF(B116:B120,"&gt;0"),0)</f>
        <v>0</v>
      </c>
      <c r="D151" s="1060">
        <f>IF(D109=3,SUMIF(D116:D120,"&gt;0"),0)</f>
        <v>1</v>
      </c>
      <c r="E151" s="1057">
        <f>IF(E109=3,SUMIF(E116:E120,"&gt;0"),0)</f>
        <v>0</v>
      </c>
      <c r="G151" s="1060">
        <f>IF(G109=3,SUMIF(G116:G120,"&gt;0"),0)</f>
        <v>1</v>
      </c>
      <c r="H151" s="1057">
        <f>IF(H109=3,SUMIF(H116:H120,"&gt;0"),0)</f>
        <v>0</v>
      </c>
      <c r="J151" s="1060">
        <f>IF(J109=3,SUMIF(J116:J120,"&gt;0"),0)</f>
        <v>0</v>
      </c>
      <c r="K151" s="1060"/>
      <c r="L151" s="1057">
        <f>IF(L109=3,SUMIF(L116:L120,"&gt;0"),0)</f>
        <v>0</v>
      </c>
      <c r="N151" s="1060">
        <f>IF(N109=3,SUMIF(N116:N120,"&gt;0"),0)</f>
        <v>1</v>
      </c>
      <c r="O151" s="1057">
        <f>IF(O109=3,SUMIF(O116:O120,"&gt;0"),0)</f>
        <v>0</v>
      </c>
      <c r="Q151" s="1060">
        <f>IF(Q109=3,SUMIF(Q116:Q120,"&gt;0"),0)</f>
        <v>1</v>
      </c>
      <c r="R151" s="1057">
        <f>IF(R109=3,SUMIF(R116:R120,"&gt;0"),0)</f>
        <v>0</v>
      </c>
      <c r="T151" s="1060">
        <f>IF(T109=3,SUMIF(T116:T120,"&gt;0"),0)</f>
        <v>0</v>
      </c>
      <c r="U151" s="1057">
        <f>IF(U109=3,SUMIF(U116:U120,"&gt;0"),0)</f>
        <v>0</v>
      </c>
      <c r="W151" s="1060">
        <f>IF(W109=3,SUMIF(W116:W120,"&gt;0"),0)</f>
        <v>0</v>
      </c>
      <c r="X151" s="1057">
        <f>IF(X109=3,SUMIF(X116:X120,"&gt;0"),0)</f>
        <v>0</v>
      </c>
      <c r="Z151" s="1060">
        <f>IF(Z109=3,SUMIF(Z116:Z120,"&gt;0"),0)</f>
        <v>0</v>
      </c>
      <c r="AA151" s="1057">
        <f>IF(AA109=3,SUMIF(AA116:AA120,"&gt;0"),0)</f>
        <v>0</v>
      </c>
      <c r="AC151" s="1060">
        <f>IF(AC109=3,SUMIF(AC116:AC120,"&gt;0"),0)</f>
        <v>0</v>
      </c>
      <c r="AD151" s="1057">
        <f>IF(AD109=3,SUMIF(AD116:AD120,"&gt;0"),0)</f>
        <v>0</v>
      </c>
      <c r="AF151" s="1060">
        <f>IF(AF109=3,SUMIF(AF116:AF120,"&gt;0"),0)</f>
        <v>0</v>
      </c>
      <c r="AG151" s="1057">
        <f>SUM(B151:AF151)</f>
        <v>4</v>
      </c>
      <c r="AH151" s="1057">
        <f>AG159-AG151</f>
        <v>0</v>
      </c>
    </row>
    <row r="152" spans="1:34" s="1057" customFormat="1" ht="12.75" hidden="1" customHeight="1" x14ac:dyDescent="0.2">
      <c r="A152" s="1057" t="s">
        <v>98</v>
      </c>
      <c r="B152" s="1057">
        <f>IF(B109=4,SUMIF(B116:B120,"&gt;0"),0)</f>
        <v>0</v>
      </c>
      <c r="D152" s="1060">
        <f>IF(D109=4,SUMIF(D116:D120,"&gt;0"),0)</f>
        <v>0</v>
      </c>
      <c r="E152" s="1057">
        <f>IF(E109=4,SUMIF(E116:E120,"&gt;0"),0)</f>
        <v>0</v>
      </c>
      <c r="G152" s="1060">
        <f>IF(G109=4,SUMIF(G116:G120,"&gt;0"),0)</f>
        <v>0</v>
      </c>
      <c r="H152" s="1057">
        <f>IF(H109=4,SUMIF(H116:H120,"&gt;0"),0)</f>
        <v>0</v>
      </c>
      <c r="J152" s="1060">
        <f>IF(J109=4,SUMIF(J116:J120,"&gt;0"),0)</f>
        <v>0</v>
      </c>
      <c r="K152" s="1060"/>
      <c r="L152" s="1057">
        <f>IF(L109=4,SUMIF(L116:L120,"&gt;0"),0)</f>
        <v>0</v>
      </c>
      <c r="N152" s="1060">
        <f>IF(N109=4,SUMIF(N116:N120,"&gt;0"),0)</f>
        <v>0</v>
      </c>
      <c r="O152" s="1057">
        <f>IF(O109=4,SUMIF(O116:O120,"&gt;0"),0)</f>
        <v>0</v>
      </c>
      <c r="Q152" s="1060">
        <f>IF(Q109=4,SUMIF(Q116:Q120,"&gt;0"),0)</f>
        <v>0</v>
      </c>
      <c r="R152" s="1057">
        <f>IF(R109=4,SUMIF(R116:R120,"&gt;0"),0)</f>
        <v>0</v>
      </c>
      <c r="T152" s="1060">
        <f>IF(T109=4,SUMIF(T116:T120,"&gt;0"),0)</f>
        <v>0</v>
      </c>
      <c r="U152" s="1057">
        <f>IF(U109=4,SUMIF(U116:U120,"&gt;0"),0)</f>
        <v>0</v>
      </c>
      <c r="W152" s="1060">
        <f>IF(W109=4,SUMIF(W116:W120,"&gt;0"),0)</f>
        <v>0</v>
      </c>
      <c r="X152" s="1057">
        <f>IF(X109=4,SUMIF(X116:X120,"&gt;0"),0)</f>
        <v>0</v>
      </c>
      <c r="Z152" s="1060">
        <f>IF(Z109=4,SUMIF(Z116:Z120,"&gt;0"),0)</f>
        <v>0</v>
      </c>
      <c r="AA152" s="1057">
        <f>IF(AA109=4,SUMIF(AA116:AA120,"&gt;0"),0)</f>
        <v>0</v>
      </c>
      <c r="AC152" s="1060">
        <f>IF(AC109=4,SUMIF(AC116:AC120,"&gt;0"),0)</f>
        <v>0</v>
      </c>
      <c r="AD152" s="1057">
        <f>IF(AD109=4,SUMIF(AD116:AD120,"&gt;0"),0)</f>
        <v>0</v>
      </c>
      <c r="AF152" s="1060">
        <f>IF(AF109=4,SUMIF(AF116:AF120,"&gt;0"),0)</f>
        <v>0</v>
      </c>
      <c r="AG152" s="1057">
        <f>SUM(B152:AF152)</f>
        <v>0</v>
      </c>
      <c r="AH152" s="1057">
        <f>AG160-AG152</f>
        <v>0</v>
      </c>
    </row>
    <row r="153" spans="1:34" s="1057" customFormat="1" ht="12.75" hidden="1" customHeight="1" x14ac:dyDescent="0.2">
      <c r="A153" s="1057" t="s">
        <v>99</v>
      </c>
      <c r="B153" s="1057">
        <f>IF(B109=5,SUMIF(B116:B120,"&gt;0"),0)</f>
        <v>0</v>
      </c>
      <c r="D153" s="1060">
        <f>IF(D109=5,SUMIF(D116:D120,"&gt;0"),0)</f>
        <v>0</v>
      </c>
      <c r="E153" s="1057">
        <f>IF(E109=5,SUMIF(E116:E120,"&gt;0"),0)</f>
        <v>0</v>
      </c>
      <c r="G153" s="1060">
        <f>IF(G109=5,SUMIF(G116:G120,"&gt;0"),0)</f>
        <v>0</v>
      </c>
      <c r="H153" s="1057">
        <f>IF(H109=5,SUMIF(H116:H120,"&gt;0"),0)</f>
        <v>0</v>
      </c>
      <c r="J153" s="1060">
        <f>IF(J109=5,SUMIF(J116:J120,"&gt;0"),0)</f>
        <v>0</v>
      </c>
      <c r="K153" s="1060"/>
      <c r="L153" s="1057">
        <f>IF(L109=5,SUMIF(L116:L120,"&gt;0"),0)</f>
        <v>0</v>
      </c>
      <c r="N153" s="1060">
        <f>IF(N109=5,SUMIF(N116:N120,"&gt;0"),0)</f>
        <v>0</v>
      </c>
      <c r="O153" s="1057">
        <f>IF(O109=5,SUMIF(O116:O120,"&gt;0"),0)</f>
        <v>0</v>
      </c>
      <c r="Q153" s="1060">
        <f>IF(Q109=5,SUMIF(Q116:Q120,"&gt;0"),0)</f>
        <v>0</v>
      </c>
      <c r="R153" s="1057">
        <f>IF(R109=5,SUMIF(R116:R120,"&gt;0"),0)</f>
        <v>0</v>
      </c>
      <c r="T153" s="1060">
        <f>IF(T109=5,SUMIF(T116:T120,"&gt;0"),0)</f>
        <v>0</v>
      </c>
      <c r="U153" s="1057">
        <f>IF(U109=5,SUMIF(U116:U120,"&gt;0"),0)</f>
        <v>0</v>
      </c>
      <c r="W153" s="1060">
        <f>IF(W109=5,SUMIF(W116:W120,"&gt;0"),0)</f>
        <v>0</v>
      </c>
      <c r="X153" s="1057">
        <f>IF(X109=5,SUMIF(X116:X120,"&gt;0"),0)</f>
        <v>0</v>
      </c>
      <c r="Z153" s="1060">
        <f>IF(Z109=5,SUMIF(Z116:Z120,"&gt;0"),0)</f>
        <v>0</v>
      </c>
      <c r="AA153" s="1057">
        <f>IF(AA109=5,SUMIF(AA116:AA120,"&gt;0"),0)</f>
        <v>0</v>
      </c>
      <c r="AC153" s="1060">
        <f>IF(AC109=5,SUMIF(AC116:AC120,"&gt;0"),0)</f>
        <v>0</v>
      </c>
      <c r="AD153" s="1057">
        <f>IF(AD109=5,SUMIF(AD116:AD120,"&gt;0"),0)</f>
        <v>0</v>
      </c>
      <c r="AF153" s="1060">
        <f>IF(AF109=5,SUMIF(AF116:AF120,"&gt;0"),0)</f>
        <v>0</v>
      </c>
      <c r="AG153" s="1057">
        <f>SUM(B153:AF153)</f>
        <v>0</v>
      </c>
      <c r="AH153" s="1057">
        <f>AG161-AG153</f>
        <v>0</v>
      </c>
    </row>
    <row r="154" spans="1:34" s="1057" customFormat="1" ht="12.75" hidden="1" customHeight="1" x14ac:dyDescent="0.2">
      <c r="D154" s="1060"/>
      <c r="G154" s="1060"/>
      <c r="J154" s="1060"/>
      <c r="K154" s="1060"/>
      <c r="N154" s="1060"/>
      <c r="Q154" s="1060"/>
      <c r="T154" s="1060"/>
      <c r="W154" s="1060"/>
      <c r="Z154" s="1060"/>
      <c r="AC154" s="1060"/>
      <c r="AF154" s="1060"/>
    </row>
    <row r="155" spans="1:34" s="1057" customFormat="1" ht="12.75" hidden="1" customHeight="1" x14ac:dyDescent="0.2">
      <c r="D155" s="1060"/>
      <c r="G155" s="1060"/>
      <c r="J155" s="1060"/>
      <c r="K155" s="1060"/>
      <c r="N155" s="1060"/>
      <c r="Q155" s="1060"/>
      <c r="T155" s="1060"/>
      <c r="W155" s="1060"/>
      <c r="Z155" s="1060"/>
      <c r="AC155" s="1060"/>
      <c r="AF155" s="1060"/>
    </row>
    <row r="156" spans="1:34" s="1057" customFormat="1" ht="51" hidden="1" customHeight="1" x14ac:dyDescent="0.2">
      <c r="A156" s="1061" t="s">
        <v>110</v>
      </c>
      <c r="C156" s="1057">
        <f>SUMIF(B149:D153,"&gt;0")</f>
        <v>1</v>
      </c>
      <c r="D156" s="1060"/>
      <c r="F156" s="1057">
        <f>SUMIF(E149:G153,"&gt;0")</f>
        <v>1</v>
      </c>
      <c r="G156" s="1060"/>
      <c r="I156" s="1057">
        <f>SUMIF(H149:J153,"&gt;0")</f>
        <v>1</v>
      </c>
      <c r="J156" s="1060"/>
      <c r="K156" s="1060"/>
      <c r="M156" s="1057">
        <f>SUMIF(L149:N153,"&gt;0")</f>
        <v>1</v>
      </c>
      <c r="N156" s="1060"/>
      <c r="P156" s="1057">
        <f>SUMIF(O149:Q153,"&gt;0")</f>
        <v>1</v>
      </c>
      <c r="Q156" s="1060"/>
      <c r="S156" s="1057">
        <f>SUMIF(R149:T153,"&gt;0")</f>
        <v>1</v>
      </c>
      <c r="T156" s="1060"/>
      <c r="V156" s="1057">
        <f>SUMIF(U149:W153,"&gt;0")</f>
        <v>0</v>
      </c>
      <c r="W156" s="1060"/>
      <c r="Y156" s="1057">
        <f>SUMIF(X149:Z153,"&gt;0")</f>
        <v>0</v>
      </c>
      <c r="Z156" s="1060"/>
      <c r="AB156" s="1057">
        <f>SUMIF(AA149:AC153,"&gt;0")</f>
        <v>0</v>
      </c>
      <c r="AC156" s="1060"/>
      <c r="AE156" s="1057">
        <f>SUMIF(AD149:AF153,"&gt;0")</f>
        <v>0</v>
      </c>
      <c r="AF156" s="1060"/>
      <c r="AG156" s="1061" t="s">
        <v>111</v>
      </c>
    </row>
    <row r="157" spans="1:34" s="1057" customFormat="1" ht="12.75" hidden="1" customHeight="1" x14ac:dyDescent="0.2">
      <c r="A157" s="1057" t="s">
        <v>101</v>
      </c>
      <c r="B157" s="1057">
        <f>IF(B109=1,C156,0)</f>
        <v>1</v>
      </c>
      <c r="D157" s="1060">
        <f>IF(D109=1,C156,0)</f>
        <v>0</v>
      </c>
      <c r="E157" s="1057">
        <f>IF(E109=1,F156,0)</f>
        <v>0</v>
      </c>
      <c r="G157" s="1060">
        <f>IF(G109=1,F156,0)</f>
        <v>0</v>
      </c>
      <c r="H157" s="1057">
        <f>IF(H109=1,I156,0)</f>
        <v>1</v>
      </c>
      <c r="J157" s="1060">
        <f>IF(J109=1,I156,0)</f>
        <v>0</v>
      </c>
      <c r="K157" s="1060"/>
      <c r="L157" s="1057">
        <f>IF(L109=1,M156,0)</f>
        <v>1</v>
      </c>
      <c r="N157" s="1060">
        <f>IF(N109=1,M156,0)</f>
        <v>0</v>
      </c>
      <c r="O157" s="1057">
        <f>IF(O109=1,P156,0)</f>
        <v>0</v>
      </c>
      <c r="Q157" s="1060">
        <f>IF(Q109=1,P156,0)</f>
        <v>0</v>
      </c>
      <c r="R157" s="1057">
        <f>IF(R109=1,S156,0)</f>
        <v>1</v>
      </c>
      <c r="T157" s="1060">
        <f>IF(T109=1,S156,0)</f>
        <v>0</v>
      </c>
      <c r="U157" s="1057">
        <f>IF(U109=1,V156,0)</f>
        <v>0</v>
      </c>
      <c r="W157" s="1060">
        <f>IF(W109=1,V156,0)</f>
        <v>0</v>
      </c>
      <c r="X157" s="1057">
        <f>IF(X109=1,Y156,0)</f>
        <v>0</v>
      </c>
      <c r="Z157" s="1060">
        <f>IF(Z109=1,Y156,0)</f>
        <v>0</v>
      </c>
      <c r="AA157" s="1057">
        <f>IF(AA109=1,AB156,0)</f>
        <v>0</v>
      </c>
      <c r="AC157" s="1060">
        <f>IF(AC109=1,AB156,0)</f>
        <v>0</v>
      </c>
      <c r="AD157" s="1057">
        <f>IF(AD109=1,AE156,0)</f>
        <v>0</v>
      </c>
      <c r="AF157" s="1060">
        <f>IF(AF109=1,AE156,0)</f>
        <v>0</v>
      </c>
      <c r="AG157" s="1057">
        <f>SUM(B157:AF157)</f>
        <v>4</v>
      </c>
    </row>
    <row r="158" spans="1:34" s="1057" customFormat="1" ht="12.75" hidden="1" customHeight="1" x14ac:dyDescent="0.2">
      <c r="A158" s="1057" t="s">
        <v>102</v>
      </c>
      <c r="B158" s="1057">
        <f>IF(B109=2,C156,0)</f>
        <v>0</v>
      </c>
      <c r="D158" s="1060">
        <f>IF(D109=2,C156,0)</f>
        <v>0</v>
      </c>
      <c r="E158" s="1057">
        <f>IF(E109=2,F156,0)</f>
        <v>1</v>
      </c>
      <c r="G158" s="1060">
        <f>IF(G109=2,F156,0)</f>
        <v>0</v>
      </c>
      <c r="H158" s="1057">
        <f>IF(H109=2,I156,0)</f>
        <v>0</v>
      </c>
      <c r="J158" s="1060">
        <f>IF(J109=2,I156,0)</f>
        <v>1</v>
      </c>
      <c r="K158" s="1060"/>
      <c r="L158" s="1057">
        <f>IF(L109=2,M156,0)</f>
        <v>0</v>
      </c>
      <c r="N158" s="1060">
        <f>IF(N109=2,M156,0)</f>
        <v>0</v>
      </c>
      <c r="O158" s="1057">
        <f>IF(O109=2,P156,0)</f>
        <v>1</v>
      </c>
      <c r="Q158" s="1060">
        <f>IF(Q109=2,P156,0)</f>
        <v>0</v>
      </c>
      <c r="R158" s="1057">
        <f>IF(R109=2,S156,0)</f>
        <v>0</v>
      </c>
      <c r="T158" s="1060">
        <f>IF(T109=2,S156,0)</f>
        <v>1</v>
      </c>
      <c r="U158" s="1057">
        <f>IF(U109=2,V156,0)</f>
        <v>0</v>
      </c>
      <c r="W158" s="1060">
        <f>IF(W109=2,V156,0)</f>
        <v>0</v>
      </c>
      <c r="X158" s="1057">
        <f>IF(X109=2,Y156,0)</f>
        <v>0</v>
      </c>
      <c r="Z158" s="1060">
        <f>IF(Z109=2,Y156,0)</f>
        <v>0</v>
      </c>
      <c r="AA158" s="1057">
        <f>IF(AA109=2,AB156,0)</f>
        <v>0</v>
      </c>
      <c r="AC158" s="1060">
        <f>IF(AC109=2,AB156,0)</f>
        <v>0</v>
      </c>
      <c r="AD158" s="1057">
        <f>IF(AD109=2,AE156,0)</f>
        <v>0</v>
      </c>
      <c r="AF158" s="1060">
        <f>IF(AF109=2,AE156,0)</f>
        <v>0</v>
      </c>
      <c r="AG158" s="1057">
        <f>SUM(B158:AF158)</f>
        <v>4</v>
      </c>
    </row>
    <row r="159" spans="1:34" s="1057" customFormat="1" ht="12.75" hidden="1" customHeight="1" x14ac:dyDescent="0.2">
      <c r="A159" s="1057" t="s">
        <v>103</v>
      </c>
      <c r="B159" s="1057">
        <f>IF(B109=3,C156,0)</f>
        <v>0</v>
      </c>
      <c r="D159" s="1060">
        <f>IF(D109=3,C156,0)</f>
        <v>1</v>
      </c>
      <c r="E159" s="1057">
        <f>IF(E109=3,F156,0)</f>
        <v>0</v>
      </c>
      <c r="G159" s="1060">
        <f>IF(G109=3,F156,0)</f>
        <v>1</v>
      </c>
      <c r="H159" s="1057">
        <f>IF(H109=3,I156,0)</f>
        <v>0</v>
      </c>
      <c r="J159" s="1060">
        <f>IF(J109=3,I156,0)</f>
        <v>0</v>
      </c>
      <c r="K159" s="1060"/>
      <c r="L159" s="1057">
        <f>IF(L109=3,M156,0)</f>
        <v>0</v>
      </c>
      <c r="N159" s="1060">
        <f>IF(N109=3,M156,0)</f>
        <v>1</v>
      </c>
      <c r="O159" s="1057">
        <f>IF(O109=3,P156,0)</f>
        <v>0</v>
      </c>
      <c r="Q159" s="1060">
        <f>IF(Q109=3,P156,0)</f>
        <v>1</v>
      </c>
      <c r="R159" s="1057">
        <f>IF(R109=3,S156,0)</f>
        <v>0</v>
      </c>
      <c r="T159" s="1060">
        <f>IF(T109=3,S156,0)</f>
        <v>0</v>
      </c>
      <c r="U159" s="1057">
        <f>IF(U109=3,V156,0)</f>
        <v>0</v>
      </c>
      <c r="W159" s="1060">
        <f>IF(W109=3,V156,0)</f>
        <v>0</v>
      </c>
      <c r="X159" s="1057">
        <f>IF(X109=3,Y156,0)</f>
        <v>0</v>
      </c>
      <c r="Z159" s="1060">
        <f>IF(Z109=3,Y156,0)</f>
        <v>0</v>
      </c>
      <c r="AA159" s="1057">
        <f>IF(AA109=3,AB156,0)</f>
        <v>0</v>
      </c>
      <c r="AC159" s="1060">
        <f>IF(AC109=3,AB156,0)</f>
        <v>0</v>
      </c>
      <c r="AD159" s="1057">
        <f>IF(AD109=3,AE156,0)</f>
        <v>0</v>
      </c>
      <c r="AF159" s="1060">
        <f>IF(AF109=3,AE156,0)</f>
        <v>0</v>
      </c>
      <c r="AG159" s="1057">
        <f>SUM(B159:AF159)</f>
        <v>4</v>
      </c>
    </row>
    <row r="160" spans="1:34" s="1057" customFormat="1" ht="12.75" hidden="1" customHeight="1" x14ac:dyDescent="0.2">
      <c r="A160" s="1057" t="s">
        <v>104</v>
      </c>
      <c r="B160" s="1057">
        <f>IF(B109=4,C156,0)</f>
        <v>0</v>
      </c>
      <c r="D160" s="1060">
        <f>IF(D109=4,C156,0)</f>
        <v>0</v>
      </c>
      <c r="E160" s="1057">
        <f>IF(E109=4,F156,0)</f>
        <v>0</v>
      </c>
      <c r="G160" s="1060">
        <f>IF(G109=4,F156,0)</f>
        <v>0</v>
      </c>
      <c r="H160" s="1057">
        <f>IF(H109=4,I156,0)</f>
        <v>0</v>
      </c>
      <c r="J160" s="1060">
        <f>IF(J109=4,I156,0)</f>
        <v>0</v>
      </c>
      <c r="K160" s="1060"/>
      <c r="L160" s="1057">
        <f>IF(L109=4,M156,0)</f>
        <v>0</v>
      </c>
      <c r="N160" s="1060">
        <f>IF(N109=4,M156,0)</f>
        <v>0</v>
      </c>
      <c r="O160" s="1057">
        <f>IF(O109=4,P156,0)</f>
        <v>0</v>
      </c>
      <c r="Q160" s="1060">
        <f>IF(Q109=4,P156,0)</f>
        <v>0</v>
      </c>
      <c r="R160" s="1057">
        <f>IF(R109=4,S156,0)</f>
        <v>0</v>
      </c>
      <c r="T160" s="1060">
        <f>IF(T109=4,S156,0)</f>
        <v>0</v>
      </c>
      <c r="U160" s="1057">
        <f>IF(U109=4,V156,0)</f>
        <v>0</v>
      </c>
      <c r="W160" s="1060">
        <f>IF(W109=4,V156,0)</f>
        <v>0</v>
      </c>
      <c r="X160" s="1057">
        <f>IF(X109=4,Y156,0)</f>
        <v>0</v>
      </c>
      <c r="Z160" s="1060">
        <f>IF(Z109=4,Y156,0)</f>
        <v>0</v>
      </c>
      <c r="AA160" s="1057">
        <f>IF(AA109=4,AB156,0)</f>
        <v>0</v>
      </c>
      <c r="AC160" s="1060">
        <f>IF(AC109=4,AB156,0)</f>
        <v>0</v>
      </c>
      <c r="AD160" s="1057">
        <f>IF(AD109=4,AE156,0)</f>
        <v>0</v>
      </c>
      <c r="AF160" s="1060">
        <f>IF(AF109=4,AE156,0)</f>
        <v>0</v>
      </c>
      <c r="AG160" s="1057">
        <f>SUM(B160:AF160)</f>
        <v>0</v>
      </c>
    </row>
    <row r="161" spans="1:81" s="1057" customFormat="1" ht="12.75" hidden="1" customHeight="1" x14ac:dyDescent="0.2">
      <c r="A161" s="1057" t="s">
        <v>105</v>
      </c>
      <c r="B161" s="1057">
        <f>IF(B109=5,C156,0)</f>
        <v>0</v>
      </c>
      <c r="D161" s="1060">
        <f>IF(D109=5,C156,0)</f>
        <v>0</v>
      </c>
      <c r="E161" s="1057">
        <f>IF(E109=5,F156,0)</f>
        <v>0</v>
      </c>
      <c r="G161" s="1060">
        <f>IF(G109=5,F156,0)</f>
        <v>0</v>
      </c>
      <c r="H161" s="1057">
        <f>IF(H109=5,I156,0)</f>
        <v>0</v>
      </c>
      <c r="J161" s="1060">
        <f>IF(J109=5,I156,0)</f>
        <v>0</v>
      </c>
      <c r="K161" s="1060"/>
      <c r="L161" s="1057">
        <f>IF(L109=5,M156,0)</f>
        <v>0</v>
      </c>
      <c r="N161" s="1060">
        <f>IF(N109=5,M156,0)</f>
        <v>0</v>
      </c>
      <c r="O161" s="1057">
        <f>IF(O109=5,P156,0)</f>
        <v>0</v>
      </c>
      <c r="Q161" s="1060">
        <f>IF(Q109=5,P156,0)</f>
        <v>0</v>
      </c>
      <c r="R161" s="1057">
        <f>IF(R109=5,S156,0)</f>
        <v>0</v>
      </c>
      <c r="T161" s="1060">
        <f>IF(T109=5,S156,0)</f>
        <v>0</v>
      </c>
      <c r="U161" s="1057">
        <f>IF(U109=5,V156,0)</f>
        <v>0</v>
      </c>
      <c r="W161" s="1060">
        <f>IF(W109=5,V156,0)</f>
        <v>0</v>
      </c>
      <c r="X161" s="1057">
        <f>IF(X109=5,Y156,0)</f>
        <v>0</v>
      </c>
      <c r="Z161" s="1060">
        <f>IF(Z109=5,Y156,0)</f>
        <v>0</v>
      </c>
      <c r="AA161" s="1057">
        <f>IF(AA109=5,AB156,0)</f>
        <v>0</v>
      </c>
      <c r="AC161" s="1060">
        <f>IF(AC109=5,AB156,0)</f>
        <v>0</v>
      </c>
      <c r="AD161" s="1057">
        <f>IF(AD109=5,AE156,0)</f>
        <v>0</v>
      </c>
      <c r="AF161" s="1060">
        <f>IF(AF109=5,AE156,0)</f>
        <v>0</v>
      </c>
      <c r="AG161" s="1057">
        <f>SUM(B161:AF161)</f>
        <v>0</v>
      </c>
    </row>
    <row r="162" spans="1:81" hidden="1" x14ac:dyDescent="0.2">
      <c r="A162" s="1063"/>
      <c r="B162" s="1063"/>
      <c r="C162" s="1063"/>
      <c r="D162" s="1063"/>
      <c r="E162" s="1063"/>
      <c r="F162" s="1063"/>
      <c r="G162" s="1063"/>
      <c r="H162" s="1063"/>
      <c r="I162" s="1063"/>
      <c r="J162" s="1063"/>
      <c r="K162" s="1063"/>
      <c r="L162" s="1063"/>
      <c r="M162" s="1063"/>
      <c r="N162" s="1063"/>
      <c r="O162" s="1063"/>
      <c r="P162" s="1063"/>
      <c r="Q162" s="1063"/>
      <c r="R162" s="1063"/>
      <c r="S162" s="1063"/>
      <c r="T162" s="1063"/>
      <c r="U162" s="1063"/>
      <c r="V162" s="1063"/>
      <c r="W162" s="1063"/>
      <c r="X162" s="1063"/>
      <c r="Y162" s="1063"/>
      <c r="Z162" s="1063"/>
      <c r="AA162" s="1063"/>
      <c r="AB162" s="1063"/>
      <c r="AC162" s="1063"/>
      <c r="AD162" s="1063"/>
      <c r="AE162" s="1063"/>
      <c r="AF162" s="1063"/>
      <c r="AG162" s="1063"/>
      <c r="AH162" s="1063"/>
      <c r="AI162" s="1063"/>
      <c r="AJ162" s="1063"/>
      <c r="AK162" s="1063"/>
      <c r="AL162" s="1063"/>
      <c r="AM162" s="1063"/>
      <c r="AN162" s="1063"/>
      <c r="AO162" s="1064"/>
      <c r="AP162" s="1064"/>
      <c r="AQ162" s="1064"/>
      <c r="AR162" s="1064"/>
      <c r="AS162" s="1065"/>
      <c r="AT162" s="1065"/>
      <c r="AU162" s="1065"/>
      <c r="AV162" s="1065"/>
      <c r="AW162" s="1066"/>
      <c r="BB162" s="1066"/>
      <c r="BE162" s="1066"/>
      <c r="BH162" s="1066"/>
      <c r="BK162" s="1066"/>
      <c r="BN162" s="1066"/>
      <c r="BQ162" s="1066"/>
      <c r="BT162" s="1066"/>
      <c r="BW162" s="1066"/>
      <c r="BZ162" s="1066"/>
      <c r="CC162" s="1066"/>
    </row>
    <row r="163" spans="1:81" s="1065" customFormat="1" hidden="1" x14ac:dyDescent="0.2">
      <c r="A163" s="1067"/>
      <c r="B163" s="1067"/>
      <c r="C163" s="1067" t="s">
        <v>112</v>
      </c>
      <c r="D163" s="1067">
        <v>1</v>
      </c>
      <c r="E163" s="1067"/>
      <c r="F163" s="1067"/>
      <c r="G163" s="1067">
        <v>2</v>
      </c>
      <c r="H163" s="1067"/>
      <c r="I163" s="1067"/>
      <c r="J163" s="1067">
        <v>3</v>
      </c>
      <c r="K163" s="1067"/>
      <c r="L163" s="1067"/>
      <c r="M163" s="1067"/>
      <c r="N163" s="1067">
        <v>4</v>
      </c>
      <c r="O163" s="1067"/>
      <c r="P163" s="1067"/>
      <c r="Q163" s="1067">
        <v>5</v>
      </c>
      <c r="R163" s="1067"/>
      <c r="S163" s="1067"/>
      <c r="T163" s="1067">
        <v>6</v>
      </c>
      <c r="U163" s="1067"/>
      <c r="V163" s="1067"/>
      <c r="W163" s="1067">
        <v>7</v>
      </c>
      <c r="X163" s="1067"/>
      <c r="Y163" s="1067"/>
      <c r="Z163" s="1067">
        <v>8</v>
      </c>
      <c r="AA163" s="1067"/>
      <c r="AB163" s="1067"/>
      <c r="AC163" s="1067">
        <v>9</v>
      </c>
      <c r="AD163" s="1067"/>
      <c r="AE163" s="1067"/>
      <c r="AF163" s="1067">
        <v>10</v>
      </c>
      <c r="AG163" s="846"/>
      <c r="AH163" s="1067"/>
      <c r="AJ163" s="1068"/>
      <c r="AK163" s="846"/>
      <c r="AL163" s="846"/>
      <c r="AM163" s="846"/>
      <c r="AN163" s="846"/>
      <c r="AO163" s="846"/>
      <c r="AP163" s="846"/>
      <c r="AT163" s="1068" t="s">
        <v>113</v>
      </c>
      <c r="AW163" s="1069"/>
      <c r="BB163" s="1069"/>
      <c r="BE163" s="1069"/>
      <c r="BH163" s="1069"/>
      <c r="BK163" s="1069"/>
      <c r="BN163" s="1069"/>
      <c r="BQ163" s="1069"/>
      <c r="BT163" s="1069"/>
      <c r="BW163" s="1069"/>
      <c r="BZ163" s="1069"/>
      <c r="CC163" s="1069"/>
    </row>
    <row r="164" spans="1:81" s="1065" customFormat="1" hidden="1" x14ac:dyDescent="0.2">
      <c r="A164" s="1070">
        <v>1</v>
      </c>
      <c r="B164" s="1070" t="str">
        <f>E93</f>
        <v>Foothills Vanessa</v>
      </c>
      <c r="C164" s="1070">
        <f>VLOOKUP(B164,AU$3:AY$33,3,FALSE)</f>
        <v>1182.2811686333052</v>
      </c>
      <c r="D164" s="1070">
        <f>IF(B157,B172,IF(D157,D172,C164))</f>
        <v>1174.4540732544888</v>
      </c>
      <c r="E164" s="1070"/>
      <c r="F164" s="1070"/>
      <c r="G164" s="1070">
        <f>IF(E157,E172,IF(G157,G172,D164))</f>
        <v>1174.4540732544888</v>
      </c>
      <c r="H164" s="1070"/>
      <c r="I164" s="1070"/>
      <c r="J164" s="1070">
        <f>IF(H157,H172,IF(J157,J172,G164))</f>
        <v>1165.0009352599757</v>
      </c>
      <c r="K164" s="1070"/>
      <c r="L164" s="1070"/>
      <c r="M164" s="1070"/>
      <c r="N164" s="1070">
        <f>IF(L157,L172,IF(N157,N172,J164))</f>
        <v>1157.8904104333453</v>
      </c>
      <c r="O164" s="1070"/>
      <c r="P164" s="1070"/>
      <c r="Q164" s="1070">
        <f>IF(O157,O172,IF(Q157,Q172,N164))</f>
        <v>1157.8904104333453</v>
      </c>
      <c r="R164" s="1070"/>
      <c r="S164" s="1070"/>
      <c r="T164" s="1070">
        <f>IF(R157,R172,IF(T157,T172,Q164))</f>
        <v>1164.88819190138</v>
      </c>
      <c r="U164" s="1070"/>
      <c r="V164" s="1070"/>
      <c r="W164" s="1070">
        <f>IF(U157,U172,IF(W157,W172,T164))</f>
        <v>1164.88819190138</v>
      </c>
      <c r="X164" s="1070"/>
      <c r="Y164" s="1070"/>
      <c r="Z164" s="1070">
        <f>IF(X157,X172,IF(Z157,Z172,W164))</f>
        <v>1164.88819190138</v>
      </c>
      <c r="AA164" s="1070"/>
      <c r="AB164" s="1070"/>
      <c r="AC164" s="1070">
        <f>IF(AA157,AA172,IF(AC157,AC172,Z164))</f>
        <v>1164.88819190138</v>
      </c>
      <c r="AD164" s="1070"/>
      <c r="AE164" s="1070"/>
      <c r="AF164" s="1070">
        <f>IF(AD157,AD172,IF(AF157,AF172,AC164))</f>
        <v>1164.88819190138</v>
      </c>
      <c r="AG164" s="846"/>
      <c r="AH164" s="846"/>
      <c r="AK164" s="846"/>
      <c r="AL164" s="846"/>
      <c r="AM164" s="846"/>
      <c r="AN164" s="846"/>
      <c r="AO164" s="846"/>
      <c r="AP164" s="846"/>
      <c r="AT164" s="1065" t="str">
        <f>B164</f>
        <v>Foothills Vanessa</v>
      </c>
      <c r="AU164" s="1065">
        <f>AF164</f>
        <v>1164.88819190138</v>
      </c>
      <c r="AW164" s="1069"/>
      <c r="BB164" s="1069"/>
      <c r="BE164" s="1069"/>
      <c r="BH164" s="1069"/>
      <c r="BK164" s="1069"/>
      <c r="BN164" s="1069"/>
      <c r="BQ164" s="1069"/>
      <c r="BT164" s="1069"/>
      <c r="BW164" s="1069"/>
      <c r="BZ164" s="1069"/>
      <c r="CC164" s="1069"/>
    </row>
    <row r="165" spans="1:81" s="1065" customFormat="1" hidden="1" x14ac:dyDescent="0.2">
      <c r="A165" s="1070">
        <v>2</v>
      </c>
      <c r="B165" s="1070" t="str">
        <f>E95</f>
        <v>C1VB Juniors Grey</v>
      </c>
      <c r="C165" s="1070">
        <f>VLOOKUP(B165,AU$3:AY$33,3,FALSE)</f>
        <v>1116.8090840774478</v>
      </c>
      <c r="D165" s="1070">
        <f>IF(B158,B172,IF(D158,D172,C165))</f>
        <v>1116.8090840774478</v>
      </c>
      <c r="E165" s="1070"/>
      <c r="F165" s="1070"/>
      <c r="G165" s="1070">
        <f>IF(E158,E172,IF(G158,G172,D165))</f>
        <v>1110.636948980426</v>
      </c>
      <c r="H165" s="1070"/>
      <c r="I165" s="1070"/>
      <c r="J165" s="1070">
        <f>IF(H158,H172,IF(J158,J172,G165))</f>
        <v>1120.0900869749391</v>
      </c>
      <c r="K165" s="1070"/>
      <c r="L165" s="1070"/>
      <c r="M165" s="1070"/>
      <c r="N165" s="1070">
        <f>IF(L158,L172,IF(N158,N172,J165))</f>
        <v>1120.0900869749391</v>
      </c>
      <c r="O165" s="1070"/>
      <c r="P165" s="1070"/>
      <c r="Q165" s="1070">
        <f>IF(O158,O172,IF(Q158,Q172,N165))</f>
        <v>1114.1347402357412</v>
      </c>
      <c r="R165" s="1070"/>
      <c r="S165" s="1070"/>
      <c r="T165" s="1070">
        <f>IF(R158,R172,IF(T158,T172,Q165))</f>
        <v>1107.1369587677066</v>
      </c>
      <c r="U165" s="1070"/>
      <c r="V165" s="1070"/>
      <c r="W165" s="1070">
        <f>IF(U158,U172,IF(W158,W172,T165))</f>
        <v>1107.1369587677066</v>
      </c>
      <c r="X165" s="1070"/>
      <c r="Y165" s="1070"/>
      <c r="Z165" s="1070">
        <f>IF(X158,X172,IF(Z158,Z172,W165))</f>
        <v>1107.1369587677066</v>
      </c>
      <c r="AA165" s="1070"/>
      <c r="AB165" s="1070"/>
      <c r="AC165" s="1070">
        <f>IF(AA158,AA172,IF(AC158,AC172,Z165))</f>
        <v>1107.1369587677066</v>
      </c>
      <c r="AD165" s="1070"/>
      <c r="AE165" s="1070"/>
      <c r="AF165" s="1070">
        <f>IF(AD158,AD172,IF(AF158,AF172,AC165))</f>
        <v>1107.1369587677066</v>
      </c>
      <c r="AG165" s="846"/>
      <c r="AH165" s="846"/>
      <c r="AK165" s="846"/>
      <c r="AM165" s="846"/>
      <c r="AN165" s="846"/>
      <c r="AO165" s="846"/>
      <c r="AP165" s="846"/>
      <c r="AT165" s="1065" t="str">
        <f>B165</f>
        <v>C1VB Juniors Grey</v>
      </c>
      <c r="AU165" s="1065">
        <f>AF165</f>
        <v>1107.1369587677066</v>
      </c>
      <c r="AW165" s="1069"/>
      <c r="BB165" s="1069"/>
      <c r="BE165" s="1069"/>
      <c r="BH165" s="1069"/>
      <c r="BK165" s="1069"/>
      <c r="BN165" s="1069"/>
      <c r="BQ165" s="1069"/>
      <c r="BT165" s="1069"/>
      <c r="BW165" s="1069"/>
      <c r="BZ165" s="1069"/>
      <c r="CC165" s="1069"/>
    </row>
    <row r="166" spans="1:81" s="1065" customFormat="1" hidden="1" x14ac:dyDescent="0.2">
      <c r="A166" s="1070">
        <v>3</v>
      </c>
      <c r="B166" s="1070" t="str">
        <f>E97</f>
        <v>MOTO 12'1</v>
      </c>
      <c r="C166" s="1070">
        <f>VLOOKUP(B166,AU$3:AY$33,3,FALSE)</f>
        <v>1189.7914904865811</v>
      </c>
      <c r="D166" s="1070">
        <f>IF(B159,B172,IF(D159,D172,C166))</f>
        <v>1197.6185858653976</v>
      </c>
      <c r="E166" s="1070"/>
      <c r="F166" s="1070"/>
      <c r="G166" s="1070">
        <f>IF(E159,E172,IF(G159,G172,D166))</f>
        <v>1203.7907209624193</v>
      </c>
      <c r="H166" s="1070"/>
      <c r="I166" s="1070"/>
      <c r="J166" s="1070">
        <f>IF(H159,H172,IF(J159,J172,G166))</f>
        <v>1203.7907209624193</v>
      </c>
      <c r="K166" s="1070"/>
      <c r="L166" s="1070"/>
      <c r="M166" s="1070"/>
      <c r="N166" s="1070">
        <f>IF(L159,L172,IF(N159,N172,J166))</f>
        <v>1210.9012457890497</v>
      </c>
      <c r="O166" s="1070"/>
      <c r="P166" s="1070"/>
      <c r="Q166" s="1070">
        <f>IF(O159,O172,IF(Q159,Q172,N166))</f>
        <v>1216.8565925282476</v>
      </c>
      <c r="R166" s="1070"/>
      <c r="S166" s="1070"/>
      <c r="T166" s="1070">
        <f>IF(R159,R172,IF(T159,T172,Q166))</f>
        <v>1216.8565925282476</v>
      </c>
      <c r="U166" s="1070"/>
      <c r="V166" s="1070"/>
      <c r="W166" s="1070">
        <f>IF(U159,U172,IF(W159,W172,T166))</f>
        <v>1216.8565925282476</v>
      </c>
      <c r="X166" s="1070"/>
      <c r="Y166" s="1070"/>
      <c r="Z166" s="1070">
        <f>IF(X159,X172,IF(Z159,Z172,W166))</f>
        <v>1216.8565925282476</v>
      </c>
      <c r="AA166" s="1070"/>
      <c r="AB166" s="1070"/>
      <c r="AC166" s="1070">
        <f>IF(AA159,AA172,IF(AC159,AC172,Z166))</f>
        <v>1216.8565925282476</v>
      </c>
      <c r="AD166" s="1070"/>
      <c r="AE166" s="1070"/>
      <c r="AF166" s="1070">
        <f>IF(AD159,AD172,IF(AF159,AF172,AC166))</f>
        <v>1216.8565925282476</v>
      </c>
      <c r="AG166" s="846"/>
      <c r="AH166" s="846"/>
      <c r="AK166" s="846"/>
      <c r="AM166" s="846"/>
      <c r="AN166" s="846"/>
      <c r="AO166" s="846"/>
      <c r="AP166" s="846"/>
      <c r="AT166" s="1065" t="str">
        <f>B166</f>
        <v>MOTO 12'1</v>
      </c>
      <c r="AU166" s="1065">
        <f>AF166</f>
        <v>1216.8565925282476</v>
      </c>
      <c r="AW166" s="1069"/>
      <c r="BB166" s="1069"/>
      <c r="BE166" s="1069"/>
      <c r="BH166" s="1069"/>
      <c r="BK166" s="1069"/>
      <c r="BN166" s="1069"/>
      <c r="BQ166" s="1069"/>
      <c r="BT166" s="1069"/>
      <c r="BW166" s="1069"/>
      <c r="BZ166" s="1069"/>
      <c r="CC166" s="1069"/>
    </row>
    <row r="167" spans="1:81" s="1065" customFormat="1" hidden="1" x14ac:dyDescent="0.2">
      <c r="A167" s="1070">
        <v>4</v>
      </c>
      <c r="B167" s="1070">
        <f>E99</f>
        <v>0</v>
      </c>
      <c r="C167" s="1070" t="e">
        <f>VLOOKUP(B167,AU$3:AY$33,3,FALSE)</f>
        <v>#N/A</v>
      </c>
      <c r="D167" s="1070" t="e">
        <f>IF(B160,B172,IF(D160,D172,C167))</f>
        <v>#N/A</v>
      </c>
      <c r="E167" s="1070"/>
      <c r="F167" s="1070"/>
      <c r="G167" s="1070" t="e">
        <f>IF(E160,E172,IF(G160,G172,D167))</f>
        <v>#N/A</v>
      </c>
      <c r="H167" s="1070"/>
      <c r="I167" s="1070"/>
      <c r="J167" s="1070" t="e">
        <f>IF(H160,H172,IF(J160,J172,G167))</f>
        <v>#N/A</v>
      </c>
      <c r="K167" s="1070"/>
      <c r="L167" s="1070"/>
      <c r="M167" s="1070"/>
      <c r="N167" s="1070" t="e">
        <f>IF(L160,L172,IF(N160,N172,J167))</f>
        <v>#N/A</v>
      </c>
      <c r="O167" s="1070"/>
      <c r="P167" s="1070"/>
      <c r="Q167" s="1070" t="e">
        <f>IF(O160,O172,IF(Q160,Q172,N167))</f>
        <v>#N/A</v>
      </c>
      <c r="R167" s="1070"/>
      <c r="S167" s="1070"/>
      <c r="T167" s="1070" t="e">
        <f>IF(R160,R172,IF(T160,T172,Q167))</f>
        <v>#N/A</v>
      </c>
      <c r="U167" s="1070"/>
      <c r="V167" s="1070"/>
      <c r="W167" s="1070" t="e">
        <f>IF(U160,U172,IF(W160,W172,T167))</f>
        <v>#N/A</v>
      </c>
      <c r="X167" s="1070"/>
      <c r="Y167" s="1070"/>
      <c r="Z167" s="1070" t="e">
        <f>IF(X160,X172,IF(Z160,Z172,W167))</f>
        <v>#N/A</v>
      </c>
      <c r="AA167" s="1070"/>
      <c r="AB167" s="1070"/>
      <c r="AC167" s="1070" t="e">
        <f>IF(AA160,AA172,IF(AC160,AC172,Z167))</f>
        <v>#N/A</v>
      </c>
      <c r="AD167" s="1070"/>
      <c r="AE167" s="1070"/>
      <c r="AF167" s="1070" t="e">
        <f>IF(AD160,AD172,IF(AF160,AF172,AC167))</f>
        <v>#N/A</v>
      </c>
      <c r="AG167" s="846"/>
      <c r="AH167" s="846"/>
      <c r="AK167" s="846"/>
      <c r="AM167" s="846"/>
      <c r="AN167" s="846"/>
      <c r="AO167" s="846"/>
      <c r="AP167" s="846"/>
      <c r="AT167" s="1065">
        <f>B167</f>
        <v>0</v>
      </c>
      <c r="AU167" s="1065" t="e">
        <f>AF167</f>
        <v>#N/A</v>
      </c>
      <c r="AW167" s="1069"/>
      <c r="BB167" s="1069"/>
      <c r="BE167" s="1069"/>
      <c r="BH167" s="1069"/>
      <c r="BK167" s="1069"/>
      <c r="BN167" s="1069"/>
      <c r="BQ167" s="1069"/>
      <c r="BT167" s="1069"/>
      <c r="BW167" s="1069"/>
      <c r="BZ167" s="1069"/>
      <c r="CC167" s="1069"/>
    </row>
    <row r="168" spans="1:81" s="1065" customFormat="1" hidden="1" x14ac:dyDescent="0.2">
      <c r="A168" s="1070">
        <v>5</v>
      </c>
      <c r="B168" s="1070">
        <f>E101</f>
        <v>0</v>
      </c>
      <c r="C168" s="1070" t="e">
        <f>VLOOKUP(B168,AU$3:AY$33,3,FALSE)</f>
        <v>#N/A</v>
      </c>
      <c r="D168" s="1070" t="e">
        <f>IF(B161,B172,IF(D161,D172,C168))</f>
        <v>#N/A</v>
      </c>
      <c r="E168" s="1070"/>
      <c r="F168" s="1070"/>
      <c r="G168" s="1070" t="e">
        <f>IF(E161,E172,IF(G161,G172,D168))</f>
        <v>#N/A</v>
      </c>
      <c r="H168" s="1070"/>
      <c r="I168" s="1070"/>
      <c r="J168" s="1070" t="e">
        <f>IF(H161,H172,IF(J161,J172,G168))</f>
        <v>#N/A</v>
      </c>
      <c r="K168" s="1070"/>
      <c r="L168" s="1070"/>
      <c r="M168" s="1070"/>
      <c r="N168" s="1070" t="e">
        <f>IF(L161,L172,IF(N161,N172,J168))</f>
        <v>#N/A</v>
      </c>
      <c r="O168" s="1070"/>
      <c r="P168" s="1070"/>
      <c r="Q168" s="1070" t="e">
        <f>IF(O161,O172,IF(Q161,Q172,N168))</f>
        <v>#N/A</v>
      </c>
      <c r="R168" s="1070"/>
      <c r="S168" s="1070"/>
      <c r="T168" s="1070" t="e">
        <f>IF(R161,R172,IF(T161,T172,Q168))</f>
        <v>#N/A</v>
      </c>
      <c r="U168" s="1070"/>
      <c r="V168" s="1070"/>
      <c r="W168" s="1070" t="e">
        <f>IF(U161,U172,IF(W161,W172,T168))</f>
        <v>#N/A</v>
      </c>
      <c r="X168" s="1070"/>
      <c r="Y168" s="1070"/>
      <c r="Z168" s="1070" t="e">
        <f>IF(X161,X172,IF(Z161,Z172,W168))</f>
        <v>#N/A</v>
      </c>
      <c r="AA168" s="1070"/>
      <c r="AB168" s="1070"/>
      <c r="AC168" s="1070" t="e">
        <f>IF(AA161,AA172,IF(AC161,AC172,Z168))</f>
        <v>#N/A</v>
      </c>
      <c r="AD168" s="1070"/>
      <c r="AE168" s="1070"/>
      <c r="AF168" s="1070" t="e">
        <f>IF(AD161,AD172,IF(AF161,AF172,AC168))</f>
        <v>#N/A</v>
      </c>
      <c r="AG168" s="846"/>
      <c r="AH168" s="846"/>
      <c r="AK168" s="846"/>
      <c r="AM168" s="846"/>
      <c r="AN168" s="846"/>
      <c r="AO168" s="846"/>
      <c r="AP168" s="846"/>
      <c r="AT168" s="1065">
        <f>B168</f>
        <v>0</v>
      </c>
      <c r="AU168" s="1065" t="e">
        <f>AF168</f>
        <v>#N/A</v>
      </c>
      <c r="AW168" s="1069"/>
      <c r="BB168" s="1069"/>
      <c r="BE168" s="1069"/>
      <c r="BH168" s="1069"/>
      <c r="BK168" s="1069"/>
      <c r="BN168" s="1069"/>
      <c r="BQ168" s="1069"/>
      <c r="BT168" s="1069"/>
      <c r="BW168" s="1069"/>
      <c r="BZ168" s="1069"/>
      <c r="CC168" s="1069"/>
    </row>
    <row r="169" spans="1:81" s="1065" customFormat="1" hidden="1" x14ac:dyDescent="0.2">
      <c r="A169" s="1070"/>
      <c r="B169" s="1070"/>
      <c r="C169" s="1070"/>
      <c r="D169" s="1070"/>
      <c r="E169" s="1070"/>
      <c r="F169" s="1070"/>
      <c r="G169" s="1070"/>
      <c r="H169" s="1070"/>
      <c r="I169" s="1070"/>
      <c r="J169" s="1070"/>
      <c r="K169" s="1070"/>
      <c r="L169" s="1070"/>
      <c r="M169" s="1070"/>
      <c r="N169" s="1070"/>
      <c r="O169" s="1070"/>
      <c r="P169" s="1070"/>
      <c r="Q169" s="1070"/>
      <c r="R169" s="1070"/>
      <c r="S169" s="1070"/>
      <c r="T169" s="1070"/>
      <c r="U169" s="1070"/>
      <c r="V169" s="1070"/>
      <c r="W169" s="1070"/>
      <c r="X169" s="1070"/>
      <c r="Y169" s="1070"/>
      <c r="Z169" s="1070"/>
      <c r="AA169" s="1070"/>
      <c r="AB169" s="1070"/>
      <c r="AC169" s="1070"/>
      <c r="AD169" s="1070"/>
      <c r="AE169" s="1070"/>
      <c r="AF169" s="1070"/>
      <c r="AG169" s="846"/>
      <c r="AH169" s="846"/>
      <c r="AK169" s="846"/>
      <c r="AM169" s="846"/>
      <c r="AN169" s="846"/>
      <c r="AO169" s="846"/>
      <c r="AP169" s="846"/>
      <c r="AW169" s="1069"/>
      <c r="BB169" s="1069"/>
      <c r="BE169" s="1069"/>
      <c r="BH169" s="1069"/>
      <c r="BK169" s="1069"/>
      <c r="BN169" s="1069"/>
      <c r="BQ169" s="1069"/>
      <c r="BT169" s="1069"/>
      <c r="BW169" s="1069"/>
      <c r="BZ169" s="1069"/>
      <c r="CC169" s="1069"/>
    </row>
    <row r="170" spans="1:81" s="1065" customFormat="1" hidden="1" x14ac:dyDescent="0.2">
      <c r="A170" s="1070" t="s">
        <v>114</v>
      </c>
      <c r="B170" s="1070">
        <f>VLOOKUP(B109,$A164:$AF168,3,FALSE)</f>
        <v>1182.2811686333052</v>
      </c>
      <c r="C170" s="1070">
        <v>1</v>
      </c>
      <c r="D170" s="1070">
        <f>VLOOKUP(D109,$A164:$AF168,3,FALSE)</f>
        <v>1189.7914904865811</v>
      </c>
      <c r="E170" s="1070">
        <f>VLOOKUP(E109,$A164:$AF168,4,FALSE)</f>
        <v>1116.8090840774478</v>
      </c>
      <c r="F170" s="1070">
        <v>2</v>
      </c>
      <c r="G170" s="1070">
        <f>VLOOKUP(G109,$A164:$AF168,4,FALSE)</f>
        <v>1197.6185858653976</v>
      </c>
      <c r="H170" s="1070">
        <f>VLOOKUP(H109,$A164:$AF168,7,FALSE)</f>
        <v>1174.4540732544888</v>
      </c>
      <c r="I170" s="1070">
        <v>3</v>
      </c>
      <c r="J170" s="1070">
        <f>VLOOKUP(J109,$A164:$AF168,7,FALSE)</f>
        <v>1110.636948980426</v>
      </c>
      <c r="K170" s="1070"/>
      <c r="L170" s="1070">
        <f>VLOOKUP(L109,$A164:$AF168,10,FALSE)</f>
        <v>1165.0009352599757</v>
      </c>
      <c r="M170" s="1070">
        <v>4</v>
      </c>
      <c r="N170" s="1070">
        <f>VLOOKUP(N109,$A164:$AF168,10,FALSE)</f>
        <v>1203.7907209624193</v>
      </c>
      <c r="O170" s="1070">
        <f>VLOOKUP(O109,$A164:$AF168,14,FALSE)</f>
        <v>1120.0900869749391</v>
      </c>
      <c r="P170" s="1070">
        <v>5</v>
      </c>
      <c r="Q170" s="1070">
        <f>VLOOKUP(Q109,$A164:$AF168,14,FALSE)</f>
        <v>1210.9012457890497</v>
      </c>
      <c r="R170" s="1070">
        <f>VLOOKUP(R109,$A164:$AF168,17,FALSE)</f>
        <v>1157.8904104333453</v>
      </c>
      <c r="S170" s="1070">
        <v>6</v>
      </c>
      <c r="T170" s="1070">
        <f>VLOOKUP(T109,$A164:$AF168,17,FALSE)</f>
        <v>1114.1347402357412</v>
      </c>
      <c r="U170" s="1070">
        <f>VLOOKUP(U109,$A164:$AF168,20,FALSE)</f>
        <v>1107.1369587677066</v>
      </c>
      <c r="V170" s="1070">
        <v>7</v>
      </c>
      <c r="W170" s="1070">
        <f>VLOOKUP(W109,$A164:$AF168,20,FALSE)</f>
        <v>1216.8565925282476</v>
      </c>
      <c r="X170" s="1070">
        <f>VLOOKUP(X109,$A164:$AF168,23,FALSE)</f>
        <v>1164.88819190138</v>
      </c>
      <c r="Y170" s="1070">
        <v>8</v>
      </c>
      <c r="Z170" s="1070" t="e">
        <f>VLOOKUP(Z109,$A164:$AF168,23,FALSE)</f>
        <v>#N/A</v>
      </c>
      <c r="AA170" s="1070">
        <f>VLOOKUP(AA109,$A164:$AF168,26,FALSE)</f>
        <v>1216.8565925282476</v>
      </c>
      <c r="AB170" s="1070">
        <v>9</v>
      </c>
      <c r="AC170" s="1070" t="e">
        <f>VLOOKUP(AC109,$A164:$AF168,26,FALSE)</f>
        <v>#N/A</v>
      </c>
      <c r="AD170" s="1070">
        <f>VLOOKUP(AD109,$A164:$AF168,29,FALSE)</f>
        <v>1164.88819190138</v>
      </c>
      <c r="AE170" s="1070">
        <v>10</v>
      </c>
      <c r="AF170" s="1070">
        <f>VLOOKUP(AF109,$A164:$AF168,29,FALSE)</f>
        <v>1107.1369587677066</v>
      </c>
      <c r="AG170" s="846"/>
      <c r="AH170" s="1063"/>
      <c r="AI170" s="1063"/>
      <c r="AJ170" s="1063"/>
      <c r="AK170" s="1063"/>
      <c r="AL170" s="1063"/>
      <c r="AM170" s="1063"/>
      <c r="AN170" s="1063"/>
      <c r="AO170" s="1064"/>
      <c r="AP170" s="1064"/>
      <c r="AQ170" s="1064"/>
      <c r="AR170" s="1064"/>
      <c r="AW170" s="1069"/>
      <c r="BB170" s="1069"/>
      <c r="BE170" s="1069"/>
      <c r="BH170" s="1069"/>
      <c r="BK170" s="1069"/>
      <c r="BN170" s="1069"/>
      <c r="BQ170" s="1069"/>
      <c r="BT170" s="1069"/>
      <c r="BW170" s="1069"/>
      <c r="BZ170" s="1069"/>
      <c r="CC170" s="1069"/>
    </row>
    <row r="171" spans="1:81" s="1075" customFormat="1" hidden="1" x14ac:dyDescent="0.2">
      <c r="A171" s="1071" t="s">
        <v>115</v>
      </c>
      <c r="B171" s="1071">
        <f>1/(1+(10^-((B170-D170)/400)))*(B121+D121)</f>
        <v>0.48919346117603085</v>
      </c>
      <c r="C171" s="1071"/>
      <c r="D171" s="1071">
        <f>1/(1+(10^-((D170-B170)/400)))*(B121+D121)</f>
        <v>0.51080653882396909</v>
      </c>
      <c r="E171" s="1071">
        <f>1/(1+(10^-((E170-G170)/400)))*(E121+G121)</f>
        <v>0.38575844356385369</v>
      </c>
      <c r="F171" s="1071"/>
      <c r="G171" s="1071">
        <f>1/(1+(10^-((G170-E170)/400)))*(E121+G121)</f>
        <v>0.61424155643614631</v>
      </c>
      <c r="H171" s="1071">
        <f>1/(1+(10^-((H170-J170)/400)))*(H121+J121)</f>
        <v>0.59082112465707082</v>
      </c>
      <c r="I171" s="1071"/>
      <c r="J171" s="1071">
        <f>1/(1+(10^-((J170-H170)/400)))*(H121+J121)</f>
        <v>0.40917887534292907</v>
      </c>
      <c r="K171" s="1071"/>
      <c r="L171" s="1071">
        <f>1/(1+(10^-((L170-N170)/400)))*(L121+N121)</f>
        <v>0.44440780166440019</v>
      </c>
      <c r="M171" s="1071"/>
      <c r="N171" s="1071">
        <f>1/(1+(10^-((N170-L170)/400)))*(L121+N121)</f>
        <v>0.55559219833559981</v>
      </c>
      <c r="O171" s="1071">
        <f>1/(1+(10^-((O170-Q170)/400)))*(O121+Q121)</f>
        <v>0.37220917119987568</v>
      </c>
      <c r="P171" s="1071"/>
      <c r="Q171" s="1071">
        <f>1/(1+(10^-((Q170-O170)/400)))*(O121+Q121)</f>
        <v>0.62779082880012427</v>
      </c>
      <c r="R171" s="1071">
        <f>1/(1+(10^-((R170-T170)/400)))*(R121+T121)</f>
        <v>0.5626386582478311</v>
      </c>
      <c r="S171" s="1071"/>
      <c r="T171" s="1071">
        <f>1/(1+(10^-((T170-R170)/400)))*(R121+T121)</f>
        <v>0.43736134175216901</v>
      </c>
      <c r="U171" s="1071">
        <f>1/(1+(10^-((U170-W170)/400)))*(U121+W121)</f>
        <v>0</v>
      </c>
      <c r="V171" s="1071"/>
      <c r="W171" s="1071">
        <f>1/(1+(10^-((W170-U170)/400)))*(U121+W121)</f>
        <v>0</v>
      </c>
      <c r="X171" s="1071" t="e">
        <f>1/(1+(10^-((X170-Z170)/400)))*(X121+Z121)</f>
        <v>#N/A</v>
      </c>
      <c r="Y171" s="1071"/>
      <c r="Z171" s="1071" t="e">
        <f>1/(1+(10^-((Z170-X170)/400)))*(X121+Z121)</f>
        <v>#N/A</v>
      </c>
      <c r="AA171" s="1071" t="e">
        <f>1/(1+(10^-((AA170-AC170)/400)))*(AA121+AC121)</f>
        <v>#N/A</v>
      </c>
      <c r="AB171" s="1071"/>
      <c r="AC171" s="1071" t="e">
        <f>1/(1+(10^-((AC170-AA170)/400)))*(AA121+AC121)</f>
        <v>#N/A</v>
      </c>
      <c r="AD171" s="1071">
        <f>1/(1+(10^-((AD170-AF170)/400)))*(AD121+AF121)</f>
        <v>0</v>
      </c>
      <c r="AE171" s="1071"/>
      <c r="AF171" s="1071">
        <f>1/(1+(10^-((AF170-AD170)/400)))*(AD121+AF121)</f>
        <v>0</v>
      </c>
      <c r="AG171" s="1072"/>
      <c r="AH171" s="1073"/>
      <c r="AI171" s="1073"/>
      <c r="AJ171" s="1073"/>
      <c r="AK171" s="1073"/>
      <c r="AL171" s="1073"/>
      <c r="AM171" s="1073"/>
      <c r="AN171" s="1073"/>
      <c r="AO171" s="1074"/>
      <c r="AP171" s="1074"/>
      <c r="AQ171" s="1074"/>
      <c r="AR171" s="1074"/>
      <c r="AW171" s="1076"/>
      <c r="BB171" s="1076"/>
      <c r="BE171" s="1076"/>
      <c r="BH171" s="1076"/>
      <c r="BK171" s="1076"/>
      <c r="BN171" s="1076"/>
      <c r="BQ171" s="1076"/>
      <c r="BT171" s="1076"/>
      <c r="BW171" s="1076"/>
      <c r="BZ171" s="1076"/>
      <c r="CC171" s="1076"/>
    </row>
    <row r="172" spans="1:81" s="1081" customFormat="1" hidden="1" x14ac:dyDescent="0.2">
      <c r="A172" s="1077" t="s">
        <v>116</v>
      </c>
      <c r="B172" s="1077">
        <f>B170+(B121-B171)*$BA$1</f>
        <v>1174.4540732544888</v>
      </c>
      <c r="C172" s="1077"/>
      <c r="D172" s="1077">
        <f>D170+(D121-D171)*$BA$1</f>
        <v>1197.6185858653976</v>
      </c>
      <c r="E172" s="1077">
        <f>E170+(E121-E171)*$BA$1</f>
        <v>1110.636948980426</v>
      </c>
      <c r="F172" s="1077"/>
      <c r="G172" s="1077">
        <f>G170+(G121-G171)*$BA$1</f>
        <v>1203.7907209624193</v>
      </c>
      <c r="H172" s="1077">
        <f>H170+(H121-H171)*$BA$1</f>
        <v>1165.0009352599757</v>
      </c>
      <c r="I172" s="1077"/>
      <c r="J172" s="1077">
        <f>J170+(J121-J171)*$BA$1</f>
        <v>1120.0900869749391</v>
      </c>
      <c r="K172" s="1077"/>
      <c r="L172" s="1077">
        <f>L170+(L121-L171)*$BA$1</f>
        <v>1157.8904104333453</v>
      </c>
      <c r="M172" s="1077"/>
      <c r="N172" s="1077">
        <f>N170+(N121-N171)*$BA$1</f>
        <v>1210.9012457890497</v>
      </c>
      <c r="O172" s="1077">
        <f>O170+(O121-O171)*$BA$1</f>
        <v>1114.1347402357412</v>
      </c>
      <c r="P172" s="1077"/>
      <c r="Q172" s="1077">
        <f>Q170+(Q121-Q171)*$BA$1</f>
        <v>1216.8565925282476</v>
      </c>
      <c r="R172" s="1077">
        <f>R170+(R121-R171)*$BA$1</f>
        <v>1164.88819190138</v>
      </c>
      <c r="S172" s="1077"/>
      <c r="T172" s="1077">
        <f>T170+(T121-T171)*$BA$1</f>
        <v>1107.1369587677066</v>
      </c>
      <c r="U172" s="1077">
        <f>U170+(U121-U171)*$BA$1</f>
        <v>1107.1369587677066</v>
      </c>
      <c r="V172" s="1077"/>
      <c r="W172" s="1077">
        <f>W170+(W121-W171)*$BA$1</f>
        <v>1216.8565925282476</v>
      </c>
      <c r="X172" s="1077" t="e">
        <f>X170+(X121-X171)*$BA$1</f>
        <v>#N/A</v>
      </c>
      <c r="Y172" s="1077"/>
      <c r="Z172" s="1077" t="e">
        <f>Z170+(Z121-Z171)*$BA$1</f>
        <v>#N/A</v>
      </c>
      <c r="AA172" s="1077" t="e">
        <f>AA170+(AA121-AA171)*$BA$1</f>
        <v>#N/A</v>
      </c>
      <c r="AB172" s="1077"/>
      <c r="AC172" s="1077" t="e">
        <f>AC170+(AC121-AC171)*$BA$1</f>
        <v>#N/A</v>
      </c>
      <c r="AD172" s="1077">
        <f>AD170+(AD121-AD171)*$BA$1</f>
        <v>1164.88819190138</v>
      </c>
      <c r="AE172" s="1077"/>
      <c r="AF172" s="1077">
        <f>AF170+(AF121-AF171)*$BA$1</f>
        <v>1107.1369587677066</v>
      </c>
      <c r="AG172" s="1078"/>
      <c r="AH172" s="1079"/>
      <c r="AI172" s="1079"/>
      <c r="AJ172" s="1079"/>
      <c r="AK172" s="1079"/>
      <c r="AL172" s="1079"/>
      <c r="AM172" s="1079"/>
      <c r="AN172" s="1079"/>
      <c r="AO172" s="1080"/>
      <c r="AP172" s="1080"/>
      <c r="AQ172" s="1080"/>
      <c r="AR172" s="1080"/>
      <c r="AW172" s="1082"/>
      <c r="BB172" s="1082"/>
      <c r="BE172" s="1082"/>
      <c r="BH172" s="1082"/>
      <c r="BK172" s="1082"/>
      <c r="BN172" s="1082"/>
      <c r="BQ172" s="1082"/>
      <c r="BT172" s="1082"/>
      <c r="BW172" s="1082"/>
      <c r="BZ172" s="1082"/>
      <c r="CC172" s="1082"/>
    </row>
    <row r="173" spans="1:81" s="1081" customFormat="1" hidden="1" x14ac:dyDescent="0.2">
      <c r="A173" s="1077"/>
      <c r="B173" s="1077"/>
      <c r="C173" s="1077"/>
      <c r="D173" s="1077"/>
      <c r="E173" s="1077"/>
      <c r="F173" s="1077"/>
      <c r="G173" s="1077"/>
      <c r="H173" s="1077"/>
      <c r="I173" s="1077"/>
      <c r="J173" s="1077"/>
      <c r="K173" s="1077"/>
      <c r="L173" s="1077"/>
      <c r="M173" s="1077"/>
      <c r="N173" s="1077"/>
      <c r="O173" s="1077"/>
      <c r="P173" s="1077"/>
      <c r="Q173" s="1077"/>
      <c r="R173" s="1077"/>
      <c r="S173" s="1077"/>
      <c r="T173" s="1077"/>
      <c r="U173" s="1077"/>
      <c r="V173" s="1077"/>
      <c r="W173" s="1077"/>
      <c r="X173" s="1077"/>
      <c r="Y173" s="1077"/>
      <c r="Z173" s="1077"/>
      <c r="AA173" s="1077"/>
      <c r="AB173" s="1077"/>
      <c r="AC173" s="1077"/>
      <c r="AD173" s="1077"/>
      <c r="AE173" s="1077"/>
      <c r="AF173" s="1077"/>
      <c r="AG173" s="1078"/>
      <c r="AH173" s="1079"/>
      <c r="AI173" s="1079"/>
      <c r="AJ173" s="1079"/>
      <c r="AK173" s="1079"/>
      <c r="AL173" s="1079"/>
      <c r="AM173" s="1079"/>
      <c r="AN173" s="1079"/>
      <c r="AO173" s="1080"/>
      <c r="AP173" s="1080"/>
      <c r="AQ173" s="1080"/>
      <c r="AR173" s="1080"/>
      <c r="AW173" s="1082"/>
      <c r="BB173" s="1082"/>
      <c r="BE173" s="1082"/>
      <c r="BH173" s="1082"/>
      <c r="BK173" s="1082"/>
      <c r="BN173" s="1082"/>
      <c r="BQ173" s="1082"/>
      <c r="BT173" s="1082"/>
      <c r="BW173" s="1082"/>
      <c r="BZ173" s="1082"/>
      <c r="CC173" s="1082"/>
    </row>
    <row r="174" spans="1:81" s="1065" customFormat="1" x14ac:dyDescent="0.2">
      <c r="A174" s="1083" t="str">
        <f>IF($AL95=1,"Pool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174" s="1083"/>
      <c r="C174" s="1083"/>
      <c r="D174" s="1083"/>
      <c r="E174" s="1083"/>
      <c r="F174" s="1083"/>
      <c r="G174" s="1083"/>
      <c r="H174" s="1083"/>
      <c r="I174" s="1083"/>
      <c r="J174" s="1083"/>
      <c r="K174" s="1083"/>
      <c r="L174" s="1083"/>
      <c r="M174" s="1083"/>
      <c r="N174" s="1083"/>
      <c r="O174" s="1083"/>
      <c r="P174" s="1083"/>
      <c r="Q174" s="1083"/>
      <c r="R174" s="1083"/>
      <c r="S174" s="1083"/>
      <c r="T174" s="1083"/>
      <c r="U174" s="1083"/>
      <c r="V174" s="1083"/>
      <c r="W174" s="1083"/>
      <c r="X174" s="1083"/>
      <c r="Y174" s="1083"/>
      <c r="Z174" s="1083"/>
      <c r="AA174" s="1083"/>
      <c r="AB174" s="1083"/>
      <c r="AC174" s="1083"/>
      <c r="AD174" s="1083"/>
      <c r="AE174" s="1083"/>
      <c r="AF174" s="1083"/>
      <c r="AG174" s="1083"/>
      <c r="AH174" s="1083"/>
      <c r="AI174" s="1083"/>
      <c r="AJ174" s="1083"/>
      <c r="AK174" s="1083"/>
      <c r="AL174" s="1083"/>
      <c r="AM174" s="1083"/>
      <c r="AN174" s="1084"/>
      <c r="AO174" s="1084"/>
      <c r="AP174" s="1084"/>
      <c r="AQ174" s="1084"/>
    </row>
    <row r="175" spans="1:81" s="1065" customFormat="1" x14ac:dyDescent="0.2">
      <c r="A175" s="1085"/>
      <c r="B175" s="1085"/>
      <c r="C175" s="1085"/>
      <c r="D175" s="1085"/>
      <c r="E175" s="1085"/>
      <c r="F175" s="1085"/>
      <c r="G175" s="1085"/>
      <c r="H175" s="1085"/>
      <c r="I175" s="1085"/>
      <c r="J175" s="1085"/>
      <c r="K175" s="1085"/>
      <c r="L175" s="1085"/>
      <c r="M175" s="1085"/>
      <c r="N175" s="1085"/>
      <c r="O175" s="1085"/>
      <c r="P175" s="1085"/>
      <c r="Q175" s="1085"/>
      <c r="R175" s="1085"/>
      <c r="S175" s="1085"/>
      <c r="T175" s="1085"/>
      <c r="U175" s="1085"/>
      <c r="V175" s="1085"/>
      <c r="W175" s="1085"/>
      <c r="X175" s="1085"/>
      <c r="Y175" s="1085"/>
      <c r="Z175" s="1085"/>
      <c r="AA175" s="1085"/>
      <c r="AB175" s="1085"/>
      <c r="AC175" s="1085"/>
      <c r="AD175" s="1085"/>
      <c r="AE175" s="1085"/>
      <c r="AF175" s="1085"/>
      <c r="AG175" s="1085"/>
      <c r="AH175" s="1085"/>
      <c r="AI175" s="1085"/>
      <c r="AJ175" s="1085"/>
      <c r="AK175" s="1085"/>
      <c r="AL175" s="1085"/>
      <c r="AM175" s="1085"/>
      <c r="AN175" s="1085"/>
      <c r="AO175" s="1085"/>
      <c r="AP175" s="1085"/>
      <c r="AQ175" s="1085"/>
      <c r="AR175" s="1085"/>
    </row>
    <row r="176" spans="1:81" ht="21" thickBot="1" x14ac:dyDescent="0.35">
      <c r="A176" s="1089" t="s">
        <v>118</v>
      </c>
      <c r="B176" s="1089"/>
      <c r="C176" s="1089"/>
      <c r="D176" s="1089"/>
      <c r="E176" s="1089"/>
      <c r="F176" s="1089"/>
      <c r="G176" s="1089"/>
      <c r="H176" s="1089"/>
      <c r="I176" s="1089"/>
      <c r="J176" s="1089"/>
      <c r="K176" s="1089"/>
      <c r="L176" s="1089"/>
      <c r="M176" s="1089"/>
      <c r="N176" s="1089"/>
      <c r="O176" s="1089"/>
      <c r="P176" s="1089"/>
      <c r="Q176" s="1089"/>
      <c r="R176" s="1089"/>
      <c r="S176" s="1089"/>
      <c r="T176" s="1089"/>
      <c r="U176" s="1089"/>
      <c r="V176" s="1089"/>
      <c r="W176" s="1089"/>
      <c r="X176" s="1089"/>
      <c r="Y176" s="1089"/>
      <c r="Z176" s="1089"/>
      <c r="AA176" s="1089"/>
      <c r="AB176" s="1089"/>
      <c r="AC176" s="1089"/>
      <c r="AD176" s="1089"/>
      <c r="AE176" s="1089"/>
      <c r="AF176" s="1089"/>
      <c r="AG176" s="1089"/>
      <c r="AH176" s="1089"/>
      <c r="AI176" s="1089"/>
      <c r="AJ176" s="1089"/>
      <c r="AK176" s="1089"/>
      <c r="AL176" s="1089"/>
      <c r="AM176" s="1089"/>
      <c r="AN176" s="1089"/>
      <c r="AO176" s="1089"/>
      <c r="AP176" s="1089"/>
      <c r="AQ176" s="1089"/>
    </row>
    <row r="177" spans="1:53" ht="13.5" thickBot="1" x14ac:dyDescent="0.25">
      <c r="A177" s="1090" t="s">
        <v>119</v>
      </c>
      <c r="B177" s="1091" t="s">
        <v>120</v>
      </c>
      <c r="C177" s="1092"/>
      <c r="D177" s="1092"/>
      <c r="E177" s="1092"/>
      <c r="F177" s="1092"/>
      <c r="G177" s="1092"/>
      <c r="H177" s="1092"/>
      <c r="I177" s="1092"/>
      <c r="J177" s="1092"/>
      <c r="K177" s="1093"/>
      <c r="L177" s="1091" t="s">
        <v>121</v>
      </c>
      <c r="M177" s="1092"/>
      <c r="N177" s="1092"/>
      <c r="O177" s="1092"/>
      <c r="P177" s="1092"/>
      <c r="Q177" s="1092"/>
      <c r="R177" s="1092"/>
      <c r="S177" s="1092"/>
      <c r="T177" s="1092"/>
      <c r="U177" s="1093"/>
      <c r="V177" s="1091" t="s">
        <v>122</v>
      </c>
      <c r="W177" s="1092"/>
      <c r="X177" s="1092"/>
      <c r="Y177" s="1092"/>
      <c r="Z177" s="1092"/>
      <c r="AA177" s="1092"/>
      <c r="AB177" s="1092"/>
      <c r="AC177" s="1092"/>
      <c r="AD177" s="1092"/>
      <c r="AE177" s="1093"/>
      <c r="AF177" s="1091" t="s">
        <v>123</v>
      </c>
      <c r="AG177" s="1092"/>
      <c r="AH177" s="1092"/>
      <c r="AI177" s="1092"/>
      <c r="AJ177" s="1092"/>
      <c r="AK177" s="1092"/>
      <c r="AL177" s="1092"/>
      <c r="AM177" s="1092"/>
      <c r="AN177" s="1092"/>
      <c r="AO177" s="1093"/>
    </row>
    <row r="178" spans="1:53" ht="13.5" thickBot="1" x14ac:dyDescent="0.25">
      <c r="A178" s="1094"/>
      <c r="B178" s="1095" t="s">
        <v>10</v>
      </c>
      <c r="C178" s="1096"/>
      <c r="D178" s="1096"/>
      <c r="E178" s="1096"/>
      <c r="F178" s="1096"/>
      <c r="G178" s="1097"/>
      <c r="H178" s="1095" t="s">
        <v>124</v>
      </c>
      <c r="I178" s="1096"/>
      <c r="J178" s="1096"/>
      <c r="K178" s="1097"/>
      <c r="L178" s="1095" t="s">
        <v>10</v>
      </c>
      <c r="M178" s="1096"/>
      <c r="N178" s="1096"/>
      <c r="O178" s="1096"/>
      <c r="P178" s="1096"/>
      <c r="Q178" s="1097"/>
      <c r="R178" s="1095" t="s">
        <v>124</v>
      </c>
      <c r="S178" s="1096"/>
      <c r="T178" s="1096"/>
      <c r="U178" s="1097"/>
      <c r="V178" s="1095" t="s">
        <v>10</v>
      </c>
      <c r="W178" s="1096"/>
      <c r="X178" s="1096"/>
      <c r="Y178" s="1096"/>
      <c r="Z178" s="1096"/>
      <c r="AA178" s="1097"/>
      <c r="AB178" s="1095" t="s">
        <v>124</v>
      </c>
      <c r="AC178" s="1096"/>
      <c r="AD178" s="1096"/>
      <c r="AE178" s="1097"/>
      <c r="AF178" s="1095" t="s">
        <v>10</v>
      </c>
      <c r="AG178" s="1096"/>
      <c r="AH178" s="1096"/>
      <c r="AI178" s="1096"/>
      <c r="AJ178" s="1096"/>
      <c r="AK178" s="1097"/>
      <c r="AL178" s="1095" t="s">
        <v>124</v>
      </c>
      <c r="AM178" s="1096"/>
      <c r="AN178" s="1096"/>
      <c r="AO178" s="1097"/>
    </row>
    <row r="179" spans="1:53" x14ac:dyDescent="0.2">
      <c r="A179" s="1098" t="s">
        <v>125</v>
      </c>
      <c r="B179" s="1099" t="str">
        <f>IF($AG$8=1,$E$8,IF($AG$10=1,$E$10,IF($AG$12=1,$E$12,IF($AG$14=1,$E$14,IF($AG$16=1,$E$16,"1st Place "&amp;$A179)))))</f>
        <v>SC Midlands KP Boys</v>
      </c>
      <c r="C179" s="1100"/>
      <c r="D179" s="1100"/>
      <c r="E179" s="1100"/>
      <c r="F179" s="1100"/>
      <c r="G179" s="1100"/>
      <c r="H179" s="1101" t="str">
        <f>IF($AG$8=1,$E$9,IF($AG$10=1,$E$11,IF($AG$12=1,$E$13,IF($AG$14=1,$E$15,IF($AG$16=1,$E$17,"1st Place "&amp;$A179)))))</f>
        <v>fj2scmid3pm</v>
      </c>
      <c r="I179" s="1101"/>
      <c r="J179" s="1101"/>
      <c r="K179" s="1102"/>
      <c r="L179" s="1099" t="str">
        <f>IF($AG$8=2,$E$8,IF($AG$10=2,$E$10,IF($AG$12=2,$E$12,IF($AG$14=2,$E$14,IF($AG$16=2,$E$16,"2nd Place "&amp;$A179)))))</f>
        <v>Intense kids power col</v>
      </c>
      <c r="M179" s="1100"/>
      <c r="N179" s="1100"/>
      <c r="O179" s="1100"/>
      <c r="P179" s="1100"/>
      <c r="Q179" s="1100"/>
      <c r="R179" s="1101" t="str">
        <f>IF($AG$8=2,$E$9,IF($AG$10=2,$E$11,IF($AG$12=2,$E$13,IF($AG$14=2,$E$15,IF($AG$16=2,$E$17,"2nd Place "&amp;$A179)))))</f>
        <v>fj2inten3pm</v>
      </c>
      <c r="S179" s="1101"/>
      <c r="T179" s="1101"/>
      <c r="U179" s="1102"/>
      <c r="V179" s="1099" t="str">
        <f>IF($AG$8=3,$E$8,IF($AG$10=3,$E$10,IF($AG$12=3,$E$12,IF($AG$14=3,$E$14,IF($AG$16=3,$E$16,"3rd Place "&amp;$A179)))))</f>
        <v>SC Midlands KP White</v>
      </c>
      <c r="W179" s="1100"/>
      <c r="X179" s="1100"/>
      <c r="Y179" s="1100"/>
      <c r="Z179" s="1100"/>
      <c r="AA179" s="1100"/>
      <c r="AB179" s="1101" t="str">
        <f>IF($AG$8=3,$E$9,IF($AG$10=3,$E$11,IF($AG$12=3,$E$13,IF($AG$14=3,$E$15,IF($AG$16=3,$E$17,"3rd Place "&amp;$A179)))))</f>
        <v>fj2scmid2pm</v>
      </c>
      <c r="AC179" s="1101"/>
      <c r="AD179" s="1101"/>
      <c r="AE179" s="1102"/>
      <c r="AF179" s="1099" t="str">
        <f>IF($AG$8=4,$E$8,IF($AG$10=4,$E$10,IF($AG$12=4,$E$12,IF($AG$14=4,$E$14,IF($AG$16=4,$E$16,"4th Place "&amp;$A179)))))</f>
        <v>C1VB Juniors Royal</v>
      </c>
      <c r="AG179" s="1100"/>
      <c r="AH179" s="1100"/>
      <c r="AI179" s="1100"/>
      <c r="AJ179" s="1100"/>
      <c r="AK179" s="1100"/>
      <c r="AL179" s="1101" t="str">
        <f>IF($AG$8=4,$E$9,IF($AG$10=4,$E$11,IF($AG$12=4,$E$13,IF($AG$14=4,$E$15,IF($AG$16=4,$E$17,"4th Place "&amp;$A179)))))</f>
        <v>fj2crone7pm</v>
      </c>
      <c r="AM179" s="1101"/>
      <c r="AN179" s="1101"/>
      <c r="AO179" s="1102"/>
    </row>
    <row r="180" spans="1:53" ht="13.5" thickBot="1" x14ac:dyDescent="0.25">
      <c r="A180" s="1103" t="s">
        <v>126</v>
      </c>
      <c r="B180" s="1104" t="str">
        <f>IF($AG$93=1,$E$93,IF($AG$95=1,$E$95,IF($AG$97=1,$E$97,IF($AG$99=1,$E$99,IF($AG$101=1,$E$101,"1st Place "&amp;$A180)))))</f>
        <v>MOTO 12'1</v>
      </c>
      <c r="C180" s="1105"/>
      <c r="D180" s="1105"/>
      <c r="E180" s="1105"/>
      <c r="F180" s="1105"/>
      <c r="G180" s="1105"/>
      <c r="H180" s="1106" t="str">
        <f>IF($AG$93=1,$E$94,IF($AG$95=1,$E$96,IF($AG$97=1,$E$98,IF($AG$99=1,$E$100,IF($AG$101=1,$E$102,"1st Place "&amp;$A180)))))</f>
        <v>fj1motoj1pm</v>
      </c>
      <c r="I180" s="1106"/>
      <c r="J180" s="1106"/>
      <c r="K180" s="1107"/>
      <c r="L180" s="1104" t="str">
        <f>IF($AG$93=2,$E$93,IF($AG$95=2,$E$95,IF($AG$97=2,$E$97,IF($AG$99=2,$E$99,IF($AG$101=2,$E$101,"2nd Place "&amp;$A180)))))</f>
        <v>Foothills Vanessa</v>
      </c>
      <c r="M180" s="1105"/>
      <c r="N180" s="1105"/>
      <c r="O180" s="1105"/>
      <c r="P180" s="1105"/>
      <c r="Q180" s="1105"/>
      <c r="R180" s="1106" t="str">
        <f>IF($AG$93=2,$E$94,IF($AG$95=2,$E$96,IF($AG$97=2,$E$98,IF($AG$99=2,$E$100,IF($AG$101=2,$E$102,"2nd Place "&amp;$A180)))))</f>
        <v>fj2footh2pm</v>
      </c>
      <c r="S180" s="1106"/>
      <c r="T180" s="1106"/>
      <c r="U180" s="1107"/>
      <c r="V180" s="1104" t="str">
        <f>IF($AG$93=3,$E$93,IF($AG$95=3,$E$95,IF($AG$97=3,$E$97,IF($AG$99=3,$E$99,IF($AG$101=3,$E$101,"3rd Place "&amp;$A180)))))</f>
        <v>C1VB Juniors Grey</v>
      </c>
      <c r="W180" s="1105"/>
      <c r="X180" s="1105"/>
      <c r="Y180" s="1105"/>
      <c r="Z180" s="1105"/>
      <c r="AA180" s="1105"/>
      <c r="AB180" s="1106" t="str">
        <f>IF($AG$93=3,$E$94,IF($AG$95=3,$E$96,IF($AG$97=3,$E$98,IF($AG$99=3,$E$100,IF($AG$101=3,$E$102,"3rd Place "&amp;$A180)))))</f>
        <v>fj2crone8pm</v>
      </c>
      <c r="AC180" s="1106"/>
      <c r="AD180" s="1106"/>
      <c r="AE180" s="1107"/>
      <c r="AF180" s="1108"/>
      <c r="AG180" s="1109"/>
      <c r="AH180" s="1109"/>
      <c r="AI180" s="1109"/>
      <c r="AJ180" s="1109"/>
      <c r="AK180" s="1109"/>
      <c r="AL180" s="1110"/>
      <c r="AM180" s="1110"/>
      <c r="AN180" s="1110"/>
      <c r="AO180" s="1111"/>
    </row>
    <row r="181" spans="1:53" s="845" customFormat="1" x14ac:dyDescent="0.2">
      <c r="A181" s="1112"/>
      <c r="B181" s="1113"/>
      <c r="C181" s="1113"/>
      <c r="D181" s="1113"/>
      <c r="E181" s="1113"/>
      <c r="F181" s="1113"/>
      <c r="G181" s="1113"/>
      <c r="H181" s="1113"/>
      <c r="I181" s="1113"/>
      <c r="J181" s="1113"/>
      <c r="K181" s="1113"/>
      <c r="L181" s="1113"/>
      <c r="M181" s="1113"/>
      <c r="N181" s="1113"/>
      <c r="O181" s="1113"/>
      <c r="P181" s="1113"/>
      <c r="Q181" s="1113"/>
      <c r="R181" s="1113"/>
      <c r="S181" s="1113"/>
      <c r="T181" s="1113"/>
      <c r="U181" s="1113"/>
      <c r="V181" s="1113"/>
      <c r="W181" s="1113"/>
      <c r="X181" s="1113"/>
      <c r="Y181" s="1113"/>
      <c r="Z181" s="1113"/>
      <c r="AA181" s="1113"/>
      <c r="AB181" s="1113"/>
      <c r="AC181" s="1113"/>
      <c r="AD181" s="1113"/>
      <c r="AE181" s="1113"/>
      <c r="AF181" s="1113"/>
      <c r="AG181" s="1113"/>
      <c r="AH181" s="1113"/>
      <c r="AI181" s="1113"/>
      <c r="AJ181" s="1113"/>
      <c r="AK181" s="1113"/>
      <c r="AL181" s="1113"/>
      <c r="AM181" s="1113"/>
      <c r="AN181" s="1113"/>
      <c r="AO181" s="1113"/>
      <c r="AZ181" s="846"/>
      <c r="BA181" s="846"/>
    </row>
    <row r="182" spans="1:53" ht="15.75" x14ac:dyDescent="0.25">
      <c r="A182" s="1114" t="s">
        <v>127</v>
      </c>
      <c r="B182" s="1114"/>
      <c r="C182" s="1114"/>
      <c r="D182" s="1114"/>
      <c r="E182" s="1114"/>
      <c r="F182" s="1114"/>
      <c r="G182" s="1114"/>
      <c r="H182" s="1114"/>
      <c r="I182" s="1114"/>
      <c r="J182" s="1114"/>
      <c r="K182" s="1114"/>
      <c r="L182" s="1114"/>
      <c r="M182" s="1114"/>
      <c r="N182" s="1114"/>
      <c r="O182" s="1114"/>
      <c r="P182" s="1114"/>
      <c r="Q182" s="1114"/>
      <c r="R182" s="1114"/>
      <c r="S182" s="1114"/>
      <c r="T182" s="1114"/>
      <c r="U182" s="1114"/>
      <c r="V182" s="1114"/>
      <c r="W182" s="1114"/>
      <c r="X182" s="1114"/>
      <c r="Y182" s="1114"/>
      <c r="Z182" s="1114"/>
      <c r="AA182" s="1114"/>
      <c r="AB182" s="1114"/>
      <c r="AC182" s="1114"/>
      <c r="AD182" s="1114"/>
      <c r="AE182" s="1114"/>
      <c r="AF182" s="1114"/>
      <c r="AG182" s="1114"/>
      <c r="AH182" s="1114"/>
      <c r="AI182" s="1114"/>
      <c r="AJ182" s="1114"/>
      <c r="AK182" s="1114"/>
      <c r="AL182" s="1114"/>
      <c r="AM182" s="1114"/>
      <c r="AN182" s="1114"/>
      <c r="AO182" s="1114"/>
      <c r="AP182" s="1114"/>
      <c r="AQ182" s="1114"/>
      <c r="AT182" s="1115"/>
      <c r="AU182" s="1115"/>
    </row>
    <row r="183" spans="1:53" ht="18" x14ac:dyDescent="0.25">
      <c r="A183" s="1116" t="s">
        <v>1130</v>
      </c>
      <c r="B183" s="1116"/>
      <c r="C183" s="1116"/>
      <c r="D183" s="1116"/>
      <c r="E183" s="1116"/>
      <c r="F183" s="1116"/>
      <c r="G183" s="1116"/>
      <c r="H183" s="1116"/>
      <c r="I183" s="1116"/>
      <c r="J183" s="1116"/>
      <c r="K183" s="1116"/>
      <c r="L183" s="1116"/>
      <c r="M183" s="1116"/>
      <c r="N183" s="1116"/>
      <c r="O183" s="1116"/>
      <c r="P183" s="1116"/>
      <c r="Q183" s="1116"/>
      <c r="R183" s="1116"/>
      <c r="S183" s="1116"/>
      <c r="T183" s="1116"/>
      <c r="U183" s="1116"/>
      <c r="V183" s="1116"/>
      <c r="W183" s="1116"/>
      <c r="X183" s="1116"/>
      <c r="Y183" s="1116"/>
      <c r="Z183" s="1116"/>
      <c r="AA183" s="1116"/>
      <c r="AB183" s="1116"/>
      <c r="AC183" s="1116"/>
      <c r="AD183" s="1116"/>
      <c r="AE183" s="1116"/>
      <c r="AF183" s="1116"/>
      <c r="AG183" s="1116"/>
      <c r="AH183" s="1116"/>
      <c r="AI183" s="1116"/>
      <c r="AJ183" s="1116"/>
      <c r="AK183" s="1116"/>
      <c r="AL183" s="1116"/>
      <c r="AM183" s="1116"/>
      <c r="AN183" s="1116"/>
      <c r="AO183" s="1116"/>
      <c r="AP183" s="1116"/>
      <c r="AQ183" s="1116"/>
      <c r="AR183" s="1116"/>
    </row>
    <row r="184" spans="1:53" x14ac:dyDescent="0.2">
      <c r="A184" s="1117"/>
      <c r="B184" s="1117"/>
      <c r="C184" s="1117"/>
      <c r="D184" s="1117"/>
      <c r="E184" s="1117"/>
      <c r="F184" s="1117"/>
      <c r="G184" s="1117"/>
      <c r="H184" s="1117"/>
      <c r="I184" s="1117"/>
      <c r="J184" s="1117"/>
      <c r="K184" s="1117"/>
      <c r="L184" s="1117"/>
      <c r="M184" s="1117"/>
      <c r="N184" s="1117"/>
      <c r="O184" s="1117"/>
      <c r="P184" s="1117"/>
      <c r="Q184" s="1117"/>
      <c r="R184" s="1117"/>
      <c r="S184" s="1117"/>
      <c r="T184" s="1117"/>
      <c r="U184" s="1117"/>
      <c r="V184" s="1117"/>
      <c r="W184" s="1117"/>
      <c r="X184" s="1117"/>
      <c r="Y184" s="1117"/>
      <c r="Z184" s="1117"/>
      <c r="AA184" s="1117"/>
      <c r="AB184" s="1117"/>
      <c r="AC184" s="1117"/>
      <c r="AD184" s="1117"/>
      <c r="AE184" s="1117"/>
      <c r="AF184" s="1117"/>
      <c r="AG184" s="1117"/>
      <c r="AH184" s="1117"/>
      <c r="AI184" s="1117"/>
      <c r="AJ184" s="1117"/>
      <c r="AK184" s="1117"/>
      <c r="AL184" s="1117"/>
      <c r="AM184" s="1117"/>
      <c r="AN184" s="1117"/>
      <c r="AO184" s="1117"/>
      <c r="AP184" s="1117"/>
      <c r="AQ184" s="1117"/>
      <c r="AR184" s="1117"/>
    </row>
    <row r="185" spans="1:53" x14ac:dyDescent="0.2">
      <c r="A185" s="1117"/>
      <c r="B185" s="1117"/>
      <c r="C185" s="1117"/>
      <c r="D185" s="1117"/>
      <c r="E185" s="1117"/>
      <c r="F185" s="1117"/>
      <c r="G185" s="1117"/>
      <c r="H185" s="1117"/>
      <c r="I185" s="1117"/>
      <c r="J185" s="1117"/>
      <c r="K185" s="1117"/>
      <c r="L185" s="1117"/>
      <c r="M185" s="1117"/>
      <c r="N185" s="1117"/>
      <c r="O185" s="1117"/>
      <c r="P185" s="1117"/>
      <c r="Q185" s="1117"/>
      <c r="R185" s="1117"/>
      <c r="S185" s="1117"/>
      <c r="T185" s="1117"/>
      <c r="U185" s="1117"/>
      <c r="V185" s="1117"/>
      <c r="W185" s="1117"/>
      <c r="X185" s="1117"/>
      <c r="Y185" s="1117"/>
      <c r="Z185" s="1117"/>
      <c r="AA185" s="1117"/>
      <c r="AB185" s="1117"/>
      <c r="AC185" s="1117"/>
      <c r="AD185" s="1117"/>
      <c r="AE185" s="1117"/>
      <c r="AF185" s="1117"/>
      <c r="AG185" s="1117"/>
      <c r="AH185" s="1117"/>
      <c r="AI185" s="1117"/>
      <c r="AJ185" s="1117"/>
      <c r="AK185" s="1117"/>
      <c r="AL185" s="1117"/>
      <c r="AM185" s="1117"/>
      <c r="AN185" s="1117"/>
      <c r="AO185" s="1117"/>
      <c r="AP185" s="1117"/>
      <c r="AQ185" s="1117"/>
      <c r="AR185" s="1117"/>
    </row>
    <row r="186" spans="1:53" x14ac:dyDescent="0.2">
      <c r="A186" s="1118" t="s">
        <v>130</v>
      </c>
      <c r="B186" s="1118"/>
      <c r="C186" s="1118"/>
      <c r="D186" s="1118"/>
      <c r="E186" s="1118"/>
      <c r="F186" s="1118"/>
      <c r="G186" s="1118"/>
      <c r="H186" s="1118"/>
      <c r="I186" s="1118"/>
      <c r="J186" s="1118"/>
      <c r="K186" s="1118"/>
      <c r="L186" s="1118"/>
      <c r="M186" s="1119"/>
    </row>
    <row r="187" spans="1:53" x14ac:dyDescent="0.2">
      <c r="C187" s="845"/>
      <c r="D187" s="845"/>
      <c r="E187" s="845"/>
      <c r="M187" s="1119"/>
    </row>
    <row r="188" spans="1:53" x14ac:dyDescent="0.2">
      <c r="A188" s="1084" t="s">
        <v>131</v>
      </c>
      <c r="B188" s="1084"/>
      <c r="C188" s="1084"/>
      <c r="D188" s="1084"/>
      <c r="E188" s="1084"/>
      <c r="F188" s="1084"/>
      <c r="G188" s="1084"/>
      <c r="H188" s="1084"/>
      <c r="I188" s="1084"/>
      <c r="J188" s="1084"/>
      <c r="K188" s="1084"/>
      <c r="L188" s="1084"/>
      <c r="M188" s="1084"/>
      <c r="N188" s="1084"/>
      <c r="O188" s="1084"/>
      <c r="P188" s="1084"/>
      <c r="Q188" s="1066"/>
      <c r="S188" s="1084" t="s">
        <v>132</v>
      </c>
      <c r="T188" s="1084"/>
      <c r="U188" s="1084"/>
      <c r="V188" s="1084"/>
      <c r="W188" s="1084"/>
      <c r="X188" s="1084"/>
      <c r="Y188" s="1084"/>
      <c r="Z188" s="1084"/>
      <c r="AA188" s="1084"/>
      <c r="AB188" s="1084"/>
      <c r="AC188" s="1084"/>
      <c r="AD188" s="1084"/>
      <c r="AE188" s="1084"/>
      <c r="AF188" s="1084"/>
      <c r="AG188" s="1084"/>
    </row>
    <row r="190" spans="1:53" ht="13.5" thickBot="1" x14ac:dyDescent="0.25">
      <c r="A190" s="1120" t="str">
        <f>IF(B218=1,B210,IF(B218=2,B211,IF(B218=3,B212,IF(B218=4,B213,IF(OR(B218="B",B218="b"),"BYE","invalid")))))</f>
        <v>SC Midlands KP Boys</v>
      </c>
      <c r="B190" s="1120"/>
      <c r="C190" s="1120"/>
      <c r="D190" s="1120"/>
      <c r="E190" s="1120"/>
      <c r="F190" s="1121"/>
      <c r="G190" s="1121"/>
      <c r="H190" s="1121"/>
      <c r="I190" s="1121"/>
      <c r="J190" s="1121"/>
      <c r="K190" s="1121"/>
      <c r="L190" s="1121"/>
      <c r="M190" s="1121"/>
      <c r="N190" s="1121"/>
      <c r="O190" s="1121"/>
      <c r="T190" s="1122"/>
      <c r="U190" s="1122"/>
      <c r="V190" s="1120" t="str">
        <f>IF(X218=1,Y210,IF(X218=2,Y211,IF(X218=3,Y212,IF(X218=4,Y213,IF(OR(X218="B",X218="b"),"BYE","invalid")))))</f>
        <v>SC Midlands KP White</v>
      </c>
      <c r="W190" s="1120"/>
      <c r="X190" s="1120"/>
      <c r="Y190" s="1120"/>
      <c r="Z190" s="1120"/>
      <c r="AA190" s="1120"/>
      <c r="AB190" s="1120"/>
      <c r="AC190" s="1121"/>
      <c r="AD190" s="1121"/>
      <c r="AE190" s="1121"/>
      <c r="AF190" s="1121"/>
    </row>
    <row r="191" spans="1:53" x14ac:dyDescent="0.2">
      <c r="A191" s="1123" t="s">
        <v>133</v>
      </c>
      <c r="B191" s="1123"/>
      <c r="C191" s="1123"/>
      <c r="D191" s="1123"/>
      <c r="E191" s="1123"/>
      <c r="F191" s="1124"/>
      <c r="G191" s="1121"/>
      <c r="H191" s="1121"/>
      <c r="I191" s="1121"/>
      <c r="J191" s="1121"/>
      <c r="K191" s="1121"/>
      <c r="L191" s="1121"/>
      <c r="M191" s="1121"/>
      <c r="N191" s="1121"/>
      <c r="O191" s="1121"/>
      <c r="T191" s="1125"/>
      <c r="U191" s="1125"/>
      <c r="V191" s="1126"/>
      <c r="W191" s="1126"/>
      <c r="X191" s="1126"/>
      <c r="Y191" s="1126"/>
      <c r="Z191" s="1126"/>
      <c r="AA191" s="1126"/>
      <c r="AB191" s="1127"/>
      <c r="AC191" s="1121"/>
      <c r="AD191" s="1121"/>
      <c r="AE191" s="1121"/>
      <c r="AF191" s="1121"/>
    </row>
    <row r="192" spans="1:53" x14ac:dyDescent="0.2">
      <c r="A192" s="1121"/>
      <c r="B192" s="1121"/>
      <c r="C192" s="1121"/>
      <c r="D192" s="1121"/>
      <c r="E192" s="1121"/>
      <c r="F192" s="1124"/>
      <c r="G192" s="1121"/>
      <c r="H192" s="1121"/>
      <c r="I192" s="1121"/>
      <c r="J192" s="1121"/>
      <c r="K192" s="1121"/>
      <c r="L192" s="1121"/>
      <c r="M192" s="1121"/>
      <c r="N192" s="1121"/>
      <c r="O192" s="1121"/>
      <c r="S192" s="1121"/>
      <c r="T192" s="1121"/>
      <c r="U192" s="1121"/>
      <c r="V192" s="1121"/>
      <c r="W192" s="1121"/>
      <c r="X192" s="1121"/>
      <c r="Y192" s="1121"/>
      <c r="Z192" s="1121"/>
      <c r="AA192" s="1121"/>
      <c r="AB192" s="1128"/>
      <c r="AC192" s="1121"/>
      <c r="AD192" s="1121"/>
      <c r="AE192" s="1121"/>
      <c r="AF192" s="1121"/>
    </row>
    <row r="193" spans="1:53" ht="13.5" thickBot="1" x14ac:dyDescent="0.25">
      <c r="A193" s="1129" t="str">
        <f>B212&amp;" ref"</f>
        <v>Intense kids power col ref</v>
      </c>
      <c r="B193" s="1129"/>
      <c r="C193" s="1129"/>
      <c r="D193" s="1129"/>
      <c r="E193" s="1130"/>
      <c r="F193" s="1131" t="str">
        <f>IF(H218=1,B210,IF(H218=2,B211,IF(H218=3,B212,IF(H218=4,B213,"Winner Match 1"))))</f>
        <v>Winner Match 1</v>
      </c>
      <c r="G193" s="1132"/>
      <c r="H193" s="1132"/>
      <c r="I193" s="1132"/>
      <c r="J193" s="1132"/>
      <c r="K193" s="1132"/>
      <c r="L193" s="1132"/>
      <c r="M193" s="1132"/>
      <c r="N193" s="1132"/>
      <c r="O193" s="1121"/>
      <c r="Q193" s="1133"/>
      <c r="R193" s="1133"/>
      <c r="S193" s="1133"/>
      <c r="T193" s="1133"/>
      <c r="U193" s="1134"/>
      <c r="V193" s="1134"/>
      <c r="W193" s="1134"/>
      <c r="X193" s="1134"/>
      <c r="Y193" s="1134"/>
      <c r="Z193" s="1134"/>
      <c r="AA193" s="1134"/>
      <c r="AB193" s="1128"/>
      <c r="AC193" s="1131" t="str">
        <f>IF(AD218=1,Y210,IF(AD218=2,Y211,IF(AD218=3,Y212,IF(AD218=4,Y213,"Winner Match 1"))))</f>
        <v>SC Midlands KP White</v>
      </c>
      <c r="AD193" s="1132"/>
      <c r="AE193" s="1132"/>
      <c r="AF193" s="1132"/>
      <c r="AG193" s="1132"/>
      <c r="AH193" s="1132"/>
      <c r="AI193" s="1132"/>
    </row>
    <row r="194" spans="1:53" x14ac:dyDescent="0.2">
      <c r="A194" s="1135" t="s">
        <v>135</v>
      </c>
      <c r="B194" s="1135"/>
      <c r="C194" s="1135"/>
      <c r="D194" s="1135"/>
      <c r="E194" s="1135"/>
      <c r="F194" s="1136"/>
      <c r="G194" s="1137"/>
      <c r="H194" s="1137"/>
      <c r="I194" s="1138"/>
      <c r="J194" s="1139"/>
      <c r="K194" s="1140"/>
      <c r="L194" s="1140"/>
      <c r="M194" s="1140"/>
      <c r="N194" s="1140"/>
      <c r="O194" s="1121"/>
      <c r="P194" s="1121"/>
      <c r="Q194" s="1141"/>
      <c r="R194" s="853"/>
      <c r="S194" s="1142"/>
      <c r="T194" s="1142"/>
      <c r="U194" s="1143"/>
      <c r="V194" s="1143"/>
      <c r="W194" s="1143"/>
      <c r="X194" s="1143"/>
      <c r="Y194" s="1143"/>
      <c r="Z194" s="1143"/>
      <c r="AA194" s="1143"/>
      <c r="AB194" s="1128"/>
      <c r="AC194" s="1136"/>
      <c r="AD194" s="1137"/>
      <c r="AE194" s="1137"/>
      <c r="AF194" s="1138"/>
      <c r="AG194" s="1139"/>
      <c r="AH194" s="1140"/>
      <c r="AI194" s="1140"/>
    </row>
    <row r="195" spans="1:53" ht="13.5" thickBot="1" x14ac:dyDescent="0.25">
      <c r="A195" s="1120" t="str">
        <f>IF(D218=1,B210,IF(D218=2,B211,IF(D218=3,B212,IF(D218=4,B213,IF(OR(D218="B",D218="b"),"BYE","invalid")))))</f>
        <v>Foothills Vanessa</v>
      </c>
      <c r="B195" s="1120"/>
      <c r="C195" s="1120"/>
      <c r="D195" s="1120"/>
      <c r="E195" s="1144"/>
      <c r="F195" s="1124"/>
      <c r="G195" s="1121"/>
      <c r="H195" s="1121"/>
      <c r="I195" s="1121"/>
      <c r="J195" s="1124"/>
      <c r="K195" s="1121"/>
      <c r="L195" s="1121"/>
      <c r="M195" s="1121"/>
      <c r="N195" s="1121"/>
      <c r="O195" s="1121"/>
      <c r="P195" s="1121"/>
      <c r="Q195" s="1121"/>
      <c r="U195" s="1121"/>
      <c r="V195" s="1145" t="str">
        <f>IF(Z218=1,Y210,IF(Z218=2,Y211,IF(Z218=3,Y212,IF(Z218=4,Y213,IF(OR(Z218="B",Z218="b"),"BYE","invalid")))))</f>
        <v>BYE</v>
      </c>
      <c r="W195" s="1145"/>
      <c r="X195" s="1145"/>
      <c r="Y195" s="1145"/>
      <c r="Z195" s="1145"/>
      <c r="AA195" s="1145"/>
      <c r="AB195" s="1146"/>
      <c r="AC195" s="1121"/>
      <c r="AD195" s="1121"/>
      <c r="AE195" s="1121"/>
      <c r="AF195" s="1128"/>
      <c r="AG195" s="1121"/>
      <c r="AH195" s="1121"/>
    </row>
    <row r="196" spans="1:53" x14ac:dyDescent="0.2">
      <c r="A196" s="1123" t="s">
        <v>137</v>
      </c>
      <c r="B196" s="1123"/>
      <c r="C196" s="1123"/>
      <c r="D196" s="1123"/>
      <c r="E196" s="1123"/>
      <c r="F196" s="1121"/>
      <c r="G196" s="1121"/>
      <c r="H196" s="1121"/>
      <c r="I196" s="1121"/>
      <c r="J196" s="1124"/>
      <c r="K196" s="1121"/>
      <c r="L196" s="1121"/>
      <c r="M196" s="1121"/>
      <c r="N196" s="1121"/>
      <c r="O196" s="1121"/>
      <c r="P196" s="1121"/>
      <c r="Q196" s="1121"/>
      <c r="V196" s="1147"/>
      <c r="W196" s="1147"/>
      <c r="X196" s="1147"/>
      <c r="Y196" s="1147"/>
      <c r="Z196" s="1147"/>
      <c r="AA196" s="1147"/>
      <c r="AB196" s="1147"/>
      <c r="AC196" s="1121"/>
      <c r="AD196" s="1121"/>
      <c r="AE196" s="1121"/>
      <c r="AF196" s="1128"/>
      <c r="AG196" s="1121"/>
      <c r="AH196" s="1121"/>
      <c r="AR196" s="1148"/>
      <c r="AS196" s="1148"/>
      <c r="AV196" s="1148"/>
      <c r="AW196" s="1148"/>
      <c r="AX196" s="1148"/>
    </row>
    <row r="197" spans="1:53" x14ac:dyDescent="0.2">
      <c r="A197" s="1121"/>
      <c r="B197" s="1121"/>
      <c r="C197" s="1121"/>
      <c r="D197" s="1121"/>
      <c r="E197" s="1121"/>
      <c r="F197" s="1134" t="s">
        <v>139</v>
      </c>
      <c r="G197" s="1134"/>
      <c r="H197" s="1134"/>
      <c r="I197" s="1149"/>
      <c r="J197" s="1124"/>
      <c r="K197" s="1121"/>
      <c r="L197" s="1121"/>
      <c r="M197" s="1121"/>
      <c r="N197" s="1121"/>
      <c r="O197" s="1121"/>
      <c r="P197" s="1121"/>
      <c r="Q197" s="1121"/>
      <c r="S197" s="1121"/>
      <c r="T197" s="1121"/>
      <c r="U197" s="1121"/>
      <c r="V197" s="1121"/>
      <c r="W197" s="1121"/>
      <c r="X197" s="1133"/>
      <c r="Y197" s="1133"/>
      <c r="Z197" s="1133"/>
      <c r="AB197" s="1133"/>
      <c r="AC197" s="1134" t="s">
        <v>139</v>
      </c>
      <c r="AD197" s="1134"/>
      <c r="AE197" s="1134"/>
      <c r="AF197" s="1149"/>
      <c r="AG197" s="1121"/>
      <c r="AH197" s="1121"/>
    </row>
    <row r="198" spans="1:53" ht="13.5" thickBot="1" x14ac:dyDescent="0.25">
      <c r="A198" s="1121"/>
      <c r="B198" s="1121"/>
      <c r="C198" s="1121"/>
      <c r="D198" s="1121"/>
      <c r="E198" s="1121"/>
      <c r="F198" s="1121"/>
      <c r="G198" s="1121"/>
      <c r="H198" s="1121"/>
      <c r="I198" s="1121"/>
      <c r="J198" s="1150" t="str">
        <f>IF(K223=1,B210,IF(K223=2,B211,IF(K223=3,B212,IF(K223=4,B213,"Division Winner"))))</f>
        <v>Division Winner</v>
      </c>
      <c r="K198" s="1151"/>
      <c r="L198" s="1151"/>
      <c r="M198" s="1151"/>
      <c r="N198" s="1151"/>
      <c r="O198" s="1151"/>
      <c r="P198" s="1151"/>
      <c r="Q198" s="1151"/>
      <c r="R198" s="1122"/>
      <c r="S198" s="1121"/>
      <c r="T198" s="1121"/>
      <c r="U198" s="1121"/>
      <c r="V198" s="1121"/>
      <c r="W198" s="1121"/>
      <c r="X198" s="1121"/>
      <c r="Y198" s="1121"/>
      <c r="Z198" s="1121"/>
      <c r="AA198" s="1121"/>
      <c r="AB198" s="1152"/>
      <c r="AC198" s="1152"/>
      <c r="AD198" s="1152"/>
      <c r="AE198" s="1152"/>
      <c r="AF198" s="1153"/>
      <c r="AG198" s="1151" t="str">
        <f>IF(AG223=1,Y210,IF(AG223=2,Y211,IF(AG223=3,Y212,IF(AG223=4,Y213,"Division Winner"))))</f>
        <v>Division Winner</v>
      </c>
      <c r="AH198" s="1151"/>
      <c r="AI198" s="1151"/>
      <c r="AJ198" s="1151"/>
      <c r="AK198" s="1151"/>
      <c r="AL198" s="1152"/>
    </row>
    <row r="199" spans="1:53" ht="13.5" thickBot="1" x14ac:dyDescent="0.25">
      <c r="A199" s="1120" t="str">
        <f>IF(E218=1,B210,IF(E218=2,B211,IF(E218=3,B212,IF(E218=4,B213,IF(OR(E218="B",E218="b"),"BYE","invalid")))))</f>
        <v>MOTO 12'1</v>
      </c>
      <c r="B199" s="1120"/>
      <c r="C199" s="1120"/>
      <c r="D199" s="1120"/>
      <c r="E199" s="1120"/>
      <c r="F199" s="1135" t="s">
        <v>140</v>
      </c>
      <c r="G199" s="1135"/>
      <c r="H199" s="1135"/>
      <c r="I199" s="1135"/>
      <c r="J199" s="1154" t="s">
        <v>141</v>
      </c>
      <c r="K199" s="1134"/>
      <c r="L199" s="1134"/>
      <c r="M199" s="1134"/>
      <c r="N199" s="1134"/>
      <c r="O199" s="1134"/>
      <c r="P199" s="1134"/>
      <c r="Q199" s="1134"/>
      <c r="S199" s="1152"/>
      <c r="T199" s="1152"/>
      <c r="U199" s="1152"/>
      <c r="V199" s="1120" t="str">
        <f>IF(AA218=1,Y210,IF(AA218=2,Y211,IF(AA218=3,Y212,IF(AA218=4,Y213,IF(OR(AA218="B",AA218="b"),"BYE","invalid")))))</f>
        <v>C1VB Juniors Grey</v>
      </c>
      <c r="W199" s="1120"/>
      <c r="X199" s="1120"/>
      <c r="Y199" s="1120"/>
      <c r="Z199" s="1120"/>
      <c r="AA199" s="1120"/>
      <c r="AB199" s="1120"/>
      <c r="AC199" s="1135" t="s">
        <v>142</v>
      </c>
      <c r="AD199" s="1135"/>
      <c r="AE199" s="1135"/>
      <c r="AF199" s="1155"/>
      <c r="AG199" s="1156" t="s">
        <v>143</v>
      </c>
      <c r="AH199" s="1157"/>
      <c r="AI199" s="1157"/>
      <c r="AJ199" s="1157"/>
      <c r="AK199" s="1157"/>
    </row>
    <row r="200" spans="1:53" x14ac:dyDescent="0.2">
      <c r="A200" s="1123" t="s">
        <v>144</v>
      </c>
      <c r="B200" s="1123"/>
      <c r="C200" s="1123"/>
      <c r="D200" s="1123"/>
      <c r="E200" s="1123"/>
      <c r="F200" s="1124"/>
      <c r="G200" s="1121"/>
      <c r="H200" s="1121"/>
      <c r="I200" s="1121"/>
      <c r="J200" s="1154"/>
      <c r="K200" s="1134"/>
      <c r="L200" s="1134"/>
      <c r="M200" s="1134"/>
      <c r="N200" s="1134"/>
      <c r="O200" s="1134"/>
      <c r="P200" s="1134"/>
      <c r="Q200" s="1134"/>
      <c r="R200" s="1121"/>
      <c r="S200" s="1148"/>
      <c r="T200" s="1148"/>
      <c r="U200" s="1148"/>
      <c r="V200" s="1129" t="s">
        <v>145</v>
      </c>
      <c r="W200" s="1129"/>
      <c r="X200" s="1129"/>
      <c r="Y200" s="1129"/>
      <c r="Z200" s="1129"/>
      <c r="AA200" s="1129"/>
      <c r="AB200" s="1130"/>
      <c r="AC200" s="1121"/>
      <c r="AD200" s="1121"/>
      <c r="AE200" s="1121"/>
      <c r="AF200" s="1128"/>
      <c r="AG200" s="1121"/>
      <c r="AH200" s="1121"/>
    </row>
    <row r="201" spans="1:53" x14ac:dyDescent="0.2">
      <c r="A201" s="1121"/>
      <c r="B201" s="1121"/>
      <c r="C201" s="1121"/>
      <c r="D201" s="1121"/>
      <c r="E201" s="1121"/>
      <c r="F201" s="1124"/>
      <c r="G201" s="1121"/>
      <c r="H201" s="1121"/>
      <c r="I201" s="1121"/>
      <c r="J201" s="1124"/>
      <c r="K201" s="1121"/>
      <c r="L201" s="1121"/>
      <c r="M201" s="1121"/>
      <c r="N201" s="1121"/>
      <c r="O201" s="1121"/>
      <c r="Q201" s="1121"/>
      <c r="R201" s="1121"/>
      <c r="S201" s="1121"/>
      <c r="T201" s="1121"/>
      <c r="U201" s="1121"/>
      <c r="V201" s="1121"/>
      <c r="W201" s="1121"/>
      <c r="X201" s="1121"/>
      <c r="Y201" s="1121"/>
      <c r="Z201" s="1121"/>
      <c r="AA201" s="1121"/>
      <c r="AB201" s="1128"/>
      <c r="AC201" s="1124"/>
      <c r="AD201" s="1121"/>
      <c r="AE201" s="1121"/>
      <c r="AF201" s="1128"/>
      <c r="AG201" s="1121"/>
      <c r="AH201" s="1121"/>
      <c r="AZ201" s="1057"/>
      <c r="BA201" s="1057"/>
    </row>
    <row r="202" spans="1:53" ht="13.5" thickBot="1" x14ac:dyDescent="0.25">
      <c r="A202" s="1134" t="s">
        <v>146</v>
      </c>
      <c r="B202" s="1134"/>
      <c r="C202" s="1134"/>
      <c r="D202" s="1134"/>
      <c r="E202" s="1141"/>
      <c r="F202" s="1158"/>
      <c r="G202" s="1159"/>
      <c r="H202" s="1159"/>
      <c r="I202" s="1160"/>
      <c r="J202" s="1139"/>
      <c r="K202" s="1140"/>
      <c r="L202" s="1140"/>
      <c r="M202" s="1140"/>
      <c r="N202" s="1140"/>
      <c r="O202" s="1121"/>
      <c r="R202" s="1133"/>
      <c r="S202" s="1133"/>
      <c r="T202" s="1133"/>
      <c r="U202" s="1129" t="str">
        <f>Y210&amp;" ref"</f>
        <v>SC Midlands KP White ref</v>
      </c>
      <c r="V202" s="1129"/>
      <c r="W202" s="1129"/>
      <c r="X202" s="1129"/>
      <c r="Y202" s="1129"/>
      <c r="Z202" s="1129"/>
      <c r="AA202" s="1129"/>
      <c r="AB202" s="1130"/>
      <c r="AC202" s="1158"/>
      <c r="AD202" s="1159"/>
      <c r="AE202" s="1159"/>
      <c r="AF202" s="1160"/>
      <c r="AG202" s="1139"/>
      <c r="AH202" s="1140"/>
      <c r="AI202" s="1140"/>
      <c r="AZ202" s="1057"/>
      <c r="BA202" s="1057"/>
    </row>
    <row r="203" spans="1:53" x14ac:dyDescent="0.2">
      <c r="A203" s="1135" t="s">
        <v>135</v>
      </c>
      <c r="B203" s="1135"/>
      <c r="C203" s="1135"/>
      <c r="D203" s="1135"/>
      <c r="E203" s="1155"/>
      <c r="F203" s="1131" t="str">
        <f>IF(J218=1,B210,IF(J218=2,B211,IF(J218=3,B212,IF(J218=4,B213,"Winner Match 2"))))</f>
        <v>Winner Match 2</v>
      </c>
      <c r="G203" s="1132"/>
      <c r="H203" s="1132"/>
      <c r="I203" s="1132"/>
      <c r="J203" s="1132"/>
      <c r="K203" s="1132"/>
      <c r="L203" s="1132"/>
      <c r="M203" s="1132"/>
      <c r="N203" s="1132"/>
      <c r="O203" s="1121"/>
      <c r="Q203" s="1141"/>
      <c r="R203" s="1141"/>
      <c r="T203" s="1142"/>
      <c r="U203" s="1135" t="s">
        <v>136</v>
      </c>
      <c r="V203" s="1135"/>
      <c r="W203" s="1135"/>
      <c r="X203" s="1135"/>
      <c r="Y203" s="1135"/>
      <c r="Z203" s="1135"/>
      <c r="AA203" s="1135"/>
      <c r="AB203" s="1128"/>
      <c r="AC203" s="1131" t="str">
        <f>IF(AF218=1,Y210,IF(AF218=2,Y211,IF(AF218=3,Y212,IF(AF218=4,Y213,"Winner Match 2"))))</f>
        <v>Winner Match 2</v>
      </c>
      <c r="AD203" s="1132"/>
      <c r="AE203" s="1132"/>
      <c r="AF203" s="1132"/>
      <c r="AG203" s="1132"/>
      <c r="AH203" s="1132"/>
      <c r="AI203" s="1132"/>
      <c r="AZ203" s="1057"/>
      <c r="BA203" s="1057"/>
    </row>
    <row r="204" spans="1:53" ht="13.5" thickBot="1" x14ac:dyDescent="0.25">
      <c r="A204" s="1120" t="str">
        <f>IF(G218=1,B210,IF(G218=2,B211,IF(G218=3,B212,IF(G218=4,B213,IF(OR(G218="B",G218="b"),"BYE","invalid")))))</f>
        <v>Intense kids power col</v>
      </c>
      <c r="B204" s="1120"/>
      <c r="C204" s="1120"/>
      <c r="D204" s="1120"/>
      <c r="E204" s="1144"/>
      <c r="F204" s="1124"/>
      <c r="G204" s="1121"/>
      <c r="H204" s="1121"/>
      <c r="I204" s="1121"/>
      <c r="J204" s="1121"/>
      <c r="K204" s="1121"/>
      <c r="L204" s="1121"/>
      <c r="M204" s="1121"/>
      <c r="N204" s="1121"/>
      <c r="O204" s="1121"/>
      <c r="Q204" s="1121"/>
      <c r="R204" s="1121"/>
      <c r="S204" s="1121"/>
      <c r="T204" s="1152"/>
      <c r="U204" s="1152"/>
      <c r="V204" s="1120" t="str">
        <f>IF(AC218=1,Y210,IF(AC218=2,Y211,IF(AC218=3,Y212,IF(AC218=4,Y213,IF(OR(AC218="B",AC218="b"),"BYE","invalid")))))</f>
        <v>C1VB Juniors Royal</v>
      </c>
      <c r="W204" s="1120"/>
      <c r="X204" s="1120"/>
      <c r="Y204" s="1120"/>
      <c r="Z204" s="1120"/>
      <c r="AA204" s="1120"/>
      <c r="AB204" s="1144"/>
      <c r="AC204" s="1121"/>
      <c r="AD204" s="1121"/>
      <c r="AE204" s="1121"/>
      <c r="AF204" s="1121"/>
      <c r="AZ204" s="1057"/>
      <c r="BA204" s="1057"/>
    </row>
    <row r="205" spans="1:53" x14ac:dyDescent="0.2">
      <c r="A205" s="1123" t="s">
        <v>147</v>
      </c>
      <c r="B205" s="1123"/>
      <c r="C205" s="1123"/>
      <c r="D205" s="1123"/>
      <c r="E205" s="1123"/>
      <c r="T205" s="1148"/>
      <c r="U205" s="1148"/>
      <c r="V205" s="1129" t="s">
        <v>148</v>
      </c>
      <c r="W205" s="1129"/>
      <c r="X205" s="1129"/>
      <c r="Y205" s="1129"/>
      <c r="Z205" s="1129"/>
      <c r="AA205" s="1129"/>
      <c r="AB205" s="1129"/>
      <c r="AZ205" s="1057"/>
      <c r="BA205" s="1057"/>
    </row>
    <row r="206" spans="1:53" x14ac:dyDescent="0.2">
      <c r="AT206" s="1057"/>
      <c r="AU206" s="1057"/>
      <c r="AZ206" s="1057"/>
      <c r="BA206" s="1057"/>
    </row>
    <row r="207" spans="1:53" x14ac:dyDescent="0.2">
      <c r="AT207" s="1057"/>
      <c r="AU207" s="1057"/>
      <c r="AZ207" s="1057"/>
      <c r="BA207" s="1057"/>
    </row>
    <row r="208" spans="1:53" ht="16.5" thickBot="1" x14ac:dyDescent="0.3">
      <c r="A208" s="1161" t="s">
        <v>149</v>
      </c>
      <c r="B208" s="1161"/>
      <c r="C208" s="1161"/>
      <c r="D208" s="1161"/>
      <c r="E208" s="1161"/>
      <c r="F208" s="1161"/>
      <c r="G208" s="1161"/>
      <c r="H208" s="1161"/>
      <c r="I208" s="1161"/>
      <c r="J208" s="1161"/>
      <c r="K208" s="1162"/>
      <c r="R208" s="1163"/>
      <c r="S208" s="1163"/>
      <c r="T208" s="1163"/>
      <c r="V208" s="1161" t="s">
        <v>150</v>
      </c>
      <c r="W208" s="1161"/>
      <c r="X208" s="1161"/>
      <c r="Y208" s="1161"/>
      <c r="Z208" s="1161"/>
      <c r="AA208" s="1161"/>
      <c r="AB208" s="1161"/>
      <c r="AC208" s="1161"/>
      <c r="AD208" s="1161"/>
      <c r="AE208" s="1161"/>
      <c r="AF208" s="1161"/>
      <c r="AG208" s="1161"/>
      <c r="AT208" s="1057"/>
      <c r="AU208" s="1057"/>
      <c r="AZ208" s="1057"/>
      <c r="BA208" s="1057"/>
    </row>
    <row r="209" spans="1:53" ht="13.5" thickBot="1" x14ac:dyDescent="0.25">
      <c r="A209" s="1164" t="s">
        <v>151</v>
      </c>
      <c r="B209" s="1165" t="s">
        <v>152</v>
      </c>
      <c r="C209" s="1166"/>
      <c r="D209" s="1166"/>
      <c r="E209" s="1166"/>
      <c r="F209" s="1166"/>
      <c r="G209" s="1166"/>
      <c r="H209" s="1166"/>
      <c r="I209" s="1166"/>
      <c r="J209" s="1167"/>
      <c r="K209" s="1168" t="s">
        <v>153</v>
      </c>
      <c r="L209" s="1169"/>
      <c r="M209" s="1169"/>
      <c r="N209" s="1169"/>
      <c r="O209" s="1169"/>
      <c r="P209" s="1169"/>
      <c r="Q209" s="1170"/>
      <c r="R209" s="1121"/>
      <c r="V209" s="1171" t="s">
        <v>151</v>
      </c>
      <c r="W209" s="1172"/>
      <c r="X209" s="1173"/>
      <c r="Y209" s="1165" t="s">
        <v>152</v>
      </c>
      <c r="Z209" s="1166"/>
      <c r="AA209" s="1166"/>
      <c r="AB209" s="1166"/>
      <c r="AC209" s="1166"/>
      <c r="AD209" s="1166"/>
      <c r="AE209" s="1166"/>
      <c r="AF209" s="1166"/>
      <c r="AG209" s="1167"/>
      <c r="AH209" s="1168" t="s">
        <v>153</v>
      </c>
      <c r="AI209" s="1169"/>
      <c r="AJ209" s="1169"/>
      <c r="AK209" s="1169"/>
      <c r="AL209" s="1169"/>
      <c r="AM209" s="1169"/>
      <c r="AN209" s="1170"/>
      <c r="AT209" s="1057"/>
      <c r="AU209" s="1057"/>
      <c r="AZ209" s="1057"/>
      <c r="BA209" s="1057"/>
    </row>
    <row r="210" spans="1:53" ht="13.5" thickBot="1" x14ac:dyDescent="0.25">
      <c r="A210" s="1164">
        <v>1</v>
      </c>
      <c r="B210" s="1174" t="str">
        <f>B179</f>
        <v>SC Midlands KP Boys</v>
      </c>
      <c r="C210" s="1175"/>
      <c r="D210" s="1175"/>
      <c r="E210" s="1175"/>
      <c r="F210" s="1175"/>
      <c r="G210" s="1175"/>
      <c r="H210" s="1175"/>
      <c r="I210" s="1175"/>
      <c r="J210" s="1176"/>
      <c r="K210" s="1177" t="str">
        <f>H179</f>
        <v>fj2scmid3pm</v>
      </c>
      <c r="L210" s="1178"/>
      <c r="M210" s="1178"/>
      <c r="N210" s="1178"/>
      <c r="O210" s="1178"/>
      <c r="P210" s="1178"/>
      <c r="Q210" s="1179"/>
      <c r="R210" s="1121"/>
      <c r="V210" s="1171">
        <v>1</v>
      </c>
      <c r="W210" s="1172"/>
      <c r="X210" s="1173"/>
      <c r="Y210" s="1174" t="str">
        <f>V179</f>
        <v>SC Midlands KP White</v>
      </c>
      <c r="Z210" s="1175"/>
      <c r="AA210" s="1175"/>
      <c r="AB210" s="1175"/>
      <c r="AC210" s="1175"/>
      <c r="AD210" s="1175"/>
      <c r="AE210" s="1175"/>
      <c r="AF210" s="1175"/>
      <c r="AG210" s="1176"/>
      <c r="AH210" s="1177" t="str">
        <f>AB179</f>
        <v>fj2scmid2pm</v>
      </c>
      <c r="AI210" s="1178"/>
      <c r="AJ210" s="1178"/>
      <c r="AK210" s="1178"/>
      <c r="AL210" s="1178"/>
      <c r="AM210" s="1178"/>
      <c r="AN210" s="1179"/>
      <c r="AT210" s="1057"/>
      <c r="AU210" s="1057"/>
      <c r="AZ210" s="1057"/>
      <c r="BA210" s="1057"/>
    </row>
    <row r="211" spans="1:53" ht="13.5" thickBot="1" x14ac:dyDescent="0.25">
      <c r="A211" s="1164">
        <v>2</v>
      </c>
      <c r="B211" s="1174" t="str">
        <f>B180</f>
        <v>MOTO 12'1</v>
      </c>
      <c r="C211" s="1175"/>
      <c r="D211" s="1175"/>
      <c r="E211" s="1175"/>
      <c r="F211" s="1175"/>
      <c r="G211" s="1175"/>
      <c r="H211" s="1175"/>
      <c r="I211" s="1175"/>
      <c r="J211" s="1176"/>
      <c r="K211" s="1177" t="str">
        <f>H180</f>
        <v>fj1motoj1pm</v>
      </c>
      <c r="L211" s="1178"/>
      <c r="M211" s="1178"/>
      <c r="N211" s="1178"/>
      <c r="O211" s="1178"/>
      <c r="P211" s="1178"/>
      <c r="Q211" s="1179"/>
      <c r="R211" s="1121"/>
      <c r="V211" s="1171">
        <v>2</v>
      </c>
      <c r="W211" s="1172"/>
      <c r="X211" s="1173"/>
      <c r="Y211" s="1174" t="str">
        <f>V180</f>
        <v>C1VB Juniors Grey</v>
      </c>
      <c r="Z211" s="1175"/>
      <c r="AA211" s="1175"/>
      <c r="AB211" s="1175"/>
      <c r="AC211" s="1175"/>
      <c r="AD211" s="1175"/>
      <c r="AE211" s="1175"/>
      <c r="AF211" s="1175"/>
      <c r="AG211" s="1176"/>
      <c r="AH211" s="1177" t="str">
        <f>AB180</f>
        <v>fj2crone8pm</v>
      </c>
      <c r="AI211" s="1178"/>
      <c r="AJ211" s="1178"/>
      <c r="AK211" s="1178"/>
      <c r="AL211" s="1178"/>
      <c r="AM211" s="1178"/>
      <c r="AN211" s="1179"/>
      <c r="AT211" s="1057"/>
      <c r="AU211" s="1057"/>
      <c r="AZ211" s="1057"/>
      <c r="BA211" s="1057"/>
    </row>
    <row r="212" spans="1:53" ht="13.5" thickBot="1" x14ac:dyDescent="0.25">
      <c r="A212" s="1164">
        <v>3</v>
      </c>
      <c r="B212" s="1174" t="str">
        <f>L179</f>
        <v>Intense kids power col</v>
      </c>
      <c r="C212" s="1175"/>
      <c r="D212" s="1175"/>
      <c r="E212" s="1175"/>
      <c r="F212" s="1175"/>
      <c r="G212" s="1175"/>
      <c r="H212" s="1175"/>
      <c r="I212" s="1175"/>
      <c r="J212" s="1176"/>
      <c r="K212" s="1177" t="str">
        <f>R179</f>
        <v>fj2inten3pm</v>
      </c>
      <c r="L212" s="1178"/>
      <c r="M212" s="1178"/>
      <c r="N212" s="1178"/>
      <c r="O212" s="1178"/>
      <c r="P212" s="1178"/>
      <c r="Q212" s="1179"/>
      <c r="R212" s="1121"/>
      <c r="V212" s="1171">
        <v>3</v>
      </c>
      <c r="W212" s="1172"/>
      <c r="X212" s="1173"/>
      <c r="Y212" s="1174" t="str">
        <f>AF179</f>
        <v>C1VB Juniors Royal</v>
      </c>
      <c r="Z212" s="1175"/>
      <c r="AA212" s="1175"/>
      <c r="AB212" s="1175"/>
      <c r="AC212" s="1175"/>
      <c r="AD212" s="1175"/>
      <c r="AE212" s="1175"/>
      <c r="AF212" s="1175"/>
      <c r="AG212" s="1176"/>
      <c r="AH212" s="1177" t="str">
        <f>AL179</f>
        <v>fj2crone7pm</v>
      </c>
      <c r="AI212" s="1178"/>
      <c r="AJ212" s="1178"/>
      <c r="AK212" s="1178"/>
      <c r="AL212" s="1178"/>
      <c r="AM212" s="1178"/>
      <c r="AN212" s="1179"/>
      <c r="AT212" s="1057"/>
      <c r="AU212" s="1057"/>
      <c r="AZ212" s="1057"/>
      <c r="BA212" s="1057"/>
    </row>
    <row r="213" spans="1:53" ht="13.5" thickBot="1" x14ac:dyDescent="0.25">
      <c r="A213" s="1164">
        <v>4</v>
      </c>
      <c r="B213" s="1174" t="str">
        <f>L180</f>
        <v>Foothills Vanessa</v>
      </c>
      <c r="C213" s="1175"/>
      <c r="D213" s="1175"/>
      <c r="E213" s="1175"/>
      <c r="F213" s="1175"/>
      <c r="G213" s="1175"/>
      <c r="H213" s="1175"/>
      <c r="I213" s="1175"/>
      <c r="J213" s="1176"/>
      <c r="K213" s="1177" t="str">
        <f>R180</f>
        <v>fj2footh2pm</v>
      </c>
      <c r="L213" s="1178"/>
      <c r="M213" s="1178"/>
      <c r="N213" s="1178"/>
      <c r="O213" s="1178"/>
      <c r="P213" s="1178"/>
      <c r="Q213" s="1179"/>
      <c r="R213" s="1121"/>
      <c r="V213" s="1171">
        <v>4</v>
      </c>
      <c r="W213" s="1172"/>
      <c r="X213" s="1173"/>
      <c r="Y213" s="1174" t="s">
        <v>1131</v>
      </c>
      <c r="Z213" s="1175"/>
      <c r="AA213" s="1175"/>
      <c r="AB213" s="1175"/>
      <c r="AC213" s="1175"/>
      <c r="AD213" s="1175"/>
      <c r="AE213" s="1175"/>
      <c r="AF213" s="1175"/>
      <c r="AG213" s="1176"/>
      <c r="AH213" s="1177"/>
      <c r="AI213" s="1178"/>
      <c r="AJ213" s="1178"/>
      <c r="AK213" s="1178"/>
      <c r="AL213" s="1178"/>
      <c r="AM213" s="1178"/>
      <c r="AN213" s="1179"/>
      <c r="AT213" s="1057"/>
      <c r="AU213" s="1057"/>
      <c r="AZ213" s="1057"/>
      <c r="BA213" s="1057"/>
    </row>
    <row r="214" spans="1:53" ht="13.5" thickBot="1" x14ac:dyDescent="0.25">
      <c r="AT214" s="1057"/>
      <c r="AU214" s="1057"/>
      <c r="AZ214" s="1057"/>
      <c r="BA214" s="1057"/>
    </row>
    <row r="215" spans="1:53" x14ac:dyDescent="0.2">
      <c r="B215" s="1180" t="s">
        <v>154</v>
      </c>
      <c r="C215" s="1181"/>
      <c r="D215" s="1182"/>
      <c r="E215" s="1183" t="s">
        <v>154</v>
      </c>
      <c r="F215" s="1181"/>
      <c r="G215" s="1182"/>
      <c r="H215" s="1183" t="s">
        <v>14</v>
      </c>
      <c r="I215" s="1181"/>
      <c r="J215" s="1184"/>
      <c r="K215" s="1185"/>
      <c r="L215" s="1186"/>
      <c r="M215" s="1186"/>
      <c r="N215" s="1186"/>
      <c r="S215" s="1187"/>
      <c r="T215" s="1187"/>
      <c r="U215" s="1187"/>
      <c r="V215" s="1187"/>
      <c r="X215" s="1180" t="s">
        <v>154</v>
      </c>
      <c r="Y215" s="1181"/>
      <c r="Z215" s="1182"/>
      <c r="AA215" s="1183" t="s">
        <v>154</v>
      </c>
      <c r="AB215" s="1181"/>
      <c r="AC215" s="1182"/>
      <c r="AD215" s="1183" t="s">
        <v>14</v>
      </c>
      <c r="AE215" s="1181"/>
      <c r="AF215" s="1184"/>
      <c r="AG215" s="1186"/>
      <c r="AH215" s="1186"/>
      <c r="AI215" s="1187"/>
      <c r="AJ215" s="1187"/>
      <c r="AK215" s="1187"/>
      <c r="AZ215" s="1057"/>
      <c r="BA215" s="1057"/>
    </row>
    <row r="216" spans="1:53" x14ac:dyDescent="0.2">
      <c r="A216" s="1028" t="s">
        <v>156</v>
      </c>
      <c r="B216" s="1188">
        <v>3</v>
      </c>
      <c r="C216" s="1189"/>
      <c r="D216" s="1190"/>
      <c r="E216" s="1191" t="s">
        <v>157</v>
      </c>
      <c r="F216" s="1189"/>
      <c r="G216" s="1190"/>
      <c r="H216" s="1191" t="s">
        <v>158</v>
      </c>
      <c r="I216" s="1189"/>
      <c r="J216" s="1192"/>
      <c r="K216" s="1193"/>
      <c r="S216" s="1187"/>
      <c r="T216" s="1187"/>
      <c r="U216" s="1194" t="s">
        <v>156</v>
      </c>
      <c r="V216" s="1194"/>
      <c r="W216" s="1195"/>
      <c r="X216" s="1188"/>
      <c r="Y216" s="1189"/>
      <c r="Z216" s="1190"/>
      <c r="AA216" s="1191">
        <v>1</v>
      </c>
      <c r="AB216" s="1189"/>
      <c r="AC216" s="1190"/>
      <c r="AD216" s="1191" t="s">
        <v>158</v>
      </c>
      <c r="AE216" s="1189"/>
      <c r="AF216" s="1192"/>
      <c r="AI216" s="1187"/>
      <c r="AJ216" s="1187"/>
      <c r="AK216" s="1187"/>
      <c r="AZ216" s="1057"/>
      <c r="BA216" s="1057"/>
    </row>
    <row r="217" spans="1:53" ht="13.5" thickBot="1" x14ac:dyDescent="0.25">
      <c r="A217" s="868"/>
      <c r="B217" s="1196" t="s">
        <v>68</v>
      </c>
      <c r="C217" s="1035"/>
      <c r="D217" s="1036"/>
      <c r="E217" s="1034" t="s">
        <v>159</v>
      </c>
      <c r="F217" s="1035"/>
      <c r="G217" s="1036"/>
      <c r="H217" s="1034" t="s">
        <v>160</v>
      </c>
      <c r="I217" s="1035"/>
      <c r="J217" s="1197"/>
      <c r="K217" s="1198"/>
      <c r="S217" s="1187"/>
      <c r="T217" s="1187"/>
      <c r="U217" s="1199"/>
      <c r="V217" s="1199"/>
      <c r="W217" s="1200"/>
      <c r="X217" s="1196" t="s">
        <v>68</v>
      </c>
      <c r="Y217" s="1035"/>
      <c r="Z217" s="1036"/>
      <c r="AA217" s="1034" t="s">
        <v>159</v>
      </c>
      <c r="AB217" s="1035"/>
      <c r="AC217" s="1036"/>
      <c r="AD217" s="1034" t="s">
        <v>160</v>
      </c>
      <c r="AE217" s="1035"/>
      <c r="AF217" s="1197"/>
      <c r="AI217" s="1187"/>
      <c r="AJ217" s="1187"/>
      <c r="AK217" s="1187"/>
      <c r="AZ217" s="1057"/>
      <c r="BA217" s="1057"/>
    </row>
    <row r="218" spans="1:53" ht="13.5" thickBot="1" x14ac:dyDescent="0.25">
      <c r="A218" s="868"/>
      <c r="B218" s="1201">
        <v>1</v>
      </c>
      <c r="C218" s="1202" t="s">
        <v>76</v>
      </c>
      <c r="D218" s="1203">
        <v>4</v>
      </c>
      <c r="E218" s="1204">
        <v>2</v>
      </c>
      <c r="F218" s="1202" t="s">
        <v>76</v>
      </c>
      <c r="G218" s="1203">
        <v>3</v>
      </c>
      <c r="H218" s="1205" t="str">
        <f>IF(OR(AND(OR(B222&gt;0,D222&gt;0),B222&gt;D222),OR(D218="b",D218="B")),B218,IF(OR(AND(OR(B222&gt;0,D222&gt;0),D222&gt;B222),OR(B218="b",B218="B")),D218,"W1"))</f>
        <v>W1</v>
      </c>
      <c r="I218" s="1206" t="s">
        <v>76</v>
      </c>
      <c r="J218" s="1207" t="str">
        <f>IF(OR(AND(OR(E222&gt;0,G222&gt;0),E222&gt;G222),OR(G218="b",G218="B")),E218,IF(OR(AND(OR(E222&gt;0,G222&gt;0),G222&gt;E222),OR(E218="b",E218="B")),G218,"W2"))</f>
        <v>W2</v>
      </c>
      <c r="K218" s="1208" t="s">
        <v>161</v>
      </c>
      <c r="L218" s="1209"/>
      <c r="M218" s="1209"/>
      <c r="N218" s="1210"/>
      <c r="S218" s="1187"/>
      <c r="T218" s="1187"/>
      <c r="U218" s="1199"/>
      <c r="V218" s="1199"/>
      <c r="W218" s="1200"/>
      <c r="X218" s="1201">
        <v>1</v>
      </c>
      <c r="Y218" s="1202" t="s">
        <v>76</v>
      </c>
      <c r="Z218" s="1203" t="s">
        <v>117</v>
      </c>
      <c r="AA218" s="1204">
        <v>2</v>
      </c>
      <c r="AB218" s="1202" t="s">
        <v>76</v>
      </c>
      <c r="AC218" s="1203">
        <v>3</v>
      </c>
      <c r="AD218" s="1205">
        <f>IF(OR(AND(OR(X222&gt;0,Z222&gt;0),X222&gt;Z222),OR(Z218="b",Z218="B")),X218,IF(OR(AND(OR(X222&gt;0,Z222&gt;0),Z222&gt;X222),OR(X218="b",X218="B")),Z218,"W1"))</f>
        <v>1</v>
      </c>
      <c r="AE218" s="1206" t="s">
        <v>76</v>
      </c>
      <c r="AF218" s="1207" t="str">
        <f>IF(OR(AND(OR(AA222&gt;0,AC222&gt;0),AA222&gt;AC222),OR(AC222="b",AC222="B")),AA218,IF(OR(AND(OR(AA222&gt;0,AC222&gt;0),AC222&gt;AA222),OR(AA222="b",AA222="B")),AC218,"W2"))</f>
        <v>W2</v>
      </c>
      <c r="AG218" s="1208" t="s">
        <v>161</v>
      </c>
      <c r="AH218" s="1210"/>
      <c r="AI218" s="1187"/>
      <c r="AJ218" s="1187"/>
      <c r="AK218" s="1187"/>
      <c r="AZ218" s="1057"/>
      <c r="BA218" s="1057"/>
    </row>
    <row r="219" spans="1:53" ht="13.5" hidden="1" customHeight="1" x14ac:dyDescent="0.25">
      <c r="A219" s="868"/>
      <c r="B219" s="1211">
        <f>IF(B223&gt;D223,1,0)</f>
        <v>0</v>
      </c>
      <c r="C219" s="1212"/>
      <c r="D219" s="1213">
        <f>IF(D223&gt;B223,1,0)</f>
        <v>0</v>
      </c>
      <c r="E219" s="1211">
        <f>IF(E223&gt;G223,1,0)</f>
        <v>0</v>
      </c>
      <c r="F219" s="1212"/>
      <c r="G219" s="1213">
        <f>IF(G223&gt;E223,1,0)</f>
        <v>0</v>
      </c>
      <c r="H219" s="1211">
        <f>IF(H223&gt;J223,1,0)</f>
        <v>0</v>
      </c>
      <c r="I219" s="1212"/>
      <c r="J219" s="1213">
        <f>IF(J223&gt;H223,1,0)</f>
        <v>0</v>
      </c>
      <c r="K219" s="1214"/>
      <c r="L219" s="1215"/>
      <c r="M219" s="1215"/>
      <c r="N219" s="1216"/>
      <c r="S219" s="1187"/>
      <c r="T219" s="1187"/>
      <c r="U219" s="1199"/>
      <c r="V219" s="1199"/>
      <c r="W219" s="1200"/>
      <c r="X219" s="1211">
        <f>IF(X223&gt;Z223,1,0)</f>
        <v>0</v>
      </c>
      <c r="Y219" s="1212"/>
      <c r="Z219" s="1213">
        <f>IF(Z223&gt;X223,1,0)</f>
        <v>0</v>
      </c>
      <c r="AA219" s="1211">
        <f>IF(AA223&gt;AC223,1,0)</f>
        <v>0</v>
      </c>
      <c r="AB219" s="1212"/>
      <c r="AC219" s="1213">
        <f>IF(AC223&gt;AA223,1,0)</f>
        <v>0</v>
      </c>
      <c r="AD219" s="1211">
        <f>IF(AD223&gt;AF223,1,0)</f>
        <v>0</v>
      </c>
      <c r="AE219" s="1212"/>
      <c r="AF219" s="1213">
        <f>IF(AF223&gt;AD223,1,0)</f>
        <v>0</v>
      </c>
      <c r="AG219" s="1217"/>
      <c r="AH219" s="1218"/>
      <c r="AI219" s="1187"/>
      <c r="AJ219" s="1187"/>
      <c r="AK219" s="1187"/>
      <c r="AZ219" s="1057"/>
      <c r="BA219" s="1057"/>
    </row>
    <row r="220" spans="1:53" ht="13.5" hidden="1" customHeight="1" x14ac:dyDescent="0.25">
      <c r="A220" s="868"/>
      <c r="B220" s="1211">
        <f>IF(B224&gt;D224,1,0)</f>
        <v>0</v>
      </c>
      <c r="C220" s="1212"/>
      <c r="D220" s="1213">
        <f>IF(D224&gt;B224,1,0)</f>
        <v>0</v>
      </c>
      <c r="E220" s="1211">
        <f>IF(E224&gt;G224,1,0)</f>
        <v>0</v>
      </c>
      <c r="F220" s="1212"/>
      <c r="G220" s="1213">
        <f>IF(G224&gt;E224,1,0)</f>
        <v>0</v>
      </c>
      <c r="H220" s="1211">
        <f>IF(H224&gt;J224,1,0)</f>
        <v>0</v>
      </c>
      <c r="I220" s="1212"/>
      <c r="J220" s="1213">
        <f>IF(J224&gt;H224,1,0)</f>
        <v>0</v>
      </c>
      <c r="K220" s="1214"/>
      <c r="L220" s="1215"/>
      <c r="M220" s="1215"/>
      <c r="N220" s="1216"/>
      <c r="S220" s="1187"/>
      <c r="T220" s="1187"/>
      <c r="U220" s="1199"/>
      <c r="V220" s="1199"/>
      <c r="W220" s="1200"/>
      <c r="X220" s="1211">
        <f>IF(X224&gt;Z224,1,0)</f>
        <v>0</v>
      </c>
      <c r="Y220" s="1212"/>
      <c r="Z220" s="1213">
        <f>IF(Z224&gt;X224,1,0)</f>
        <v>0</v>
      </c>
      <c r="AA220" s="1211">
        <f>IF(AA224&gt;AC224,1,0)</f>
        <v>0</v>
      </c>
      <c r="AB220" s="1212"/>
      <c r="AC220" s="1213">
        <f>IF(AC224&gt;AA224,1,0)</f>
        <v>0</v>
      </c>
      <c r="AD220" s="1211">
        <f>IF(AD224&gt;AF224,1,0)</f>
        <v>0</v>
      </c>
      <c r="AE220" s="1212"/>
      <c r="AF220" s="1213">
        <f>IF(AF224&gt;AD224,1,0)</f>
        <v>0</v>
      </c>
      <c r="AG220" s="1217"/>
      <c r="AH220" s="1218"/>
      <c r="AI220" s="1187"/>
      <c r="AJ220" s="1187"/>
      <c r="AK220" s="1187"/>
      <c r="AZ220" s="1057"/>
      <c r="BA220" s="1057"/>
    </row>
    <row r="221" spans="1:53" ht="13.5" hidden="1" customHeight="1" x14ac:dyDescent="0.25">
      <c r="A221" s="868"/>
      <c r="B221" s="1211">
        <f>IF(B225&gt;D225,1,0)</f>
        <v>0</v>
      </c>
      <c r="C221" s="1212"/>
      <c r="D221" s="1213">
        <f>IF(D225&gt;B225,1,0)</f>
        <v>0</v>
      </c>
      <c r="E221" s="1211">
        <f>IF(E225&gt;G225,1,0)</f>
        <v>0</v>
      </c>
      <c r="F221" s="1212"/>
      <c r="G221" s="1213">
        <f>IF(G225&gt;E225,1,0)</f>
        <v>0</v>
      </c>
      <c r="H221" s="1211">
        <f>IF(H225&gt;J225,1,0)</f>
        <v>0</v>
      </c>
      <c r="I221" s="1212"/>
      <c r="J221" s="1213">
        <f>IF(J225&gt;H225,1,0)</f>
        <v>0</v>
      </c>
      <c r="K221" s="1214"/>
      <c r="L221" s="1215"/>
      <c r="M221" s="1215"/>
      <c r="N221" s="1216"/>
      <c r="S221" s="1187"/>
      <c r="T221" s="1187"/>
      <c r="U221" s="1199"/>
      <c r="V221" s="1199"/>
      <c r="W221" s="1200"/>
      <c r="X221" s="1211">
        <f>IF(X225&gt;Z225,1,0)</f>
        <v>0</v>
      </c>
      <c r="Y221" s="1212"/>
      <c r="Z221" s="1213">
        <f>IF(Z225&gt;X225,1,0)</f>
        <v>0</v>
      </c>
      <c r="AA221" s="1211">
        <f>IF(AA225&gt;AC225,1,0)</f>
        <v>0</v>
      </c>
      <c r="AB221" s="1212"/>
      <c r="AC221" s="1213">
        <f>IF(AC225&gt;AA225,1,0)</f>
        <v>0</v>
      </c>
      <c r="AD221" s="1211">
        <f>IF(AD225&gt;AF225,1,0)</f>
        <v>0</v>
      </c>
      <c r="AE221" s="1212"/>
      <c r="AF221" s="1213">
        <f>IF(AF225&gt;AD225,1,0)</f>
        <v>0</v>
      </c>
      <c r="AG221" s="1217"/>
      <c r="AH221" s="1218"/>
      <c r="AI221" s="1187"/>
      <c r="AJ221" s="1187"/>
      <c r="AK221" s="1187"/>
      <c r="AZ221" s="1057"/>
      <c r="BA221" s="1057"/>
    </row>
    <row r="222" spans="1:53" ht="13.5" hidden="1" customHeight="1" x14ac:dyDescent="0.25">
      <c r="A222" s="868"/>
      <c r="B222" s="1211">
        <f>SUM(B219:B221)</f>
        <v>0</v>
      </c>
      <c r="C222" s="1212"/>
      <c r="D222" s="1211">
        <f>SUM(D219:D221)</f>
        <v>0</v>
      </c>
      <c r="E222" s="1211">
        <f>SUM(E219:E221)</f>
        <v>0</v>
      </c>
      <c r="F222" s="1212"/>
      <c r="G222" s="1211">
        <f>SUM(G219:G221)</f>
        <v>0</v>
      </c>
      <c r="H222" s="1211">
        <f>SUM(H219:H221)</f>
        <v>0</v>
      </c>
      <c r="I222" s="1212"/>
      <c r="J222" s="1211">
        <f>SUM(J219:J221)</f>
        <v>0</v>
      </c>
      <c r="K222" s="1214"/>
      <c r="L222" s="1215"/>
      <c r="M222" s="1215"/>
      <c r="N222" s="1216"/>
      <c r="S222" s="1187"/>
      <c r="T222" s="1187"/>
      <c r="U222" s="1199"/>
      <c r="V222" s="1199"/>
      <c r="W222" s="1200"/>
      <c r="X222" s="1211">
        <f>SUM(X219:X221)</f>
        <v>0</v>
      </c>
      <c r="Y222" s="1212"/>
      <c r="Z222" s="1211">
        <f>SUM(Z219:Z221)</f>
        <v>0</v>
      </c>
      <c r="AA222" s="1211">
        <f>SUM(AA219:AA221)</f>
        <v>0</v>
      </c>
      <c r="AB222" s="1212"/>
      <c r="AC222" s="1211">
        <f>SUM(AC219:AC221)</f>
        <v>0</v>
      </c>
      <c r="AD222" s="1211">
        <f>SUM(AD219:AD221)</f>
        <v>0</v>
      </c>
      <c r="AE222" s="1212"/>
      <c r="AF222" s="1211">
        <f>SUM(AF219:AF221)</f>
        <v>0</v>
      </c>
      <c r="AG222" s="1217"/>
      <c r="AH222" s="1218"/>
      <c r="AI222" s="1187"/>
      <c r="AJ222" s="1187"/>
      <c r="AK222" s="1187"/>
      <c r="AZ222" s="1057"/>
      <c r="BA222" s="1057"/>
    </row>
    <row r="223" spans="1:53" ht="12.75" customHeight="1" x14ac:dyDescent="0.2">
      <c r="A223" s="852" t="s">
        <v>77</v>
      </c>
      <c r="B223" s="1219"/>
      <c r="C223" s="1052" t="s">
        <v>78</v>
      </c>
      <c r="D223" s="1220"/>
      <c r="E223" s="1221"/>
      <c r="F223" s="1052" t="s">
        <v>78</v>
      </c>
      <c r="G223" s="1220"/>
      <c r="H223" s="1221"/>
      <c r="I223" s="1052" t="s">
        <v>78</v>
      </c>
      <c r="J223" s="1222"/>
      <c r="K223" s="1223" t="str">
        <f>IF(AND(OR(H222&gt;0,J222&gt;0),AND(1&lt;=H218,H218&lt;=4),AND(1&lt;=J218,J218&lt;=4)),IF(H222&gt;J222,H218,IF(J222&gt;H222,J218,"")),"")</f>
        <v/>
      </c>
      <c r="L223" s="1224"/>
      <c r="M223" s="1224"/>
      <c r="N223" s="1225"/>
      <c r="S223" s="1187"/>
      <c r="T223" s="1187"/>
      <c r="U223" s="1226"/>
      <c r="V223" s="1226"/>
      <c r="W223" s="852" t="s">
        <v>77</v>
      </c>
      <c r="X223" s="1219"/>
      <c r="Y223" s="1052" t="s">
        <v>78</v>
      </c>
      <c r="Z223" s="1220"/>
      <c r="AA223" s="1221"/>
      <c r="AB223" s="1052" t="s">
        <v>78</v>
      </c>
      <c r="AC223" s="1220"/>
      <c r="AD223" s="1221"/>
      <c r="AE223" s="1052" t="s">
        <v>78</v>
      </c>
      <c r="AF223" s="1222"/>
      <c r="AG223" s="1223" t="str">
        <f>IF(AND(OR(AD222&gt;0,AF222&gt;0),AND(1&lt;=AD218,AD218&lt;=4),AND(1&lt;=AF218,AF218&lt;=4)),IF(AD222&gt;AF222,AD218,IF(AF222&gt;AD222,AF218,"")),"")</f>
        <v/>
      </c>
      <c r="AH223" s="1225"/>
      <c r="AI223" s="1187"/>
      <c r="AJ223" s="1187"/>
      <c r="AK223" s="1187"/>
      <c r="AZ223" s="1057"/>
      <c r="BA223" s="1057"/>
    </row>
    <row r="224" spans="1:53" ht="12.75" customHeight="1" x14ac:dyDescent="0.2">
      <c r="A224" s="852" t="s">
        <v>162</v>
      </c>
      <c r="B224" s="1219"/>
      <c r="C224" s="1052" t="s">
        <v>78</v>
      </c>
      <c r="D224" s="1220"/>
      <c r="E224" s="1221"/>
      <c r="F224" s="1052" t="s">
        <v>78</v>
      </c>
      <c r="G224" s="1220"/>
      <c r="H224" s="1221"/>
      <c r="I224" s="1052" t="s">
        <v>78</v>
      </c>
      <c r="J224" s="1222"/>
      <c r="K224" s="1227"/>
      <c r="L224" s="1228"/>
      <c r="M224" s="1228"/>
      <c r="N224" s="1229"/>
      <c r="S224" s="1187"/>
      <c r="T224" s="1187"/>
      <c r="U224" s="1226"/>
      <c r="V224" s="1226"/>
      <c r="W224" s="852" t="s">
        <v>162</v>
      </c>
      <c r="X224" s="1219"/>
      <c r="Y224" s="1052" t="s">
        <v>78</v>
      </c>
      <c r="Z224" s="1220"/>
      <c r="AA224" s="1221"/>
      <c r="AB224" s="1052" t="s">
        <v>78</v>
      </c>
      <c r="AC224" s="1220"/>
      <c r="AD224" s="1221"/>
      <c r="AE224" s="1052" t="s">
        <v>78</v>
      </c>
      <c r="AF224" s="1222"/>
      <c r="AG224" s="1227"/>
      <c r="AH224" s="1229"/>
      <c r="AI224" s="1187"/>
      <c r="AJ224" s="1187"/>
      <c r="AK224" s="1187"/>
      <c r="AZ224" s="1057"/>
      <c r="BA224" s="1057"/>
    </row>
    <row r="225" spans="1:80" ht="13.5" customHeight="1" thickBot="1" x14ac:dyDescent="0.25">
      <c r="A225" s="852" t="s">
        <v>163</v>
      </c>
      <c r="B225" s="1230"/>
      <c r="C225" s="1231" t="s">
        <v>78</v>
      </c>
      <c r="D225" s="1232"/>
      <c r="E225" s="1233"/>
      <c r="F225" s="1231" t="s">
        <v>78</v>
      </c>
      <c r="G225" s="1232"/>
      <c r="H225" s="1233"/>
      <c r="I225" s="1231" t="s">
        <v>78</v>
      </c>
      <c r="J225" s="1234"/>
      <c r="K225" s="1235"/>
      <c r="L225" s="1236"/>
      <c r="M225" s="1236"/>
      <c r="N225" s="1237"/>
      <c r="S225" s="1187"/>
      <c r="T225" s="1187"/>
      <c r="U225" s="1226"/>
      <c r="V225" s="1226"/>
      <c r="W225" s="852" t="s">
        <v>163</v>
      </c>
      <c r="X225" s="1230"/>
      <c r="Y225" s="1231" t="s">
        <v>78</v>
      </c>
      <c r="Z225" s="1232"/>
      <c r="AA225" s="1233"/>
      <c r="AB225" s="1231" t="s">
        <v>78</v>
      </c>
      <c r="AC225" s="1232"/>
      <c r="AD225" s="1233"/>
      <c r="AE225" s="1231" t="s">
        <v>78</v>
      </c>
      <c r="AF225" s="1234"/>
      <c r="AG225" s="1235"/>
      <c r="AH225" s="1237"/>
      <c r="AI225" s="1187"/>
      <c r="AJ225" s="1187"/>
      <c r="AK225" s="1187"/>
      <c r="AZ225" s="1057"/>
      <c r="BA225" s="1057"/>
    </row>
    <row r="226" spans="1:80" hidden="1" x14ac:dyDescent="0.2">
      <c r="B226" s="845"/>
      <c r="C226" s="1238" t="s">
        <v>112</v>
      </c>
      <c r="D226" s="845" t="s">
        <v>164</v>
      </c>
      <c r="E226" s="845"/>
      <c r="F226" s="1238"/>
      <c r="G226" s="846" t="s">
        <v>165</v>
      </c>
      <c r="J226" s="846" t="s">
        <v>166</v>
      </c>
      <c r="X226" s="845"/>
      <c r="Y226" s="1238" t="s">
        <v>112</v>
      </c>
      <c r="Z226" s="845" t="s">
        <v>164</v>
      </c>
      <c r="AA226" s="845"/>
      <c r="AB226" s="1238"/>
      <c r="AC226" s="846" t="s">
        <v>165</v>
      </c>
      <c r="AF226" s="846" t="s">
        <v>166</v>
      </c>
      <c r="AT226" s="846" t="str">
        <f>B227</f>
        <v>SC Midlands KP Boys</v>
      </c>
      <c r="AU226" s="846">
        <f>J227</f>
        <v>1332.4149795123046</v>
      </c>
      <c r="AW226" s="1239"/>
      <c r="AX226" s="1057"/>
      <c r="AY226" s="1057"/>
      <c r="AZ226" s="1057"/>
      <c r="BA226" s="1057"/>
      <c r="BB226" s="1239"/>
      <c r="BC226" s="1057"/>
      <c r="BD226" s="1057"/>
      <c r="BE226" s="1239"/>
      <c r="BF226" s="1057"/>
      <c r="BG226" s="1057"/>
      <c r="BH226" s="1239"/>
      <c r="BI226" s="1057"/>
      <c r="BJ226" s="1057"/>
      <c r="BK226" s="1239"/>
      <c r="BL226" s="1057"/>
      <c r="BM226" s="1057"/>
      <c r="BN226" s="1239"/>
      <c r="BO226" s="1057"/>
      <c r="BP226" s="1057"/>
      <c r="BQ226" s="1239"/>
      <c r="BR226" s="1057"/>
      <c r="BS226" s="1057"/>
      <c r="BT226" s="1239"/>
      <c r="BU226" s="1057"/>
      <c r="BV226" s="1057"/>
      <c r="BW226" s="1239"/>
      <c r="BX226" s="1057"/>
      <c r="BY226" s="1057"/>
      <c r="BZ226" s="1239"/>
      <c r="CA226" s="1057"/>
      <c r="CB226" s="1057"/>
    </row>
    <row r="227" spans="1:80" hidden="1" x14ac:dyDescent="0.2">
      <c r="A227" s="846">
        <v>1</v>
      </c>
      <c r="B227" s="846" t="str">
        <f>B210</f>
        <v>SC Midlands KP Boys</v>
      </c>
      <c r="C227" s="846">
        <f>VLOOKUP(B227,AU$2:AY$10,4,FALSE)</f>
        <v>1332.4149795123046</v>
      </c>
      <c r="D227" s="846">
        <f>IF(A227=B218,B233,IF(A227=D218,D233,C227))</f>
        <v>1332.4149795123046</v>
      </c>
      <c r="G227" s="846">
        <f>IF(A227=E218,E233,IF(A227=G218,G233,D227))</f>
        <v>1332.4149795123046</v>
      </c>
      <c r="J227" s="846">
        <f>IF(A227=H218,H233,IF(A227=J218,J233,G227))</f>
        <v>1332.4149795123046</v>
      </c>
      <c r="V227" s="1240"/>
      <c r="W227" s="1240">
        <v>1</v>
      </c>
      <c r="X227" s="846" t="str">
        <f>Y210</f>
        <v>SC Midlands KP White</v>
      </c>
      <c r="Y227" s="846">
        <f>VLOOKUP(X227,AU$2:AY$10,4,FALSE)</f>
        <v>1206.7266798132362</v>
      </c>
      <c r="Z227" s="846">
        <f>IF(AND(W227=X218,ISNUMBER(X218)),X233,IF(AND(W227=Z218,ISNUMBER(Z218)),Z233,Y227))</f>
        <v>1206.7266798132362</v>
      </c>
      <c r="AC227" s="846">
        <f>IF(W227=AA218,AA233,IF(W227=AC218,AC233,Z227))</f>
        <v>1206.7266798132362</v>
      </c>
      <c r="AF227" s="846">
        <f>IF(W227=AD218,AD233,IF(W227=AF218,AF233,AC227))</f>
        <v>1206.7266798132362</v>
      </c>
      <c r="AT227" s="846" t="str">
        <f>B228</f>
        <v>MOTO 12'1</v>
      </c>
      <c r="AU227" s="846">
        <f>J228</f>
        <v>1216.8565925282476</v>
      </c>
      <c r="AW227" s="1239"/>
      <c r="AX227" s="1057"/>
      <c r="AY227" s="1057"/>
      <c r="AZ227" s="1057"/>
      <c r="BA227" s="1057"/>
      <c r="BB227" s="1239"/>
      <c r="BC227" s="1057"/>
      <c r="BD227" s="1057"/>
      <c r="BE227" s="1239"/>
      <c r="BF227" s="1057"/>
      <c r="BG227" s="1057"/>
      <c r="BH227" s="1239"/>
      <c r="BI227" s="1057"/>
      <c r="BJ227" s="1057"/>
      <c r="BK227" s="1239"/>
      <c r="BL227" s="1057"/>
      <c r="BM227" s="1057"/>
      <c r="BN227" s="1239"/>
      <c r="BO227" s="1057"/>
      <c r="BP227" s="1057"/>
      <c r="BQ227" s="1239"/>
      <c r="BR227" s="1057"/>
      <c r="BS227" s="1057"/>
      <c r="BT227" s="1239"/>
      <c r="BU227" s="1057"/>
      <c r="BV227" s="1057"/>
      <c r="BW227" s="1239"/>
      <c r="BX227" s="1057"/>
      <c r="BY227" s="1057"/>
      <c r="BZ227" s="1239"/>
      <c r="CA227" s="1057"/>
      <c r="CB227" s="1057"/>
    </row>
    <row r="228" spans="1:80" hidden="1" x14ac:dyDescent="0.2">
      <c r="A228" s="846">
        <v>2</v>
      </c>
      <c r="B228" s="846" t="str">
        <f>B211</f>
        <v>MOTO 12'1</v>
      </c>
      <c r="C228" s="846">
        <f>VLOOKUP(B228,AU$2:AY$10,4,FALSE)</f>
        <v>1216.8565925282476</v>
      </c>
      <c r="D228" s="846">
        <f>IF(A228=B218,B233,IF(A228=D218,D233,C228))</f>
        <v>1216.8565925282476</v>
      </c>
      <c r="G228" s="846">
        <f>IF(A228=E218,E233,IF(A228=G218,G233,D228))</f>
        <v>1216.8565925282476</v>
      </c>
      <c r="J228" s="846">
        <f>IF(A228=H218,H233,IF(A228=J218,J233,G228))</f>
        <v>1216.8565925282476</v>
      </c>
      <c r="V228" s="1240"/>
      <c r="W228" s="1240">
        <v>2</v>
      </c>
      <c r="X228" s="846" t="str">
        <f>Y211</f>
        <v>C1VB Juniors Grey</v>
      </c>
      <c r="Y228" s="846">
        <f>VLOOKUP(X228,AU$2:AY$10,4,FALSE)</f>
        <v>1107.1369587677066</v>
      </c>
      <c r="Z228" s="846">
        <f>IF(W228=X218,X233,IF(W228=Z218,Z233,Y228))</f>
        <v>1107.1369587677066</v>
      </c>
      <c r="AC228" s="846">
        <f>IF(W228=AA218,AA233,IF(W228=AC218,AC233,Z228))</f>
        <v>1107.1369587677066</v>
      </c>
      <c r="AF228" s="846">
        <f>IF(W228=AD218,AD233,IF(W228=AF218,AF233,AC228))</f>
        <v>1107.1369587677066</v>
      </c>
      <c r="AT228" s="846" t="str">
        <f>B229</f>
        <v>Intense kids power col</v>
      </c>
      <c r="AU228" s="846">
        <f>J229</f>
        <v>1252.9739815801377</v>
      </c>
      <c r="AW228" s="1239"/>
      <c r="AX228" s="1057"/>
      <c r="AY228" s="1057"/>
      <c r="AZ228" s="1057"/>
      <c r="BA228" s="1057"/>
      <c r="BB228" s="1239"/>
      <c r="BC228" s="1057"/>
      <c r="BD228" s="1057"/>
      <c r="BE228" s="1239"/>
      <c r="BF228" s="1057"/>
      <c r="BG228" s="1057"/>
      <c r="BH228" s="1239"/>
      <c r="BI228" s="1057"/>
      <c r="BJ228" s="1057"/>
      <c r="BK228" s="1239"/>
      <c r="BL228" s="1057"/>
      <c r="BM228" s="1057"/>
      <c r="BN228" s="1239"/>
      <c r="BO228" s="1057"/>
      <c r="BP228" s="1057"/>
      <c r="BQ228" s="1239"/>
      <c r="BR228" s="1057"/>
      <c r="BS228" s="1057"/>
      <c r="BT228" s="1239"/>
      <c r="BU228" s="1057"/>
      <c r="BV228" s="1057"/>
      <c r="BW228" s="1239"/>
      <c r="BX228" s="1057"/>
      <c r="BY228" s="1057"/>
      <c r="BZ228" s="1239"/>
      <c r="CA228" s="1057"/>
      <c r="CB228" s="1057"/>
    </row>
    <row r="229" spans="1:80" hidden="1" x14ac:dyDescent="0.2">
      <c r="A229" s="846">
        <v>3</v>
      </c>
      <c r="B229" s="846" t="str">
        <f>B212</f>
        <v>Intense kids power col</v>
      </c>
      <c r="C229" s="846">
        <f>VLOOKUP(B229,AU$2:AY$10,4,FALSE)</f>
        <v>1252.9739815801377</v>
      </c>
      <c r="D229" s="846">
        <f>IF(A229=B218,B233,IF(A229=D218,D233,C229))</f>
        <v>1252.9739815801377</v>
      </c>
      <c r="G229" s="846">
        <f>IF(A229=E218,E233,IF(A229=G218,G233,D229))</f>
        <v>1252.9739815801377</v>
      </c>
      <c r="J229" s="846">
        <f>IF(A229=H218,H233,IF(A229=J218,J233,G229))</f>
        <v>1252.9739815801377</v>
      </c>
      <c r="V229" s="1240"/>
      <c r="W229" s="1240">
        <v>3</v>
      </c>
      <c r="X229" s="846" t="str">
        <f>Y212</f>
        <v>C1VB Juniors Royal</v>
      </c>
      <c r="Y229" s="846">
        <f>VLOOKUP(X229,AU$2:AY$10,4,FALSE)</f>
        <v>1232.4333282362945</v>
      </c>
      <c r="Z229" s="846">
        <f>IF(W229=X218,X233,IF(W229=Z218,Z233,Y229))</f>
        <v>1232.4333282362945</v>
      </c>
      <c r="AC229" s="846">
        <f>IF(W229=AA218,AA233,IF(W229=AC218,AC233,Z229))</f>
        <v>1232.4333282362945</v>
      </c>
      <c r="AF229" s="846">
        <f>IF(W229=AD218,AD233,IF(W229=AF218,AF233,AC229))</f>
        <v>1232.4333282362945</v>
      </c>
      <c r="AT229" s="846" t="str">
        <f>B230</f>
        <v>Foothills Vanessa</v>
      </c>
      <c r="AU229" s="846">
        <f>J230</f>
        <v>1164.88819190138</v>
      </c>
      <c r="AW229" s="1239"/>
      <c r="AX229" s="1057"/>
      <c r="AY229" s="1057"/>
      <c r="AZ229" s="1057"/>
      <c r="BA229" s="1057"/>
      <c r="BB229" s="1239"/>
      <c r="BC229" s="1057"/>
      <c r="BD229" s="1057"/>
      <c r="BE229" s="1239"/>
      <c r="BF229" s="1057"/>
      <c r="BG229" s="1057"/>
      <c r="BH229" s="1239"/>
      <c r="BI229" s="1057"/>
      <c r="BJ229" s="1057"/>
      <c r="BK229" s="1239"/>
      <c r="BL229" s="1057"/>
      <c r="BM229" s="1057"/>
      <c r="BN229" s="1239"/>
      <c r="BO229" s="1057"/>
      <c r="BP229" s="1057"/>
      <c r="BQ229" s="1239"/>
      <c r="BR229" s="1057"/>
      <c r="BS229" s="1057"/>
      <c r="BT229" s="1239"/>
      <c r="BU229" s="1057"/>
      <c r="BV229" s="1057"/>
      <c r="BW229" s="1239"/>
      <c r="BX229" s="1057"/>
      <c r="BY229" s="1057"/>
      <c r="BZ229" s="1239"/>
      <c r="CA229" s="1057"/>
      <c r="CB229" s="1057"/>
    </row>
    <row r="230" spans="1:80" hidden="1" x14ac:dyDescent="0.2">
      <c r="A230" s="846">
        <v>4</v>
      </c>
      <c r="B230" s="846" t="str">
        <f>B213</f>
        <v>Foothills Vanessa</v>
      </c>
      <c r="C230" s="846">
        <f>VLOOKUP(B230,AU$2:AY$10,4,FALSE)</f>
        <v>1164.88819190138</v>
      </c>
      <c r="D230" s="846">
        <f>IF(A230=B218,B233,IF(A230=D218,D233,C230))</f>
        <v>1164.88819190138</v>
      </c>
      <c r="G230" s="846">
        <f>IF(A230=E218,E233,IF(A230=G218,G233,D230))</f>
        <v>1164.88819190138</v>
      </c>
      <c r="J230" s="846">
        <f>IF(A230=H218,H233,IF(A230=J218,J233,G230))</f>
        <v>1164.88819190138</v>
      </c>
      <c r="V230" s="1240"/>
      <c r="W230" s="1240">
        <v>4</v>
      </c>
      <c r="X230" s="846" t="str">
        <f>Y213</f>
        <v>BYE</v>
      </c>
      <c r="Y230" s="846" t="e">
        <f>VLOOKUP(X230,AU$2:AY$10,4,FALSE)</f>
        <v>#N/A</v>
      </c>
      <c r="Z230" s="846" t="e">
        <f>IF(W230=X218,X233,IF(W230=Z218,Z233,Y230))</f>
        <v>#N/A</v>
      </c>
      <c r="AC230" s="846" t="e">
        <f>IF(W230=AA218,AA233,IF(W230=AC218,AC233,Z230))</f>
        <v>#N/A</v>
      </c>
      <c r="AF230" s="846" t="e">
        <f>IF(W230=AD218,AD233,IF(W230=AF218,AF233,AC230))</f>
        <v>#N/A</v>
      </c>
      <c r="AT230" s="846" t="str">
        <f>X227</f>
        <v>SC Midlands KP White</v>
      </c>
      <c r="AU230" s="846">
        <f>AF227</f>
        <v>1206.7266798132362</v>
      </c>
      <c r="AW230" s="1239"/>
      <c r="AX230" s="1057"/>
      <c r="AY230" s="1057"/>
      <c r="AZ230" s="1057"/>
      <c r="BA230" s="1057"/>
      <c r="BB230" s="1239"/>
      <c r="BC230" s="1057"/>
      <c r="BD230" s="1057"/>
      <c r="BE230" s="1239"/>
      <c r="BF230" s="1057"/>
      <c r="BG230" s="1057"/>
      <c r="BH230" s="1239"/>
      <c r="BI230" s="1057"/>
      <c r="BJ230" s="1057"/>
      <c r="BK230" s="1239"/>
      <c r="BL230" s="1057"/>
      <c r="BM230" s="1057"/>
      <c r="BN230" s="1239"/>
      <c r="BO230" s="1057"/>
      <c r="BP230" s="1057"/>
      <c r="BQ230" s="1239"/>
      <c r="BR230" s="1057"/>
      <c r="BS230" s="1057"/>
      <c r="BT230" s="1239"/>
      <c r="BU230" s="1057"/>
      <c r="BV230" s="1057"/>
      <c r="BW230" s="1239"/>
      <c r="BX230" s="1057"/>
      <c r="BY230" s="1057"/>
      <c r="BZ230" s="1239"/>
      <c r="CA230" s="1057"/>
      <c r="CB230" s="1057"/>
    </row>
    <row r="231" spans="1:80" hidden="1" x14ac:dyDescent="0.2">
      <c r="A231" s="846" t="s">
        <v>114</v>
      </c>
      <c r="B231" s="846">
        <f>VLOOKUP(B218,$A227:$J230,3,FALSE)</f>
        <v>1332.4149795123046</v>
      </c>
      <c r="D231" s="846">
        <f>VLOOKUP(D218,$A227:$J230,3,FALSE)</f>
        <v>1164.88819190138</v>
      </c>
      <c r="E231" s="846">
        <f>VLOOKUP(E218,$A227:$J230,4,FALSE)</f>
        <v>1216.8565925282476</v>
      </c>
      <c r="G231" s="846">
        <f>VLOOKUP(G218,$A227:$J230,4,FALSE)</f>
        <v>1252.9739815801377</v>
      </c>
      <c r="H231" s="846" t="e">
        <f>VLOOKUP(H218,$A227:$J230,7,FALSE)</f>
        <v>#N/A</v>
      </c>
      <c r="J231" s="846" t="e">
        <f>VLOOKUP(J218,$A227:$J230,7,FALSE)</f>
        <v>#N/A</v>
      </c>
      <c r="U231" s="1241" t="s">
        <v>114</v>
      </c>
      <c r="V231" s="1241"/>
      <c r="W231" s="1241"/>
      <c r="X231" s="846">
        <f>VLOOKUP(X218,$W227:$AF230,3,FALSE)</f>
        <v>1206.7266798132362</v>
      </c>
      <c r="Z231" s="846" t="e">
        <f>VLOOKUP(Z218,$W227:$AF230,3,FALSE)</f>
        <v>#N/A</v>
      </c>
      <c r="AA231" s="846">
        <f>VLOOKUP(AA218,$W227:$AF230,4,FALSE)</f>
        <v>1107.1369587677066</v>
      </c>
      <c r="AC231" s="846">
        <f>VLOOKUP(AC218,$W227:$AF230,4,FALSE)</f>
        <v>1232.4333282362945</v>
      </c>
      <c r="AD231" s="846">
        <f>VLOOKUP(AD218,$W227:$AF230,7,FALSE)</f>
        <v>1206.7266798132362</v>
      </c>
      <c r="AF231" s="846" t="e">
        <f>VLOOKUP(AF218,$W227:$AF230,7,FALSE)</f>
        <v>#N/A</v>
      </c>
      <c r="AT231" s="846" t="str">
        <f>X228</f>
        <v>C1VB Juniors Grey</v>
      </c>
      <c r="AU231" s="846">
        <f>AF228</f>
        <v>1107.1369587677066</v>
      </c>
      <c r="AW231" s="1239"/>
      <c r="AX231" s="1057"/>
      <c r="AY231" s="1057"/>
      <c r="AZ231" s="1057"/>
      <c r="BA231" s="1057"/>
      <c r="BB231" s="1239"/>
      <c r="BC231" s="1057"/>
      <c r="BD231" s="1057"/>
      <c r="BE231" s="1239"/>
      <c r="BF231" s="1057"/>
      <c r="BG231" s="1057"/>
      <c r="BH231" s="1239"/>
      <c r="BI231" s="1057"/>
      <c r="BJ231" s="1057"/>
      <c r="BK231" s="1239"/>
      <c r="BL231" s="1057"/>
      <c r="BM231" s="1057"/>
      <c r="BN231" s="1239"/>
      <c r="BO231" s="1057"/>
      <c r="BP231" s="1057"/>
      <c r="BQ231" s="1239"/>
      <c r="BR231" s="1057"/>
      <c r="BS231" s="1057"/>
      <c r="BT231" s="1239"/>
      <c r="BU231" s="1057"/>
      <c r="BV231" s="1057"/>
      <c r="BW231" s="1239"/>
      <c r="BX231" s="1057"/>
      <c r="BY231" s="1057"/>
      <c r="BZ231" s="1239"/>
      <c r="CA231" s="1057"/>
      <c r="CB231" s="1057"/>
    </row>
    <row r="232" spans="1:80" hidden="1" x14ac:dyDescent="0.2">
      <c r="A232" s="1072" t="s">
        <v>115</v>
      </c>
      <c r="B232" s="1072">
        <f>IF(OR(B222&gt;0,D222&gt;0),1/(1+(10^-((B231-D231)/400)))*(B222+D222),0)</f>
        <v>0</v>
      </c>
      <c r="C232" s="1072"/>
      <c r="D232" s="1072">
        <f>IF(OR(B222&gt;0,D222&gt;0),1/(1+(10^-((D231-B231)/400)))*(B222+D222),0)</f>
        <v>0</v>
      </c>
      <c r="E232" s="1072">
        <f>IF(OR(E222&gt;0,G222&gt;0),1/(1+(10^-((E231-G231)/400)))*(E222+G222),0)</f>
        <v>0</v>
      </c>
      <c r="F232" s="1072"/>
      <c r="G232" s="1072">
        <f>IF(OR(E222&gt;0,G222&gt;0),1/(1+(10^-((G231-E231)/400)))*(E222+G222),0)</f>
        <v>0</v>
      </c>
      <c r="H232" s="1072">
        <f>IF(OR(H222&gt;0,J222&gt;0),1/(1+(10^-((H231-J231)/400)))*(H222+J222),0)</f>
        <v>0</v>
      </c>
      <c r="I232" s="1072"/>
      <c r="J232" s="1072">
        <f>IF(OR(H222&gt;0,J222&gt;0),1/(1+(10^-((J231-H231)/400)))*(H222+J222),0)</f>
        <v>0</v>
      </c>
      <c r="K232" s="1072"/>
      <c r="U232" s="1242" t="s">
        <v>115</v>
      </c>
      <c r="V232" s="1242"/>
      <c r="W232" s="1242"/>
      <c r="X232" s="1072">
        <f>IF(OR(X222&gt;0,Z222&gt;0),1/(1+(10^-((X231-Z231)/400)))*(X222+Z222),0)</f>
        <v>0</v>
      </c>
      <c r="Y232" s="1072"/>
      <c r="Z232" s="1072">
        <f>IF(OR(X222&gt;0,Z222&gt;0),1/(1+(10^-((Z231-X231)/400)))*(X222+Z222),0)</f>
        <v>0</v>
      </c>
      <c r="AA232" s="1072">
        <f>IF(OR(AA222&gt;0,AC222&gt;0),1/(1+(10^-((AA231-AC231)/400)))*(AA222+AC222),0)</f>
        <v>0</v>
      </c>
      <c r="AB232" s="1072"/>
      <c r="AC232" s="1072">
        <f>IF(OR(AA222&gt;0,AC222&gt;0),1/(1+(10^-((AC231-AA231)/400)))*(AA222+AC222),0)</f>
        <v>0</v>
      </c>
      <c r="AD232" s="1072">
        <f>IF(OR(AD222&gt;0,AF222&gt;0),1/(1+(10^-((AD231-AF231)/400)))*(AD222+AF222),0)</f>
        <v>0</v>
      </c>
      <c r="AE232" s="1072"/>
      <c r="AF232" s="1072">
        <f>IF(OR(AD222&gt;0,AF222&gt;0),1/(1+(10^-((AF231-AD231)/400)))*(AD222+AF222),0)</f>
        <v>0</v>
      </c>
      <c r="AT232" s="846" t="str">
        <f>X229</f>
        <v>C1VB Juniors Royal</v>
      </c>
      <c r="AU232" s="846">
        <f>AF229</f>
        <v>1232.4333282362945</v>
      </c>
      <c r="AW232" s="1239"/>
      <c r="AX232" s="1057"/>
      <c r="AY232" s="1057"/>
      <c r="AZ232" s="1057"/>
      <c r="BA232" s="1057"/>
      <c r="BB232" s="1239"/>
      <c r="BC232" s="1057"/>
      <c r="BD232" s="1057"/>
      <c r="BE232" s="1239"/>
      <c r="BF232" s="1057"/>
      <c r="BG232" s="1057"/>
      <c r="BH232" s="1239"/>
      <c r="BI232" s="1057"/>
      <c r="BJ232" s="1057"/>
      <c r="BK232" s="1239"/>
      <c r="BL232" s="1057"/>
      <c r="BM232" s="1057"/>
      <c r="BN232" s="1239"/>
      <c r="BO232" s="1057"/>
      <c r="BP232" s="1057"/>
      <c r="BQ232" s="1239"/>
      <c r="BR232" s="1057"/>
      <c r="BS232" s="1057"/>
      <c r="BT232" s="1239"/>
      <c r="BU232" s="1057"/>
      <c r="BV232" s="1057"/>
      <c r="BW232" s="1239"/>
      <c r="BX232" s="1057"/>
      <c r="BY232" s="1057"/>
      <c r="BZ232" s="1239"/>
      <c r="CA232" s="1057"/>
      <c r="CB232" s="1057"/>
    </row>
    <row r="233" spans="1:80" hidden="1" x14ac:dyDescent="0.2">
      <c r="A233" s="1078" t="s">
        <v>116</v>
      </c>
      <c r="B233" s="1078">
        <f>B231+(B222-B232)*$BA$2</f>
        <v>1332.4149795123046</v>
      </c>
      <c r="C233" s="1078"/>
      <c r="D233" s="1078">
        <f>D231+(D222-D232)*$BA$2</f>
        <v>1164.88819190138</v>
      </c>
      <c r="E233" s="1078">
        <f>E231+(E222-E232)*$BA$2</f>
        <v>1216.8565925282476</v>
      </c>
      <c r="G233" s="1078">
        <f>G231+(G222-G232)*$BA$2</f>
        <v>1252.9739815801377</v>
      </c>
      <c r="H233" s="1078" t="e">
        <f>H231+(H222-H232)*$BA$2</f>
        <v>#N/A</v>
      </c>
      <c r="J233" s="1078" t="e">
        <f>J231+(J222-J232)*$BA$2</f>
        <v>#N/A</v>
      </c>
      <c r="K233" s="1078"/>
      <c r="U233" s="1243" t="s">
        <v>116</v>
      </c>
      <c r="V233" s="1243"/>
      <c r="W233" s="1243"/>
      <c r="X233" s="1078">
        <f>X231+(X222-X232)*$BA$2</f>
        <v>1206.7266798132362</v>
      </c>
      <c r="Y233" s="1078"/>
      <c r="Z233" s="1078" t="e">
        <f>Z231+(Z222-Z232)*$BA$2</f>
        <v>#N/A</v>
      </c>
      <c r="AA233" s="1078">
        <f>AA231+(AA222-AA232)*$BA$2</f>
        <v>1107.1369587677066</v>
      </c>
      <c r="AC233" s="1078">
        <f>AC231+(AC222-AC232)*$BA$2</f>
        <v>1232.4333282362945</v>
      </c>
      <c r="AD233" s="1078">
        <f>AD231+(AD222-AD232)*$BA$2</f>
        <v>1206.7266798132362</v>
      </c>
      <c r="AF233" s="1078" t="e">
        <f>AF231+(AF222-AF232)*$BA$2</f>
        <v>#N/A</v>
      </c>
      <c r="AT233" s="846" t="str">
        <f>X230</f>
        <v>BYE</v>
      </c>
      <c r="AU233" s="846" t="e">
        <f>AF230</f>
        <v>#N/A</v>
      </c>
      <c r="AW233" s="1239"/>
      <c r="AX233" s="1057"/>
      <c r="AY233" s="1057"/>
      <c r="AZ233" s="1057"/>
      <c r="BA233" s="1057"/>
      <c r="BB233" s="1239"/>
      <c r="BC233" s="1057"/>
      <c r="BD233" s="1057"/>
      <c r="BE233" s="1239"/>
      <c r="BF233" s="1057"/>
      <c r="BG233" s="1057"/>
      <c r="BH233" s="1239"/>
      <c r="BI233" s="1057"/>
      <c r="BJ233" s="1057"/>
      <c r="BK233" s="1239"/>
      <c r="BL233" s="1057"/>
      <c r="BM233" s="1057"/>
      <c r="BN233" s="1239"/>
      <c r="BO233" s="1057"/>
      <c r="BP233" s="1057"/>
      <c r="BQ233" s="1239"/>
      <c r="BR233" s="1057"/>
      <c r="BS233" s="1057"/>
      <c r="BT233" s="1239"/>
      <c r="BU233" s="1057"/>
      <c r="BV233" s="1057"/>
      <c r="BW233" s="1239"/>
      <c r="BX233" s="1057"/>
      <c r="BY233" s="1057"/>
      <c r="BZ233" s="1239"/>
      <c r="CA233" s="1057"/>
      <c r="CB233" s="1057"/>
    </row>
    <row r="234" spans="1:80" x14ac:dyDescent="0.2">
      <c r="A234" s="1244" t="s">
        <v>167</v>
      </c>
      <c r="B234" s="1244"/>
      <c r="C234" s="1244"/>
      <c r="D234" s="1244"/>
      <c r="E234" s="1244"/>
      <c r="F234" s="1244"/>
      <c r="G234" s="1244"/>
      <c r="H234" s="1244"/>
      <c r="I234" s="1244"/>
      <c r="J234" s="1244"/>
      <c r="K234" s="1244"/>
      <c r="L234" s="1244"/>
      <c r="M234" s="1244"/>
      <c r="N234" s="1244"/>
      <c r="S234" s="1187"/>
      <c r="T234" s="1187"/>
      <c r="U234" s="1226"/>
      <c r="V234" s="1226"/>
      <c r="W234" s="1244" t="s">
        <v>167</v>
      </c>
      <c r="X234" s="1244"/>
      <c r="Y234" s="1244"/>
      <c r="Z234" s="1244"/>
      <c r="AA234" s="1244"/>
      <c r="AB234" s="1244"/>
      <c r="AC234" s="1244"/>
      <c r="AD234" s="1244"/>
      <c r="AE234" s="1244"/>
      <c r="AF234" s="1244"/>
      <c r="AG234" s="1244"/>
      <c r="AH234" s="1244"/>
      <c r="AI234" s="1187"/>
      <c r="AJ234" s="1187"/>
      <c r="AK234" s="1187"/>
      <c r="AZ234" s="1057"/>
      <c r="BA234" s="1057"/>
    </row>
    <row r="235" spans="1:80" x14ac:dyDescent="0.2">
      <c r="AT235" s="1057"/>
      <c r="AU235" s="1057"/>
      <c r="AZ235" s="1057"/>
      <c r="BA235" s="1057"/>
    </row>
    <row r="236" spans="1:80" x14ac:dyDescent="0.2">
      <c r="AT236" s="1057"/>
      <c r="AU236" s="1057"/>
      <c r="AZ236" s="1057"/>
      <c r="BA236" s="1057"/>
    </row>
    <row r="237" spans="1:80" x14ac:dyDescent="0.2">
      <c r="AT237" s="1057"/>
      <c r="AU237" s="1057"/>
      <c r="AZ237" s="1057"/>
      <c r="BA237" s="1057"/>
    </row>
    <row r="238" spans="1:80" x14ac:dyDescent="0.2">
      <c r="AT238" s="1057"/>
      <c r="AU238" s="1057"/>
      <c r="AZ238" s="1057"/>
      <c r="BA238" s="1057"/>
    </row>
    <row r="239" spans="1:80" x14ac:dyDescent="0.2">
      <c r="AT239" s="1057"/>
      <c r="AU239" s="1057"/>
      <c r="AZ239" s="1057"/>
      <c r="BA239" s="1057"/>
    </row>
    <row r="240" spans="1:80" x14ac:dyDescent="0.2">
      <c r="AT240" s="1057"/>
      <c r="AU240" s="1057"/>
      <c r="AZ240" s="1057"/>
      <c r="BA240" s="1057"/>
    </row>
    <row r="241" spans="46:53" x14ac:dyDescent="0.2">
      <c r="AT241" s="1057"/>
      <c r="AU241" s="1057"/>
      <c r="AZ241" s="1057"/>
      <c r="BA241" s="1057"/>
    </row>
    <row r="242" spans="46:53" x14ac:dyDescent="0.2">
      <c r="AT242" s="1057"/>
      <c r="AU242" s="1057"/>
      <c r="AZ242" s="1057"/>
      <c r="BA242" s="1057"/>
    </row>
    <row r="243" spans="46:53" x14ac:dyDescent="0.2">
      <c r="AT243" s="1057"/>
      <c r="AU243" s="1057"/>
      <c r="AZ243" s="1057"/>
      <c r="BA243" s="1057"/>
    </row>
    <row r="244" spans="46:53" x14ac:dyDescent="0.2">
      <c r="AT244" s="1057"/>
      <c r="AU244" s="1057"/>
      <c r="AZ244" s="1057"/>
      <c r="BA244" s="1057"/>
    </row>
    <row r="245" spans="46:53" x14ac:dyDescent="0.2">
      <c r="AT245" s="1057"/>
      <c r="AU245" s="1057"/>
      <c r="AZ245" s="1057"/>
      <c r="BA245" s="1057"/>
    </row>
    <row r="246" spans="46:53" x14ac:dyDescent="0.2">
      <c r="AT246" s="1057"/>
      <c r="AU246" s="1057"/>
      <c r="AZ246" s="1057"/>
      <c r="BA246" s="1057"/>
    </row>
    <row r="247" spans="46:53" x14ac:dyDescent="0.2">
      <c r="AT247" s="1057"/>
      <c r="AU247" s="1057"/>
    </row>
    <row r="248" spans="46:53" x14ac:dyDescent="0.2">
      <c r="AT248" s="1057"/>
      <c r="AU248" s="1057"/>
      <c r="AZ248" s="1065"/>
      <c r="BA248" s="1065"/>
    </row>
    <row r="249" spans="46:53" x14ac:dyDescent="0.2">
      <c r="AT249" s="1057"/>
      <c r="AU249" s="1057"/>
      <c r="AZ249" s="1065"/>
      <c r="BA249" s="1065"/>
    </row>
    <row r="250" spans="46:53" x14ac:dyDescent="0.2">
      <c r="AT250" s="1057"/>
      <c r="AU250" s="1057"/>
      <c r="AZ250" s="1065"/>
      <c r="BA250" s="1065"/>
    </row>
    <row r="251" spans="46:53" x14ac:dyDescent="0.2">
      <c r="AT251" s="1057"/>
      <c r="AU251" s="1057"/>
      <c r="AZ251" s="1065"/>
      <c r="BA251" s="1065"/>
    </row>
    <row r="252" spans="46:53" x14ac:dyDescent="0.2">
      <c r="AT252" s="1057"/>
      <c r="AU252" s="1057"/>
      <c r="AZ252" s="1065"/>
      <c r="BA252" s="1065"/>
    </row>
    <row r="253" spans="46:53" x14ac:dyDescent="0.2">
      <c r="AT253" s="1057"/>
      <c r="AU253" s="1057"/>
      <c r="AZ253" s="1065"/>
      <c r="BA253" s="1065"/>
    </row>
    <row r="254" spans="46:53" x14ac:dyDescent="0.2">
      <c r="AT254" s="1057"/>
      <c r="AU254" s="1057"/>
      <c r="AZ254" s="1065"/>
      <c r="BA254" s="1065"/>
    </row>
    <row r="255" spans="46:53" x14ac:dyDescent="0.2">
      <c r="AT255" s="1057"/>
      <c r="AU255" s="1057"/>
      <c r="AZ255" s="1065"/>
      <c r="BA255" s="1065"/>
    </row>
    <row r="256" spans="46:53" x14ac:dyDescent="0.2">
      <c r="AT256" s="1057"/>
      <c r="AU256" s="1057"/>
      <c r="AZ256" s="1075"/>
      <c r="BA256" s="1075"/>
    </row>
    <row r="257" spans="46:53" x14ac:dyDescent="0.2">
      <c r="AT257" s="1057"/>
      <c r="AU257" s="1057"/>
      <c r="AZ257" s="1081"/>
      <c r="BA257" s="1081"/>
    </row>
    <row r="258" spans="46:53" x14ac:dyDescent="0.2">
      <c r="AT258" s="1057"/>
      <c r="AU258" s="1057"/>
      <c r="AZ258" s="1081"/>
      <c r="BA258" s="1081"/>
    </row>
    <row r="259" spans="46:53" x14ac:dyDescent="0.2">
      <c r="AT259" s="1057"/>
      <c r="AU259" s="1057"/>
      <c r="AZ259" s="1065"/>
      <c r="BA259" s="1065"/>
    </row>
    <row r="260" spans="46:53" x14ac:dyDescent="0.2">
      <c r="AT260" s="1065"/>
      <c r="AU260" s="1065"/>
      <c r="AZ260" s="1065"/>
      <c r="BA260" s="1065"/>
    </row>
    <row r="261" spans="46:53" x14ac:dyDescent="0.2">
      <c r="AT261" s="1065"/>
      <c r="AU261" s="1065"/>
    </row>
    <row r="286" spans="46:53" x14ac:dyDescent="0.2">
      <c r="AT286" s="1057"/>
      <c r="AU286" s="1057"/>
      <c r="AZ286" s="1057"/>
      <c r="BA286" s="1057"/>
    </row>
    <row r="287" spans="46:53" x14ac:dyDescent="0.2">
      <c r="AT287" s="1057"/>
      <c r="AU287" s="1057"/>
      <c r="AZ287" s="1057"/>
      <c r="BA287" s="1057"/>
    </row>
    <row r="288" spans="46:53" x14ac:dyDescent="0.2">
      <c r="AT288" s="1057"/>
      <c r="AU288" s="1057"/>
      <c r="AZ288" s="1057"/>
      <c r="BA288" s="1057"/>
    </row>
    <row r="289" spans="46:53" x14ac:dyDescent="0.2">
      <c r="AT289" s="1057"/>
      <c r="AU289" s="1057"/>
      <c r="AZ289" s="1057"/>
      <c r="BA289" s="1057"/>
    </row>
    <row r="290" spans="46:53" x14ac:dyDescent="0.2">
      <c r="AT290" s="1057"/>
      <c r="AU290" s="1057"/>
      <c r="AZ290" s="1057"/>
      <c r="BA290" s="1057"/>
    </row>
    <row r="291" spans="46:53" x14ac:dyDescent="0.2">
      <c r="AT291" s="1057"/>
      <c r="AU291" s="1057"/>
      <c r="AZ291" s="1057"/>
      <c r="BA291" s="1057"/>
    </row>
    <row r="292" spans="46:53" x14ac:dyDescent="0.2">
      <c r="AT292" s="1057"/>
      <c r="AU292" s="1057"/>
      <c r="AZ292" s="1057"/>
      <c r="BA292" s="1057"/>
    </row>
    <row r="293" spans="46:53" x14ac:dyDescent="0.2">
      <c r="AT293" s="1057"/>
      <c r="AU293" s="1057"/>
      <c r="AZ293" s="1057"/>
      <c r="BA293" s="1057"/>
    </row>
    <row r="294" spans="46:53" x14ac:dyDescent="0.2">
      <c r="AT294" s="1057"/>
      <c r="AU294" s="1057"/>
      <c r="AZ294" s="1057"/>
      <c r="BA294" s="1057"/>
    </row>
    <row r="295" spans="46:53" x14ac:dyDescent="0.2">
      <c r="AT295" s="1057"/>
      <c r="AU295" s="1057"/>
      <c r="AZ295" s="1057"/>
      <c r="BA295" s="1057"/>
    </row>
    <row r="296" spans="46:53" x14ac:dyDescent="0.2">
      <c r="AT296" s="1057"/>
      <c r="AU296" s="1057"/>
      <c r="AZ296" s="1057"/>
      <c r="BA296" s="1057"/>
    </row>
    <row r="297" spans="46:53" x14ac:dyDescent="0.2">
      <c r="AT297" s="1057"/>
      <c r="AU297" s="1057"/>
      <c r="AZ297" s="1057"/>
      <c r="BA297" s="1057"/>
    </row>
    <row r="298" spans="46:53" x14ac:dyDescent="0.2">
      <c r="AT298" s="1057"/>
      <c r="AU298" s="1057"/>
      <c r="AZ298" s="1057"/>
      <c r="BA298" s="1057"/>
    </row>
    <row r="299" spans="46:53" x14ac:dyDescent="0.2">
      <c r="AT299" s="1057"/>
      <c r="AU299" s="1057"/>
      <c r="AZ299" s="1057"/>
      <c r="BA299" s="1057"/>
    </row>
    <row r="300" spans="46:53" x14ac:dyDescent="0.2">
      <c r="AT300" s="1057"/>
      <c r="AU300" s="1057"/>
      <c r="AZ300" s="1057"/>
      <c r="BA300" s="1057"/>
    </row>
    <row r="301" spans="46:53" x14ac:dyDescent="0.2">
      <c r="AT301" s="1057"/>
      <c r="AU301" s="1057"/>
      <c r="AZ301" s="1057"/>
      <c r="BA301" s="1057"/>
    </row>
    <row r="302" spans="46:53" x14ac:dyDescent="0.2">
      <c r="AT302" s="1057"/>
      <c r="AU302" s="1057"/>
      <c r="AZ302" s="1057"/>
      <c r="BA302" s="1057"/>
    </row>
    <row r="303" spans="46:53" x14ac:dyDescent="0.2">
      <c r="AT303" s="1057"/>
      <c r="AU303" s="1057"/>
      <c r="AZ303" s="1057"/>
      <c r="BA303" s="1057"/>
    </row>
    <row r="304" spans="46:53" x14ac:dyDescent="0.2">
      <c r="AT304" s="1057"/>
      <c r="AU304" s="1057"/>
      <c r="AZ304" s="1057"/>
      <c r="BA304" s="1057"/>
    </row>
    <row r="305" spans="46:53" x14ac:dyDescent="0.2">
      <c r="AT305" s="1057"/>
      <c r="AU305" s="1057"/>
      <c r="AZ305" s="1057"/>
      <c r="BA305" s="1057"/>
    </row>
    <row r="306" spans="46:53" x14ac:dyDescent="0.2">
      <c r="AT306" s="1057"/>
      <c r="AU306" s="1057"/>
      <c r="AZ306" s="1057"/>
      <c r="BA306" s="1057"/>
    </row>
    <row r="307" spans="46:53" x14ac:dyDescent="0.2">
      <c r="AT307" s="1057"/>
      <c r="AU307" s="1057"/>
      <c r="AZ307" s="1057"/>
      <c r="BA307" s="1057"/>
    </row>
    <row r="308" spans="46:53" x14ac:dyDescent="0.2">
      <c r="AT308" s="1057"/>
      <c r="AU308" s="1057"/>
      <c r="AZ308" s="1057"/>
      <c r="BA308" s="1057"/>
    </row>
    <row r="309" spans="46:53" x14ac:dyDescent="0.2">
      <c r="AT309" s="1057"/>
      <c r="AU309" s="1057"/>
      <c r="AZ309" s="1057"/>
      <c r="BA309" s="1057"/>
    </row>
    <row r="310" spans="46:53" x14ac:dyDescent="0.2">
      <c r="AT310" s="1057"/>
      <c r="AU310" s="1057"/>
      <c r="AZ310" s="1057"/>
      <c r="BA310" s="1057"/>
    </row>
    <row r="311" spans="46:53" x14ac:dyDescent="0.2">
      <c r="AT311" s="1057"/>
      <c r="AU311" s="1057"/>
      <c r="AZ311" s="1057"/>
      <c r="BA311" s="1057"/>
    </row>
    <row r="312" spans="46:53" x14ac:dyDescent="0.2">
      <c r="AT312" s="1057"/>
      <c r="AU312" s="1057"/>
      <c r="AZ312" s="1057"/>
      <c r="BA312" s="1057"/>
    </row>
    <row r="313" spans="46:53" x14ac:dyDescent="0.2">
      <c r="AT313" s="1057"/>
      <c r="AU313" s="1057"/>
      <c r="AZ313" s="1057"/>
      <c r="BA313" s="1057"/>
    </row>
    <row r="314" spans="46:53" x14ac:dyDescent="0.2">
      <c r="AT314" s="1057"/>
      <c r="AU314" s="1057"/>
      <c r="AZ314" s="1057"/>
      <c r="BA314" s="1057"/>
    </row>
    <row r="315" spans="46:53" x14ac:dyDescent="0.2">
      <c r="AT315" s="1057"/>
      <c r="AU315" s="1057"/>
      <c r="AZ315" s="1057"/>
      <c r="BA315" s="1057"/>
    </row>
    <row r="316" spans="46:53" x14ac:dyDescent="0.2">
      <c r="AT316" s="1057"/>
      <c r="AU316" s="1057"/>
      <c r="AZ316" s="1057"/>
      <c r="BA316" s="1057"/>
    </row>
    <row r="317" spans="46:53" x14ac:dyDescent="0.2">
      <c r="AT317" s="1057"/>
      <c r="AU317" s="1057"/>
      <c r="AZ317" s="1057"/>
      <c r="BA317" s="1057"/>
    </row>
    <row r="318" spans="46:53" x14ac:dyDescent="0.2">
      <c r="AT318" s="1057"/>
      <c r="AU318" s="1057"/>
      <c r="AZ318" s="1057"/>
      <c r="BA318" s="1057"/>
    </row>
    <row r="319" spans="46:53" x14ac:dyDescent="0.2">
      <c r="AT319" s="1057"/>
      <c r="AU319" s="1057"/>
      <c r="AZ319" s="1057"/>
      <c r="BA319" s="1057"/>
    </row>
    <row r="320" spans="46:53" x14ac:dyDescent="0.2">
      <c r="AT320" s="1057"/>
      <c r="AU320" s="1057"/>
      <c r="AZ320" s="1057"/>
      <c r="BA320" s="1057"/>
    </row>
    <row r="321" spans="46:53" x14ac:dyDescent="0.2">
      <c r="AT321" s="1057"/>
      <c r="AU321" s="1057"/>
      <c r="AZ321" s="1057"/>
      <c r="BA321" s="1057"/>
    </row>
    <row r="322" spans="46:53" x14ac:dyDescent="0.2">
      <c r="AT322" s="1057"/>
      <c r="AU322" s="1057"/>
      <c r="AZ322" s="1057"/>
      <c r="BA322" s="1057"/>
    </row>
    <row r="323" spans="46:53" x14ac:dyDescent="0.2">
      <c r="AT323" s="1057"/>
      <c r="AU323" s="1057"/>
      <c r="AZ323" s="1057"/>
      <c r="BA323" s="1057"/>
    </row>
    <row r="324" spans="46:53" x14ac:dyDescent="0.2">
      <c r="AT324" s="1057"/>
      <c r="AU324" s="1057"/>
      <c r="AZ324" s="1057"/>
      <c r="BA324" s="1057"/>
    </row>
    <row r="325" spans="46:53" x14ac:dyDescent="0.2">
      <c r="AT325" s="1057"/>
      <c r="AU325" s="1057"/>
      <c r="AZ325" s="1057"/>
      <c r="BA325" s="1057"/>
    </row>
    <row r="326" spans="46:53" x14ac:dyDescent="0.2">
      <c r="AT326" s="1057"/>
      <c r="AU326" s="1057"/>
      <c r="AZ326" s="1057"/>
      <c r="BA326" s="1057"/>
    </row>
    <row r="327" spans="46:53" x14ac:dyDescent="0.2">
      <c r="AT327" s="1057"/>
      <c r="AU327" s="1057"/>
      <c r="AZ327" s="1057"/>
      <c r="BA327" s="1057"/>
    </row>
    <row r="328" spans="46:53" x14ac:dyDescent="0.2">
      <c r="AT328" s="1057"/>
      <c r="AU328" s="1057"/>
      <c r="AZ328" s="1057"/>
      <c r="BA328" s="1057"/>
    </row>
    <row r="329" spans="46:53" x14ac:dyDescent="0.2">
      <c r="AT329" s="1057"/>
      <c r="AU329" s="1057"/>
      <c r="AZ329" s="1057"/>
      <c r="BA329" s="1057"/>
    </row>
    <row r="330" spans="46:53" x14ac:dyDescent="0.2">
      <c r="AT330" s="1057"/>
      <c r="AU330" s="1057"/>
      <c r="AZ330" s="1057"/>
      <c r="BA330" s="1057"/>
    </row>
    <row r="331" spans="46:53" x14ac:dyDescent="0.2">
      <c r="AT331" s="1057"/>
      <c r="AU331" s="1057"/>
      <c r="AZ331" s="1057"/>
      <c r="BA331" s="1057"/>
    </row>
    <row r="332" spans="46:53" x14ac:dyDescent="0.2">
      <c r="AT332" s="1065"/>
      <c r="AU332" s="1065"/>
    </row>
    <row r="333" spans="46:53" x14ac:dyDescent="0.2">
      <c r="AT333" s="1065"/>
      <c r="AU333" s="1065"/>
      <c r="AZ333" s="1065"/>
      <c r="BA333" s="1065"/>
    </row>
    <row r="334" spans="46:53" x14ac:dyDescent="0.2">
      <c r="AZ334" s="1065"/>
      <c r="BA334" s="1065"/>
    </row>
    <row r="335" spans="46:53" x14ac:dyDescent="0.2">
      <c r="AZ335" s="1065"/>
      <c r="BA335" s="1065"/>
    </row>
    <row r="336" spans="46:53" x14ac:dyDescent="0.2">
      <c r="AZ336" s="1065"/>
      <c r="BA336" s="1065"/>
    </row>
    <row r="337" spans="46:53" x14ac:dyDescent="0.2">
      <c r="AZ337" s="1065"/>
      <c r="BA337" s="1065"/>
    </row>
    <row r="338" spans="46:53" x14ac:dyDescent="0.2">
      <c r="AZ338" s="1065"/>
      <c r="BA338" s="1065"/>
    </row>
    <row r="339" spans="46:53" x14ac:dyDescent="0.2">
      <c r="AZ339" s="1065"/>
      <c r="BA339" s="1065"/>
    </row>
    <row r="340" spans="46:53" x14ac:dyDescent="0.2">
      <c r="AZ340" s="1065"/>
      <c r="BA340" s="1065"/>
    </row>
    <row r="341" spans="46:53" x14ac:dyDescent="0.2">
      <c r="AZ341" s="1075"/>
      <c r="BA341" s="1075"/>
    </row>
    <row r="342" spans="46:53" x14ac:dyDescent="0.2">
      <c r="AZ342" s="1081"/>
      <c r="BA342" s="1081"/>
    </row>
    <row r="343" spans="46:53" x14ac:dyDescent="0.2">
      <c r="AZ343" s="1081"/>
      <c r="BA343" s="1081"/>
    </row>
    <row r="344" spans="46:53" x14ac:dyDescent="0.2">
      <c r="AZ344" s="1065"/>
      <c r="BA344" s="1065"/>
    </row>
    <row r="345" spans="46:53" x14ac:dyDescent="0.2">
      <c r="AZ345" s="1065"/>
      <c r="BA345" s="1065"/>
    </row>
    <row r="348" spans="46:53" x14ac:dyDescent="0.2">
      <c r="AT348" s="1148"/>
    </row>
    <row r="371" spans="46:53" x14ac:dyDescent="0.2">
      <c r="AZ371" s="1057"/>
      <c r="BA371" s="1057"/>
    </row>
    <row r="372" spans="46:53" x14ac:dyDescent="0.2">
      <c r="AZ372" s="1057"/>
      <c r="BA372" s="1057"/>
    </row>
    <row r="373" spans="46:53" x14ac:dyDescent="0.2">
      <c r="AZ373" s="1057"/>
      <c r="BA373" s="1057"/>
    </row>
    <row r="374" spans="46:53" x14ac:dyDescent="0.2">
      <c r="AZ374" s="1057"/>
      <c r="BA374" s="1057"/>
    </row>
    <row r="375" spans="46:53" x14ac:dyDescent="0.2">
      <c r="AZ375" s="1057"/>
      <c r="BA375" s="1057"/>
    </row>
    <row r="376" spans="46:53" x14ac:dyDescent="0.2">
      <c r="AZ376" s="1057"/>
      <c r="BA376" s="1057"/>
    </row>
    <row r="377" spans="46:53" x14ac:dyDescent="0.2">
      <c r="AZ377" s="1057"/>
      <c r="BA377" s="1057"/>
    </row>
    <row r="378" spans="46:53" x14ac:dyDescent="0.2">
      <c r="AZ378" s="1057"/>
      <c r="BA378" s="1057"/>
    </row>
    <row r="379" spans="46:53" x14ac:dyDescent="0.2">
      <c r="AZ379" s="1057"/>
      <c r="BA379" s="1057"/>
    </row>
    <row r="380" spans="46:53" x14ac:dyDescent="0.2">
      <c r="AZ380" s="1057"/>
      <c r="BA380" s="1057"/>
    </row>
    <row r="381" spans="46:53" x14ac:dyDescent="0.2">
      <c r="AZ381" s="1057"/>
      <c r="BA381" s="1057"/>
    </row>
    <row r="382" spans="46:53" x14ac:dyDescent="0.2">
      <c r="AZ382" s="1057"/>
      <c r="BA382" s="1057"/>
    </row>
    <row r="383" spans="46:53" x14ac:dyDescent="0.2">
      <c r="AZ383" s="1057"/>
      <c r="BA383" s="1057"/>
    </row>
    <row r="384" spans="46:53" x14ac:dyDescent="0.2">
      <c r="AT384" s="1148"/>
      <c r="AZ384" s="1057"/>
      <c r="BA384" s="1057"/>
    </row>
    <row r="385" spans="52:53" x14ac:dyDescent="0.2">
      <c r="AZ385" s="1057"/>
      <c r="BA385" s="1057"/>
    </row>
    <row r="386" spans="52:53" x14ac:dyDescent="0.2">
      <c r="AZ386" s="1057"/>
      <c r="BA386" s="1057"/>
    </row>
    <row r="387" spans="52:53" x14ac:dyDescent="0.2">
      <c r="AZ387" s="1057"/>
      <c r="BA387" s="1057"/>
    </row>
    <row r="388" spans="52:53" x14ac:dyDescent="0.2">
      <c r="AZ388" s="1057"/>
      <c r="BA388" s="1057"/>
    </row>
    <row r="389" spans="52:53" x14ac:dyDescent="0.2">
      <c r="AZ389" s="1057"/>
      <c r="BA389" s="1057"/>
    </row>
    <row r="390" spans="52:53" x14ac:dyDescent="0.2">
      <c r="AZ390" s="1057"/>
      <c r="BA390" s="1057"/>
    </row>
    <row r="391" spans="52:53" x14ac:dyDescent="0.2">
      <c r="AZ391" s="1057"/>
      <c r="BA391" s="1057"/>
    </row>
    <row r="392" spans="52:53" x14ac:dyDescent="0.2">
      <c r="AZ392" s="1057"/>
      <c r="BA392" s="1057"/>
    </row>
    <row r="393" spans="52:53" x14ac:dyDescent="0.2">
      <c r="AZ393" s="1057"/>
      <c r="BA393" s="1057"/>
    </row>
    <row r="394" spans="52:53" x14ac:dyDescent="0.2">
      <c r="AZ394" s="1057"/>
      <c r="BA394" s="1057"/>
    </row>
    <row r="395" spans="52:53" x14ac:dyDescent="0.2">
      <c r="AZ395" s="1057"/>
      <c r="BA395" s="1057"/>
    </row>
    <row r="396" spans="52:53" x14ac:dyDescent="0.2">
      <c r="AZ396" s="1057"/>
      <c r="BA396" s="1057"/>
    </row>
    <row r="397" spans="52:53" x14ac:dyDescent="0.2">
      <c r="AZ397" s="1057"/>
      <c r="BA397" s="1057"/>
    </row>
    <row r="398" spans="52:53" x14ac:dyDescent="0.2">
      <c r="AZ398" s="1057"/>
      <c r="BA398" s="1057"/>
    </row>
    <row r="399" spans="52:53" x14ac:dyDescent="0.2">
      <c r="AZ399" s="1057"/>
      <c r="BA399" s="1057"/>
    </row>
    <row r="400" spans="52:53" x14ac:dyDescent="0.2">
      <c r="AZ400" s="1057"/>
      <c r="BA400" s="1057"/>
    </row>
    <row r="401" spans="52:53" x14ac:dyDescent="0.2">
      <c r="AZ401" s="1057"/>
      <c r="BA401" s="1057"/>
    </row>
    <row r="402" spans="52:53" x14ac:dyDescent="0.2">
      <c r="AZ402" s="1057"/>
      <c r="BA402" s="1057"/>
    </row>
    <row r="403" spans="52:53" x14ac:dyDescent="0.2">
      <c r="AZ403" s="1057"/>
      <c r="BA403" s="1057"/>
    </row>
    <row r="404" spans="52:53" x14ac:dyDescent="0.2">
      <c r="AZ404" s="1057"/>
      <c r="BA404" s="1057"/>
    </row>
    <row r="405" spans="52:53" x14ac:dyDescent="0.2">
      <c r="AZ405" s="1057"/>
      <c r="BA405" s="1057"/>
    </row>
    <row r="406" spans="52:53" x14ac:dyDescent="0.2">
      <c r="AZ406" s="1057"/>
      <c r="BA406" s="1057"/>
    </row>
    <row r="407" spans="52:53" x14ac:dyDescent="0.2">
      <c r="AZ407" s="1057"/>
      <c r="BA407" s="1057"/>
    </row>
    <row r="408" spans="52:53" x14ac:dyDescent="0.2">
      <c r="AZ408" s="1057"/>
      <c r="BA408" s="1057"/>
    </row>
    <row r="409" spans="52:53" x14ac:dyDescent="0.2">
      <c r="AZ409" s="1057"/>
      <c r="BA409" s="1057"/>
    </row>
    <row r="410" spans="52:53" x14ac:dyDescent="0.2">
      <c r="AZ410" s="1057"/>
      <c r="BA410" s="1057"/>
    </row>
    <row r="411" spans="52:53" x14ac:dyDescent="0.2">
      <c r="AZ411" s="1057"/>
      <c r="BA411" s="1057"/>
    </row>
    <row r="412" spans="52:53" x14ac:dyDescent="0.2">
      <c r="AZ412" s="1057"/>
      <c r="BA412" s="1057"/>
    </row>
    <row r="413" spans="52:53" x14ac:dyDescent="0.2">
      <c r="AZ413" s="1057"/>
      <c r="BA413" s="1057"/>
    </row>
    <row r="414" spans="52:53" x14ac:dyDescent="0.2">
      <c r="AZ414" s="1057"/>
      <c r="BA414" s="1057"/>
    </row>
    <row r="415" spans="52:53" x14ac:dyDescent="0.2">
      <c r="AZ415" s="1057"/>
      <c r="BA415" s="1057"/>
    </row>
    <row r="416" spans="52:53" x14ac:dyDescent="0.2">
      <c r="AZ416" s="1057"/>
      <c r="BA416" s="1057"/>
    </row>
    <row r="418" spans="52:53" x14ac:dyDescent="0.2">
      <c r="AZ418" s="1065"/>
      <c r="BA418" s="1065"/>
    </row>
    <row r="419" spans="52:53" x14ac:dyDescent="0.2">
      <c r="AZ419" s="1065"/>
      <c r="BA419" s="1065"/>
    </row>
    <row r="420" spans="52:53" x14ac:dyDescent="0.2">
      <c r="AZ420" s="1065"/>
      <c r="BA420" s="1065"/>
    </row>
    <row r="421" spans="52:53" x14ac:dyDescent="0.2">
      <c r="AZ421" s="1065"/>
      <c r="BA421" s="1065"/>
    </row>
    <row r="422" spans="52:53" x14ac:dyDescent="0.2">
      <c r="AZ422" s="1065"/>
      <c r="BA422" s="1065"/>
    </row>
    <row r="423" spans="52:53" x14ac:dyDescent="0.2">
      <c r="AZ423" s="1065"/>
      <c r="BA423" s="1065"/>
    </row>
    <row r="424" spans="52:53" x14ac:dyDescent="0.2">
      <c r="AZ424" s="1065"/>
      <c r="BA424" s="1065"/>
    </row>
    <row r="425" spans="52:53" x14ac:dyDescent="0.2">
      <c r="AZ425" s="1065"/>
      <c r="BA425" s="1065"/>
    </row>
    <row r="426" spans="52:53" x14ac:dyDescent="0.2">
      <c r="AZ426" s="1075"/>
      <c r="BA426" s="1075"/>
    </row>
    <row r="427" spans="52:53" x14ac:dyDescent="0.2">
      <c r="AZ427" s="1081"/>
      <c r="BA427" s="1081"/>
    </row>
    <row r="428" spans="52:53" x14ac:dyDescent="0.2">
      <c r="AZ428" s="1081"/>
      <c r="BA428" s="1081"/>
    </row>
    <row r="429" spans="52:53" x14ac:dyDescent="0.2">
      <c r="AZ429" s="1065"/>
      <c r="BA429" s="1065"/>
    </row>
    <row r="430" spans="52:53" x14ac:dyDescent="0.2">
      <c r="AZ430" s="1065"/>
      <c r="BA430" s="1065"/>
    </row>
  </sheetData>
  <sheetProtection formatCells="0" selectLockedCells="1"/>
  <mergeCells count="431">
    <mergeCell ref="U233:W233"/>
    <mergeCell ref="A234:N234"/>
    <mergeCell ref="W234:AH234"/>
    <mergeCell ref="U221:W221"/>
    <mergeCell ref="U222:W222"/>
    <mergeCell ref="K223:N225"/>
    <mergeCell ref="AG223:AH225"/>
    <mergeCell ref="U231:W231"/>
    <mergeCell ref="U232:W232"/>
    <mergeCell ref="AD217:AF217"/>
    <mergeCell ref="K218:N218"/>
    <mergeCell ref="U218:W218"/>
    <mergeCell ref="AG218:AH218"/>
    <mergeCell ref="U219:W219"/>
    <mergeCell ref="U220:W220"/>
    <mergeCell ref="B217:D217"/>
    <mergeCell ref="E217:G217"/>
    <mergeCell ref="H217:J217"/>
    <mergeCell ref="U217:W217"/>
    <mergeCell ref="X217:Z217"/>
    <mergeCell ref="AA217:AC217"/>
    <mergeCell ref="AA215:AC215"/>
    <mergeCell ref="AD215:AF215"/>
    <mergeCell ref="AG215:AH215"/>
    <mergeCell ref="B216:D216"/>
    <mergeCell ref="E216:G216"/>
    <mergeCell ref="H216:J216"/>
    <mergeCell ref="U216:W216"/>
    <mergeCell ref="X216:Z216"/>
    <mergeCell ref="AA216:AC216"/>
    <mergeCell ref="AD216:AF216"/>
    <mergeCell ref="B213:J213"/>
    <mergeCell ref="K213:Q213"/>
    <mergeCell ref="V213:X213"/>
    <mergeCell ref="Y213:AG213"/>
    <mergeCell ref="AH213:AN213"/>
    <mergeCell ref="B215:D215"/>
    <mergeCell ref="E215:G215"/>
    <mergeCell ref="H215:J215"/>
    <mergeCell ref="L215:N215"/>
    <mergeCell ref="X215:Z215"/>
    <mergeCell ref="B211:J211"/>
    <mergeCell ref="K211:Q211"/>
    <mergeCell ref="V211:X211"/>
    <mergeCell ref="Y211:AG211"/>
    <mergeCell ref="AH211:AN211"/>
    <mergeCell ref="B212:J212"/>
    <mergeCell ref="K212:Q212"/>
    <mergeCell ref="V212:X212"/>
    <mergeCell ref="Y212:AG212"/>
    <mergeCell ref="AH212:AN212"/>
    <mergeCell ref="B209:J209"/>
    <mergeCell ref="K209:Q209"/>
    <mergeCell ref="V209:X209"/>
    <mergeCell ref="Y209:AG209"/>
    <mergeCell ref="AH209:AN209"/>
    <mergeCell ref="B210:J210"/>
    <mergeCell ref="K210:Q210"/>
    <mergeCell ref="V210:X210"/>
    <mergeCell ref="Y210:AG210"/>
    <mergeCell ref="AH210:AN210"/>
    <mergeCell ref="A204:E204"/>
    <mergeCell ref="V204:AB204"/>
    <mergeCell ref="A205:E205"/>
    <mergeCell ref="V205:AB205"/>
    <mergeCell ref="A208:J208"/>
    <mergeCell ref="V208:AG208"/>
    <mergeCell ref="AC202:AF202"/>
    <mergeCell ref="AG202:AI202"/>
    <mergeCell ref="A203:E203"/>
    <mergeCell ref="F203:N203"/>
    <mergeCell ref="U203:AA203"/>
    <mergeCell ref="AC203:AI203"/>
    <mergeCell ref="A200:E200"/>
    <mergeCell ref="J200:Q200"/>
    <mergeCell ref="V200:AB200"/>
    <mergeCell ref="A202:D202"/>
    <mergeCell ref="F202:I202"/>
    <mergeCell ref="J202:N202"/>
    <mergeCell ref="U202:AB202"/>
    <mergeCell ref="J198:Q198"/>
    <mergeCell ref="AG198:AK198"/>
    <mergeCell ref="A199:E199"/>
    <mergeCell ref="F199:I199"/>
    <mergeCell ref="J199:Q199"/>
    <mergeCell ref="V199:AB199"/>
    <mergeCell ref="AC199:AF199"/>
    <mergeCell ref="AG199:AK199"/>
    <mergeCell ref="A195:E195"/>
    <mergeCell ref="V195:AB195"/>
    <mergeCell ref="A196:E196"/>
    <mergeCell ref="V196:AB196"/>
    <mergeCell ref="F197:I197"/>
    <mergeCell ref="AC197:AF197"/>
    <mergeCell ref="A193:E193"/>
    <mergeCell ref="F193:N193"/>
    <mergeCell ref="U193:AA193"/>
    <mergeCell ref="AC193:AI193"/>
    <mergeCell ref="A194:E194"/>
    <mergeCell ref="F194:I194"/>
    <mergeCell ref="J194:N194"/>
    <mergeCell ref="U194:AA194"/>
    <mergeCell ref="AC194:AF194"/>
    <mergeCell ref="AG194:AI194"/>
    <mergeCell ref="A188:P188"/>
    <mergeCell ref="S188:AG188"/>
    <mergeCell ref="A190:E190"/>
    <mergeCell ref="V190:AB190"/>
    <mergeCell ref="A191:E191"/>
    <mergeCell ref="V191:AB191"/>
    <mergeCell ref="AL180:AO180"/>
    <mergeCell ref="A182:AQ182"/>
    <mergeCell ref="A183:AR183"/>
    <mergeCell ref="A184:AR184"/>
    <mergeCell ref="A185:AR185"/>
    <mergeCell ref="A186:L186"/>
    <mergeCell ref="AB179:AE179"/>
    <mergeCell ref="AF179:AK179"/>
    <mergeCell ref="AL179:AO179"/>
    <mergeCell ref="B180:G180"/>
    <mergeCell ref="H180:K180"/>
    <mergeCell ref="L180:Q180"/>
    <mergeCell ref="R180:U180"/>
    <mergeCell ref="V180:AA180"/>
    <mergeCell ref="AB180:AE180"/>
    <mergeCell ref="AF180:AK180"/>
    <mergeCell ref="R178:U178"/>
    <mergeCell ref="V178:AA178"/>
    <mergeCell ref="AB178:AE178"/>
    <mergeCell ref="AF178:AK178"/>
    <mergeCell ref="AL178:AO178"/>
    <mergeCell ref="B179:G179"/>
    <mergeCell ref="H179:K179"/>
    <mergeCell ref="L179:Q179"/>
    <mergeCell ref="R179:U179"/>
    <mergeCell ref="V179:AA179"/>
    <mergeCell ref="A175:AR175"/>
    <mergeCell ref="A176:AQ176"/>
    <mergeCell ref="A177:A178"/>
    <mergeCell ref="B177:K177"/>
    <mergeCell ref="L177:U177"/>
    <mergeCell ref="V177:AE177"/>
    <mergeCell ref="AF177:AO177"/>
    <mergeCell ref="B178:G178"/>
    <mergeCell ref="H178:K178"/>
    <mergeCell ref="L178:Q178"/>
    <mergeCell ref="X108:Z108"/>
    <mergeCell ref="AA108:AC108"/>
    <mergeCell ref="AD108:AF108"/>
    <mergeCell ref="AH142:AL142"/>
    <mergeCell ref="A174:AM174"/>
    <mergeCell ref="AN174:AQ174"/>
    <mergeCell ref="X107:Z107"/>
    <mergeCell ref="AA107:AC107"/>
    <mergeCell ref="AD107:AF107"/>
    <mergeCell ref="B108:D108"/>
    <mergeCell ref="E108:G108"/>
    <mergeCell ref="H108:J108"/>
    <mergeCell ref="L108:N108"/>
    <mergeCell ref="O108:Q108"/>
    <mergeCell ref="R108:T108"/>
    <mergeCell ref="U108:W108"/>
    <mergeCell ref="X106:Z106"/>
    <mergeCell ref="AA106:AC106"/>
    <mergeCell ref="AD106:AF106"/>
    <mergeCell ref="B107:D107"/>
    <mergeCell ref="E107:G107"/>
    <mergeCell ref="H107:J107"/>
    <mergeCell ref="L107:N107"/>
    <mergeCell ref="O107:Q107"/>
    <mergeCell ref="R107:T107"/>
    <mergeCell ref="U107:W107"/>
    <mergeCell ref="X105:Z105"/>
    <mergeCell ref="AA105:AC105"/>
    <mergeCell ref="AD105:AF105"/>
    <mergeCell ref="B106:D106"/>
    <mergeCell ref="E106:G106"/>
    <mergeCell ref="H106:J106"/>
    <mergeCell ref="L106:N106"/>
    <mergeCell ref="O106:Q106"/>
    <mergeCell ref="R106:T106"/>
    <mergeCell ref="U106:W106"/>
    <mergeCell ref="AA104:AC104"/>
    <mergeCell ref="AD104:AF104"/>
    <mergeCell ref="AG104:AR107"/>
    <mergeCell ref="B105:D105"/>
    <mergeCell ref="E105:G105"/>
    <mergeCell ref="H105:J105"/>
    <mergeCell ref="L105:N105"/>
    <mergeCell ref="O105:Q105"/>
    <mergeCell ref="R105:T105"/>
    <mergeCell ref="U105:W105"/>
    <mergeCell ref="B103:AJ103"/>
    <mergeCell ref="B104:D104"/>
    <mergeCell ref="E104:G104"/>
    <mergeCell ref="H104:J104"/>
    <mergeCell ref="K104:K114"/>
    <mergeCell ref="L104:N104"/>
    <mergeCell ref="O104:Q104"/>
    <mergeCell ref="R104:T104"/>
    <mergeCell ref="U104:W104"/>
    <mergeCell ref="X104:Z104"/>
    <mergeCell ref="AA101:AC102"/>
    <mergeCell ref="AD101:AF102"/>
    <mergeCell ref="AG101:AG102"/>
    <mergeCell ref="AH101:AH102"/>
    <mergeCell ref="AI101:AJ102"/>
    <mergeCell ref="B102:D102"/>
    <mergeCell ref="E102:L102"/>
    <mergeCell ref="A101:A102"/>
    <mergeCell ref="B101:D101"/>
    <mergeCell ref="E101:L101"/>
    <mergeCell ref="M101:Q102"/>
    <mergeCell ref="S101:W102"/>
    <mergeCell ref="X101:Z102"/>
    <mergeCell ref="AD99:AF100"/>
    <mergeCell ref="AG99:AG100"/>
    <mergeCell ref="AH99:AH100"/>
    <mergeCell ref="AI99:AJ100"/>
    <mergeCell ref="B100:D100"/>
    <mergeCell ref="E100:L100"/>
    <mergeCell ref="AI97:AJ98"/>
    <mergeCell ref="B98:D98"/>
    <mergeCell ref="E98:L98"/>
    <mergeCell ref="A99:A100"/>
    <mergeCell ref="B99:D99"/>
    <mergeCell ref="E99:L99"/>
    <mergeCell ref="M99:Q100"/>
    <mergeCell ref="S99:W100"/>
    <mergeCell ref="X99:Z100"/>
    <mergeCell ref="AA99:AC100"/>
    <mergeCell ref="S97:W98"/>
    <mergeCell ref="X97:Z98"/>
    <mergeCell ref="AA97:AC98"/>
    <mergeCell ref="AD97:AF98"/>
    <mergeCell ref="AG97:AG98"/>
    <mergeCell ref="AH97:AH98"/>
    <mergeCell ref="B96:D96"/>
    <mergeCell ref="E96:L96"/>
    <mergeCell ref="A97:A98"/>
    <mergeCell ref="B97:D97"/>
    <mergeCell ref="E97:L97"/>
    <mergeCell ref="M97:Q98"/>
    <mergeCell ref="X95:Z96"/>
    <mergeCell ref="AA95:AC96"/>
    <mergeCell ref="AD95:AF96"/>
    <mergeCell ref="AG95:AG96"/>
    <mergeCell ref="AH95:AH96"/>
    <mergeCell ref="AI95:AJ96"/>
    <mergeCell ref="AG93:AG94"/>
    <mergeCell ref="AH93:AH94"/>
    <mergeCell ref="AI93:AJ94"/>
    <mergeCell ref="B94:D94"/>
    <mergeCell ref="E94:L94"/>
    <mergeCell ref="A95:A96"/>
    <mergeCell ref="B95:D95"/>
    <mergeCell ref="E95:L95"/>
    <mergeCell ref="M95:Q96"/>
    <mergeCell ref="S95:W96"/>
    <mergeCell ref="AD92:AF92"/>
    <mergeCell ref="AI92:AJ92"/>
    <mergeCell ref="A93:A94"/>
    <mergeCell ref="B93:D93"/>
    <mergeCell ref="E93:L93"/>
    <mergeCell ref="M93:Q94"/>
    <mergeCell ref="S93:W94"/>
    <mergeCell ref="X93:Z94"/>
    <mergeCell ref="AA93:AC94"/>
    <mergeCell ref="AD93:AF94"/>
    <mergeCell ref="A90:AR90"/>
    <mergeCell ref="C91:H91"/>
    <mergeCell ref="I91:J91"/>
    <mergeCell ref="K91:AJ91"/>
    <mergeCell ref="B92:L92"/>
    <mergeCell ref="M92:Q92"/>
    <mergeCell ref="R92:R102"/>
    <mergeCell ref="S92:W92"/>
    <mergeCell ref="X92:Z92"/>
    <mergeCell ref="AA92:AC92"/>
    <mergeCell ref="X23:Z23"/>
    <mergeCell ref="AA23:AC23"/>
    <mergeCell ref="AD23:AF23"/>
    <mergeCell ref="AH57:AL57"/>
    <mergeCell ref="A89:AM89"/>
    <mergeCell ref="AN89:AQ89"/>
    <mergeCell ref="X22:Z22"/>
    <mergeCell ref="AA22:AC22"/>
    <mergeCell ref="AD22:AF22"/>
    <mergeCell ref="B23:D23"/>
    <mergeCell ref="E23:G23"/>
    <mergeCell ref="H23:J23"/>
    <mergeCell ref="L23:N23"/>
    <mergeCell ref="O23:Q23"/>
    <mergeCell ref="R23:T23"/>
    <mergeCell ref="U23:W23"/>
    <mergeCell ref="X21:Z21"/>
    <mergeCell ref="AA21:AC21"/>
    <mergeCell ref="AD21:AF21"/>
    <mergeCell ref="B22:D22"/>
    <mergeCell ref="E22:G22"/>
    <mergeCell ref="H22:J22"/>
    <mergeCell ref="L22:N22"/>
    <mergeCell ref="O22:Q22"/>
    <mergeCell ref="R22:T22"/>
    <mergeCell ref="U22:W22"/>
    <mergeCell ref="X20:Z20"/>
    <mergeCell ref="AA20:AC20"/>
    <mergeCell ref="AD20:AF20"/>
    <mergeCell ref="B21:D21"/>
    <mergeCell ref="E21:G21"/>
    <mergeCell ref="H21:J21"/>
    <mergeCell ref="L21:N21"/>
    <mergeCell ref="O21:Q21"/>
    <mergeCell ref="R21:T21"/>
    <mergeCell ref="U21:W21"/>
    <mergeCell ref="AA19:AC19"/>
    <mergeCell ref="AD19:AF19"/>
    <mergeCell ref="AG19:AR22"/>
    <mergeCell ref="B20:D20"/>
    <mergeCell ref="E20:G20"/>
    <mergeCell ref="H20:J20"/>
    <mergeCell ref="L20:N20"/>
    <mergeCell ref="O20:Q20"/>
    <mergeCell ref="R20:T20"/>
    <mergeCell ref="U20:W20"/>
    <mergeCell ref="B18:AJ18"/>
    <mergeCell ref="B19:D19"/>
    <mergeCell ref="E19:G19"/>
    <mergeCell ref="H19:J19"/>
    <mergeCell ref="K19:K29"/>
    <mergeCell ref="L19:N19"/>
    <mergeCell ref="O19:Q19"/>
    <mergeCell ref="R19:T19"/>
    <mergeCell ref="U19:W19"/>
    <mergeCell ref="X19:Z19"/>
    <mergeCell ref="AA16:AC17"/>
    <mergeCell ref="AD16:AF17"/>
    <mergeCell ref="AG16:AG17"/>
    <mergeCell ref="AH16:AH17"/>
    <mergeCell ref="AI16:AJ17"/>
    <mergeCell ref="B17:D17"/>
    <mergeCell ref="E17:L17"/>
    <mergeCell ref="AH14:AH15"/>
    <mergeCell ref="AI14:AJ15"/>
    <mergeCell ref="B15:D15"/>
    <mergeCell ref="E15:L15"/>
    <mergeCell ref="A16:A17"/>
    <mergeCell ref="B16:D16"/>
    <mergeCell ref="E16:L16"/>
    <mergeCell ref="M16:Q17"/>
    <mergeCell ref="S16:W17"/>
    <mergeCell ref="X16:Z17"/>
    <mergeCell ref="AT13:AY14"/>
    <mergeCell ref="A14:A15"/>
    <mergeCell ref="B14:D14"/>
    <mergeCell ref="E14:L14"/>
    <mergeCell ref="M14:Q15"/>
    <mergeCell ref="S14:W15"/>
    <mergeCell ref="X14:Z15"/>
    <mergeCell ref="AA14:AC15"/>
    <mergeCell ref="AD14:AF15"/>
    <mergeCell ref="AG14:AG15"/>
    <mergeCell ref="AA12:AC13"/>
    <mergeCell ref="AD12:AF13"/>
    <mergeCell ref="AG12:AG13"/>
    <mergeCell ref="AH12:AH13"/>
    <mergeCell ref="AI12:AJ13"/>
    <mergeCell ref="B13:D13"/>
    <mergeCell ref="E13:L13"/>
    <mergeCell ref="A12:A13"/>
    <mergeCell ref="B12:D12"/>
    <mergeCell ref="E12:L12"/>
    <mergeCell ref="M12:Q13"/>
    <mergeCell ref="S12:W13"/>
    <mergeCell ref="X12:Z13"/>
    <mergeCell ref="AA10:AC11"/>
    <mergeCell ref="AD10:AF11"/>
    <mergeCell ref="AG10:AG11"/>
    <mergeCell ref="AH10:AH11"/>
    <mergeCell ref="AI10:AJ11"/>
    <mergeCell ref="B11:D11"/>
    <mergeCell ref="E11:L11"/>
    <mergeCell ref="AH8:AH9"/>
    <mergeCell ref="AI8:AJ9"/>
    <mergeCell ref="B9:D9"/>
    <mergeCell ref="E9:L9"/>
    <mergeCell ref="A10:A11"/>
    <mergeCell ref="B10:D10"/>
    <mergeCell ref="E10:L10"/>
    <mergeCell ref="M10:Q11"/>
    <mergeCell ref="S10:W11"/>
    <mergeCell ref="X10:Z11"/>
    <mergeCell ref="AI7:AJ7"/>
    <mergeCell ref="A8:A9"/>
    <mergeCell ref="B8:D8"/>
    <mergeCell ref="E8:L8"/>
    <mergeCell ref="M8:Q9"/>
    <mergeCell ref="S8:W9"/>
    <mergeCell ref="X8:Z9"/>
    <mergeCell ref="AA8:AC9"/>
    <mergeCell ref="AD8:AF9"/>
    <mergeCell ref="AG8:AG9"/>
    <mergeCell ref="C6:H6"/>
    <mergeCell ref="I6:J6"/>
    <mergeCell ref="K6:AJ6"/>
    <mergeCell ref="B7:L7"/>
    <mergeCell ref="M7:Q7"/>
    <mergeCell ref="R7:R17"/>
    <mergeCell ref="S7:W7"/>
    <mergeCell ref="X7:Z7"/>
    <mergeCell ref="AA7:AC7"/>
    <mergeCell ref="AD7:AF7"/>
    <mergeCell ref="AE3:AF3"/>
    <mergeCell ref="H4:N4"/>
    <mergeCell ref="O4:U4"/>
    <mergeCell ref="V4:Z4"/>
    <mergeCell ref="AA4:AF4"/>
    <mergeCell ref="B5:J5"/>
    <mergeCell ref="L5:AF5"/>
    <mergeCell ref="B3:C3"/>
    <mergeCell ref="D3:L3"/>
    <mergeCell ref="M3:P3"/>
    <mergeCell ref="Q3:U3"/>
    <mergeCell ref="V3:AA3"/>
    <mergeCell ref="AC3:AD3"/>
    <mergeCell ref="A1:AF1"/>
    <mergeCell ref="AT1:AW1"/>
    <mergeCell ref="AX1:AY1"/>
    <mergeCell ref="J2:U2"/>
    <mergeCell ref="V2:X2"/>
    <mergeCell ref="Y2:AF2"/>
  </mergeCells>
  <conditionalFormatting sqref="A8 A93">
    <cfRule type="expression" dxfId="3582" priority="1" stopIfTrue="1">
      <formula>IF(AL9&gt;0,0,1)</formula>
    </cfRule>
  </conditionalFormatting>
  <conditionalFormatting sqref="A10:A11 A95:A96">
    <cfRule type="expression" dxfId="3581" priority="2" stopIfTrue="1">
      <formula>IF(AL9&gt;1,0,1)</formula>
    </cfRule>
  </conditionalFormatting>
  <conditionalFormatting sqref="A12:A13 A97:A98">
    <cfRule type="expression" dxfId="3580" priority="3" stopIfTrue="1">
      <formula>IF(AL9&gt;2,0,1)</formula>
    </cfRule>
  </conditionalFormatting>
  <conditionalFormatting sqref="A14:A15 A99:A100">
    <cfRule type="expression" dxfId="3579" priority="4" stopIfTrue="1">
      <formula>IF(AL9&gt;3,0,1)</formula>
    </cfRule>
  </conditionalFormatting>
  <conditionalFormatting sqref="A16:A17 A101:A102">
    <cfRule type="expression" dxfId="3578" priority="5" stopIfTrue="1">
      <formula>IF(AL9&gt;4,0,1)</formula>
    </cfRule>
  </conditionalFormatting>
  <conditionalFormatting sqref="B8 B93">
    <cfRule type="expression" dxfId="3577" priority="6" stopIfTrue="1">
      <formula>IF(AL9&gt;0,0,1)</formula>
    </cfRule>
  </conditionalFormatting>
  <conditionalFormatting sqref="B9 B94">
    <cfRule type="expression" dxfId="3576" priority="7" stopIfTrue="1">
      <formula>IF(AL9&gt;0,0,1)</formula>
    </cfRule>
  </conditionalFormatting>
  <conditionalFormatting sqref="B10 B95">
    <cfRule type="expression" dxfId="3575" priority="8" stopIfTrue="1">
      <formula>IF(AL9&gt;1,0,1)</formula>
    </cfRule>
  </conditionalFormatting>
  <conditionalFormatting sqref="B11:D11 B96:D96">
    <cfRule type="expression" dxfId="3574" priority="9" stopIfTrue="1">
      <formula>IF(AL9&gt;1,0,1)</formula>
    </cfRule>
  </conditionalFormatting>
  <conditionalFormatting sqref="B12:D12 B97:D97">
    <cfRule type="expression" dxfId="3573" priority="10" stopIfTrue="1">
      <formula>IF(AL9&gt;2,0,1)</formula>
    </cfRule>
  </conditionalFormatting>
  <conditionalFormatting sqref="B13:D13 B98:D98">
    <cfRule type="expression" dxfId="3572" priority="11" stopIfTrue="1">
      <formula>IF(AL9&gt;2,0,1)</formula>
    </cfRule>
  </conditionalFormatting>
  <conditionalFormatting sqref="B14:D14 B99:D99">
    <cfRule type="expression" dxfId="3571" priority="12" stopIfTrue="1">
      <formula>IF(AL9&gt;3,0,1)</formula>
    </cfRule>
  </conditionalFormatting>
  <conditionalFormatting sqref="B15:D15 B100:D100">
    <cfRule type="expression" dxfId="3570" priority="13" stopIfTrue="1">
      <formula>IF(AL9&gt;3,0,1)</formula>
    </cfRule>
  </conditionalFormatting>
  <conditionalFormatting sqref="B16:D16 B101:D101">
    <cfRule type="expression" dxfId="3569" priority="14" stopIfTrue="1">
      <formula>IF(AL9&gt;4,0,1)</formula>
    </cfRule>
  </conditionalFormatting>
  <conditionalFormatting sqref="B17:D17 B102:D102">
    <cfRule type="expression" dxfId="3568" priority="15" stopIfTrue="1">
      <formula>IF(AL9&gt;4,0,1)</formula>
    </cfRule>
  </conditionalFormatting>
  <conditionalFormatting sqref="E8 E93">
    <cfRule type="expression" dxfId="3567" priority="16" stopIfTrue="1">
      <formula>IF(AL9&gt;0,0,1)</formula>
    </cfRule>
  </conditionalFormatting>
  <conditionalFormatting sqref="E9 E94">
    <cfRule type="expression" dxfId="3566" priority="17" stopIfTrue="1">
      <formula>IF(AL9&gt;0,0,1)</formula>
    </cfRule>
  </conditionalFormatting>
  <conditionalFormatting sqref="E10 E95">
    <cfRule type="expression" dxfId="3565" priority="18" stopIfTrue="1">
      <formula>IF(AL9&gt;1,0,1)</formula>
    </cfRule>
  </conditionalFormatting>
  <conditionalFormatting sqref="E11 E96">
    <cfRule type="expression" dxfId="3564" priority="19" stopIfTrue="1">
      <formula>IF(AL9&gt;1,0,1)</formula>
    </cfRule>
  </conditionalFormatting>
  <conditionalFormatting sqref="E12 E97">
    <cfRule type="expression" dxfId="3563" priority="20" stopIfTrue="1">
      <formula>IF(AL9&gt;2,0,1)</formula>
    </cfRule>
  </conditionalFormatting>
  <conditionalFormatting sqref="E13 E98">
    <cfRule type="expression" dxfId="3562" priority="21" stopIfTrue="1">
      <formula>IF(AL9&gt;2,0,1)</formula>
    </cfRule>
  </conditionalFormatting>
  <conditionalFormatting sqref="E14 E99">
    <cfRule type="expression" dxfId="3561" priority="22" stopIfTrue="1">
      <formula>IF(AL9&gt;3,0,1)</formula>
    </cfRule>
  </conditionalFormatting>
  <conditionalFormatting sqref="E15 E100">
    <cfRule type="expression" dxfId="3560" priority="23" stopIfTrue="1">
      <formula>IF(AL9&gt;3,0,1)</formula>
    </cfRule>
  </conditionalFormatting>
  <conditionalFormatting sqref="E16 E101">
    <cfRule type="expression" dxfId="3559" priority="24" stopIfTrue="1">
      <formula>IF(AL9&gt;4,0,1)</formula>
    </cfRule>
  </conditionalFormatting>
  <conditionalFormatting sqref="E17 E102">
    <cfRule type="expression" dxfId="3558" priority="25" stopIfTrue="1">
      <formula>IF(AL9&gt;4,0,1)</formula>
    </cfRule>
  </conditionalFormatting>
  <conditionalFormatting sqref="AD8 AD93">
    <cfRule type="expression" dxfId="3557" priority="26" stopIfTrue="1">
      <formula>IF(AL11=1,IF(AL9&gt;0,0,1),1)</formula>
    </cfRule>
  </conditionalFormatting>
  <conditionalFormatting sqref="AD10:AF11 AD95:AF96">
    <cfRule type="expression" dxfId="3556" priority="27" stopIfTrue="1">
      <formula>IF(AL11=1,IF(AL9&gt;1,0,1),1)</formula>
    </cfRule>
  </conditionalFormatting>
  <conditionalFormatting sqref="AD12:AF13 AD97:AF98">
    <cfRule type="expression" dxfId="3555" priority="28" stopIfTrue="1">
      <formula>IF(AL11=1,IF(AL9&gt;2,0,1),1)</formula>
    </cfRule>
  </conditionalFormatting>
  <conditionalFormatting sqref="AD14:AF15 AD99:AF100">
    <cfRule type="expression" dxfId="3554" priority="29" stopIfTrue="1">
      <formula>IF(AL11=1,IF(AL9&gt;3,0,1),1)</formula>
    </cfRule>
  </conditionalFormatting>
  <conditionalFormatting sqref="AD16:AF17 AD101:AF102">
    <cfRule type="expression" dxfId="3553" priority="30" stopIfTrue="1">
      <formula>IF(AL11=1,IF(AL9&gt;4,0,1),1)</formula>
    </cfRule>
  </conditionalFormatting>
  <conditionalFormatting sqref="AI8 AI93">
    <cfRule type="expression" dxfId="3552" priority="31" stopIfTrue="1">
      <formula>IF(AL9&gt;0,0,1)</formula>
    </cfRule>
  </conditionalFormatting>
  <conditionalFormatting sqref="AI10:AJ11 AI95:AJ96">
    <cfRule type="expression" dxfId="3551" priority="32" stopIfTrue="1">
      <formula>IF(AL9&gt;1,0,1)</formula>
    </cfRule>
  </conditionalFormatting>
  <conditionalFormatting sqref="AI12:AJ13 AI97:AJ98">
    <cfRule type="expression" dxfId="3550" priority="33" stopIfTrue="1">
      <formula>IF(AL9&gt;2,0,1)</formula>
    </cfRule>
  </conditionalFormatting>
  <conditionalFormatting sqref="AI14:AJ15 AI99:AJ100">
    <cfRule type="expression" dxfId="3549" priority="34" stopIfTrue="1">
      <formula>IF(AL9&gt;3,0,1)</formula>
    </cfRule>
  </conditionalFormatting>
  <conditionalFormatting sqref="AI16:AJ17 AI101:AJ102">
    <cfRule type="expression" dxfId="3548" priority="35" stopIfTrue="1">
      <formula>IF(AL9&gt;4,0,1)</formula>
    </cfRule>
  </conditionalFormatting>
  <conditionalFormatting sqref="B19:D19 B104:D104">
    <cfRule type="expression" dxfId="3547" priority="36" stopIfTrue="1">
      <formula>IF(AL8&gt;0,0,1)</formula>
    </cfRule>
  </conditionalFormatting>
  <conditionalFormatting sqref="E19:G19 E104:G104">
    <cfRule type="expression" dxfId="3546" priority="37" stopIfTrue="1">
      <formula>IF(AL8&gt;1,0,1)</formula>
    </cfRule>
  </conditionalFormatting>
  <conditionalFormatting sqref="H19:J19 H104:J104">
    <cfRule type="expression" dxfId="3545" priority="38" stopIfTrue="1">
      <formula>IF(AL8&gt;2,0,1)</formula>
    </cfRule>
  </conditionalFormatting>
  <conditionalFormatting sqref="L19:N19 L104:N104">
    <cfRule type="expression" dxfId="3544" priority="39" stopIfTrue="1">
      <formula>IF(AL8&gt;3,0,1)</formula>
    </cfRule>
  </conditionalFormatting>
  <conditionalFormatting sqref="O19:Q19 O104:Q104">
    <cfRule type="expression" dxfId="3543" priority="40" stopIfTrue="1">
      <formula>IF(AL8&gt;4,0,1)</formula>
    </cfRule>
  </conditionalFormatting>
  <conditionalFormatting sqref="R19:T19 R104:T104">
    <cfRule type="expression" dxfId="3542" priority="41" stopIfTrue="1">
      <formula>IF(AL8&gt;5,0,1)</formula>
    </cfRule>
  </conditionalFormatting>
  <conditionalFormatting sqref="U19:W19 U104:W104">
    <cfRule type="expression" dxfId="3541" priority="42" stopIfTrue="1">
      <formula>IF(AL8&gt;6,0,1)</formula>
    </cfRule>
  </conditionalFormatting>
  <conditionalFormatting sqref="X19:Z19 X104:Z104">
    <cfRule type="expression" dxfId="3540" priority="43" stopIfTrue="1">
      <formula>IF(AL8&gt;7,0,1)</formula>
    </cfRule>
  </conditionalFormatting>
  <conditionalFormatting sqref="AA19:AC19 AA104:AC104">
    <cfRule type="expression" dxfId="3539" priority="44" stopIfTrue="1">
      <formula>IF(AL8&gt;8,0,1)</formula>
    </cfRule>
  </conditionalFormatting>
  <conditionalFormatting sqref="AD19:AF19 AD104:AF104">
    <cfRule type="expression" dxfId="3538" priority="45" stopIfTrue="1">
      <formula>IF(AL8&gt;9,0,1)</formula>
    </cfRule>
  </conditionalFormatting>
  <conditionalFormatting sqref="B20:D20 B105:D105">
    <cfRule type="expression" dxfId="3537" priority="46" stopIfTrue="1">
      <formula>IF(AL8&gt;0,0,1)</formula>
    </cfRule>
  </conditionalFormatting>
  <conditionalFormatting sqref="E20:G20 E105:G105">
    <cfRule type="expression" dxfId="3536" priority="47" stopIfTrue="1">
      <formula>IF(AL8&gt;1,0,1)</formula>
    </cfRule>
  </conditionalFormatting>
  <conditionalFormatting sqref="H20:J20 H105:J105">
    <cfRule type="expression" dxfId="3535" priority="48" stopIfTrue="1">
      <formula>IF(AL8&gt;2,0,1)</formula>
    </cfRule>
  </conditionalFormatting>
  <conditionalFormatting sqref="L20:N20 L105:N105">
    <cfRule type="expression" dxfId="3534" priority="49" stopIfTrue="1">
      <formula>IF(AL8&gt;3,0,1)</formula>
    </cfRule>
  </conditionalFormatting>
  <conditionalFormatting sqref="O20:Q20 O105:Q105">
    <cfRule type="expression" dxfId="3533" priority="50" stopIfTrue="1">
      <formula>IF(AL8&gt;4,0,1)</formula>
    </cfRule>
  </conditionalFormatting>
  <conditionalFormatting sqref="R20:T20 R105:T105">
    <cfRule type="expression" dxfId="3532" priority="51" stopIfTrue="1">
      <formula>IF(AL8&gt;5,0,1)</formula>
    </cfRule>
  </conditionalFormatting>
  <conditionalFormatting sqref="U20:W20 U105:W105">
    <cfRule type="expression" dxfId="3531" priority="52" stopIfTrue="1">
      <formula>IF(AL8&gt;6,0,1)</formula>
    </cfRule>
  </conditionalFormatting>
  <conditionalFormatting sqref="X20:Z20 X105:Z105">
    <cfRule type="expression" dxfId="3530" priority="53" stopIfTrue="1">
      <formula>IF(AL8&gt;7,0,1)</formula>
    </cfRule>
  </conditionalFormatting>
  <conditionalFormatting sqref="AA20:AC20 AA105:AC105">
    <cfRule type="expression" dxfId="3529" priority="54" stopIfTrue="1">
      <formula>IF(AL8&gt;8,0,1)</formula>
    </cfRule>
  </conditionalFormatting>
  <conditionalFormatting sqref="AD20:AF20 AD105:AF105">
    <cfRule type="expression" dxfId="3528" priority="55" stopIfTrue="1">
      <formula>IF(AL8&gt;9,0,1)</formula>
    </cfRule>
  </conditionalFormatting>
  <conditionalFormatting sqref="E22:G22 E107:G107">
    <cfRule type="expression" dxfId="3527" priority="56" stopIfTrue="1">
      <formula>IF(AL8&gt;1,0,1)</formula>
    </cfRule>
  </conditionalFormatting>
  <conditionalFormatting sqref="H22:J22 H107:J107">
    <cfRule type="expression" dxfId="3526" priority="57" stopIfTrue="1">
      <formula>IF(AL8&gt;2,0,1)</formula>
    </cfRule>
  </conditionalFormatting>
  <conditionalFormatting sqref="L22:N22 L107:N107">
    <cfRule type="expression" dxfId="3525" priority="58" stopIfTrue="1">
      <formula>IF(AL8&gt;3,0,1)</formula>
    </cfRule>
  </conditionalFormatting>
  <conditionalFormatting sqref="O22:Q22 O107:Q107">
    <cfRule type="expression" dxfId="3524" priority="59" stopIfTrue="1">
      <formula>IF(AL8&gt;4,0,1)</formula>
    </cfRule>
  </conditionalFormatting>
  <conditionalFormatting sqref="R22:T22 R107:T107">
    <cfRule type="expression" dxfId="3523" priority="60" stopIfTrue="1">
      <formula>IF(AL8&gt;5,0,1)</formula>
    </cfRule>
  </conditionalFormatting>
  <conditionalFormatting sqref="U22:W22 U107:W107">
    <cfRule type="expression" dxfId="3522" priority="61" stopIfTrue="1">
      <formula>IF(AL8&gt;6,0,1)</formula>
    </cfRule>
  </conditionalFormatting>
  <conditionalFormatting sqref="X22:Z22 X107:Z107">
    <cfRule type="expression" dxfId="3521" priority="62" stopIfTrue="1">
      <formula>IF(AL8&gt;7,0,1)</formula>
    </cfRule>
  </conditionalFormatting>
  <conditionalFormatting sqref="AA22:AC22 AA107:AC107">
    <cfRule type="expression" dxfId="3520" priority="63" stopIfTrue="1">
      <formula>IF(AL8&gt;8,0,1)</formula>
    </cfRule>
  </conditionalFormatting>
  <conditionalFormatting sqref="AD22:AF22 AD107:AF107">
    <cfRule type="expression" dxfId="3519" priority="64" stopIfTrue="1">
      <formula>IF(AL8&gt;9,0,1)</formula>
    </cfRule>
  </conditionalFormatting>
  <conditionalFormatting sqref="B24 B109">
    <cfRule type="expression" dxfId="3518" priority="65" stopIfTrue="1">
      <formula>IF(AL8&gt;0,0,1)</formula>
    </cfRule>
  </conditionalFormatting>
  <conditionalFormatting sqref="C24 C109">
    <cfRule type="expression" dxfId="3517" priority="66" stopIfTrue="1">
      <formula>IF(AL8&gt;0,0,1)</formula>
    </cfRule>
  </conditionalFormatting>
  <conditionalFormatting sqref="D24 D109">
    <cfRule type="expression" dxfId="3516" priority="67" stopIfTrue="1">
      <formula>IF(AL8&gt;0,0,1)</formula>
    </cfRule>
  </conditionalFormatting>
  <conditionalFormatting sqref="E23:G23 E108:G108">
    <cfRule type="expression" dxfId="3515" priority="68" stopIfTrue="1">
      <formula>IF(AL8&gt;1,0,1)</formula>
    </cfRule>
  </conditionalFormatting>
  <conditionalFormatting sqref="F24 F109">
    <cfRule type="expression" dxfId="3514" priority="69" stopIfTrue="1">
      <formula>IF(AL8&gt;1,0,1)</formula>
    </cfRule>
  </conditionalFormatting>
  <conditionalFormatting sqref="G24 G109">
    <cfRule type="expression" dxfId="3513" priority="70" stopIfTrue="1">
      <formula>IF(AL8&gt;1,0,1)</formula>
    </cfRule>
  </conditionalFormatting>
  <conditionalFormatting sqref="H23:J23 H108:J108">
    <cfRule type="expression" dxfId="3512" priority="71" stopIfTrue="1">
      <formula>IF(AL8&gt;2,0,1)</formula>
    </cfRule>
  </conditionalFormatting>
  <conditionalFormatting sqref="I24 I109">
    <cfRule type="expression" dxfId="3511" priority="72" stopIfTrue="1">
      <formula>IF(AL8&gt;2,0,1)</formula>
    </cfRule>
  </conditionalFormatting>
  <conditionalFormatting sqref="J24 J109">
    <cfRule type="expression" dxfId="3510" priority="73" stopIfTrue="1">
      <formula>IF(AL8&gt;2,0,1)</formula>
    </cfRule>
  </conditionalFormatting>
  <conditionalFormatting sqref="L23:N23 L108:N108">
    <cfRule type="expression" dxfId="3509" priority="74" stopIfTrue="1">
      <formula>IF(AL8&gt;3,0,1)</formula>
    </cfRule>
  </conditionalFormatting>
  <conditionalFormatting sqref="M24 M109">
    <cfRule type="expression" dxfId="3508" priority="75" stopIfTrue="1">
      <formula>IF(AL8&gt;3,0,1)</formula>
    </cfRule>
  </conditionalFormatting>
  <conditionalFormatting sqref="N24 N109">
    <cfRule type="expression" dxfId="3507" priority="76" stopIfTrue="1">
      <formula>IF(AL8&gt;3,0,1)</formula>
    </cfRule>
  </conditionalFormatting>
  <conditionalFormatting sqref="O23:Q23 O108:Q108">
    <cfRule type="expression" dxfId="3506" priority="77" stopIfTrue="1">
      <formula>IF(AL8&gt;4,0,1)</formula>
    </cfRule>
  </conditionalFormatting>
  <conditionalFormatting sqref="P24 P109">
    <cfRule type="expression" dxfId="3505" priority="78" stopIfTrue="1">
      <formula>IF(AL8&gt;4,0,1)</formula>
    </cfRule>
  </conditionalFormatting>
  <conditionalFormatting sqref="Q24 Q109">
    <cfRule type="expression" dxfId="3504" priority="79" stopIfTrue="1">
      <formula>IF(AL8&gt;4,0,1)</formula>
    </cfRule>
  </conditionalFormatting>
  <conditionalFormatting sqref="R23:T23 R108:T108">
    <cfRule type="expression" dxfId="3503" priority="80" stopIfTrue="1">
      <formula>IF(AL8&gt;5,0,1)</formula>
    </cfRule>
  </conditionalFormatting>
  <conditionalFormatting sqref="S24 S109">
    <cfRule type="expression" dxfId="3502" priority="81" stopIfTrue="1">
      <formula>IF(AL8&gt;5,0,1)</formula>
    </cfRule>
  </conditionalFormatting>
  <conditionalFormatting sqref="T24 T109">
    <cfRule type="expression" dxfId="3501" priority="82" stopIfTrue="1">
      <formula>IF(AL8&gt;5,0,1)</formula>
    </cfRule>
  </conditionalFormatting>
  <conditionalFormatting sqref="U23:W23 U108:W108">
    <cfRule type="expression" dxfId="3500" priority="83" stopIfTrue="1">
      <formula>IF(AL8&gt;6,0,1)</formula>
    </cfRule>
  </conditionalFormatting>
  <conditionalFormatting sqref="V24 V109">
    <cfRule type="expression" dxfId="3499" priority="84" stopIfTrue="1">
      <formula>IF(AL8&gt;6,0,1)</formula>
    </cfRule>
  </conditionalFormatting>
  <conditionalFormatting sqref="W24 W109">
    <cfRule type="expression" dxfId="3498" priority="85" stopIfTrue="1">
      <formula>IF(AL8&gt;6,0,1)</formula>
    </cfRule>
  </conditionalFormatting>
  <conditionalFormatting sqref="X23:Z23 X108:Z108">
    <cfRule type="expression" dxfId="3497" priority="86" stopIfTrue="1">
      <formula>IF(AL8&gt;7,0,1)</formula>
    </cfRule>
  </conditionalFormatting>
  <conditionalFormatting sqref="Y24 Y109">
    <cfRule type="expression" dxfId="3496" priority="87" stopIfTrue="1">
      <formula>IF(AL8&gt;7,0,1)</formula>
    </cfRule>
  </conditionalFormatting>
  <conditionalFormatting sqref="Z24 Z109">
    <cfRule type="expression" dxfId="3495" priority="88" stopIfTrue="1">
      <formula>IF(AL8&gt;7,0,1)</formula>
    </cfRule>
  </conditionalFormatting>
  <conditionalFormatting sqref="AA23:AC23 AA108:AC108">
    <cfRule type="expression" dxfId="3494" priority="89" stopIfTrue="1">
      <formula>IF(AL8&gt;8,0,1)</formula>
    </cfRule>
  </conditionalFormatting>
  <conditionalFormatting sqref="AB24 AB109">
    <cfRule type="expression" dxfId="3493" priority="90" stopIfTrue="1">
      <formula>IF(AL8&gt;8,0,1)</formula>
    </cfRule>
  </conditionalFormatting>
  <conditionalFormatting sqref="AC24 AC109">
    <cfRule type="expression" dxfId="3492" priority="91" stopIfTrue="1">
      <formula>IF(AL8&gt;8,0,1)</formula>
    </cfRule>
  </conditionalFormatting>
  <conditionalFormatting sqref="AD23:AF23 AD108:AF108">
    <cfRule type="expression" dxfId="3491" priority="92" stopIfTrue="1">
      <formula>IF(AL8&gt;9,0,1)</formula>
    </cfRule>
  </conditionalFormatting>
  <conditionalFormatting sqref="AE24 AE109">
    <cfRule type="expression" dxfId="3490" priority="93" stopIfTrue="1">
      <formula>IF(AL8&gt;9,0,1)</formula>
    </cfRule>
  </conditionalFormatting>
  <conditionalFormatting sqref="AF24 AF109">
    <cfRule type="expression" dxfId="3489" priority="94" stopIfTrue="1">
      <formula>IF(AL8&gt;9,0,1)</formula>
    </cfRule>
  </conditionalFormatting>
  <conditionalFormatting sqref="A26 A111">
    <cfRule type="expression" dxfId="3488" priority="95" stopIfTrue="1">
      <formula>IF(AL7&gt;1,0,1)</formula>
    </cfRule>
  </conditionalFormatting>
  <conditionalFormatting sqref="A27 A112">
    <cfRule type="expression" dxfId="3487" priority="96" stopIfTrue="1">
      <formula>IF(AL7&gt;2,0,1)</formula>
    </cfRule>
  </conditionalFormatting>
  <conditionalFormatting sqref="A28 A113">
    <cfRule type="expression" dxfId="3486" priority="97" stopIfTrue="1">
      <formula>IF(AL7&gt;3,0,1)</formula>
    </cfRule>
  </conditionalFormatting>
  <conditionalFormatting sqref="A29 A114">
    <cfRule type="expression" dxfId="3485" priority="98" stopIfTrue="1">
      <formula>IF(AL7&gt;4,0,1)</formula>
    </cfRule>
  </conditionalFormatting>
  <conditionalFormatting sqref="B25:D25 B110:D110">
    <cfRule type="expression" dxfId="3484" priority="99" stopIfTrue="1">
      <formula>IF($AL8&gt;0,0,1)</formula>
    </cfRule>
  </conditionalFormatting>
  <conditionalFormatting sqref="B26:D26 B111:D111">
    <cfRule type="expression" dxfId="3483" priority="100" stopIfTrue="1">
      <formula>IF($AL8&lt;1,1,IF($AL7&lt;2,1,0))</formula>
    </cfRule>
  </conditionalFormatting>
  <conditionalFormatting sqref="B27:D27 B112:D112">
    <cfRule type="expression" dxfId="3482" priority="101" stopIfTrue="1">
      <formula>IF($AL8&lt;1,1,IF($AL7&lt;3,1,0))</formula>
    </cfRule>
  </conditionalFormatting>
  <conditionalFormatting sqref="B28:D28 B113:D113">
    <cfRule type="expression" dxfId="3481" priority="102" stopIfTrue="1">
      <formula>IF($AL8&lt;1,1,IF($AL7&lt;4,1,0))</formula>
    </cfRule>
  </conditionalFormatting>
  <conditionalFormatting sqref="B29:D29 B114:D114">
    <cfRule type="expression" dxfId="3480" priority="103" stopIfTrue="1">
      <formula>IF($AL8&lt;1,1,IF($AL7&lt;5,1,0))</formula>
    </cfRule>
  </conditionalFormatting>
  <conditionalFormatting sqref="AG26 AG111">
    <cfRule type="expression" dxfId="3479" priority="104" stopIfTrue="1">
      <formula>IF($AL9&gt;2,0,1)</formula>
    </cfRule>
  </conditionalFormatting>
  <conditionalFormatting sqref="AG25 AG110">
    <cfRule type="expression" dxfId="3478" priority="105" stopIfTrue="1">
      <formula>IF($AL9&gt;1,0,1)</formula>
    </cfRule>
  </conditionalFormatting>
  <conditionalFormatting sqref="AG24 AG109">
    <cfRule type="expression" dxfId="3477" priority="106" stopIfTrue="1">
      <formula>IF($AL9&gt;0,0,1)</formula>
    </cfRule>
  </conditionalFormatting>
  <conditionalFormatting sqref="AG27 AG112">
    <cfRule type="expression" dxfId="3476" priority="107" stopIfTrue="1">
      <formula>IF($AL9&gt;3,0,1)</formula>
    </cfRule>
  </conditionalFormatting>
  <conditionalFormatting sqref="AG28 AG113">
    <cfRule type="expression" dxfId="3475" priority="108" stopIfTrue="1">
      <formula>IF($AL9&gt;4,0,1)</formula>
    </cfRule>
  </conditionalFormatting>
  <conditionalFormatting sqref="AH23 AH108">
    <cfRule type="expression" dxfId="3474" priority="109" stopIfTrue="1">
      <formula>IF($AL8&lt;1,1,0)</formula>
    </cfRule>
  </conditionalFormatting>
  <conditionalFormatting sqref="AI23 AI108">
    <cfRule type="expression" dxfId="3473" priority="110" stopIfTrue="1">
      <formula>IF($AL8&lt;2,1,0)</formula>
    </cfRule>
  </conditionalFormatting>
  <conditionalFormatting sqref="AJ23 AJ108">
    <cfRule type="expression" dxfId="3472" priority="111" stopIfTrue="1">
      <formula>IF($AL8&lt;3,1,0)</formula>
    </cfRule>
  </conditionalFormatting>
  <conditionalFormatting sqref="AK23 AK108">
    <cfRule type="expression" dxfId="3471" priority="112" stopIfTrue="1">
      <formula>IF($AL8&lt;4,1,0)</formula>
    </cfRule>
  </conditionalFormatting>
  <conditionalFormatting sqref="AL23 AL108">
    <cfRule type="expression" dxfId="3470" priority="113" stopIfTrue="1">
      <formula>IF($AL8&lt;5,1,0)</formula>
    </cfRule>
  </conditionalFormatting>
  <conditionalFormatting sqref="AM23 AM108">
    <cfRule type="expression" dxfId="3469" priority="114" stopIfTrue="1">
      <formula>IF($AL8&lt;6,1,0)</formula>
    </cfRule>
  </conditionalFormatting>
  <conditionalFormatting sqref="AN23 AN108">
    <cfRule type="expression" dxfId="3468" priority="115" stopIfTrue="1">
      <formula>IF($AL8&lt;7,1,0)</formula>
    </cfRule>
  </conditionalFormatting>
  <conditionalFormatting sqref="AO23 AO108">
    <cfRule type="expression" dxfId="3467" priority="116" stopIfTrue="1">
      <formula>IF($AL8&lt;8,1,0)</formula>
    </cfRule>
  </conditionalFormatting>
  <conditionalFormatting sqref="AP23 AP108">
    <cfRule type="expression" dxfId="3466" priority="117" stopIfTrue="1">
      <formula>IF($AL8&lt;9,1,0)</formula>
    </cfRule>
  </conditionalFormatting>
  <conditionalFormatting sqref="AQ23 AQ108">
    <cfRule type="expression" dxfId="3465" priority="118" stopIfTrue="1">
      <formula>IF($AL8&lt;10,1,0)</formula>
    </cfRule>
  </conditionalFormatting>
  <conditionalFormatting sqref="AR24 AR109">
    <cfRule type="expression" dxfId="3464" priority="119" stopIfTrue="1">
      <formula>IF($AL9&gt;0,0,1)</formula>
    </cfRule>
  </conditionalFormatting>
  <conditionalFormatting sqref="AR25 AR110">
    <cfRule type="expression" dxfId="3463" priority="120" stopIfTrue="1">
      <formula>IF($AL9&gt;1,0,1)</formula>
    </cfRule>
  </conditionalFormatting>
  <conditionalFormatting sqref="AR26 H25:J25 AR111 H110:J110">
    <cfRule type="expression" dxfId="3462" priority="121" stopIfTrue="1">
      <formula>IF($AL8&gt;2,0,1)</formula>
    </cfRule>
  </conditionalFormatting>
  <conditionalFormatting sqref="L25:N25 L110:N110">
    <cfRule type="expression" dxfId="3461" priority="122" stopIfTrue="1">
      <formula>IF($AL8&gt;3,0,1)</formula>
    </cfRule>
  </conditionalFormatting>
  <conditionalFormatting sqref="AR28 AR113">
    <cfRule type="expression" dxfId="3460" priority="123" stopIfTrue="1">
      <formula>IF($AL9&gt;4,0,1)</formula>
    </cfRule>
  </conditionalFormatting>
  <conditionalFormatting sqref="E26:G26 E111:G111">
    <cfRule type="expression" dxfId="3459" priority="124" stopIfTrue="1">
      <formula>IF($AL8&lt;2,1,IF($AL7&lt;2,1,0))</formula>
    </cfRule>
  </conditionalFormatting>
  <conditionalFormatting sqref="E27:G27 E112:G112">
    <cfRule type="expression" dxfId="3458" priority="125" stopIfTrue="1">
      <formula>IF($AL8&lt;2,1,IF($AL7&lt;3,1,0))</formula>
    </cfRule>
  </conditionalFormatting>
  <conditionalFormatting sqref="E28:G28 E113:G113">
    <cfRule type="expression" dxfId="3457" priority="126" stopIfTrue="1">
      <formula>IF($AL8&lt;2,1,IF($AL7&lt;4,1,0))</formula>
    </cfRule>
  </conditionalFormatting>
  <conditionalFormatting sqref="E29:G29 E114:G114">
    <cfRule type="expression" dxfId="3456" priority="127" stopIfTrue="1">
      <formula>IF($AL8&lt;2,1,IF($AL7&lt;5,1,0))</formula>
    </cfRule>
  </conditionalFormatting>
  <conditionalFormatting sqref="O25:Q25 O110:Q110">
    <cfRule type="expression" dxfId="3455" priority="128" stopIfTrue="1">
      <formula>IF($AL8&gt;4,0,1)</formula>
    </cfRule>
  </conditionalFormatting>
  <conditionalFormatting sqref="R25:T25 R110:T110">
    <cfRule type="expression" dxfId="3454" priority="129" stopIfTrue="1">
      <formula>IF($AL8&gt;5,0,1)</formula>
    </cfRule>
  </conditionalFormatting>
  <conditionalFormatting sqref="U25:W25 U110:W110">
    <cfRule type="expression" dxfId="3453" priority="130" stopIfTrue="1">
      <formula>IF($AL8&gt;6,0,1)</formula>
    </cfRule>
  </conditionalFormatting>
  <conditionalFormatting sqref="X25:Z25 X110:Z110">
    <cfRule type="expression" dxfId="3452" priority="131" stopIfTrue="1">
      <formula>IF($AL8&gt;7,0,1)</formula>
    </cfRule>
  </conditionalFormatting>
  <conditionalFormatting sqref="AA25:AC25 AA110:AC110">
    <cfRule type="expression" dxfId="3451" priority="132" stopIfTrue="1">
      <formula>IF($AL8&gt;8,0,1)</formula>
    </cfRule>
  </conditionalFormatting>
  <conditionalFormatting sqref="AD25:AF25 AD110:AF110">
    <cfRule type="expression" dxfId="3450" priority="133" stopIfTrue="1">
      <formula>IF($AL8&gt;9,0,1)</formula>
    </cfRule>
  </conditionalFormatting>
  <conditionalFormatting sqref="H26:J26 H111:J111">
    <cfRule type="expression" dxfId="3449" priority="134" stopIfTrue="1">
      <formula>IF($AL8&lt;3,1,IF($AL7&lt;2,1,0))</formula>
    </cfRule>
  </conditionalFormatting>
  <conditionalFormatting sqref="L26:N26 L111:N111">
    <cfRule type="expression" dxfId="3448" priority="135" stopIfTrue="1">
      <formula>IF($AL8&lt;4,1,IF($AL7&lt;2,1,0))</formula>
    </cfRule>
  </conditionalFormatting>
  <conditionalFormatting sqref="O26:Q26 O111:Q111">
    <cfRule type="expression" dxfId="3447" priority="136" stopIfTrue="1">
      <formula>IF($AL8&lt;5,1,IF($AL7&lt;2,1,0))</formula>
    </cfRule>
  </conditionalFormatting>
  <conditionalFormatting sqref="R26:T26 R111:T111">
    <cfRule type="expression" dxfId="3446" priority="137" stopIfTrue="1">
      <formula>IF($AL8&lt;6,1,IF($AL7&lt;2,1,0))</formula>
    </cfRule>
  </conditionalFormatting>
  <conditionalFormatting sqref="U26:W26 U111:W111">
    <cfRule type="expression" dxfId="3445" priority="138" stopIfTrue="1">
      <formula>IF($AL8&lt;7,1,IF($AL7&lt;2,1,0))</formula>
    </cfRule>
  </conditionalFormatting>
  <conditionalFormatting sqref="X26:Z26 X111:Z111">
    <cfRule type="expression" dxfId="3444" priority="139" stopIfTrue="1">
      <formula>IF($AL8&lt;8,1,IF($AL7&lt;2,1,0))</formula>
    </cfRule>
  </conditionalFormatting>
  <conditionalFormatting sqref="AA26:AC26 AA111:AC111">
    <cfRule type="expression" dxfId="3443" priority="140" stopIfTrue="1">
      <formula>IF($AL8&lt;9,1,IF($AL7&lt;2,1,0))</formula>
    </cfRule>
  </conditionalFormatting>
  <conditionalFormatting sqref="AD26:AF26 AD111:AF111">
    <cfRule type="expression" dxfId="3442" priority="141" stopIfTrue="1">
      <formula>IF($AL8&lt;10,1,IF($AL7&lt;2,1,0))</formula>
    </cfRule>
  </conditionalFormatting>
  <conditionalFormatting sqref="H27:J27 H112:J112">
    <cfRule type="expression" dxfId="3441" priority="142" stopIfTrue="1">
      <formula>IF($AL8&lt;3,1,IF($AL7&lt;3,1,0))</formula>
    </cfRule>
  </conditionalFormatting>
  <conditionalFormatting sqref="L27:N27 L112:N112">
    <cfRule type="expression" dxfId="3440" priority="143" stopIfTrue="1">
      <formula>IF($AL8&lt;4,1,IF($AL7&lt;3,1,0))</formula>
    </cfRule>
  </conditionalFormatting>
  <conditionalFormatting sqref="O27:Q27 O112:Q112">
    <cfRule type="expression" dxfId="3439" priority="144" stopIfTrue="1">
      <formula>IF($AL8&lt;5,1,IF($AL7&lt;3,1,0))</formula>
    </cfRule>
  </conditionalFormatting>
  <conditionalFormatting sqref="R27:T27 R112:T112">
    <cfRule type="expression" dxfId="3438" priority="145" stopIfTrue="1">
      <formula>IF($AL8&lt;6,1,IF($AL7&lt;3,1,0))</formula>
    </cfRule>
  </conditionalFormatting>
  <conditionalFormatting sqref="U27:W27 U112:W112">
    <cfRule type="expression" dxfId="3437" priority="146" stopIfTrue="1">
      <formula>IF($AL8&lt;7,1,IF($AL7&lt;3,1,0))</formula>
    </cfRule>
  </conditionalFormatting>
  <conditionalFormatting sqref="X27:Z27 X112:Z112">
    <cfRule type="expression" dxfId="3436" priority="147" stopIfTrue="1">
      <formula>IF($AL8&lt;8,1,IF($AL7&lt;3,1,0))</formula>
    </cfRule>
  </conditionalFormatting>
  <conditionalFormatting sqref="AA27:AC27 AA112:AC112">
    <cfRule type="expression" dxfId="3435" priority="148" stopIfTrue="1">
      <formula>IF($AL8&lt;9,1,IF($AL7&lt;3,1,0))</formula>
    </cfRule>
  </conditionalFormatting>
  <conditionalFormatting sqref="AD27:AF27 AD112:AF112">
    <cfRule type="expression" dxfId="3434" priority="149" stopIfTrue="1">
      <formula>IF($AL8&lt;10,1,IF($AL7&lt;3,1,0))</formula>
    </cfRule>
  </conditionalFormatting>
  <conditionalFormatting sqref="H28:J28 H113:J113">
    <cfRule type="expression" dxfId="3433" priority="150" stopIfTrue="1">
      <formula>IF($AL8&lt;3,1,IF($AL7&lt;4,1,0))</formula>
    </cfRule>
  </conditionalFormatting>
  <conditionalFormatting sqref="L28:N28 L113:N113">
    <cfRule type="expression" dxfId="3432" priority="151" stopIfTrue="1">
      <formula>IF($AL8&lt;4,1,IF($AL7&lt;4,1,0))</formula>
    </cfRule>
  </conditionalFormatting>
  <conditionalFormatting sqref="O28:Q28 O113:Q113">
    <cfRule type="expression" dxfId="3431" priority="152" stopIfTrue="1">
      <formula>IF($AL8&lt;5,1,IF($AL7&lt;4,1,0))</formula>
    </cfRule>
  </conditionalFormatting>
  <conditionalFormatting sqref="R28:T28 R113:T113">
    <cfRule type="expression" dxfId="3430" priority="153" stopIfTrue="1">
      <formula>IF($AL8&lt;6,1,IF($AL7&lt;4,1,0))</formula>
    </cfRule>
  </conditionalFormatting>
  <conditionalFormatting sqref="U28:W28 U113:W113">
    <cfRule type="expression" dxfId="3429" priority="154" stopIfTrue="1">
      <formula>IF($AL8&lt;7,1,IF($AL7&lt;4,1,0))</formula>
    </cfRule>
  </conditionalFormatting>
  <conditionalFormatting sqref="X28:Z28 X113:Z113">
    <cfRule type="expression" dxfId="3428" priority="155" stopIfTrue="1">
      <formula>IF($AL8&lt;8,1,IF($AL7&lt;4,1,0))</formula>
    </cfRule>
  </conditionalFormatting>
  <conditionalFormatting sqref="AA28:AC28 AA113:AC113">
    <cfRule type="expression" dxfId="3427" priority="156" stopIfTrue="1">
      <formula>IF($AL8&lt;9,1,IF($AL7&lt;4,1,0))</formula>
    </cfRule>
  </conditionalFormatting>
  <conditionalFormatting sqref="AD28:AF28 AD113:AF113">
    <cfRule type="expression" dxfId="3426" priority="157" stopIfTrue="1">
      <formula>IF($AL8&lt;10,1,IF($AL7&lt;4,1,0))</formula>
    </cfRule>
  </conditionalFormatting>
  <conditionalFormatting sqref="H29:J29 H114:J114">
    <cfRule type="expression" dxfId="3425" priority="158" stopIfTrue="1">
      <formula>IF($AL8&lt;3,1,IF($AL7&lt;5,1,0))</formula>
    </cfRule>
  </conditionalFormatting>
  <conditionalFormatting sqref="L29:N29 L114:N114">
    <cfRule type="expression" dxfId="3424" priority="159" stopIfTrue="1">
      <formula>IF($AL8&lt;4,1,IF($AL7&lt;5,1,0))</formula>
    </cfRule>
  </conditionalFormatting>
  <conditionalFormatting sqref="O29:Q29 O114:Q114">
    <cfRule type="expression" dxfId="3423" priority="160" stopIfTrue="1">
      <formula>IF($AL8&lt;5,1,IF($AL7&lt;5,1,0))</formula>
    </cfRule>
  </conditionalFormatting>
  <conditionalFormatting sqref="R29:T29 R114:T114">
    <cfRule type="expression" dxfId="3422" priority="161" stopIfTrue="1">
      <formula>IF($AL8&lt;6,1,IF($AL7&lt;5,1,0))</formula>
    </cfRule>
  </conditionalFormatting>
  <conditionalFormatting sqref="U29:W29 U114:W114">
    <cfRule type="expression" dxfId="3421" priority="162" stopIfTrue="1">
      <formula>IF($AL8&lt;7,1,IF($AL7&lt;5,1,0))</formula>
    </cfRule>
  </conditionalFormatting>
  <conditionalFormatting sqref="X29:Z29 X114:Z114">
    <cfRule type="expression" dxfId="3420" priority="163" stopIfTrue="1">
      <formula>IF($AL8&lt;8,1,IF($AL7&lt;5,1,0))</formula>
    </cfRule>
  </conditionalFormatting>
  <conditionalFormatting sqref="AA29:AC29 AA114:AC114">
    <cfRule type="expression" dxfId="3419" priority="164" stopIfTrue="1">
      <formula>IF($AL8&lt;9,1,IF($AL7&lt;5,1,0))</formula>
    </cfRule>
  </conditionalFormatting>
  <conditionalFormatting sqref="AD29:AF29 AD114:AF114">
    <cfRule type="expression" dxfId="3418" priority="165" stopIfTrue="1">
      <formula>IF($AL8&lt;10,1,IF($AL7&lt;5,1,0))</formula>
    </cfRule>
  </conditionalFormatting>
  <conditionalFormatting sqref="S14:AC15 M14:Q15 S99:AC100 M99:Q100 AG99:AH100 AG14:AH15">
    <cfRule type="expression" dxfId="3417" priority="166" stopIfTrue="1">
      <formula>IF($AL9&gt;3,0,1)</formula>
    </cfRule>
  </conditionalFormatting>
  <conditionalFormatting sqref="S16:AC17 M16:Q17 S101:AC102 M101:Q102 AG101:AH102 AG16:AH17">
    <cfRule type="expression" dxfId="3416" priority="167" stopIfTrue="1">
      <formula>IF($AL9&gt;4,0,1)</formula>
    </cfRule>
  </conditionalFormatting>
  <conditionalFormatting sqref="S8:AC9 M8:Q9 S93:AC94 M93:Q94 AG93:AH94 AG8:AH9">
    <cfRule type="expression" dxfId="3415" priority="168" stopIfTrue="1">
      <formula>IF($AL9&gt;0,0,1)</formula>
    </cfRule>
  </conditionalFormatting>
  <conditionalFormatting sqref="S10:AC11 M10:Q11 S95:AC96 M95:Q96 AG95:AH96 AG10:AH11">
    <cfRule type="expression" dxfId="3414" priority="169" stopIfTrue="1">
      <formula>IF($AL9&gt;1,0,1)</formula>
    </cfRule>
  </conditionalFormatting>
  <conditionalFormatting sqref="S12:AC13 M12:Q13 S97:AC98 M97:Q98 AG97:AH98 AG12:AH13">
    <cfRule type="expression" dxfId="3413" priority="170" stopIfTrue="1">
      <formula>IF($AL9&gt;2,0,1)</formula>
    </cfRule>
  </conditionalFormatting>
  <conditionalFormatting sqref="E24 E109">
    <cfRule type="expression" dxfId="3412" priority="171" stopIfTrue="1">
      <formula>IF(AL8&gt;1,0,1)</formula>
    </cfRule>
  </conditionalFormatting>
  <conditionalFormatting sqref="H24 H109">
    <cfRule type="expression" dxfId="3411" priority="172" stopIfTrue="1">
      <formula>IF(AL8&gt;2,0,1)</formula>
    </cfRule>
  </conditionalFormatting>
  <conditionalFormatting sqref="L24 L109">
    <cfRule type="expression" dxfId="3410" priority="173" stopIfTrue="1">
      <formula>IF(AL8&gt;3,0,1)</formula>
    </cfRule>
  </conditionalFormatting>
  <conditionalFormatting sqref="O24 O109">
    <cfRule type="expression" dxfId="3409" priority="174" stopIfTrue="1">
      <formula>IF(AL8&gt;4,0,1)</formula>
    </cfRule>
  </conditionalFormatting>
  <conditionalFormatting sqref="R24 R109">
    <cfRule type="expression" dxfId="3408" priority="175" stopIfTrue="1">
      <formula>IF(AL8&gt;5,0,1)</formula>
    </cfRule>
  </conditionalFormatting>
  <conditionalFormatting sqref="U24 U109">
    <cfRule type="expression" dxfId="3407" priority="176" stopIfTrue="1">
      <formula>IF(AL8&gt;6,0,1)</formula>
    </cfRule>
  </conditionalFormatting>
  <conditionalFormatting sqref="X24 X109">
    <cfRule type="expression" dxfId="3406" priority="177" stopIfTrue="1">
      <formula>IF(AL8&gt;7,0,1)</formula>
    </cfRule>
  </conditionalFormatting>
  <conditionalFormatting sqref="AA24 AA109">
    <cfRule type="expression" dxfId="3405" priority="178" stopIfTrue="1">
      <formula>IF(AL8&gt;8,0,1)</formula>
    </cfRule>
  </conditionalFormatting>
  <conditionalFormatting sqref="AD24 AD109">
    <cfRule type="expression" dxfId="3404" priority="179" stopIfTrue="1">
      <formula>IF(AL8&gt;9,0,1)</formula>
    </cfRule>
  </conditionalFormatting>
  <conditionalFormatting sqref="AR27 AR112">
    <cfRule type="expression" dxfId="3403" priority="180" stopIfTrue="1">
      <formula>IF($AL9&gt;3,0,1)</formula>
    </cfRule>
  </conditionalFormatting>
  <conditionalFormatting sqref="E25:G25 E110:G110">
    <cfRule type="expression" dxfId="3402" priority="181" stopIfTrue="1">
      <formula>IF($AL8&gt;1,0,1)</formula>
    </cfRule>
  </conditionalFormatting>
  <conditionalFormatting sqref="B21:D21 B106:D106">
    <cfRule type="expression" dxfId="3401" priority="182" stopIfTrue="1">
      <formula>IF(AL8&gt;0,0,1)</formula>
    </cfRule>
  </conditionalFormatting>
  <conditionalFormatting sqref="E21:G21 E106:G106">
    <cfRule type="expression" dxfId="3400" priority="183" stopIfTrue="1">
      <formula>IF(AL8&gt;1,0,1)</formula>
    </cfRule>
  </conditionalFormatting>
  <conditionalFormatting sqref="H21:K21 H106:K106">
    <cfRule type="expression" dxfId="3399" priority="184" stopIfTrue="1">
      <formula>IF(AL8&gt;2,0,1)</formula>
    </cfRule>
  </conditionalFormatting>
  <conditionalFormatting sqref="L21:N21 L106:N106">
    <cfRule type="expression" dxfId="3398" priority="185" stopIfTrue="1">
      <formula>IF(AL8&gt;3,0,1)</formula>
    </cfRule>
  </conditionalFormatting>
  <conditionalFormatting sqref="O21:Q21 O106:Q106">
    <cfRule type="expression" dxfId="3397" priority="186" stopIfTrue="1">
      <formula>IF(AL8&gt;4,0,1)</formula>
    </cfRule>
  </conditionalFormatting>
  <conditionalFormatting sqref="R21:T21 R106:T106">
    <cfRule type="expression" dxfId="3396" priority="187" stopIfTrue="1">
      <formula>IF(AL8&gt;5,0,1)</formula>
    </cfRule>
  </conditionalFormatting>
  <conditionalFormatting sqref="U21:W21 U106:W106">
    <cfRule type="expression" dxfId="3395" priority="188" stopIfTrue="1">
      <formula>IF(AL8&gt;6,0,1)</formula>
    </cfRule>
  </conditionalFormatting>
  <conditionalFormatting sqref="X21:Z21 X106:Z106">
    <cfRule type="expression" dxfId="3394" priority="189" stopIfTrue="1">
      <formula>IF(AL8&gt;7,0,1)</formula>
    </cfRule>
  </conditionalFormatting>
  <conditionalFormatting sqref="AA21:AC21 AA106:AC106">
    <cfRule type="expression" dxfId="3393" priority="190" stopIfTrue="1">
      <formula>IF(AL8&gt;8,0,1)</formula>
    </cfRule>
  </conditionalFormatting>
  <conditionalFormatting sqref="AD21:AF21 AD106:AF106">
    <cfRule type="expression" dxfId="3392" priority="191" stopIfTrue="1">
      <formula>IF(AL8&gt;9,0,1)</formula>
    </cfRule>
  </conditionalFormatting>
  <conditionalFormatting sqref="B215:B216 C215:D215 B218:D223 C224:C225 AE223:AE225 E219:J222 Y224:Y225 X215:X216 Y215:Z215 X218:Z223 AA219:AF222 AB223:AB225 I223:I225 F223:F225">
    <cfRule type="expression" dxfId="3391" priority="192" stopIfTrue="1">
      <formula>IF(#REF!&gt;0,0,1)</formula>
    </cfRule>
  </conditionalFormatting>
  <conditionalFormatting sqref="H223 H215:H218 I215:K215 I218:J218 J223 AD215:AD218 AE215:AF215 AF223 AE218:AF218 AD223">
    <cfRule type="expression" dxfId="3390" priority="193" stopIfTrue="1">
      <formula>IF(#REF!&gt;2,0,1)</formula>
    </cfRule>
  </conditionalFormatting>
  <conditionalFormatting sqref="H224 J224 AD224 AF224">
    <cfRule type="expression" dxfId="3389" priority="194" stopIfTrue="1">
      <formula>IF(#REF!&lt;3,1,IF(#REF!&lt;2,1,0))</formula>
    </cfRule>
  </conditionalFormatting>
  <conditionalFormatting sqref="J225 AD225 AF225 H225">
    <cfRule type="expression" dxfId="3388" priority="195" stopIfTrue="1">
      <formula>IF(#REF!&lt;3,1,IF(#REF!&lt;3,1,0))</formula>
    </cfRule>
  </conditionalFormatting>
  <conditionalFormatting sqref="G223 F218:G218 E223 E215:E218 AB215:AC215 AC223 AB218:AC218 AA223 AA215:AA218 F215:G215">
    <cfRule type="expression" dxfId="3387" priority="196" stopIfTrue="1">
      <formula>IF(#REF!&gt;1,0,1)</formula>
    </cfRule>
  </conditionalFormatting>
  <conditionalFormatting sqref="B224 D224 X224 Z224">
    <cfRule type="expression" dxfId="3386" priority="197" stopIfTrue="1">
      <formula>IF(#REF!&lt;1,1,IF(#REF!&lt;2,1,0))</formula>
    </cfRule>
  </conditionalFormatting>
  <conditionalFormatting sqref="E224 G224 AA224 AC224">
    <cfRule type="expression" dxfId="3385" priority="198" stopIfTrue="1">
      <formula>IF(#REF!&lt;2,1,IF(#REF!&lt;2,1,0))</formula>
    </cfRule>
  </conditionalFormatting>
  <conditionalFormatting sqref="D225 X225 Z225 B225">
    <cfRule type="expression" dxfId="3384" priority="199" stopIfTrue="1">
      <formula>IF(#REF!&lt;1,1,IF(#REF!&lt;3,1,0))</formula>
    </cfRule>
  </conditionalFormatting>
  <conditionalFormatting sqref="G225 AA225 AC225 E225">
    <cfRule type="expression" dxfId="3383" priority="200" stopIfTrue="1">
      <formula>IF(#REF!&lt;2,1,IF(#REF!&lt;3,1,0))</formula>
    </cfRule>
  </conditionalFormatting>
  <conditionalFormatting sqref="AH24:AQ28 AH109:AQ113">
    <cfRule type="cellIs" dxfId="3382" priority="201" stopIfTrue="1" operator="notBetween">
      <formula>-9999</formula>
      <formula>9999</formula>
    </cfRule>
  </conditionalFormatting>
  <conditionalFormatting sqref="B22:D23 B107:D108">
    <cfRule type="cellIs" dxfId="3381" priority="202" stopIfTrue="1" operator="equal">
      <formula>99</formula>
    </cfRule>
  </conditionalFormatting>
  <conditionalFormatting sqref="AD7 AD92">
    <cfRule type="expression" dxfId="3380" priority="203" stopIfTrue="1">
      <formula>IF($AL$11=0,1,0)</formula>
    </cfRule>
  </conditionalFormatting>
  <conditionalFormatting sqref="B18 B103">
    <cfRule type="expression" dxfId="3379" priority="204" stopIfTrue="1">
      <formula>IF($AL$179&gt;0,0,1)</formula>
    </cfRule>
  </conditionalFormatting>
  <conditionalFormatting sqref="C226 F226 Y226 AB226">
    <cfRule type="expression" dxfId="3378" priority="205" stopIfTrue="1">
      <formula>IF(#REF!&gt;0,0,1)</formula>
    </cfRule>
  </conditionalFormatting>
  <pageMargins left="0.25" right="0.25" top="0.25" bottom="0.25" header="0" footer="0"/>
  <pageSetup scale="78" fitToHeight="3" orientation="landscape" r:id="rId1"/>
  <headerFooter alignWithMargins="0"/>
  <rowBreaks count="1" manualBreakCount="1">
    <brk id="90" max="43" man="1"/>
  </rowBreaks>
  <drawing r:id="rId2"/>
  <legacyDrawing r:id="rId3"/>
  <controls>
    <mc:AlternateContent xmlns:mc="http://schemas.openxmlformats.org/markup-compatibility/2006">
      <mc:Choice Requires="x14">
        <control shapeId="13314" r:id="rId4" name="Pool2RecalcFinish">
          <controlPr defaultSize="0" autoLine="0" r:id="rId5">
            <anchor moveWithCells="1" sizeWithCells="1">
              <from>
                <xdr:col>37</xdr:col>
                <xdr:colOff>104775</xdr:colOff>
                <xdr:row>98</xdr:row>
                <xdr:rowOff>9525</xdr:rowOff>
              </from>
              <to>
                <xdr:col>42</xdr:col>
                <xdr:colOff>228600</xdr:colOff>
                <xdr:row>101</xdr:row>
                <xdr:rowOff>104775</xdr:rowOff>
              </to>
            </anchor>
          </controlPr>
        </control>
      </mc:Choice>
      <mc:Fallback>
        <control shapeId="13314" r:id="rId4" name="Pool2RecalcFinish"/>
      </mc:Fallback>
    </mc:AlternateContent>
    <mc:AlternateContent xmlns:mc="http://schemas.openxmlformats.org/markup-compatibility/2006">
      <mc:Choice Requires="x14">
        <control shapeId="13313" r:id="rId6" name="Pool1RecalcFinish">
          <controlPr defaultSize="0" autoLine="0" r:id="rId7">
            <anchor moveWithCells="1" sizeWithCells="1">
              <from>
                <xdr:col>37</xdr:col>
                <xdr:colOff>104775</xdr:colOff>
                <xdr:row>13</xdr:row>
                <xdr:rowOff>9525</xdr:rowOff>
              </from>
              <to>
                <xdr:col>42</xdr:col>
                <xdr:colOff>228600</xdr:colOff>
                <xdr:row>16</xdr:row>
                <xdr:rowOff>104775</xdr:rowOff>
              </to>
            </anchor>
          </controlPr>
        </control>
      </mc:Choice>
      <mc:Fallback>
        <control shapeId="13313" r:id="rId6" name="Pool1RecalcFinish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4">
    <tabColor indexed="11"/>
  </sheetPr>
  <dimension ref="A1:CC430"/>
  <sheetViews>
    <sheetView topLeftCell="L1" zoomScale="70" zoomScaleNormal="70" workbookViewId="0">
      <selection activeCell="AW3" sqref="AW3:AW9"/>
    </sheetView>
  </sheetViews>
  <sheetFormatPr defaultRowHeight="12.75" x14ac:dyDescent="0.2"/>
  <cols>
    <col min="1" max="1" width="9.140625" style="846"/>
    <col min="2" max="2" width="3.7109375" style="846" customWidth="1"/>
    <col min="3" max="3" width="2.28515625" style="846" customWidth="1"/>
    <col min="4" max="5" width="3.7109375" style="846" customWidth="1"/>
    <col min="6" max="6" width="2.28515625" style="846" customWidth="1"/>
    <col min="7" max="8" width="3.7109375" style="846" customWidth="1"/>
    <col min="9" max="9" width="2.28515625" style="846" customWidth="1"/>
    <col min="10" max="12" width="3.7109375" style="846" customWidth="1"/>
    <col min="13" max="13" width="2.28515625" style="846" customWidth="1"/>
    <col min="14" max="15" width="3.7109375" style="846" customWidth="1"/>
    <col min="16" max="16" width="2.28515625" style="846" customWidth="1"/>
    <col min="17" max="18" width="3.7109375" style="846" customWidth="1"/>
    <col min="19" max="19" width="2.28515625" style="846" customWidth="1"/>
    <col min="20" max="21" width="3.7109375" style="846" customWidth="1"/>
    <col min="22" max="22" width="2.28515625" style="846" customWidth="1"/>
    <col min="23" max="24" width="3.7109375" style="846" customWidth="1"/>
    <col min="25" max="25" width="2.28515625" style="846" customWidth="1"/>
    <col min="26" max="27" width="3.7109375" style="846" customWidth="1"/>
    <col min="28" max="28" width="2.28515625" style="846" customWidth="1"/>
    <col min="29" max="30" width="3.7109375" style="846" customWidth="1"/>
    <col min="31" max="31" width="2.28515625" style="846" customWidth="1"/>
    <col min="32" max="32" width="3.7109375" style="846" customWidth="1"/>
    <col min="33" max="33" width="9.7109375" style="846" customWidth="1"/>
    <col min="34" max="43" width="3.7109375" style="846" customWidth="1"/>
    <col min="44" max="44" width="11" style="846" customWidth="1"/>
    <col min="45" max="46" width="9.140625" style="846"/>
    <col min="47" max="47" width="24.42578125" style="846" customWidth="1"/>
    <col min="48" max="48" width="15.85546875" style="846" customWidth="1"/>
    <col min="49" max="49" width="14.28515625" style="846" bestFit="1" customWidth="1"/>
    <col min="50" max="50" width="9.7109375" style="846" bestFit="1" customWidth="1"/>
    <col min="51" max="51" width="10" style="846" customWidth="1"/>
    <col min="52" max="52" width="25" style="846" customWidth="1"/>
    <col min="53" max="53" width="6" style="846" customWidth="1"/>
    <col min="54" max="16384" width="9.140625" style="846"/>
  </cols>
  <sheetData>
    <row r="1" spans="1:53" ht="13.5" thickBot="1" x14ac:dyDescent="0.25">
      <c r="A1" s="842" t="s">
        <v>0</v>
      </c>
      <c r="B1" s="842"/>
      <c r="C1" s="842"/>
      <c r="D1" s="842"/>
      <c r="E1" s="842"/>
      <c r="F1" s="842"/>
      <c r="G1" s="842"/>
      <c r="H1" s="842"/>
      <c r="I1" s="842"/>
      <c r="J1" s="842"/>
      <c r="K1" s="842"/>
      <c r="L1" s="842"/>
      <c r="M1" s="842"/>
      <c r="N1" s="842"/>
      <c r="O1" s="842"/>
      <c r="P1" s="842"/>
      <c r="Q1" s="842"/>
      <c r="R1" s="842"/>
      <c r="S1" s="842"/>
      <c r="T1" s="842"/>
      <c r="U1" s="842"/>
      <c r="V1" s="842"/>
      <c r="W1" s="842"/>
      <c r="X1" s="842"/>
      <c r="Y1" s="842"/>
      <c r="Z1" s="842"/>
      <c r="AA1" s="842"/>
      <c r="AB1" s="842"/>
      <c r="AC1" s="842"/>
      <c r="AD1" s="842"/>
      <c r="AE1" s="842"/>
      <c r="AF1" s="842"/>
      <c r="AG1" s="843"/>
      <c r="AH1" s="843"/>
      <c r="AI1" s="843"/>
      <c r="AJ1" s="843"/>
      <c r="AK1" s="843"/>
      <c r="AL1" s="843"/>
      <c r="AM1" s="843"/>
      <c r="AN1" s="843"/>
      <c r="AO1" s="843"/>
      <c r="AP1" s="843"/>
      <c r="AQ1" s="843"/>
      <c r="AR1" s="844" t="s">
        <v>1127</v>
      </c>
      <c r="AS1" s="845"/>
      <c r="AT1" s="847" t="s">
        <v>2</v>
      </c>
      <c r="AU1" s="848"/>
      <c r="AV1" s="848"/>
      <c r="AW1" s="849"/>
      <c r="AX1" s="850" t="s">
        <v>3</v>
      </c>
      <c r="AY1" s="851"/>
      <c r="AZ1" s="852" t="s">
        <v>4</v>
      </c>
      <c r="BA1" s="853">
        <v>32</v>
      </c>
    </row>
    <row r="2" spans="1:53" ht="18.75" customHeight="1" thickBot="1" x14ac:dyDescent="0.3">
      <c r="A2" s="844"/>
      <c r="B2" s="854" t="s">
        <v>5</v>
      </c>
      <c r="C2" s="855"/>
      <c r="D2" s="855"/>
      <c r="E2" s="856"/>
      <c r="F2" s="856"/>
      <c r="G2" s="857"/>
      <c r="H2" s="856"/>
      <c r="I2" s="858"/>
      <c r="J2" s="859"/>
      <c r="K2" s="860"/>
      <c r="L2" s="860"/>
      <c r="M2" s="860"/>
      <c r="N2" s="860"/>
      <c r="O2" s="860"/>
      <c r="P2" s="860"/>
      <c r="Q2" s="860"/>
      <c r="R2" s="860"/>
      <c r="S2" s="860"/>
      <c r="T2" s="860"/>
      <c r="U2" s="861"/>
      <c r="V2" s="862" t="s">
        <v>7</v>
      </c>
      <c r="W2" s="863"/>
      <c r="X2" s="864"/>
      <c r="Y2" s="865"/>
      <c r="Z2" s="866"/>
      <c r="AA2" s="866"/>
      <c r="AB2" s="866"/>
      <c r="AC2" s="866"/>
      <c r="AD2" s="866"/>
      <c r="AE2" s="866"/>
      <c r="AF2" s="867"/>
      <c r="AG2" s="868"/>
      <c r="AH2" s="868"/>
      <c r="AI2" s="868"/>
      <c r="AJ2" s="868"/>
      <c r="AK2" s="868"/>
      <c r="AL2" s="868"/>
      <c r="AM2" s="868"/>
      <c r="AN2" s="868"/>
      <c r="AO2" s="868"/>
      <c r="AP2" s="868"/>
      <c r="AQ2" s="868"/>
      <c r="AR2" s="868"/>
      <c r="AS2" s="845"/>
      <c r="AT2" s="869" t="s">
        <v>9</v>
      </c>
      <c r="AU2" s="870" t="s">
        <v>10</v>
      </c>
      <c r="AV2" s="871" t="s">
        <v>11</v>
      </c>
      <c r="AW2" s="872" t="s">
        <v>12</v>
      </c>
      <c r="AX2" s="873" t="s">
        <v>13</v>
      </c>
      <c r="AY2" s="872" t="s">
        <v>14</v>
      </c>
      <c r="AZ2" s="852" t="s">
        <v>15</v>
      </c>
      <c r="BA2" s="853">
        <v>16</v>
      </c>
    </row>
    <row r="3" spans="1:53" ht="18.75" customHeight="1" thickBot="1" x14ac:dyDescent="0.3">
      <c r="A3" s="844"/>
      <c r="B3" s="874" t="s">
        <v>16</v>
      </c>
      <c r="C3" s="875"/>
      <c r="D3" s="876"/>
      <c r="E3" s="877"/>
      <c r="F3" s="877"/>
      <c r="G3" s="877"/>
      <c r="H3" s="877"/>
      <c r="I3" s="877"/>
      <c r="J3" s="877"/>
      <c r="K3" s="877"/>
      <c r="L3" s="878"/>
      <c r="M3" s="879" t="s">
        <v>18</v>
      </c>
      <c r="N3" s="880"/>
      <c r="O3" s="881"/>
      <c r="P3" s="882"/>
      <c r="Q3" s="883"/>
      <c r="R3" s="884"/>
      <c r="S3" s="884"/>
      <c r="T3" s="884"/>
      <c r="U3" s="885"/>
      <c r="V3" s="886" t="s">
        <v>19</v>
      </c>
      <c r="W3" s="887"/>
      <c r="X3" s="887"/>
      <c r="Y3" s="887"/>
      <c r="Z3" s="887"/>
      <c r="AA3" s="888"/>
      <c r="AB3" s="889"/>
      <c r="AC3" s="890" t="s">
        <v>20</v>
      </c>
      <c r="AD3" s="890"/>
      <c r="AE3" s="890" t="s">
        <v>21</v>
      </c>
      <c r="AF3" s="891"/>
      <c r="AG3" s="868"/>
      <c r="AH3" s="868"/>
      <c r="AI3" s="868"/>
      <c r="AJ3" s="868"/>
      <c r="AK3" s="868"/>
      <c r="AL3" s="868"/>
      <c r="AM3" s="868"/>
      <c r="AN3" s="868"/>
      <c r="AO3" s="868"/>
      <c r="AP3" s="868"/>
      <c r="AQ3" s="868"/>
      <c r="AR3" s="868"/>
      <c r="AS3" s="845"/>
      <c r="AT3" s="892">
        <v>1</v>
      </c>
      <c r="AU3" s="893" t="s">
        <v>348</v>
      </c>
      <c r="AV3" s="894" t="s">
        <v>347</v>
      </c>
      <c r="AW3" s="147">
        <f>VLOOKUP(AV3,Initial!G:K,5,FALSE)</f>
        <v>1231.7907169886246</v>
      </c>
      <c r="AX3" s="896">
        <f t="shared" ref="AX3:AX9" si="0">VLOOKUP(AU3,AT$79:AU$180,2,FALSE)</f>
        <v>1243.8891049954495</v>
      </c>
      <c r="AY3" s="897">
        <f t="shared" ref="AY3:AY9" si="1">IF(ISNA(VLOOKUP(AU3,AT$182:AU$243,2,FALSE)),AX3,VLOOKUP(AU3,AT$182:AU$243,2,FALSE))</f>
        <v>1243.8891049954495</v>
      </c>
    </row>
    <row r="4" spans="1:53" ht="24" customHeight="1" thickBot="1" x14ac:dyDescent="0.25">
      <c r="A4" s="844"/>
      <c r="B4" s="898"/>
      <c r="C4" s="898"/>
      <c r="D4" s="899"/>
      <c r="E4" s="900"/>
      <c r="F4" s="901"/>
      <c r="G4" s="901"/>
      <c r="H4" s="902" t="s">
        <v>24</v>
      </c>
      <c r="I4" s="903"/>
      <c r="J4" s="904"/>
      <c r="K4" s="904"/>
      <c r="L4" s="904"/>
      <c r="M4" s="904"/>
      <c r="N4" s="905"/>
      <c r="O4" s="906"/>
      <c r="P4" s="906"/>
      <c r="Q4" s="906"/>
      <c r="R4" s="906"/>
      <c r="S4" s="906"/>
      <c r="T4" s="906"/>
      <c r="U4" s="907"/>
      <c r="V4" s="908" t="s">
        <v>27</v>
      </c>
      <c r="W4" s="909"/>
      <c r="X4" s="909"/>
      <c r="Y4" s="909"/>
      <c r="Z4" s="910"/>
      <c r="AA4" s="911"/>
      <c r="AB4" s="906"/>
      <c r="AC4" s="906"/>
      <c r="AD4" s="906"/>
      <c r="AE4" s="906"/>
      <c r="AF4" s="907"/>
      <c r="AG4" s="868"/>
      <c r="AH4" s="868"/>
      <c r="AI4" s="868"/>
      <c r="AJ4" s="868"/>
      <c r="AK4" s="868"/>
      <c r="AL4" s="868"/>
      <c r="AM4" s="868"/>
      <c r="AN4" s="868"/>
      <c r="AO4" s="868"/>
      <c r="AP4" s="868"/>
      <c r="AQ4" s="868"/>
      <c r="AR4" s="868"/>
      <c r="AS4" s="845"/>
      <c r="AT4" s="912">
        <v>2</v>
      </c>
      <c r="AU4" s="929" t="s">
        <v>355</v>
      </c>
      <c r="AV4" s="913" t="s">
        <v>354</v>
      </c>
      <c r="AW4" s="147">
        <f>VLOOKUP(AV4,Initial!G:K,5,FALSE)</f>
        <v>1210.0364093066682</v>
      </c>
      <c r="AX4" s="914">
        <f t="shared" si="0"/>
        <v>1210.7113361544355</v>
      </c>
      <c r="AY4" s="897">
        <f t="shared" si="1"/>
        <v>1210.7113361544355</v>
      </c>
    </row>
    <row r="5" spans="1:53" ht="15.75" thickBot="1" x14ac:dyDescent="0.25">
      <c r="A5" s="843" t="s">
        <v>30</v>
      </c>
      <c r="B5" s="915" t="s">
        <v>30</v>
      </c>
      <c r="C5" s="916"/>
      <c r="D5" s="916"/>
      <c r="E5" s="916"/>
      <c r="F5" s="916"/>
      <c r="G5" s="916"/>
      <c r="H5" s="916"/>
      <c r="I5" s="916"/>
      <c r="J5" s="916"/>
      <c r="K5" s="917"/>
      <c r="L5" s="918" t="s">
        <v>30</v>
      </c>
      <c r="M5" s="918"/>
      <c r="N5" s="918"/>
      <c r="O5" s="918"/>
      <c r="P5" s="918"/>
      <c r="Q5" s="918"/>
      <c r="R5" s="918"/>
      <c r="S5" s="918"/>
      <c r="T5" s="918"/>
      <c r="U5" s="918"/>
      <c r="V5" s="918"/>
      <c r="W5" s="918"/>
      <c r="X5" s="918"/>
      <c r="Y5" s="918"/>
      <c r="Z5" s="918"/>
      <c r="AA5" s="918"/>
      <c r="AB5" s="918"/>
      <c r="AC5" s="918"/>
      <c r="AD5" s="918"/>
      <c r="AE5" s="918"/>
      <c r="AF5" s="918"/>
      <c r="AG5" s="843"/>
      <c r="AH5" s="843"/>
      <c r="AI5" s="843"/>
      <c r="AJ5" s="843"/>
      <c r="AK5" s="843"/>
      <c r="AL5" s="843"/>
      <c r="AM5" s="843"/>
      <c r="AN5" s="843"/>
      <c r="AO5" s="843"/>
      <c r="AP5" s="843"/>
      <c r="AQ5" s="843"/>
      <c r="AR5" s="843"/>
      <c r="AS5" s="845"/>
      <c r="AT5" s="912">
        <v>3</v>
      </c>
      <c r="AU5" s="929" t="s">
        <v>357</v>
      </c>
      <c r="AV5" s="913" t="s">
        <v>356</v>
      </c>
      <c r="AW5" s="147">
        <f>VLOOKUP(AV5,Initial!G:K,5,FALSE)</f>
        <v>1268.8246362009256</v>
      </c>
      <c r="AX5" s="914">
        <f t="shared" si="0"/>
        <v>1314.2550386408398</v>
      </c>
      <c r="AY5" s="897">
        <f t="shared" si="1"/>
        <v>1314.2550386408398</v>
      </c>
    </row>
    <row r="6" spans="1:53" ht="24" customHeight="1" thickBot="1" x14ac:dyDescent="0.25">
      <c r="A6" s="919" t="s">
        <v>33</v>
      </c>
      <c r="B6" s="920" t="s">
        <v>34</v>
      </c>
      <c r="C6" s="921" t="s">
        <v>35</v>
      </c>
      <c r="D6" s="922"/>
      <c r="E6" s="922"/>
      <c r="F6" s="922"/>
      <c r="G6" s="922"/>
      <c r="H6" s="923"/>
      <c r="I6" s="924">
        <v>1</v>
      </c>
      <c r="J6" s="925"/>
      <c r="K6" s="926" t="str">
        <f>"Pool "&amp;B6&amp;" - Round 1 - Court "&amp;I6</f>
        <v>Pool A - Round 1 - Court 1</v>
      </c>
      <c r="L6" s="927"/>
      <c r="M6" s="927"/>
      <c r="N6" s="927"/>
      <c r="O6" s="927"/>
      <c r="P6" s="927"/>
      <c r="Q6" s="927"/>
      <c r="R6" s="927"/>
      <c r="S6" s="927"/>
      <c r="T6" s="927"/>
      <c r="U6" s="927"/>
      <c r="V6" s="927"/>
      <c r="W6" s="927"/>
      <c r="X6" s="927"/>
      <c r="Y6" s="927"/>
      <c r="Z6" s="927"/>
      <c r="AA6" s="927"/>
      <c r="AB6" s="927"/>
      <c r="AC6" s="927"/>
      <c r="AD6" s="927"/>
      <c r="AE6" s="927"/>
      <c r="AF6" s="927"/>
      <c r="AG6" s="927"/>
      <c r="AH6" s="927"/>
      <c r="AI6" s="927"/>
      <c r="AJ6" s="928"/>
      <c r="AK6" s="868"/>
      <c r="AL6" s="868"/>
      <c r="AM6" s="868"/>
      <c r="AN6" s="868"/>
      <c r="AO6" s="868"/>
      <c r="AP6" s="868"/>
      <c r="AQ6" s="868"/>
      <c r="AR6" s="868"/>
      <c r="AT6" s="912">
        <v>4</v>
      </c>
      <c r="AU6" s="929" t="s">
        <v>224</v>
      </c>
      <c r="AV6" s="913" t="s">
        <v>222</v>
      </c>
      <c r="AW6" s="147">
        <f>VLOOKUP(AV6,Initial!G:K,5,FALSE)</f>
        <v>1240.2255380634294</v>
      </c>
      <c r="AX6" s="914">
        <f t="shared" si="0"/>
        <v>1189.7914904865811</v>
      </c>
      <c r="AY6" s="897">
        <f t="shared" si="1"/>
        <v>1189.7914904865811</v>
      </c>
    </row>
    <row r="7" spans="1:53" ht="27" customHeight="1" thickBot="1" x14ac:dyDescent="0.25">
      <c r="A7" s="930" t="s">
        <v>38</v>
      </c>
      <c r="B7" s="902" t="s">
        <v>10</v>
      </c>
      <c r="C7" s="931"/>
      <c r="D7" s="931"/>
      <c r="E7" s="931"/>
      <c r="F7" s="931"/>
      <c r="G7" s="931"/>
      <c r="H7" s="931"/>
      <c r="I7" s="931"/>
      <c r="J7" s="931"/>
      <c r="K7" s="931"/>
      <c r="L7" s="931"/>
      <c r="M7" s="902" t="str">
        <f>IF($AL10=0,"Games Won","Matches Won")</f>
        <v>Matches Won</v>
      </c>
      <c r="N7" s="931"/>
      <c r="O7" s="931"/>
      <c r="P7" s="931"/>
      <c r="Q7" s="931"/>
      <c r="R7" s="932"/>
      <c r="S7" s="902" t="str">
        <f>IF($AL10=0,"Games Lost","Matches Lost")</f>
        <v>Matches Lost</v>
      </c>
      <c r="T7" s="933"/>
      <c r="U7" s="933"/>
      <c r="V7" s="933"/>
      <c r="W7" s="934"/>
      <c r="X7" s="935" t="s">
        <v>39</v>
      </c>
      <c r="Y7" s="936"/>
      <c r="Z7" s="937"/>
      <c r="AA7" s="935" t="s">
        <v>40</v>
      </c>
      <c r="AB7" s="936"/>
      <c r="AC7" s="937"/>
      <c r="AD7" s="938" t="s">
        <v>41</v>
      </c>
      <c r="AE7" s="939"/>
      <c r="AF7" s="940"/>
      <c r="AG7" s="941" t="s">
        <v>42</v>
      </c>
      <c r="AH7" s="942" t="s">
        <v>9</v>
      </c>
      <c r="AI7" s="943" t="s">
        <v>43</v>
      </c>
      <c r="AJ7" s="944"/>
      <c r="AK7" s="945"/>
      <c r="AL7" s="946">
        <v>1</v>
      </c>
      <c r="AM7" s="947" t="s">
        <v>44</v>
      </c>
      <c r="AN7" s="947"/>
      <c r="AO7" s="947"/>
      <c r="AP7" s="947"/>
      <c r="AQ7" s="947"/>
      <c r="AR7" s="947"/>
      <c r="AS7" s="948"/>
      <c r="AT7" s="912">
        <v>5</v>
      </c>
      <c r="AU7" s="929" t="s">
        <v>338</v>
      </c>
      <c r="AV7" s="913" t="s">
        <v>337</v>
      </c>
      <c r="AW7" s="147">
        <f>VLOOKUP(AV7,Initial!G:K,5,FALSE)</f>
        <v>1207.2949680843783</v>
      </c>
      <c r="AX7" s="914">
        <f t="shared" si="0"/>
        <v>1255.6934893512482</v>
      </c>
      <c r="AY7" s="897">
        <f t="shared" si="1"/>
        <v>1255.6934893512482</v>
      </c>
    </row>
    <row r="8" spans="1:53" ht="18.75" customHeight="1" x14ac:dyDescent="0.2">
      <c r="A8" s="949" t="str">
        <f>IF($AL9&gt;0,"1","")</f>
        <v>1</v>
      </c>
      <c r="B8" s="950" t="s">
        <v>10</v>
      </c>
      <c r="C8" s="951"/>
      <c r="D8" s="952"/>
      <c r="E8" s="953" t="str">
        <f>AU3</f>
        <v>Intense kids power col</v>
      </c>
      <c r="F8" s="954"/>
      <c r="G8" s="954"/>
      <c r="H8" s="954"/>
      <c r="I8" s="954"/>
      <c r="J8" s="954"/>
      <c r="K8" s="954"/>
      <c r="L8" s="955"/>
      <c r="M8" s="956">
        <f>IF($AL10=0,AG64,AG46)</f>
        <v>2</v>
      </c>
      <c r="N8" s="957"/>
      <c r="O8" s="957"/>
      <c r="P8" s="957"/>
      <c r="Q8" s="957"/>
      <c r="R8" s="932"/>
      <c r="S8" s="956">
        <f>IF($AL10=0,AH64,AH46)</f>
        <v>1</v>
      </c>
      <c r="T8" s="957"/>
      <c r="U8" s="957"/>
      <c r="V8" s="957"/>
      <c r="W8" s="957"/>
      <c r="X8" s="956">
        <f>AR24</f>
        <v>7</v>
      </c>
      <c r="Y8" s="957"/>
      <c r="Z8" s="957"/>
      <c r="AA8" s="958">
        <f>IF(AG58&gt;0,(AR24/AG58),0)</f>
        <v>0.10144927536231885</v>
      </c>
      <c r="AB8" s="959"/>
      <c r="AC8" s="959"/>
      <c r="AD8" s="960">
        <f>IF(AG72=0,0,(AG64/AG72))</f>
        <v>0.66666666666666663</v>
      </c>
      <c r="AE8" s="961"/>
      <c r="AF8" s="962"/>
      <c r="AG8" s="963">
        <v>2</v>
      </c>
      <c r="AH8" s="963">
        <v>1</v>
      </c>
      <c r="AI8" s="964"/>
      <c r="AJ8" s="965"/>
      <c r="AK8" s="945"/>
      <c r="AL8" s="946">
        <v>6</v>
      </c>
      <c r="AM8" s="947" t="s">
        <v>47</v>
      </c>
      <c r="AN8" s="947"/>
      <c r="AO8" s="947"/>
      <c r="AP8" s="947"/>
      <c r="AQ8" s="947"/>
      <c r="AR8" s="947"/>
      <c r="AS8" s="948"/>
      <c r="AT8" s="912">
        <v>6</v>
      </c>
      <c r="AU8" s="929" t="s">
        <v>1132</v>
      </c>
      <c r="AV8" s="913" t="s">
        <v>339</v>
      </c>
      <c r="AW8" s="147">
        <f>VLOOKUP(AV8,Initial!G:K,5,FALSE)</f>
        <v>1162.9144133651291</v>
      </c>
      <c r="AX8" s="914">
        <f t="shared" si="0"/>
        <v>1116.8090840774478</v>
      </c>
      <c r="AY8" s="897">
        <f t="shared" si="1"/>
        <v>1116.8090840774478</v>
      </c>
    </row>
    <row r="9" spans="1:53" ht="18.75" customHeight="1" thickBot="1" x14ac:dyDescent="0.25">
      <c r="A9" s="966"/>
      <c r="B9" s="967" t="s">
        <v>11</v>
      </c>
      <c r="C9" s="968"/>
      <c r="D9" s="969"/>
      <c r="E9" s="970" t="str">
        <f>AV3</f>
        <v>fj2inten3pm</v>
      </c>
      <c r="F9" s="971"/>
      <c r="G9" s="971"/>
      <c r="H9" s="971"/>
      <c r="I9" s="971"/>
      <c r="J9" s="971"/>
      <c r="K9" s="971"/>
      <c r="L9" s="971"/>
      <c r="M9" s="972"/>
      <c r="N9" s="973"/>
      <c r="O9" s="973"/>
      <c r="P9" s="973"/>
      <c r="Q9" s="973"/>
      <c r="R9" s="932"/>
      <c r="S9" s="972"/>
      <c r="T9" s="973"/>
      <c r="U9" s="973"/>
      <c r="V9" s="973"/>
      <c r="W9" s="973"/>
      <c r="X9" s="972"/>
      <c r="Y9" s="973"/>
      <c r="Z9" s="973"/>
      <c r="AA9" s="974"/>
      <c r="AB9" s="975"/>
      <c r="AC9" s="975"/>
      <c r="AD9" s="976"/>
      <c r="AE9" s="977"/>
      <c r="AF9" s="978"/>
      <c r="AG9" s="979"/>
      <c r="AH9" s="979"/>
      <c r="AI9" s="980"/>
      <c r="AJ9" s="981"/>
      <c r="AK9" s="945"/>
      <c r="AL9" s="946">
        <v>4</v>
      </c>
      <c r="AM9" s="947" t="s">
        <v>50</v>
      </c>
      <c r="AN9" s="945"/>
      <c r="AO9" s="945"/>
      <c r="AP9" s="945"/>
      <c r="AQ9" s="945"/>
      <c r="AR9" s="945"/>
      <c r="AS9" s="845"/>
      <c r="AT9" s="912">
        <v>7</v>
      </c>
      <c r="AU9" s="929" t="s">
        <v>342</v>
      </c>
      <c r="AV9" s="913" t="s">
        <v>341</v>
      </c>
      <c r="AW9" s="147">
        <f>VLOOKUP(AV9,Initial!G:K,5,FALSE)</f>
        <v>1192.3440303301518</v>
      </c>
      <c r="AX9" s="914">
        <f t="shared" si="0"/>
        <v>1182.2811686333052</v>
      </c>
      <c r="AY9" s="897">
        <f t="shared" si="1"/>
        <v>1182.2811686333052</v>
      </c>
    </row>
    <row r="10" spans="1:53" ht="18.75" customHeight="1" x14ac:dyDescent="0.2">
      <c r="A10" s="949" t="str">
        <f>IF($AL9&gt;1,"2","")</f>
        <v>2</v>
      </c>
      <c r="B10" s="950" t="s">
        <v>10</v>
      </c>
      <c r="C10" s="951"/>
      <c r="D10" s="952"/>
      <c r="E10" s="953" t="str">
        <f>AU6</f>
        <v>MOTO 12'1</v>
      </c>
      <c r="F10" s="954"/>
      <c r="G10" s="954"/>
      <c r="H10" s="954"/>
      <c r="I10" s="954"/>
      <c r="J10" s="954"/>
      <c r="K10" s="954"/>
      <c r="L10" s="955"/>
      <c r="M10" s="956">
        <f>IF($AL10=0,AG65,AG47)</f>
        <v>0</v>
      </c>
      <c r="N10" s="957"/>
      <c r="O10" s="957"/>
      <c r="P10" s="957"/>
      <c r="Q10" s="957"/>
      <c r="R10" s="932"/>
      <c r="S10" s="956">
        <f>IF($AL10=0,AH65,AH47)</f>
        <v>3</v>
      </c>
      <c r="T10" s="957"/>
      <c r="U10" s="957"/>
      <c r="V10" s="957"/>
      <c r="W10" s="957"/>
      <c r="X10" s="956">
        <f>AR25</f>
        <v>-25</v>
      </c>
      <c r="Y10" s="957"/>
      <c r="Z10" s="957"/>
      <c r="AA10" s="958">
        <f>IF(AG59&gt;0,(AR25/AG59),0)</f>
        <v>-0.37313432835820898</v>
      </c>
      <c r="AB10" s="959"/>
      <c r="AC10" s="959"/>
      <c r="AD10" s="960">
        <f>IF(AG73=0,0,(AG65/AG73))</f>
        <v>0</v>
      </c>
      <c r="AE10" s="961"/>
      <c r="AF10" s="962"/>
      <c r="AG10" s="963">
        <v>4</v>
      </c>
      <c r="AH10" s="963">
        <v>1</v>
      </c>
      <c r="AI10" s="964"/>
      <c r="AJ10" s="965"/>
      <c r="AK10" s="945"/>
      <c r="AL10" s="946">
        <v>1</v>
      </c>
      <c r="AM10" s="947" t="s">
        <v>53</v>
      </c>
      <c r="AN10" s="947"/>
      <c r="AO10" s="947"/>
      <c r="AP10" s="947"/>
      <c r="AQ10" s="947"/>
      <c r="AR10" s="947"/>
      <c r="AS10" s="948"/>
      <c r="AT10" s="982"/>
      <c r="AU10" s="983"/>
      <c r="AV10" s="984"/>
      <c r="AW10" s="985"/>
      <c r="AX10" s="986"/>
      <c r="AY10" s="987"/>
    </row>
    <row r="11" spans="1:53" ht="18.75" customHeight="1" thickBot="1" x14ac:dyDescent="0.25">
      <c r="A11" s="966"/>
      <c r="B11" s="988" t="s">
        <v>11</v>
      </c>
      <c r="C11" s="989"/>
      <c r="D11" s="989"/>
      <c r="E11" s="970" t="str">
        <f>AV6</f>
        <v>fj1motoj1pm</v>
      </c>
      <c r="F11" s="971"/>
      <c r="G11" s="971"/>
      <c r="H11" s="971"/>
      <c r="I11" s="971"/>
      <c r="J11" s="971"/>
      <c r="K11" s="971"/>
      <c r="L11" s="971"/>
      <c r="M11" s="972"/>
      <c r="N11" s="973"/>
      <c r="O11" s="973"/>
      <c r="P11" s="973"/>
      <c r="Q11" s="973"/>
      <c r="R11" s="932"/>
      <c r="S11" s="972"/>
      <c r="T11" s="973"/>
      <c r="U11" s="973"/>
      <c r="V11" s="973"/>
      <c r="W11" s="973"/>
      <c r="X11" s="972"/>
      <c r="Y11" s="973"/>
      <c r="Z11" s="973"/>
      <c r="AA11" s="974"/>
      <c r="AB11" s="975"/>
      <c r="AC11" s="975"/>
      <c r="AD11" s="976"/>
      <c r="AE11" s="977"/>
      <c r="AF11" s="978"/>
      <c r="AG11" s="979"/>
      <c r="AH11" s="979"/>
      <c r="AI11" s="980"/>
      <c r="AJ11" s="981"/>
      <c r="AK11" s="945"/>
      <c r="AL11" s="946">
        <v>1</v>
      </c>
      <c r="AM11" s="947" t="s">
        <v>56</v>
      </c>
      <c r="AN11" s="945"/>
      <c r="AO11" s="945"/>
      <c r="AP11" s="945"/>
      <c r="AQ11" s="945"/>
      <c r="AR11" s="945"/>
      <c r="AS11" s="845"/>
      <c r="AT11" s="982"/>
      <c r="AU11" s="983"/>
      <c r="AV11" s="984"/>
      <c r="AW11" s="985"/>
      <c r="AX11" s="986"/>
      <c r="AY11" s="987"/>
    </row>
    <row r="12" spans="1:53" ht="18.75" customHeight="1" thickBot="1" x14ac:dyDescent="0.25">
      <c r="A12" s="949" t="str">
        <f>IF($AL9&gt;2,"3","")</f>
        <v>3</v>
      </c>
      <c r="B12" s="990" t="s">
        <v>10</v>
      </c>
      <c r="C12" s="991"/>
      <c r="D12" s="991"/>
      <c r="E12" s="953" t="str">
        <f>AU7</f>
        <v>C1VB Juniors Royal</v>
      </c>
      <c r="F12" s="954"/>
      <c r="G12" s="954"/>
      <c r="H12" s="954"/>
      <c r="I12" s="954"/>
      <c r="J12" s="954"/>
      <c r="K12" s="954"/>
      <c r="L12" s="955"/>
      <c r="M12" s="956">
        <f>IF($AL10=0,AG66,AG48)</f>
        <v>3</v>
      </c>
      <c r="N12" s="957"/>
      <c r="O12" s="957"/>
      <c r="P12" s="957"/>
      <c r="Q12" s="957"/>
      <c r="R12" s="932"/>
      <c r="S12" s="956">
        <f>IF($AL10=0,AH66,AH48)</f>
        <v>0</v>
      </c>
      <c r="T12" s="957"/>
      <c r="U12" s="957"/>
      <c r="V12" s="957"/>
      <c r="W12" s="957"/>
      <c r="X12" s="956">
        <f>AR26</f>
        <v>23</v>
      </c>
      <c r="Y12" s="957"/>
      <c r="Z12" s="957"/>
      <c r="AA12" s="958">
        <f>IF(AG60&gt;0,(AR26/AG60),0)</f>
        <v>0.34328358208955223</v>
      </c>
      <c r="AB12" s="959"/>
      <c r="AC12" s="959"/>
      <c r="AD12" s="960">
        <f>IF(AG74=0,0,(AG66/AG74))</f>
        <v>1</v>
      </c>
      <c r="AE12" s="961"/>
      <c r="AF12" s="962"/>
      <c r="AG12" s="963">
        <v>1</v>
      </c>
      <c r="AH12" s="963">
        <v>1</v>
      </c>
      <c r="AI12" s="964"/>
      <c r="AJ12" s="965"/>
      <c r="AK12" s="992"/>
      <c r="AL12" s="946">
        <v>3</v>
      </c>
      <c r="AM12" s="993" t="s">
        <v>59</v>
      </c>
      <c r="AN12" s="947"/>
      <c r="AO12" s="947"/>
      <c r="AP12" s="947"/>
      <c r="AQ12" s="947"/>
      <c r="AR12" s="947"/>
      <c r="AS12" s="948"/>
      <c r="AT12" s="994"/>
      <c r="AU12" s="995"/>
      <c r="AV12" s="996"/>
      <c r="AW12" s="997"/>
      <c r="AX12" s="998"/>
      <c r="AY12" s="999"/>
    </row>
    <row r="13" spans="1:53" ht="18.75" customHeight="1" thickBot="1" x14ac:dyDescent="0.25">
      <c r="A13" s="966"/>
      <c r="B13" s="988" t="s">
        <v>11</v>
      </c>
      <c r="C13" s="989"/>
      <c r="D13" s="989"/>
      <c r="E13" s="970" t="str">
        <f>AV7</f>
        <v>fj2crone7pm</v>
      </c>
      <c r="F13" s="971"/>
      <c r="G13" s="971"/>
      <c r="H13" s="971"/>
      <c r="I13" s="971"/>
      <c r="J13" s="971"/>
      <c r="K13" s="971"/>
      <c r="L13" s="971"/>
      <c r="M13" s="972"/>
      <c r="N13" s="973"/>
      <c r="O13" s="973"/>
      <c r="P13" s="973"/>
      <c r="Q13" s="973"/>
      <c r="R13" s="932"/>
      <c r="S13" s="972"/>
      <c r="T13" s="973"/>
      <c r="U13" s="973"/>
      <c r="V13" s="973"/>
      <c r="W13" s="973"/>
      <c r="X13" s="972"/>
      <c r="Y13" s="973"/>
      <c r="Z13" s="973"/>
      <c r="AA13" s="974"/>
      <c r="AB13" s="975"/>
      <c r="AC13" s="975"/>
      <c r="AD13" s="976"/>
      <c r="AE13" s="977"/>
      <c r="AF13" s="978"/>
      <c r="AG13" s="979"/>
      <c r="AH13" s="979"/>
      <c r="AI13" s="980"/>
      <c r="AJ13" s="981"/>
      <c r="AK13" s="992"/>
      <c r="AL13" s="1000"/>
      <c r="AM13" s="1001"/>
      <c r="AN13" s="1001"/>
      <c r="AO13" s="1001"/>
      <c r="AP13" s="1001"/>
      <c r="AQ13" s="1001"/>
      <c r="AR13" s="945"/>
      <c r="AS13" s="845"/>
      <c r="AT13" s="1002" t="s">
        <v>62</v>
      </c>
      <c r="AU13" s="1003"/>
      <c r="AV13" s="1003"/>
      <c r="AW13" s="1003"/>
      <c r="AX13" s="1003"/>
      <c r="AY13" s="1004"/>
    </row>
    <row r="14" spans="1:53" ht="18.75" customHeight="1" thickBot="1" x14ac:dyDescent="0.25">
      <c r="A14" s="949" t="str">
        <f>IF($AL9&gt;3,"4","")</f>
        <v>4</v>
      </c>
      <c r="B14" s="990" t="s">
        <v>10</v>
      </c>
      <c r="C14" s="991"/>
      <c r="D14" s="991"/>
      <c r="E14" s="953" t="str">
        <f>AU9</f>
        <v>Foothills Vanessa</v>
      </c>
      <c r="F14" s="954"/>
      <c r="G14" s="954"/>
      <c r="H14" s="954"/>
      <c r="I14" s="954"/>
      <c r="J14" s="954"/>
      <c r="K14" s="954"/>
      <c r="L14" s="955"/>
      <c r="M14" s="956">
        <f>IF($AL10=0,AG67,AG49)</f>
        <v>1</v>
      </c>
      <c r="N14" s="957"/>
      <c r="O14" s="957"/>
      <c r="P14" s="957"/>
      <c r="Q14" s="957"/>
      <c r="R14" s="932"/>
      <c r="S14" s="956">
        <f>IF($AL10=0,AH67,AH49)</f>
        <v>2</v>
      </c>
      <c r="T14" s="957"/>
      <c r="U14" s="957"/>
      <c r="V14" s="957"/>
      <c r="W14" s="957"/>
      <c r="X14" s="956">
        <f>AR27</f>
        <v>-5</v>
      </c>
      <c r="Y14" s="957"/>
      <c r="Z14" s="957"/>
      <c r="AA14" s="958">
        <f>IF(AG61&gt;0,(AR27/AG61),0)</f>
        <v>-7.2463768115942032E-2</v>
      </c>
      <c r="AB14" s="959"/>
      <c r="AC14" s="959"/>
      <c r="AD14" s="960">
        <f>IF(AG75=0,0,(AG67/AG75))</f>
        <v>0.33333333333333331</v>
      </c>
      <c r="AE14" s="961"/>
      <c r="AF14" s="962"/>
      <c r="AG14" s="963">
        <v>3</v>
      </c>
      <c r="AH14" s="963">
        <v>1</v>
      </c>
      <c r="AI14" s="964"/>
      <c r="AJ14" s="965"/>
      <c r="AK14" s="868"/>
      <c r="AL14" s="1001"/>
      <c r="AM14" s="1001"/>
      <c r="AN14" s="1001"/>
      <c r="AO14" s="1001"/>
      <c r="AP14" s="1001"/>
      <c r="AQ14" s="1001"/>
      <c r="AR14" s="947"/>
      <c r="AS14" s="948"/>
      <c r="AT14" s="1005"/>
      <c r="AU14" s="1006"/>
      <c r="AV14" s="1006"/>
      <c r="AW14" s="1006"/>
      <c r="AX14" s="1006"/>
      <c r="AY14" s="1007"/>
    </row>
    <row r="15" spans="1:53" ht="18.75" customHeight="1" thickBot="1" x14ac:dyDescent="0.25">
      <c r="A15" s="966"/>
      <c r="B15" s="988" t="s">
        <v>11</v>
      </c>
      <c r="C15" s="989"/>
      <c r="D15" s="989"/>
      <c r="E15" s="970" t="str">
        <f>AV9</f>
        <v>fj2footh2pm</v>
      </c>
      <c r="F15" s="971"/>
      <c r="G15" s="971"/>
      <c r="H15" s="971"/>
      <c r="I15" s="971"/>
      <c r="J15" s="971"/>
      <c r="K15" s="971"/>
      <c r="L15" s="971"/>
      <c r="M15" s="972"/>
      <c r="N15" s="973"/>
      <c r="O15" s="973"/>
      <c r="P15" s="973"/>
      <c r="Q15" s="973"/>
      <c r="R15" s="932"/>
      <c r="S15" s="972"/>
      <c r="T15" s="973"/>
      <c r="U15" s="973"/>
      <c r="V15" s="973"/>
      <c r="W15" s="973"/>
      <c r="X15" s="972"/>
      <c r="Y15" s="973"/>
      <c r="Z15" s="973"/>
      <c r="AA15" s="974"/>
      <c r="AB15" s="975"/>
      <c r="AC15" s="975"/>
      <c r="AD15" s="976"/>
      <c r="AE15" s="977"/>
      <c r="AF15" s="978"/>
      <c r="AG15" s="979"/>
      <c r="AH15" s="979"/>
      <c r="AI15" s="980"/>
      <c r="AJ15" s="981"/>
      <c r="AK15" s="868"/>
      <c r="AL15" s="1001"/>
      <c r="AM15" s="1001"/>
      <c r="AN15" s="1001"/>
      <c r="AO15" s="1001"/>
      <c r="AP15" s="1001"/>
      <c r="AQ15" s="1001"/>
      <c r="AR15" s="868"/>
      <c r="AS15" s="845"/>
    </row>
    <row r="16" spans="1:53" ht="18.75" customHeight="1" x14ac:dyDescent="0.2">
      <c r="A16" s="949" t="str">
        <f>IF($AL9&gt;4,"5","")</f>
        <v/>
      </c>
      <c r="B16" s="990" t="s">
        <v>10</v>
      </c>
      <c r="C16" s="991"/>
      <c r="D16" s="991"/>
      <c r="E16" s="953">
        <f>AU11</f>
        <v>0</v>
      </c>
      <c r="F16" s="954"/>
      <c r="G16" s="954"/>
      <c r="H16" s="954"/>
      <c r="I16" s="954"/>
      <c r="J16" s="954"/>
      <c r="K16" s="954"/>
      <c r="L16" s="955"/>
      <c r="M16" s="956">
        <f>IF($AL10=0,AG68,AG50)</f>
        <v>0</v>
      </c>
      <c r="N16" s="957"/>
      <c r="O16" s="957"/>
      <c r="P16" s="957"/>
      <c r="Q16" s="957"/>
      <c r="R16" s="932"/>
      <c r="S16" s="956">
        <f>IF($AL10=0,AH68,AH50)</f>
        <v>0</v>
      </c>
      <c r="T16" s="957"/>
      <c r="U16" s="957"/>
      <c r="V16" s="957"/>
      <c r="W16" s="957"/>
      <c r="X16" s="956">
        <f>AR28</f>
        <v>0</v>
      </c>
      <c r="Y16" s="957"/>
      <c r="Z16" s="957"/>
      <c r="AA16" s="958">
        <f>IF(AG62&gt;0,(AR28/AG62),0)</f>
        <v>0</v>
      </c>
      <c r="AB16" s="959"/>
      <c r="AC16" s="959"/>
      <c r="AD16" s="960">
        <f>IF(AG76=0,0,(AG68/AG76))</f>
        <v>0</v>
      </c>
      <c r="AE16" s="961"/>
      <c r="AF16" s="962"/>
      <c r="AG16" s="963"/>
      <c r="AH16" s="963"/>
      <c r="AI16" s="964"/>
      <c r="AJ16" s="965"/>
      <c r="AK16" s="868"/>
      <c r="AL16" s="1001"/>
      <c r="AM16" s="1001"/>
      <c r="AN16" s="1001"/>
      <c r="AO16" s="1001"/>
      <c r="AP16" s="1001"/>
      <c r="AQ16" s="1001"/>
      <c r="AR16" s="868"/>
      <c r="AS16" s="845"/>
      <c r="AT16" s="1008"/>
      <c r="AU16" s="1008"/>
    </row>
    <row r="17" spans="1:47" ht="18.75" customHeight="1" thickBot="1" x14ac:dyDescent="0.25">
      <c r="A17" s="966"/>
      <c r="B17" s="1009" t="s">
        <v>11</v>
      </c>
      <c r="C17" s="1010"/>
      <c r="D17" s="1010"/>
      <c r="E17" s="1011">
        <f>AV11</f>
        <v>0</v>
      </c>
      <c r="F17" s="1012"/>
      <c r="G17" s="1012"/>
      <c r="H17" s="1012"/>
      <c r="I17" s="1012"/>
      <c r="J17" s="1012"/>
      <c r="K17" s="1012"/>
      <c r="L17" s="1012"/>
      <c r="M17" s="1013"/>
      <c r="N17" s="1014"/>
      <c r="O17" s="1014"/>
      <c r="P17" s="1014"/>
      <c r="Q17" s="1014"/>
      <c r="R17" s="932"/>
      <c r="S17" s="972"/>
      <c r="T17" s="973"/>
      <c r="U17" s="973"/>
      <c r="V17" s="973"/>
      <c r="W17" s="973"/>
      <c r="X17" s="972"/>
      <c r="Y17" s="973"/>
      <c r="Z17" s="973"/>
      <c r="AA17" s="974"/>
      <c r="AB17" s="975"/>
      <c r="AC17" s="975"/>
      <c r="AD17" s="976"/>
      <c r="AE17" s="977"/>
      <c r="AF17" s="978"/>
      <c r="AG17" s="979"/>
      <c r="AH17" s="1015"/>
      <c r="AI17" s="980"/>
      <c r="AJ17" s="981"/>
      <c r="AK17" s="868"/>
      <c r="AL17" s="1001"/>
      <c r="AM17" s="1001"/>
      <c r="AN17" s="1001"/>
      <c r="AO17" s="1001"/>
      <c r="AP17" s="1001"/>
      <c r="AQ17" s="1001"/>
      <c r="AR17" s="868"/>
      <c r="AS17" s="845"/>
      <c r="AT17" s="1008"/>
      <c r="AU17" s="1008"/>
    </row>
    <row r="18" spans="1:47" ht="21" customHeight="1" thickTop="1" thickBot="1" x14ac:dyDescent="0.25">
      <c r="A18" s="1016"/>
      <c r="B18" s="1017" t="s">
        <v>1128</v>
      </c>
      <c r="C18" s="1018"/>
      <c r="D18" s="1018"/>
      <c r="E18" s="1018"/>
      <c r="F18" s="1018"/>
      <c r="G18" s="1018"/>
      <c r="H18" s="1018"/>
      <c r="I18" s="1018"/>
      <c r="J18" s="1018"/>
      <c r="K18" s="1018"/>
      <c r="L18" s="1018"/>
      <c r="M18" s="1018"/>
      <c r="N18" s="1018"/>
      <c r="O18" s="1018"/>
      <c r="P18" s="1018"/>
      <c r="Q18" s="1018"/>
      <c r="R18" s="1018"/>
      <c r="S18" s="1018"/>
      <c r="T18" s="1018"/>
      <c r="U18" s="1018"/>
      <c r="V18" s="1018"/>
      <c r="W18" s="1018"/>
      <c r="X18" s="1018"/>
      <c r="Y18" s="1018"/>
      <c r="Z18" s="1018"/>
      <c r="AA18" s="1018"/>
      <c r="AB18" s="1018"/>
      <c r="AC18" s="1018"/>
      <c r="AD18" s="1018"/>
      <c r="AE18" s="1018"/>
      <c r="AF18" s="1018"/>
      <c r="AG18" s="1018"/>
      <c r="AH18" s="1018"/>
      <c r="AI18" s="1018"/>
      <c r="AJ18" s="1019"/>
      <c r="AK18" s="868"/>
      <c r="AL18" s="1001"/>
      <c r="AM18" s="1001"/>
      <c r="AN18" s="1001"/>
      <c r="AO18" s="1001"/>
      <c r="AP18" s="1001"/>
      <c r="AQ18" s="1001"/>
      <c r="AR18" s="868"/>
      <c r="AS18" s="845"/>
      <c r="AT18" s="1008"/>
      <c r="AU18" s="1008"/>
    </row>
    <row r="19" spans="1:47" ht="13.5" thickTop="1" x14ac:dyDescent="0.2">
      <c r="A19" s="846" t="s">
        <v>64</v>
      </c>
      <c r="B19" s="1020">
        <v>0.35416666666666669</v>
      </c>
      <c r="C19" s="1021"/>
      <c r="D19" s="1022"/>
      <c r="E19" s="1020">
        <v>0.39583333333333331</v>
      </c>
      <c r="F19" s="1021"/>
      <c r="G19" s="1022"/>
      <c r="H19" s="1020">
        <v>0.4375</v>
      </c>
      <c r="I19" s="1021"/>
      <c r="J19" s="1022"/>
      <c r="K19" s="1023"/>
      <c r="L19" s="1020">
        <v>0.5</v>
      </c>
      <c r="M19" s="1021"/>
      <c r="N19" s="1022"/>
      <c r="O19" s="1020">
        <v>4.1666666666666664E-2</v>
      </c>
      <c r="P19" s="1021"/>
      <c r="Q19" s="1022"/>
      <c r="R19" s="1020">
        <v>8.3333333333333329E-2</v>
      </c>
      <c r="S19" s="1021"/>
      <c r="T19" s="1022"/>
      <c r="U19" s="1020"/>
      <c r="V19" s="1021"/>
      <c r="W19" s="1022"/>
      <c r="X19" s="1020"/>
      <c r="Y19" s="1021"/>
      <c r="Z19" s="1022"/>
      <c r="AA19" s="1020"/>
      <c r="AB19" s="1021"/>
      <c r="AC19" s="1022"/>
      <c r="AD19" s="1020"/>
      <c r="AE19" s="1021"/>
      <c r="AF19" s="1022"/>
      <c r="AG19" s="1024" t="s">
        <v>65</v>
      </c>
      <c r="AH19" s="1025"/>
      <c r="AI19" s="1025"/>
      <c r="AJ19" s="1025"/>
      <c r="AK19" s="1026"/>
      <c r="AL19" s="1026"/>
      <c r="AM19" s="1026"/>
      <c r="AN19" s="1026"/>
      <c r="AO19" s="1026"/>
      <c r="AP19" s="1026"/>
      <c r="AQ19" s="1026"/>
      <c r="AR19" s="1027"/>
      <c r="AT19" s="1008"/>
      <c r="AU19" s="1008"/>
    </row>
    <row r="20" spans="1:47" x14ac:dyDescent="0.2">
      <c r="A20" s="1028" t="s">
        <v>66</v>
      </c>
      <c r="B20" s="1029"/>
      <c r="C20" s="1030"/>
      <c r="D20" s="1031"/>
      <c r="E20" s="1029"/>
      <c r="F20" s="1030"/>
      <c r="G20" s="1031"/>
      <c r="H20" s="1029"/>
      <c r="I20" s="1030"/>
      <c r="J20" s="1031"/>
      <c r="K20" s="1032"/>
      <c r="L20" s="1029"/>
      <c r="M20" s="1030"/>
      <c r="N20" s="1031"/>
      <c r="O20" s="1029"/>
      <c r="P20" s="1030"/>
      <c r="Q20" s="1031"/>
      <c r="R20" s="1029"/>
      <c r="S20" s="1030"/>
      <c r="T20" s="1031"/>
      <c r="U20" s="1029"/>
      <c r="V20" s="1030"/>
      <c r="W20" s="1031"/>
      <c r="X20" s="1029"/>
      <c r="Y20" s="1030"/>
      <c r="Z20" s="1031"/>
      <c r="AA20" s="1029"/>
      <c r="AB20" s="1030"/>
      <c r="AC20" s="1031"/>
      <c r="AD20" s="1029"/>
      <c r="AE20" s="1030"/>
      <c r="AF20" s="1031"/>
      <c r="AG20" s="1024"/>
      <c r="AH20" s="1025"/>
      <c r="AI20" s="1025"/>
      <c r="AJ20" s="1025"/>
      <c r="AK20" s="1025"/>
      <c r="AL20" s="1025"/>
      <c r="AM20" s="1025"/>
      <c r="AN20" s="1025"/>
      <c r="AO20" s="1025"/>
      <c r="AP20" s="1025"/>
      <c r="AQ20" s="1025"/>
      <c r="AR20" s="1033"/>
      <c r="AT20" s="1008"/>
      <c r="AU20" s="1008"/>
    </row>
    <row r="21" spans="1:47" x14ac:dyDescent="0.2">
      <c r="A21" s="1028" t="s">
        <v>67</v>
      </c>
      <c r="B21" s="1029"/>
      <c r="C21" s="1030"/>
      <c r="D21" s="1031"/>
      <c r="E21" s="1029"/>
      <c r="F21" s="1030"/>
      <c r="G21" s="1031"/>
      <c r="H21" s="1029"/>
      <c r="I21" s="1030"/>
      <c r="J21" s="1031"/>
      <c r="K21" s="1032"/>
      <c r="L21" s="1029"/>
      <c r="M21" s="1030"/>
      <c r="N21" s="1031"/>
      <c r="O21" s="1029"/>
      <c r="P21" s="1030"/>
      <c r="Q21" s="1031"/>
      <c r="R21" s="1029"/>
      <c r="S21" s="1030"/>
      <c r="T21" s="1031"/>
      <c r="U21" s="1029"/>
      <c r="V21" s="1030"/>
      <c r="W21" s="1031"/>
      <c r="X21" s="1029"/>
      <c r="Y21" s="1030"/>
      <c r="Z21" s="1031"/>
      <c r="AA21" s="1029"/>
      <c r="AB21" s="1030"/>
      <c r="AC21" s="1031"/>
      <c r="AD21" s="1029"/>
      <c r="AE21" s="1030"/>
      <c r="AF21" s="1031"/>
      <c r="AG21" s="1024"/>
      <c r="AH21" s="1025"/>
      <c r="AI21" s="1025"/>
      <c r="AJ21" s="1025"/>
      <c r="AK21" s="1025"/>
      <c r="AL21" s="1025"/>
      <c r="AM21" s="1025"/>
      <c r="AN21" s="1025"/>
      <c r="AO21" s="1025"/>
      <c r="AP21" s="1025"/>
      <c r="AQ21" s="1025"/>
      <c r="AR21" s="1033"/>
      <c r="AT21" s="853"/>
      <c r="AU21" s="853"/>
    </row>
    <row r="22" spans="1:47" ht="13.5" thickBot="1" x14ac:dyDescent="0.25">
      <c r="A22" s="868"/>
      <c r="B22" s="1034" t="s">
        <v>68</v>
      </c>
      <c r="C22" s="1035"/>
      <c r="D22" s="1036"/>
      <c r="E22" s="1034" t="str">
        <f>IF(AL8&gt;1,"Match 2","")</f>
        <v>Match 2</v>
      </c>
      <c r="F22" s="1035"/>
      <c r="G22" s="1036"/>
      <c r="H22" s="1034" t="str">
        <f>IF(AL8&gt;2,"Match 3","")</f>
        <v>Match 3</v>
      </c>
      <c r="I22" s="1035"/>
      <c r="J22" s="1036"/>
      <c r="K22" s="1032"/>
      <c r="L22" s="1034" t="str">
        <f>IF(AL8&gt;3,"Match 4","")</f>
        <v>Match 4</v>
      </c>
      <c r="M22" s="1035"/>
      <c r="N22" s="1036"/>
      <c r="O22" s="1034" t="str">
        <f>IF(AL8&gt;4,"Match 5","")</f>
        <v>Match 5</v>
      </c>
      <c r="P22" s="1035"/>
      <c r="Q22" s="1036"/>
      <c r="R22" s="1034" t="str">
        <f>IF(AL8&gt;5,"Match 6","")</f>
        <v>Match 6</v>
      </c>
      <c r="S22" s="1035"/>
      <c r="T22" s="1036"/>
      <c r="U22" s="1034" t="str">
        <f>IF(AL8&gt;6,"Match 7","")</f>
        <v/>
      </c>
      <c r="V22" s="1035"/>
      <c r="W22" s="1036"/>
      <c r="X22" s="1034" t="str">
        <f>IF(AL8&gt;7,"Match 8","")</f>
        <v/>
      </c>
      <c r="Y22" s="1035"/>
      <c r="Z22" s="1036"/>
      <c r="AA22" s="1034" t="str">
        <f>IF(AL8&gt;8,"Match 9","")</f>
        <v/>
      </c>
      <c r="AB22" s="1035"/>
      <c r="AC22" s="1036"/>
      <c r="AD22" s="1034" t="str">
        <f>IF(AL8&gt;9,"Match 10","")</f>
        <v/>
      </c>
      <c r="AE22" s="1035"/>
      <c r="AF22" s="1036"/>
      <c r="AG22" s="1037"/>
      <c r="AH22" s="1038"/>
      <c r="AI22" s="1038"/>
      <c r="AJ22" s="1038"/>
      <c r="AK22" s="1038"/>
      <c r="AL22" s="1038"/>
      <c r="AM22" s="1038"/>
      <c r="AN22" s="1038"/>
      <c r="AO22" s="1038"/>
      <c r="AP22" s="1038"/>
      <c r="AQ22" s="1038"/>
      <c r="AR22" s="1039"/>
      <c r="AT22" s="1008"/>
      <c r="AU22" s="1008"/>
    </row>
    <row r="23" spans="1:47" ht="15.75" x14ac:dyDescent="0.25">
      <c r="A23" s="868"/>
      <c r="B23" s="1040" t="s">
        <v>71</v>
      </c>
      <c r="C23" s="1041"/>
      <c r="D23" s="1042"/>
      <c r="E23" s="1040" t="s">
        <v>73</v>
      </c>
      <c r="F23" s="1041"/>
      <c r="G23" s="1042"/>
      <c r="H23" s="1040" t="s">
        <v>70</v>
      </c>
      <c r="I23" s="1041"/>
      <c r="J23" s="1042"/>
      <c r="K23" s="1032"/>
      <c r="L23" s="1040" t="s">
        <v>69</v>
      </c>
      <c r="M23" s="1041"/>
      <c r="N23" s="1042"/>
      <c r="O23" s="1040" t="s">
        <v>73</v>
      </c>
      <c r="P23" s="1041"/>
      <c r="Q23" s="1042"/>
      <c r="R23" s="1040" t="s">
        <v>70</v>
      </c>
      <c r="S23" s="1041"/>
      <c r="T23" s="1042"/>
      <c r="U23" s="1040"/>
      <c r="V23" s="1041"/>
      <c r="W23" s="1042"/>
      <c r="X23" s="1040"/>
      <c r="Y23" s="1041"/>
      <c r="Z23" s="1042"/>
      <c r="AA23" s="1040"/>
      <c r="AB23" s="1041"/>
      <c r="AC23" s="1042"/>
      <c r="AD23" s="1040"/>
      <c r="AE23" s="1041"/>
      <c r="AF23" s="1042"/>
      <c r="AG23" s="1043" t="s">
        <v>74</v>
      </c>
      <c r="AH23" s="1044">
        <v>1</v>
      </c>
      <c r="AI23" s="1044">
        <v>2</v>
      </c>
      <c r="AJ23" s="1044">
        <v>3</v>
      </c>
      <c r="AK23" s="1044">
        <v>4</v>
      </c>
      <c r="AL23" s="1044">
        <v>5</v>
      </c>
      <c r="AM23" s="1044">
        <v>6</v>
      </c>
      <c r="AN23" s="1044">
        <v>7</v>
      </c>
      <c r="AO23" s="1044">
        <v>8</v>
      </c>
      <c r="AP23" s="1044">
        <v>9</v>
      </c>
      <c r="AQ23" s="1044">
        <v>10</v>
      </c>
      <c r="AR23" s="1045" t="s">
        <v>75</v>
      </c>
      <c r="AT23" s="1008"/>
      <c r="AU23" s="1008"/>
    </row>
    <row r="24" spans="1:47" ht="15.75" x14ac:dyDescent="0.25">
      <c r="A24" s="868"/>
      <c r="B24" s="1046">
        <v>2</v>
      </c>
      <c r="C24" s="1047" t="s">
        <v>76</v>
      </c>
      <c r="D24" s="1048">
        <v>3</v>
      </c>
      <c r="E24" s="1046">
        <v>1</v>
      </c>
      <c r="F24" s="1047" t="str">
        <f>IF(AL8&gt;1,"v","")</f>
        <v>v</v>
      </c>
      <c r="G24" s="1048">
        <v>4</v>
      </c>
      <c r="H24" s="1046">
        <v>2</v>
      </c>
      <c r="I24" s="1047" t="str">
        <f>IF(AL8&gt;2,"v","")</f>
        <v>v</v>
      </c>
      <c r="J24" s="1048">
        <v>4</v>
      </c>
      <c r="K24" s="1032"/>
      <c r="L24" s="1046">
        <v>1</v>
      </c>
      <c r="M24" s="1047" t="str">
        <f>IF(AL8&gt;3,"v","")</f>
        <v>v</v>
      </c>
      <c r="N24" s="1048">
        <v>3</v>
      </c>
      <c r="O24" s="1046">
        <v>3</v>
      </c>
      <c r="P24" s="1047" t="str">
        <f>IF(AL8&gt;4,"v","")</f>
        <v>v</v>
      </c>
      <c r="Q24" s="1048">
        <v>4</v>
      </c>
      <c r="R24" s="1046">
        <v>1</v>
      </c>
      <c r="S24" s="1047" t="str">
        <f>IF(AL8&gt;5,"v","")</f>
        <v>v</v>
      </c>
      <c r="T24" s="1048">
        <v>2</v>
      </c>
      <c r="U24" s="1046"/>
      <c r="V24" s="1047" t="str">
        <f>IF(AL8&gt;6,"v","")</f>
        <v/>
      </c>
      <c r="W24" s="1048"/>
      <c r="X24" s="1046"/>
      <c r="Y24" s="1047" t="str">
        <f>IF(AL8&gt;7,"v","")</f>
        <v/>
      </c>
      <c r="Z24" s="1048"/>
      <c r="AA24" s="1046"/>
      <c r="AB24" s="1047" t="str">
        <f>IF(AL8&gt;8,"v","")</f>
        <v/>
      </c>
      <c r="AC24" s="1048"/>
      <c r="AD24" s="1046"/>
      <c r="AE24" s="1047" t="str">
        <f>IF(AL8&gt;9,"v","")</f>
        <v/>
      </c>
      <c r="AF24" s="1048"/>
      <c r="AG24" s="1049" t="str">
        <f>IF(AL9&gt;0,"Team 1","")</f>
        <v>Team 1</v>
      </c>
      <c r="AH24" s="1050" t="str">
        <f>IF(AL9&lt;1,"",IF(AL8&lt;1,"",IF(B24=1,B30-D30,IF(D24=1,D30-B30,""))))</f>
        <v/>
      </c>
      <c r="AI24" s="1050">
        <f>IF(AL9&lt;1,"",IF(AL8&lt;2,"",IF(E24=1,E30-G30,IF(G24=1,G30-E30,""))))</f>
        <v>3</v>
      </c>
      <c r="AJ24" s="1050" t="str">
        <f>IF(AL9&lt;1,"",IF(AL8&lt;3,"",IF(H24=1,H30-J30,IF(J24=1,J30-H30,""))))</f>
        <v/>
      </c>
      <c r="AK24" s="1050">
        <f>IF(AL9&lt;1,"",IF(AL8&lt;4,"",IF(L24=1,L30-N30,IF(N24=1,N30-L30,""))))</f>
        <v>-7</v>
      </c>
      <c r="AL24" s="1050" t="str">
        <f>IF(AL9&lt;1,"",IF(AL8&lt;5,"",IF(O24=1,O30-Q30,IF(Q24=1,Q30-O30,""))))</f>
        <v/>
      </c>
      <c r="AM24" s="1050">
        <f>IF(AL9&lt;1,"",IF(AL8&lt;6,"",IF(R24=1,R30-T30,IF(T24=1,T30-R30,""))))</f>
        <v>11</v>
      </c>
      <c r="AN24" s="1050" t="str">
        <f>IF(AL9&lt;1,"",IF(AL8&lt;7,"",IF(U24=1,U30-W30,IF(W24=1,W30-U30,""))))</f>
        <v/>
      </c>
      <c r="AO24" s="1050" t="str">
        <f>IF(AL9&lt;1,"",IF(AL8&lt;8,"",IF(X24=1,X30-Z30,IF(Z24=1,Z30-X30,""))))</f>
        <v/>
      </c>
      <c r="AP24" s="1050" t="str">
        <f>IF(AL9&lt;1,"",IF(AL8&lt;9,"",IF(AA24=1,AA30-AC30,IF(AC24=1,AC30-AA30,""))))</f>
        <v/>
      </c>
      <c r="AQ24" s="1050" t="str">
        <f>IF(AL9&lt;1,"",IF(AL8&lt;10,"",IF(AD24=1,AD30-AF30,IF(AF24=1,AF30-AD30,""))))</f>
        <v/>
      </c>
      <c r="AR24" s="1045">
        <f>SUM(AH24:AQ24)</f>
        <v>7</v>
      </c>
      <c r="AT24" s="1008"/>
      <c r="AU24" s="1008"/>
    </row>
    <row r="25" spans="1:47" ht="15" x14ac:dyDescent="0.2">
      <c r="A25" s="846" t="s">
        <v>77</v>
      </c>
      <c r="B25" s="1051">
        <v>14</v>
      </c>
      <c r="C25" s="1052" t="s">
        <v>78</v>
      </c>
      <c r="D25" s="1053">
        <v>20</v>
      </c>
      <c r="E25" s="1051">
        <v>22</v>
      </c>
      <c r="F25" s="1052" t="str">
        <f>IF(AL8&gt;1,"/","")</f>
        <v>/</v>
      </c>
      <c r="G25" s="1053">
        <v>19</v>
      </c>
      <c r="H25" s="1051">
        <v>15</v>
      </c>
      <c r="I25" s="1052" t="str">
        <f>IF(AL8&gt;2,"/","")</f>
        <v>/</v>
      </c>
      <c r="J25" s="1053">
        <v>23</v>
      </c>
      <c r="K25" s="1032"/>
      <c r="L25" s="1051">
        <v>16</v>
      </c>
      <c r="M25" s="1052" t="str">
        <f>IF(AL8&gt;3,"/","")</f>
        <v>/</v>
      </c>
      <c r="N25" s="1053">
        <v>23</v>
      </c>
      <c r="O25" s="1051">
        <v>24</v>
      </c>
      <c r="P25" s="1052" t="str">
        <f>IF(AL8&gt;4,"/","")</f>
        <v>/</v>
      </c>
      <c r="Q25" s="1053">
        <v>14</v>
      </c>
      <c r="R25" s="1051">
        <v>24</v>
      </c>
      <c r="S25" s="1052" t="str">
        <f>IF(AL8&gt;5,"/","")</f>
        <v>/</v>
      </c>
      <c r="T25" s="1053">
        <v>13</v>
      </c>
      <c r="U25" s="1051"/>
      <c r="V25" s="1052" t="str">
        <f>IF(AL8&gt;6,"/","")</f>
        <v/>
      </c>
      <c r="W25" s="1053"/>
      <c r="X25" s="1051"/>
      <c r="Y25" s="1052" t="str">
        <f>IF(AL8&gt;7,"/","")</f>
        <v/>
      </c>
      <c r="Z25" s="1053"/>
      <c r="AA25" s="1051"/>
      <c r="AB25" s="1052" t="str">
        <f>IF(AL8&gt;8,"/","")</f>
        <v/>
      </c>
      <c r="AC25" s="1053"/>
      <c r="AD25" s="1051"/>
      <c r="AE25" s="1052" t="str">
        <f>IF(AL8&gt;9,"/","")</f>
        <v/>
      </c>
      <c r="AF25" s="1053"/>
      <c r="AG25" s="1049" t="str">
        <f>IF(AL9&gt;1,"Team 2","")</f>
        <v>Team 2</v>
      </c>
      <c r="AH25" s="1050">
        <f>IF(AL9&lt;2,"",IF(AL8&lt;1,"",IF(B24=2,B30-D30,IF(D24=2,D30-B30,""))))</f>
        <v>-6</v>
      </c>
      <c r="AI25" s="1050" t="str">
        <f>IF(AL9&lt;2,"",IF(AL8&lt;2,"",IF(E24=2,E30-G30,IF(G24=2,G30-E30,""))))</f>
        <v/>
      </c>
      <c r="AJ25" s="1050">
        <f>IF(AL9&lt;2,"",IF(AL8&lt;3,"",IF(H24=2,H30-J30,IF(J24=2,J30-H30,""))))</f>
        <v>-8</v>
      </c>
      <c r="AK25" s="1050" t="str">
        <f>IF(AL9&lt;2,"",IF(AL8&lt;4,"",IF(L24=2,L30-N30,IF(N24=2,N30-L30,""))))</f>
        <v/>
      </c>
      <c r="AL25" s="1050" t="str">
        <f>IF(AL9&lt;2,"",IF(AL8&lt;5,"",IF(O24=2,O30-Q30,IF(Q24=2,Q30-O30,""))))</f>
        <v/>
      </c>
      <c r="AM25" s="1050">
        <f>IF(AL9&lt;2,"",IF(AL8&lt;6,"",IF(R24=2,R30-T30,IF(T24=2,T30-R30,""))))</f>
        <v>-11</v>
      </c>
      <c r="AN25" s="1050" t="str">
        <f>IF(AL9&lt;2,"",IF(AL8&lt;7,"",IF(U24=2,U30-W30,IF(W24=2,W30-U30,""))))</f>
        <v/>
      </c>
      <c r="AO25" s="1050" t="str">
        <f>IF(AL9&lt;2,"",IF(AL8&lt;8,"",IF(X24=2,X30-Z30,IF(Z24=2,Z30-X30,""))))</f>
        <v/>
      </c>
      <c r="AP25" s="1050" t="str">
        <f>IF(AL9&lt;2,"",IF(AL8&lt;9,"",IF(AA24=2,AA30-AC30,IF(AC24=2,AC30-AA30,""))))</f>
        <v/>
      </c>
      <c r="AQ25" s="1050" t="str">
        <f>IF(AL9&lt;2,"",IF(AL8&lt;10,"",IF(AD24=2,AD30-AF30,IF(AF24=2,AF30-AD30,""))))</f>
        <v/>
      </c>
      <c r="AR25" s="1045">
        <f>SUM(AH25:AQ25)</f>
        <v>-25</v>
      </c>
    </row>
    <row r="26" spans="1:47" ht="15" x14ac:dyDescent="0.2">
      <c r="A26" s="845" t="str">
        <f>IF(AL7&gt;1,"Game 2","")</f>
        <v/>
      </c>
      <c r="B26" s="1051"/>
      <c r="C26" s="1052" t="s">
        <v>78</v>
      </c>
      <c r="D26" s="1053"/>
      <c r="E26" s="1051"/>
      <c r="F26" s="1052" t="str">
        <f>IF(AL8&gt;1,IF(AL7&gt;1,"/",""),"")</f>
        <v/>
      </c>
      <c r="G26" s="1053"/>
      <c r="H26" s="1051"/>
      <c r="I26" s="1052" t="str">
        <f>IF(AL8&gt;2,IF(AL7&gt;1,"/",""),"")</f>
        <v/>
      </c>
      <c r="J26" s="1053"/>
      <c r="K26" s="1032"/>
      <c r="L26" s="1051"/>
      <c r="M26" s="1052" t="str">
        <f>IF(AL8&gt;3,IF(AL7&gt;1,"/",""),"")</f>
        <v/>
      </c>
      <c r="N26" s="1053"/>
      <c r="O26" s="1051"/>
      <c r="P26" s="1052" t="str">
        <f>IF(AL8&gt;4,IF(AL7&gt;1,"/",""),"")</f>
        <v/>
      </c>
      <c r="Q26" s="1053"/>
      <c r="R26" s="1051"/>
      <c r="S26" s="1052" t="str">
        <f>IF(AL8&gt;5,IF(AL7&gt;1,"/",""),"")</f>
        <v/>
      </c>
      <c r="T26" s="1053"/>
      <c r="U26" s="1051"/>
      <c r="V26" s="1052" t="str">
        <f>IF(AL8&gt;6,IF(AL7&gt;1,"/",""),"")</f>
        <v/>
      </c>
      <c r="W26" s="1053"/>
      <c r="X26" s="1051"/>
      <c r="Y26" s="1052" t="str">
        <f>IF(AL8&gt;7,IF(AL7&gt;1,"/",""),"")</f>
        <v/>
      </c>
      <c r="Z26" s="1053"/>
      <c r="AA26" s="1051"/>
      <c r="AB26" s="1052" t="str">
        <f>IF(AL8&gt;8,IF(AL7&gt;1,"/",""),"")</f>
        <v/>
      </c>
      <c r="AC26" s="1053"/>
      <c r="AD26" s="1051"/>
      <c r="AE26" s="1052" t="str">
        <f>IF(AL8&gt;9,IF(AL7&gt;1,"/",""),"")</f>
        <v/>
      </c>
      <c r="AF26" s="1053"/>
      <c r="AG26" s="1049" t="str">
        <f>IF(AL9&gt;2,"Team 3","")</f>
        <v>Team 3</v>
      </c>
      <c r="AH26" s="1050">
        <f>IF(AL9&lt;3,"",IF(AL8&lt;1,"",IF(B24=3,B30-D30,IF(D24=3,D30-B30,""))))</f>
        <v>6</v>
      </c>
      <c r="AI26" s="1050" t="str">
        <f>IF(AL9&lt;3,"",IF(AL8&lt;2,"",IF(E24=3,E30-G30,IF(G24=3,G30-E30,""))))</f>
        <v/>
      </c>
      <c r="AJ26" s="1050" t="str">
        <f>IF(AL9&lt;3,"",IF(AL8&lt;3,"",IF(H24=3,H30-J30,IF(J24=3,J30-H30,""))))</f>
        <v/>
      </c>
      <c r="AK26" s="1050">
        <f>IF(AL9&lt;3,"",IF(AL8&lt;4,"",IF(L24=3,L30-N30,IF(N24=3,N30-L30,""))))</f>
        <v>7</v>
      </c>
      <c r="AL26" s="1050">
        <f>IF(AL9&lt;3,"",IF(AL8&lt;5,"",IF(O24=3,O30-Q30,IF(Q24=3,Q30-O30,""))))</f>
        <v>10</v>
      </c>
      <c r="AM26" s="1050" t="str">
        <f>IF(AL9&lt;3,"",IF(AL8&lt;6,"",IF(R24=3,R30-T30,IF(T24=3,T30-R30,""))))</f>
        <v/>
      </c>
      <c r="AN26" s="1050" t="str">
        <f>IF(AL9&lt;3,"",IF(AL8&lt;7,"",IF(U24=3,U30-W30,IF(W24=3,W30-U30,""))))</f>
        <v/>
      </c>
      <c r="AO26" s="1050" t="str">
        <f>IF(AL9&lt;3,"",IF(AL8&lt;8,"",IF(X24=3,X30-Z30,IF(Z24=3,Z30-X30,""))))</f>
        <v/>
      </c>
      <c r="AP26" s="1050" t="str">
        <f>IF(AL9&lt;3,"",IF(AL8&lt;9,"",IF(AA24=3,AA30-AC30,IF(AC24=3,AC30-AA30,""))))</f>
        <v/>
      </c>
      <c r="AQ26" s="1050" t="str">
        <f>IF(AL9&lt;3,"",IF(AL8&lt;9,"",IF(AD24=3,AD30-AF30,IF(AF24=3,AF30-AD30,""))))</f>
        <v/>
      </c>
      <c r="AR26" s="1045">
        <f>SUM(AH26:AQ26)</f>
        <v>23</v>
      </c>
    </row>
    <row r="27" spans="1:47" ht="15" x14ac:dyDescent="0.2">
      <c r="A27" s="845" t="str">
        <f>IF(AL7&gt;2,"Game 3","")</f>
        <v/>
      </c>
      <c r="B27" s="1051"/>
      <c r="C27" s="1052" t="s">
        <v>78</v>
      </c>
      <c r="D27" s="1053"/>
      <c r="E27" s="1051"/>
      <c r="F27" s="1052" t="str">
        <f>IF(AL8&gt;1,IF(AL7&gt;2,"/",""),"")</f>
        <v/>
      </c>
      <c r="G27" s="1053"/>
      <c r="H27" s="1051"/>
      <c r="I27" s="1052" t="str">
        <f>IF(AL8&gt;2,IF(AL7&gt;2,"/",""),"")</f>
        <v/>
      </c>
      <c r="J27" s="1053"/>
      <c r="K27" s="1032"/>
      <c r="L27" s="1051"/>
      <c r="M27" s="1052" t="str">
        <f>IF(AL8&gt;3,IF(AL7&gt;2,"/",""),"")</f>
        <v/>
      </c>
      <c r="N27" s="1053"/>
      <c r="O27" s="1051"/>
      <c r="P27" s="1052" t="str">
        <f>IF(AL8&gt;4,IF(AL7&gt;2,"/",""),"")</f>
        <v/>
      </c>
      <c r="Q27" s="1053"/>
      <c r="R27" s="1051"/>
      <c r="S27" s="1052" t="str">
        <f>IF(AL8&gt;5,IF(AL7&gt;2,"/",""),"")</f>
        <v/>
      </c>
      <c r="T27" s="1053"/>
      <c r="U27" s="1051"/>
      <c r="V27" s="1052" t="str">
        <f>IF(AL8&gt;6,IF(AL7&gt;2,"/",""),"")</f>
        <v/>
      </c>
      <c r="W27" s="1053"/>
      <c r="X27" s="1051"/>
      <c r="Y27" s="1052" t="str">
        <f>IF(AL8&gt;7,IF(AL7&gt;2,"/",""),"")</f>
        <v/>
      </c>
      <c r="Z27" s="1053"/>
      <c r="AA27" s="1051"/>
      <c r="AB27" s="1052" t="str">
        <f>IF(AL8&gt;8,IF(AL7&gt;2,"/",""),"")</f>
        <v/>
      </c>
      <c r="AC27" s="1053"/>
      <c r="AD27" s="1051"/>
      <c r="AE27" s="1052" t="str">
        <f>IF(AL8&gt;9,IF(AL7&gt;2,"/",""),"")</f>
        <v/>
      </c>
      <c r="AF27" s="1053"/>
      <c r="AG27" s="1049" t="str">
        <f>IF(AL9&gt;3,"Team 4","")</f>
        <v>Team 4</v>
      </c>
      <c r="AH27" s="1050" t="str">
        <f>IF(AL9&lt;4,"",IF(AL8&lt;1,"",IF(B24=4,B30-D30,IF(D24=4,D30-B30,""))))</f>
        <v/>
      </c>
      <c r="AI27" s="1050">
        <f>IF(AL9&lt;4,"",IF(AL8&lt;2,"",IF(E24=4,E30-G30,IF(G24=4,G30-E30,""))))</f>
        <v>-3</v>
      </c>
      <c r="AJ27" s="1050">
        <f>IF(AL9&lt;4,"",IF(AL8&lt;3,"",IF(H24=4,H30-J30,IF(J24=4,J30-H30,""))))</f>
        <v>8</v>
      </c>
      <c r="AK27" s="1050" t="str">
        <f>IF(AL9&lt;4,"",IF(AL8&lt;4,"",IF(L24=4,L30-N30,IF(N24=4,N30-L30,""))))</f>
        <v/>
      </c>
      <c r="AL27" s="1050">
        <f>IF(AL9&lt;4,"",IF(AL8&lt;5,"",IF(O24=4,O30-Q30,IF(Q24=4,Q30-O30,""))))</f>
        <v>-10</v>
      </c>
      <c r="AM27" s="1050" t="str">
        <f>IF(AL9&lt;4,"",IF(AL8&lt;6,"",IF(R24=4,R30-T30,IF(T24=4,T30-R30,""))))</f>
        <v/>
      </c>
      <c r="AN27" s="1050" t="str">
        <f>IF(AL9&lt;4,"",IF(AL8&lt;7,"",IF(U24=4,U30-W30,IF(W24=4,W30-U30,""))))</f>
        <v/>
      </c>
      <c r="AO27" s="1050" t="str">
        <f>IF(AL9&lt;4,"",IF(AL8&lt;8,"",IF(X24=4,X30-Z30,IF(Z24=4,Z30-X30,""))))</f>
        <v/>
      </c>
      <c r="AP27" s="1050" t="str">
        <f>IF(AL9&lt;4,"",IF(AL8&lt;9,"",IF(AA24=4,AA30-AC30,IF(AC24=4,AC30-AA30,""))))</f>
        <v/>
      </c>
      <c r="AQ27" s="1050" t="str">
        <f>IF(AL9&lt;4,"",IF(AL8&lt;10,"",IF(AD24=4,AD30-AF30,IF(AF24=4,AF30-AD30,""))))</f>
        <v/>
      </c>
      <c r="AR27" s="1045">
        <f>SUM(AH27:AQ27)</f>
        <v>-5</v>
      </c>
    </row>
    <row r="28" spans="1:47" ht="15" x14ac:dyDescent="0.2">
      <c r="A28" s="845" t="str">
        <f>IF(AL7&gt;3,"Game 4","")</f>
        <v/>
      </c>
      <c r="B28" s="1051"/>
      <c r="C28" s="1052" t="s">
        <v>78</v>
      </c>
      <c r="D28" s="1053"/>
      <c r="E28" s="1051"/>
      <c r="F28" s="1052" t="str">
        <f>IF(AL8&gt;1,IF(AL7&gt;3,"/",""),"")</f>
        <v/>
      </c>
      <c r="G28" s="1053"/>
      <c r="H28" s="1051"/>
      <c r="I28" s="1052" t="str">
        <f>IF(AL8&gt;2,IF(AL7&gt;3,"/",""),"")</f>
        <v/>
      </c>
      <c r="J28" s="1053"/>
      <c r="K28" s="1032"/>
      <c r="L28" s="1051"/>
      <c r="M28" s="1052" t="str">
        <f>IF(AL8&gt;3,IF(AL7&gt;3,"/",""),"")</f>
        <v/>
      </c>
      <c r="N28" s="1053"/>
      <c r="O28" s="1051"/>
      <c r="P28" s="1052" t="str">
        <f>IF(AL8&gt;4,IF(AL7&gt;3,"/",""),"")</f>
        <v/>
      </c>
      <c r="Q28" s="1053"/>
      <c r="R28" s="1051"/>
      <c r="S28" s="1052" t="str">
        <f>IF(AL8&gt;5,IF(AL7&gt;3,"/",""),"")</f>
        <v/>
      </c>
      <c r="T28" s="1053"/>
      <c r="U28" s="1051"/>
      <c r="V28" s="1052" t="str">
        <f>IF(AL8&gt;6,IF(AL7&gt;3,"/",""),"")</f>
        <v/>
      </c>
      <c r="W28" s="1053"/>
      <c r="X28" s="1051"/>
      <c r="Y28" s="1052" t="str">
        <f>IF(AL8&gt;7,IF(AL7&gt;3,"/",""),"")</f>
        <v/>
      </c>
      <c r="Z28" s="1053"/>
      <c r="AA28" s="1051"/>
      <c r="AB28" s="1052" t="str">
        <f>IF(AL8&gt;8,IF(AL7&gt;3,"/",""),"")</f>
        <v/>
      </c>
      <c r="AC28" s="1053"/>
      <c r="AD28" s="1051"/>
      <c r="AE28" s="1052" t="str">
        <f>IF(AL8&gt;9,IF(AL7&gt;3,"/",""),"")</f>
        <v/>
      </c>
      <c r="AF28" s="1053"/>
      <c r="AG28" s="1049" t="str">
        <f>IF(AL9&gt;4,"Team 5","")</f>
        <v/>
      </c>
      <c r="AH28" s="1054" t="str">
        <f>IF(AL9&lt;5,"",IF(AL8&lt;1,"",IF(B24=5,B30-D30,IF(D24=5,D30-B30,""))))</f>
        <v/>
      </c>
      <c r="AI28" s="1050" t="str">
        <f>IF(AL9&lt;5,"",IF(AL8&lt;2,"",IF(E24=5,E30-G30,IF(G24=5,G30-E30,""))))</f>
        <v/>
      </c>
      <c r="AJ28" s="1050" t="str">
        <f>IF(AL9&lt;5,"",IF(AL8&lt;3,"",IF(H24=5,H30-J30,IF(J24=5,J30-H30,""))))</f>
        <v/>
      </c>
      <c r="AK28" s="1050" t="str">
        <f>IF(AL9&lt;5,"",IF(AL8&lt;4,"",IF(L24=5,L30-N30,IF(N24=5,N30-L30,""))))</f>
        <v/>
      </c>
      <c r="AL28" s="1050" t="str">
        <f>IF(AL9&lt;5,"",IF(AL8&lt;5,"",IF(O24=5,O30-Q30,IF(Q24=5,Q30-O30,""))))</f>
        <v/>
      </c>
      <c r="AM28" s="1050" t="str">
        <f>IF(AL9&lt;5,"",IF(AL8&lt;6,"",IF(R24=5,R30-T30,IF(T24=5,T30-R30,""))))</f>
        <v/>
      </c>
      <c r="AN28" s="1050" t="str">
        <f>IF(AL9&lt;5,"",IF(AL8&lt;7,"",IF(U24=5,U30-W30,IF(W24=5,W30-U30,""))))</f>
        <v/>
      </c>
      <c r="AO28" s="1050" t="str">
        <f>IF(AL9&lt;5,"",IF(AL8&lt;8,"",IF(X24=5,X30-Z30,IF(Z24=5,Z30-X30,""))))</f>
        <v/>
      </c>
      <c r="AP28" s="1050" t="str">
        <f>IF(AL9&lt;5,"",IF(AL8&lt;9,"",IF(AA24=5,AA30-AC30,IF(AC24=5,AC30-AA30,""))))</f>
        <v/>
      </c>
      <c r="AQ28" s="1050" t="str">
        <f>IF(AL9&lt;5,"",IF(AL8&lt;10,"",IF(AD24=5,AD30-AF30,IF(AF24=5,AF30-AD30,""))))</f>
        <v/>
      </c>
      <c r="AR28" s="1045">
        <f>SUM(AH28:AQ28)</f>
        <v>0</v>
      </c>
    </row>
    <row r="29" spans="1:47" ht="15" x14ac:dyDescent="0.2">
      <c r="A29" s="845" t="str">
        <f>IF(AL7&gt;4,"Game 5","")</f>
        <v/>
      </c>
      <c r="B29" s="1051"/>
      <c r="C29" s="1052" t="s">
        <v>78</v>
      </c>
      <c r="D29" s="1053"/>
      <c r="E29" s="1051"/>
      <c r="F29" s="1052" t="str">
        <f>IF(AL8&gt;1,IF(AL7&gt;4,"/",""),"")</f>
        <v/>
      </c>
      <c r="G29" s="1053"/>
      <c r="H29" s="1051"/>
      <c r="I29" s="1052" t="str">
        <f>IF(AL8&gt;2,IF(AL7&gt;4,"/",""),"")</f>
        <v/>
      </c>
      <c r="J29" s="1053"/>
      <c r="K29" s="1055"/>
      <c r="L29" s="1051"/>
      <c r="M29" s="1052" t="str">
        <f>IF(AL8&gt;3,IF(AL7&gt;4,"/",""),"")</f>
        <v/>
      </c>
      <c r="N29" s="1053"/>
      <c r="O29" s="1051"/>
      <c r="P29" s="1052" t="str">
        <f>IF(AL8&gt;4,IF(AL7&gt;4,"/",""),"")</f>
        <v/>
      </c>
      <c r="Q29" s="1053"/>
      <c r="R29" s="1051"/>
      <c r="S29" s="1052" t="str">
        <f>IF(AL8&gt;5,IF(AL7&gt;4,"/",""),"")</f>
        <v/>
      </c>
      <c r="T29" s="1053"/>
      <c r="U29" s="1051"/>
      <c r="V29" s="1052" t="str">
        <f>IF(AL8&gt;6,IF(AL7&gt;4,"/",""),"")</f>
        <v/>
      </c>
      <c r="W29" s="1053"/>
      <c r="X29" s="1051"/>
      <c r="Y29" s="1052" t="str">
        <f>IF(AL8&gt;7,IF(AL7&gt;4,"/",""),"")</f>
        <v/>
      </c>
      <c r="Z29" s="1053"/>
      <c r="AA29" s="1051"/>
      <c r="AB29" s="1052" t="str">
        <f>IF(AL8&gt;8,IF(AL7&gt;4,"/",""),"")</f>
        <v/>
      </c>
      <c r="AC29" s="1053"/>
      <c r="AD29" s="1051"/>
      <c r="AE29" s="1052" t="str">
        <f>IF(AL8&gt;9,IF(AL7&gt;4,"/",""),"")</f>
        <v/>
      </c>
      <c r="AF29" s="1053"/>
      <c r="AG29" s="868"/>
      <c r="AH29" s="868"/>
      <c r="AI29" s="868"/>
      <c r="AJ29" s="868"/>
      <c r="AK29" s="868"/>
      <c r="AL29" s="868"/>
      <c r="AM29" s="868"/>
      <c r="AN29" s="868"/>
      <c r="AO29" s="868"/>
      <c r="AP29" s="868"/>
      <c r="AQ29" s="868"/>
      <c r="AR29" s="868"/>
    </row>
    <row r="30" spans="1:47" hidden="1" x14ac:dyDescent="0.2">
      <c r="A30" s="1056"/>
      <c r="B30" s="1056">
        <f>IF($AL7=5,SUM(B25:B29),IF($AL7=4,SUM(B25:B28),IF($AL7=3,SUM(B25:B27),IF($AL7=2,SUM(B25:B26),B25))))</f>
        <v>14</v>
      </c>
      <c r="C30" s="1056"/>
      <c r="D30" s="1056">
        <f>IF($AL7=5,SUM(D25:D29),IF($AL7=4,SUM(D25:D28),IF($AL7=3,SUM(D25:D27),IF($AL7=2,SUM(D25:D26),D25))))</f>
        <v>20</v>
      </c>
      <c r="E30" s="1056">
        <f>IF($AL7=5,SUM(E25:E29),IF($AL7=4,SUM(E25:E28),IF($AL7=3,SUM(E25:E27),IF($AL7=2,SUM(E25:E26),E25))))</f>
        <v>22</v>
      </c>
      <c r="F30" s="1056"/>
      <c r="G30" s="1056">
        <f>IF($AL7=5,SUM(G25:G29),IF($AL7=4,SUM(G25:G28),IF($AL7=3,SUM(G25:G27),IF($AL7=2,SUM(G25:G26),G25))))</f>
        <v>19</v>
      </c>
      <c r="H30" s="1056">
        <f>IF($AL7=5,SUM(H25:H29),IF($AL7=4,SUM(H25:H28),IF($AL7=3,SUM(H25:H27),IF($AL7=2,SUM(H25:H26),H25))))</f>
        <v>15</v>
      </c>
      <c r="I30" s="1056"/>
      <c r="J30" s="1056">
        <f>IF($AL7=5,SUM(J25:J29),IF($AL7=4,SUM(J25:J28),IF($AL7=3,SUM(J25:J27),IF($AL7=2,SUM(J25:J26),J25))))</f>
        <v>23</v>
      </c>
      <c r="K30" s="1056"/>
      <c r="L30" s="1056">
        <f>IF($AL7=5,SUM(L25:L29),IF($AL7=4,SUM(L25:L28),IF($AL7=3,SUM(L25:L27),IF($AL7=2,SUM(L25:L26),L25))))</f>
        <v>16</v>
      </c>
      <c r="M30" s="1056"/>
      <c r="N30" s="1056">
        <f>IF($AL7=5,SUM(N25:N29),IF($AL7=4,SUM(N25:N28),IF($AL7=3,SUM(N25:N27),IF($AL7=2,SUM(N25:N26),N25))))</f>
        <v>23</v>
      </c>
      <c r="O30" s="1056">
        <f>IF($AL7=5,SUM(O25:O29),IF($AL7=4,SUM(O25:O28),IF($AL7=3,SUM(O25:O27),IF($AL7=2,SUM(O25:O26),O25))))</f>
        <v>24</v>
      </c>
      <c r="P30" s="1056"/>
      <c r="Q30" s="1056">
        <f>IF($AL7=5,SUM(Q25:Q29),IF($AL7=4,SUM(Q25:Q28),IF($AL7=3,SUM(Q25:Q27),IF($AL7=2,SUM(Q25:Q26),Q25))))</f>
        <v>14</v>
      </c>
      <c r="R30" s="1056">
        <f>IF($AL7=5,SUM(R25:R29),IF($AL7=4,SUM(R25:R28),IF($AL7=3,SUM(R25:R27),IF($AL7=2,SUM(R25:R26),R25))))</f>
        <v>24</v>
      </c>
      <c r="S30" s="1056"/>
      <c r="T30" s="1056">
        <f>IF($AL7=5,SUM(T25:T29),IF($AL7=4,SUM(T25:T28),IF($AL7=3,SUM(T25:T27),IF($AL7=2,SUM(T25:T26),T25))))</f>
        <v>13</v>
      </c>
      <c r="U30" s="1056">
        <f>IF($AL7=5,SUM(U25:U29),IF($AL7=4,SUM(U25:U28),IF($AL7=3,SUM(U25:U27),IF($AL7=2,SUM(U25:U26),U25))))</f>
        <v>0</v>
      </c>
      <c r="V30" s="1056"/>
      <c r="W30" s="1056">
        <f>IF($AL7=5,SUM(W25:W29),IF($AL7=4,SUM(W25:W28),IF($AL7=3,SUM(W25:W27),IF($AL7=2,SUM(W25:W26),W25))))</f>
        <v>0</v>
      </c>
      <c r="X30" s="1056">
        <f>IF($AL7=5,SUM(X25:X29),IF($AL7=4,SUM(X25:X28),IF($AL7=3,SUM(X25:X27),IF($AL7=2,SUM(X25:X26),X25))))</f>
        <v>0</v>
      </c>
      <c r="Y30" s="1056"/>
      <c r="Z30" s="1056">
        <f>IF($AL7=5,SUM(Z25:Z29),IF($AL7=4,SUM(Z25:Z28),IF($AL7=3,SUM(Z25:Z27),IF($AL7=2,SUM(Z25:Z26),Z25))))</f>
        <v>0</v>
      </c>
      <c r="AA30" s="1056">
        <f>IF($AL7=5,SUM(AA25:AA29),IF($AL7=4,SUM(AA25:AA28),IF($AL7=3,SUM(AA25:AA27),IF($AL7=2,SUM(AA25:AA26),AA25))))</f>
        <v>0</v>
      </c>
      <c r="AB30" s="1056"/>
      <c r="AC30" s="1056">
        <f>IF($AL7=5,SUM(AC25:AC29),IF($AL7=4,SUM(AC25:AC28),IF($AL7=3,SUM(AC25:AC27),IF($AL7=2,SUM(AC25:AC26),AC25))))</f>
        <v>0</v>
      </c>
      <c r="AD30" s="1056">
        <f>IF($AL7=5,SUM(AD25:AD29),IF($AL7=4,SUM(AD25:AD28),IF($AL7=3,SUM(AD25:AD27),IF($AL7=2,SUM(AD25:AD26),AD25))))</f>
        <v>0</v>
      </c>
      <c r="AE30" s="1056"/>
      <c r="AF30" s="1056">
        <f>IF($AL7=5,SUM(AF25:AF29),IF($AL7=4,SUM(AF25:AF28),IF($AL7=3,SUM(AF25:AF27),IF($AL7=2,SUM(AF25:AF26),AF25))))</f>
        <v>0</v>
      </c>
      <c r="AG30" s="868"/>
      <c r="AH30" s="868"/>
      <c r="AI30" s="868"/>
      <c r="AJ30" s="868"/>
      <c r="AK30" s="868"/>
      <c r="AL30" s="868"/>
      <c r="AM30" s="868"/>
      <c r="AN30" s="868"/>
      <c r="AO30" s="868"/>
      <c r="AP30" s="868"/>
      <c r="AQ30" s="868"/>
      <c r="AR30" s="868"/>
    </row>
    <row r="31" spans="1:47" s="1057" customFormat="1" ht="12.75" hidden="1" customHeight="1" x14ac:dyDescent="0.2">
      <c r="A31" s="1057" t="s">
        <v>79</v>
      </c>
      <c r="B31" s="1058">
        <f>IF(AND(B25&gt;D25,$AL8&gt;0,ISNUMBER(B25),ISNUMBER(D25)),1,0)</f>
        <v>0</v>
      </c>
      <c r="C31" s="1058"/>
      <c r="D31" s="1059">
        <f>IF(AND(D25&gt;B25,$AL8&gt;0,ISNUMBER(B25),ISNUMBER(D25)),1,0)</f>
        <v>1</v>
      </c>
      <c r="E31" s="1058">
        <f>IF(AND(E25&gt;G25,$AL8&gt;1,ISNUMBER(E25),ISNUMBER(G25)),1,0)</f>
        <v>1</v>
      </c>
      <c r="F31" s="1058"/>
      <c r="G31" s="1059">
        <f>IF(AND(G25&gt;E25,$AL8&gt;1,ISNUMBER(E25),ISNUMBER(G25)),1,0)</f>
        <v>0</v>
      </c>
      <c r="H31" s="1058">
        <f>IF(AND(H25&gt;J25,$AL8&gt;2,ISNUMBER(H25),ISNUMBER(J25)),1,0)</f>
        <v>0</v>
      </c>
      <c r="I31" s="1058"/>
      <c r="J31" s="1059">
        <f>IF(AND(J25&gt;H25,$AL8&gt;2,ISNUMBER(H25),ISNUMBER(J25)),1,0)</f>
        <v>1</v>
      </c>
      <c r="K31" s="1060"/>
      <c r="L31" s="1058">
        <f>IF(AND(L25&gt;N25,$AL8&gt;3,ISNUMBER(L25),ISNUMBER(N25)),1,0)</f>
        <v>0</v>
      </c>
      <c r="M31" s="1058"/>
      <c r="N31" s="1059">
        <f>IF(AND(N25&gt;L25,$AL8&gt;3,ISNUMBER(L25),ISNUMBER(N25)),1,0)</f>
        <v>1</v>
      </c>
      <c r="O31" s="1058">
        <f>IF(AND(O25&gt;Q25,$AL8&gt;4,ISNUMBER(O25),ISNUMBER(Q25)),1,0)</f>
        <v>1</v>
      </c>
      <c r="P31" s="1058"/>
      <c r="Q31" s="1059">
        <f>IF(AND(Q25&gt;O25,$AL8&gt;4,ISNUMBER(O25),ISNUMBER(Q25)),1,0)</f>
        <v>0</v>
      </c>
      <c r="R31" s="1058">
        <f>IF(AND(R25&gt;T25,$AL8&gt;5,ISNUMBER(R25),ISNUMBER(T25)),1,0)</f>
        <v>1</v>
      </c>
      <c r="S31" s="1058"/>
      <c r="T31" s="1059">
        <f>IF(AND(T25&gt;R25,$AL8&gt;5,ISNUMBER(R25),ISNUMBER(T25)),1,0)</f>
        <v>0</v>
      </c>
      <c r="U31" s="1058">
        <f>IF(AND(U25&gt;W25,$AL8&gt;6,ISNUMBER(U25),ISNUMBER(W25)),1,0)</f>
        <v>0</v>
      </c>
      <c r="V31" s="1058"/>
      <c r="W31" s="1059">
        <f>IF(AND(W25&gt;U25,$AL8&gt;6,ISNUMBER(U25),ISNUMBER(W25)),1,0)</f>
        <v>0</v>
      </c>
      <c r="X31" s="1058">
        <f>IF(AND(X25&gt;Z25,$AL8&gt;7,ISNUMBER(X25),ISNUMBER(Z25)),1,0)</f>
        <v>0</v>
      </c>
      <c r="Y31" s="1058"/>
      <c r="Z31" s="1059">
        <f>IF(AND(Z25&gt;X25,$AL8&gt;7,ISNUMBER(X25),ISNUMBER(Z25)),1,0)</f>
        <v>0</v>
      </c>
      <c r="AA31" s="1058">
        <f>IF(AND(AA25&gt;AC25,$AL8&gt;8,ISNUMBER(AA25),ISNUMBER(AC25)),1,0)</f>
        <v>0</v>
      </c>
      <c r="AB31" s="1058"/>
      <c r="AC31" s="1059">
        <f>IF(AND(AC25&gt;AA25,$AL8&gt;8,ISNUMBER(AA25),ISNUMBER(AC25)),1,0)</f>
        <v>0</v>
      </c>
      <c r="AD31" s="1058">
        <f>IF(AND(AD25&gt;AF25,$AL8&gt;9,ISNUMBER(AD25),ISNUMBER(AF25)),1,0)</f>
        <v>0</v>
      </c>
      <c r="AE31" s="1058"/>
      <c r="AF31" s="1059">
        <f>IF(AND(AF25&gt;AD25,$AL8&gt;9,ISNUMBER(AD25),ISNUMBER(AF25)),1,0)</f>
        <v>0</v>
      </c>
    </row>
    <row r="32" spans="1:47" s="1057" customFormat="1" ht="12.75" hidden="1" customHeight="1" x14ac:dyDescent="0.2">
      <c r="A32" s="1057" t="s">
        <v>80</v>
      </c>
      <c r="B32" s="1058">
        <f>IF(AND(B26&gt;D26,$AL8&gt;0,$AL7&gt;1,ISNUMBER(B26),ISNUMBER(D26)),1,0)</f>
        <v>0</v>
      </c>
      <c r="C32" s="1058"/>
      <c r="D32" s="1059">
        <f>IF(AND(D26&gt;B26,$AL8&gt;0,$AL7&gt;1,ISNUMBER(B26),ISNUMBER(D26)),1,0)</f>
        <v>0</v>
      </c>
      <c r="E32" s="1058">
        <f>IF(AND(E26&gt;G26,$AL8&gt;1,$AL7&gt;1,ISNUMBER(E26),ISNUMBER(G26)),1,0)</f>
        <v>0</v>
      </c>
      <c r="F32" s="1058"/>
      <c r="G32" s="1059">
        <f>IF(AND(G26&gt;E26,$AL8&gt;1,$AL7&gt;1,ISNUMBER(E26),ISNUMBER(G26)),1,0)</f>
        <v>0</v>
      </c>
      <c r="H32" s="1058">
        <f>IF(AND(H26&gt;J26,$AL8&gt;2,$AL7&gt;1,ISNUMBER(H26),ISNUMBER(J26)),1,0)</f>
        <v>0</v>
      </c>
      <c r="I32" s="1058"/>
      <c r="J32" s="1059">
        <f>IF(AND(J26&gt;H26,$AL8&gt;2,$AL7&gt;1,ISNUMBER(H26),ISNUMBER(J26)),1,0)</f>
        <v>0</v>
      </c>
      <c r="K32" s="1060"/>
      <c r="L32" s="1058">
        <f>IF(AND(L26&gt;N26,$AL8&gt;3,$AL7&gt;1,ISNUMBER(L26),ISNUMBER(N26)),1,0)</f>
        <v>0</v>
      </c>
      <c r="M32" s="1058"/>
      <c r="N32" s="1059">
        <f>IF(AND(N26&gt;L26,$AL8&gt;3,$AL7&gt;1,ISNUMBER(L26),ISNUMBER(N26)),1,0)</f>
        <v>0</v>
      </c>
      <c r="O32" s="1058">
        <f>IF(AND(O26&gt;Q26,$AL8&gt;4,$AL7&gt;1,ISNUMBER(O26),ISNUMBER(Q26)),1,0)</f>
        <v>0</v>
      </c>
      <c r="P32" s="1058"/>
      <c r="Q32" s="1059">
        <f>IF(AND(Q26&gt;O26,$AL8&gt;4,$AL7&gt;1,ISNUMBER(O26),ISNUMBER(Q26)),1,0)</f>
        <v>0</v>
      </c>
      <c r="R32" s="1058">
        <f>IF(AND(R26&gt;T26,$AL8&gt;5,$AL7&gt;1,ISNUMBER(R26),ISNUMBER(T26)),1,0)</f>
        <v>0</v>
      </c>
      <c r="S32" s="1058"/>
      <c r="T32" s="1059">
        <f>IF(AND(T26&gt;R26,$AL8&gt;5,$AL7&gt;1,ISNUMBER(R26),ISNUMBER(T26)),1,0)</f>
        <v>0</v>
      </c>
      <c r="U32" s="1058">
        <f>IF(AND(U26&gt;W26,$AL8&gt;6,$AL7&gt;1,ISNUMBER(U26),ISNUMBER(W26)),1,0)</f>
        <v>0</v>
      </c>
      <c r="V32" s="1058"/>
      <c r="W32" s="1059">
        <f>IF(AND(W26&gt;U26,$AL8&gt;6,$AL7&gt;1,ISNUMBER(U26),ISNUMBER(W26)),1,0)</f>
        <v>0</v>
      </c>
      <c r="X32" s="1058">
        <f>IF(AND(X26&gt;Z26,$AL8&gt;7,$AL7&gt;1,ISNUMBER(X26),ISNUMBER(Z26)),1,0)</f>
        <v>0</v>
      </c>
      <c r="Y32" s="1058"/>
      <c r="Z32" s="1059">
        <f>IF(AND(Z26&gt;X26,$AL8&gt;7,$AL7&gt;1,ISNUMBER(X26),ISNUMBER(Z26)),1,0)</f>
        <v>0</v>
      </c>
      <c r="AA32" s="1058">
        <f>IF(AND(AA26&gt;AC26,$AL8&gt;8,$AL7&gt;1,ISNUMBER(AA26),ISNUMBER(AC26)),1,0)</f>
        <v>0</v>
      </c>
      <c r="AB32" s="1058"/>
      <c r="AC32" s="1059">
        <f>IF(AND(AC26&gt;AA26,$AL8&gt;8,$AL7&gt;1,ISNUMBER(AA26),ISNUMBER(AC26)),1,0)</f>
        <v>0</v>
      </c>
      <c r="AD32" s="1058">
        <f>IF(AND(AD26&gt;AF26,$AL8&gt;9,$AL7&gt;1,ISNUMBER(AD26),ISNUMBER(AF26)),1,0)</f>
        <v>0</v>
      </c>
      <c r="AE32" s="1058"/>
      <c r="AF32" s="1059">
        <f>IF(AND(AF26&gt;AD26,$AL8&gt;9,$AL7&gt;1,ISNUMBER(AD26),ISNUMBER(AF26)),1,0)</f>
        <v>0</v>
      </c>
    </row>
    <row r="33" spans="1:34" s="1057" customFormat="1" ht="12.75" hidden="1" customHeight="1" x14ac:dyDescent="0.2">
      <c r="A33" s="1057" t="s">
        <v>81</v>
      </c>
      <c r="B33" s="1058">
        <f>IF(AND(B27&gt;D27,$AL8&gt;0,$AL7&gt;2,ISNUMBER(B27),ISNUMBER(D27)),1,0)</f>
        <v>0</v>
      </c>
      <c r="C33" s="1058"/>
      <c r="D33" s="1059">
        <f>IF(AND(D27&gt;B27,$AL8&gt;0,$AL7&gt;2,ISNUMBER(B27),ISNUMBER(D27)),1,0)</f>
        <v>0</v>
      </c>
      <c r="E33" s="1058">
        <f>IF(AND(E27&gt;G27,$AL8&gt;1,$AL7&gt;2,ISNUMBER(E27),ISNUMBER(G27)),1,0)</f>
        <v>0</v>
      </c>
      <c r="F33" s="1058"/>
      <c r="G33" s="1059">
        <f>IF(AND(G27&gt;E27,$AL8&gt;1,$AL7&gt;2,ISNUMBER(E27),ISNUMBER(G27)),1,0)</f>
        <v>0</v>
      </c>
      <c r="H33" s="1058">
        <f>IF(AND(H27&gt;J27,$AL8&gt;2,$AL7&gt;2,ISNUMBER(H27),ISNUMBER(J27)),1,0)</f>
        <v>0</v>
      </c>
      <c r="I33" s="1058"/>
      <c r="J33" s="1059">
        <f>IF(AND(J27&gt;H27,$AL8&gt;2,$AL7&gt;2,ISNUMBER(H27),ISNUMBER(J27)),1,0)</f>
        <v>0</v>
      </c>
      <c r="K33" s="1060"/>
      <c r="L33" s="1058">
        <f>IF(AND(L27&gt;N27,$AL8&gt;3,$AL7&gt;2,ISNUMBER(L27),ISNUMBER(N27)),1,0)</f>
        <v>0</v>
      </c>
      <c r="M33" s="1058"/>
      <c r="N33" s="1059">
        <f>IF(AND(N27&gt;L27,$AL8&gt;3,$AL7&gt;2,ISNUMBER(L27),ISNUMBER(N27)),1,0)</f>
        <v>0</v>
      </c>
      <c r="O33" s="1058">
        <f>IF(AND(O27&gt;Q27,$AL8&gt;4,$AL7&gt;2,ISNUMBER(O27),ISNUMBER(Q27)),1,0)</f>
        <v>0</v>
      </c>
      <c r="P33" s="1058"/>
      <c r="Q33" s="1059">
        <f>IF(AND(Q27&gt;O27,$AL8&gt;4,$AL7&gt;2,ISNUMBER(O27),ISNUMBER(Q27)),1,0)</f>
        <v>0</v>
      </c>
      <c r="R33" s="1058">
        <f>IF(AND(R27&gt;T27,$AL8&gt;5,$AL7&gt;2,ISNUMBER(R27),ISNUMBER(T27)),1,0)</f>
        <v>0</v>
      </c>
      <c r="S33" s="1058"/>
      <c r="T33" s="1059">
        <f>IF(AND(T27&gt;R27,$AL8&gt;5,$AL7&gt;2,ISNUMBER(R27),ISNUMBER(T27)),1,0)</f>
        <v>0</v>
      </c>
      <c r="U33" s="1058">
        <f>IF(AND(U27&gt;W27,$AL8&gt;6,$AL7&gt;2,ISNUMBER(U27),ISNUMBER(W27)),1,0)</f>
        <v>0</v>
      </c>
      <c r="V33" s="1058"/>
      <c r="W33" s="1059">
        <f>IF(AND(W27&gt;U27,$AL8&gt;6,$AL7&gt;2,ISNUMBER(U27),ISNUMBER(W27)),1,0)</f>
        <v>0</v>
      </c>
      <c r="X33" s="1058">
        <f>IF(AND(X27&gt;Z27,$AL8&gt;7,$AL7&gt;2,ISNUMBER(X27),ISNUMBER(Z27)),1,0)</f>
        <v>0</v>
      </c>
      <c r="Y33" s="1058"/>
      <c r="Z33" s="1059">
        <f>IF(AND(Z27&gt;X27,$AL8&gt;7,$AL7&gt;2,ISNUMBER(X27),ISNUMBER(Z27)),1,0)</f>
        <v>0</v>
      </c>
      <c r="AA33" s="1058">
        <f>IF(AND(AA27&gt;AC27,$AL8&gt;8,$AL7&gt;2,ISNUMBER(AA27),ISNUMBER(AC27)),1,0)</f>
        <v>0</v>
      </c>
      <c r="AB33" s="1058"/>
      <c r="AC33" s="1059">
        <f>IF(AND(AC27&gt;AA27,$AL8&gt;8,$AL7&gt;2,ISNUMBER(AA27),ISNUMBER(AC27)),1,0)</f>
        <v>0</v>
      </c>
      <c r="AD33" s="1058">
        <f>IF(AND(AD27&gt;AF27,$AL8&gt;9,$AL7&gt;2,ISNUMBER(AD27),ISNUMBER(AF27)),1,0)</f>
        <v>0</v>
      </c>
      <c r="AE33" s="1058"/>
      <c r="AF33" s="1059">
        <f>IF(AND(AF27&gt;AD27,$AL8&gt;9,$AL7&gt;2,ISNUMBER(AD27),ISNUMBER(AF27)),1,0)</f>
        <v>0</v>
      </c>
    </row>
    <row r="34" spans="1:34" s="1057" customFormat="1" ht="12.75" hidden="1" customHeight="1" x14ac:dyDescent="0.2">
      <c r="A34" s="1057" t="s">
        <v>82</v>
      </c>
      <c r="B34" s="1058">
        <f>IF(AND(B28&gt;D28,$AL8&gt;0,$AL7&gt;3,ISNUMBER(B28),ISNUMBER(D28)),1,0)</f>
        <v>0</v>
      </c>
      <c r="C34" s="1058"/>
      <c r="D34" s="1059">
        <f>IF(AND(D28&gt;B28,$AL8&gt;0,$AL7&gt;3,ISNUMBER(B28),ISNUMBER(D28)),1,0)</f>
        <v>0</v>
      </c>
      <c r="E34" s="1058">
        <f>IF(AND(E28&gt;G28,$AL8&gt;1,$AL7&gt;3,ISNUMBER(E28),ISNUMBER(G28)),1,0)</f>
        <v>0</v>
      </c>
      <c r="F34" s="1058"/>
      <c r="G34" s="1059">
        <f>IF(AND(G28&gt;E28,$AL8&gt;1,$AL7&gt;3,ISNUMBER(E28),ISNUMBER(G28)),1,0)</f>
        <v>0</v>
      </c>
      <c r="H34" s="1058">
        <f>IF(AND(H28&gt;J28,$AL8&gt;2,$AL7&gt;3,ISNUMBER(H28),ISNUMBER(J28)),1,0)</f>
        <v>0</v>
      </c>
      <c r="I34" s="1058"/>
      <c r="J34" s="1059">
        <f>IF(AND(J28&gt;H28,$AL8&gt;2,$AL7&gt;3,ISNUMBER(H28),ISNUMBER(J28)),1,0)</f>
        <v>0</v>
      </c>
      <c r="K34" s="1060"/>
      <c r="L34" s="1058">
        <f>IF(AND(L28&gt;N28,$AL8&gt;3,$AL7&gt;3,ISNUMBER(L28),ISNUMBER(N28)),1,0)</f>
        <v>0</v>
      </c>
      <c r="M34" s="1058"/>
      <c r="N34" s="1059">
        <f>IF(AND(N28&gt;L28,$AL8&gt;3,$AL7&gt;3,ISNUMBER(L28),ISNUMBER(N28)),1,0)</f>
        <v>0</v>
      </c>
      <c r="O34" s="1058">
        <f>IF(AND(O28&gt;Q28,$AL8&gt;4,$AL7&gt;3,ISNUMBER(O28),ISNUMBER(Q28)),1,0)</f>
        <v>0</v>
      </c>
      <c r="P34" s="1058"/>
      <c r="Q34" s="1059">
        <f>IF(AND(Q28&gt;O28,$AL8&gt;4,$AL7&gt;3,ISNUMBER(O28),ISNUMBER(Q28)),1,0)</f>
        <v>0</v>
      </c>
      <c r="R34" s="1058">
        <f>IF(AND(R28&gt;T28,$AL8&gt;5,$AL7&gt;3,ISNUMBER(R28),ISNUMBER(T28)),1,0)</f>
        <v>0</v>
      </c>
      <c r="S34" s="1058"/>
      <c r="T34" s="1059">
        <f>IF(AND(T28&gt;R28,$AL8&gt;5,$AL7&gt;3,ISNUMBER(R28),ISNUMBER(T28)),1,0)</f>
        <v>0</v>
      </c>
      <c r="U34" s="1058">
        <f>IF(AND(U28&gt;W28,$AL8&gt;6,$AL7&gt;3,ISNUMBER(U28),ISNUMBER(W28)),1,0)</f>
        <v>0</v>
      </c>
      <c r="V34" s="1058"/>
      <c r="W34" s="1059">
        <f>IF(AND(W28&gt;U28,$AL8&gt;6,$AL7&gt;3,ISNUMBER(U28),ISNUMBER(W28)),1,0)</f>
        <v>0</v>
      </c>
      <c r="X34" s="1058">
        <f>IF(AND(X28&gt;Z28,$AL8&gt;7,$AL7&gt;3,ISNUMBER(X28),ISNUMBER(Z28)),1,0)</f>
        <v>0</v>
      </c>
      <c r="Y34" s="1058"/>
      <c r="Z34" s="1059">
        <f>IF(AND(Z28&gt;X28,$AL8&gt;7,$AL7&gt;3,ISNUMBER(X28),ISNUMBER(Z28)),1,0)</f>
        <v>0</v>
      </c>
      <c r="AA34" s="1058">
        <f>IF(AND(AA28&gt;AC28,$AL8&gt;8,$AL7&gt;3,ISNUMBER(AA28),ISNUMBER(AC28)),1,0)</f>
        <v>0</v>
      </c>
      <c r="AB34" s="1058"/>
      <c r="AC34" s="1059">
        <f>IF(AND(AC28&gt;AA28,$AL8&gt;8,$AL7&gt;3,ISNUMBER(AA28),ISNUMBER(AC28)),1,0)</f>
        <v>0</v>
      </c>
      <c r="AD34" s="1058">
        <f>IF(AND(AD28&gt;AF28,$AL8&gt;9,$AL7&gt;3,ISNUMBER(AD28),ISNUMBER(AF28)),1,0)</f>
        <v>0</v>
      </c>
      <c r="AE34" s="1058"/>
      <c r="AF34" s="1059">
        <f>IF(AND(AF28&gt;AD28,$AL8&gt;9,$AL7&gt;3,ISNUMBER(AD28),ISNUMBER(AF28)),1,0)</f>
        <v>0</v>
      </c>
    </row>
    <row r="35" spans="1:34" s="1057" customFormat="1" ht="12.75" hidden="1" customHeight="1" x14ac:dyDescent="0.2">
      <c r="A35" s="1057" t="s">
        <v>83</v>
      </c>
      <c r="B35" s="1058">
        <f>IF(AND(B29&gt;D29,$AL8&gt;0,$AL7&gt;4,ISNUMBER(B29),ISNUMBER(D29)),1,0)</f>
        <v>0</v>
      </c>
      <c r="C35" s="1058"/>
      <c r="D35" s="1059">
        <f>IF(AND(D29&gt;B29,$AL8&gt;0,$AL7&gt;4,ISNUMBER(B29),ISNUMBER(D29)),1,0)</f>
        <v>0</v>
      </c>
      <c r="E35" s="1058">
        <f>IF(AND(E29&gt;G29,$AL8&gt;1,$AL7&gt;4,ISNUMBER(E29),ISNUMBER(G29)),1,0)</f>
        <v>0</v>
      </c>
      <c r="F35" s="1058"/>
      <c r="G35" s="1059">
        <f>IF(AND(G29&gt;E29,$AL8&gt;1,$AL7&gt;4,ISNUMBER(E29),ISNUMBER(G29)),1,0)</f>
        <v>0</v>
      </c>
      <c r="H35" s="1058">
        <f>IF(AND(H29&gt;J29,$AL8&gt;2,$AL7&gt;4,ISNUMBER(H29),ISNUMBER(J29)),1,0)</f>
        <v>0</v>
      </c>
      <c r="I35" s="1058"/>
      <c r="J35" s="1059">
        <f>IF(AND(J29&gt;H29,$AL8&gt;2,$AL7&gt;4,ISNUMBER(H29),ISNUMBER(J29)),1,0)</f>
        <v>0</v>
      </c>
      <c r="K35" s="1060"/>
      <c r="L35" s="1058">
        <f>IF(AND(L29&gt;N29,$AL8&gt;3,$AL7&gt;4,ISNUMBER(L29),ISNUMBER(N29)),1,0)</f>
        <v>0</v>
      </c>
      <c r="M35" s="1058"/>
      <c r="N35" s="1059">
        <f>IF(AND(N29&gt;L29,$AL8&gt;3,$AL7&gt;4,ISNUMBER(L29),ISNUMBER(N29)),1,0)</f>
        <v>0</v>
      </c>
      <c r="O35" s="1058">
        <f>IF(AND(O29&gt;Q29,$AL8&gt;4,$AL7&gt;4,ISNUMBER(O29),ISNUMBER(Q29)),1,0)</f>
        <v>0</v>
      </c>
      <c r="P35" s="1058"/>
      <c r="Q35" s="1059">
        <f>IF(AND(Q29&gt;O29,$AL8&gt;4,$AL7&gt;4,ISNUMBER(O29),ISNUMBER(Q29)),1,0)</f>
        <v>0</v>
      </c>
      <c r="R35" s="1058">
        <f>IF(AND(R29&gt;T29,$AL8&gt;5,$AL7&gt;4,ISNUMBER(R29),ISNUMBER(T29)),1,0)</f>
        <v>0</v>
      </c>
      <c r="S35" s="1058"/>
      <c r="T35" s="1059">
        <f>IF(AND(T29&gt;R29,$AL8&gt;5,$AL7&gt;4,ISNUMBER(R29),ISNUMBER(T29)),1,0)</f>
        <v>0</v>
      </c>
      <c r="U35" s="1058">
        <f>IF(AND(U29&gt;W29,$AL8&gt;6,$AL7&gt;4,ISNUMBER(U29),ISNUMBER(W29)),1,0)</f>
        <v>0</v>
      </c>
      <c r="V35" s="1058"/>
      <c r="W35" s="1059">
        <f>IF(AND(W29&gt;U29,$AL8&gt;6,$AL7&gt;4,ISNUMBER(U29),ISNUMBER(W29)),1,0)</f>
        <v>0</v>
      </c>
      <c r="X35" s="1058">
        <f>IF(AND(X29&gt;Z29,$AL8&gt;7,$AL7&gt;4,ISNUMBER(X29),ISNUMBER(Z29)),1,0)</f>
        <v>0</v>
      </c>
      <c r="Y35" s="1058"/>
      <c r="Z35" s="1059">
        <f>IF(AND(Z29&gt;X29,$AL8&gt;7,$AL7&gt;4,ISNUMBER(X29),ISNUMBER(Z29)),1,0)</f>
        <v>0</v>
      </c>
      <c r="AA35" s="1058">
        <f>IF(AND(AA29&gt;AC29,$AL8&gt;8,$AL7&gt;4,ISNUMBER(AA29),ISNUMBER(AC29)),1,0)</f>
        <v>0</v>
      </c>
      <c r="AB35" s="1058"/>
      <c r="AC35" s="1059">
        <f>IF(AND(AC29&gt;AA29,$AL8&gt;8,$AL7&gt;4,ISNUMBER(AA29),ISNUMBER(AC29)),1,0)</f>
        <v>0</v>
      </c>
      <c r="AD35" s="1058">
        <f>IF(AND(AD29&gt;AF29,$AL8&gt;9,$AL7&gt;4,ISNUMBER(AD29),ISNUMBER(AF29)),1,0)</f>
        <v>0</v>
      </c>
      <c r="AE35" s="1058"/>
      <c r="AF35" s="1059">
        <f>IF(AND(AF29&gt;AD29,$AL8&gt;9,$AL7&gt;4,ISNUMBER(AD29),ISNUMBER(AF29)),1,0)</f>
        <v>0</v>
      </c>
    </row>
    <row r="36" spans="1:34" s="1057" customFormat="1" ht="38.25" hidden="1" customHeight="1" x14ac:dyDescent="0.2">
      <c r="A36" s="1061" t="s">
        <v>84</v>
      </c>
      <c r="B36" s="1057">
        <f>SUM(B31:B35)</f>
        <v>0</v>
      </c>
      <c r="D36" s="1060">
        <f>SUM(D31:D35)</f>
        <v>1</v>
      </c>
      <c r="E36" s="1057">
        <f>SUM(E31:E35)</f>
        <v>1</v>
      </c>
      <c r="G36" s="1060">
        <f>SUM(G31:G35)</f>
        <v>0</v>
      </c>
      <c r="H36" s="1057">
        <f>SUM(H31:H35)</f>
        <v>0</v>
      </c>
      <c r="J36" s="1060">
        <f>SUM(J31:J35)</f>
        <v>1</v>
      </c>
      <c r="K36" s="1060"/>
      <c r="L36" s="1057">
        <f>SUM(L31:L35)</f>
        <v>0</v>
      </c>
      <c r="N36" s="1060">
        <f>SUM(N31:N35)</f>
        <v>1</v>
      </c>
      <c r="O36" s="1057">
        <f>SUM(O31:O35)</f>
        <v>1</v>
      </c>
      <c r="Q36" s="1060">
        <f>SUM(Q31:Q35)</f>
        <v>0</v>
      </c>
      <c r="R36" s="1057">
        <f>SUM(R31:R35)</f>
        <v>1</v>
      </c>
      <c r="T36" s="1060">
        <f>SUM(T31:T35)</f>
        <v>0</v>
      </c>
      <c r="U36" s="1057">
        <f>SUM(U31:U35)</f>
        <v>0</v>
      </c>
      <c r="W36" s="1060">
        <f>SUM(W31:W35)</f>
        <v>0</v>
      </c>
      <c r="X36" s="1057">
        <f>SUM(X31:X35)</f>
        <v>0</v>
      </c>
      <c r="Z36" s="1060">
        <f>SUM(Z31:Z35)</f>
        <v>0</v>
      </c>
      <c r="AA36" s="1057">
        <f>SUM(AA31:AA35)</f>
        <v>0</v>
      </c>
      <c r="AC36" s="1060">
        <f>SUM(AC31:AC35)</f>
        <v>0</v>
      </c>
      <c r="AD36" s="1057">
        <f>SUM(AD31:AD35)</f>
        <v>0</v>
      </c>
      <c r="AF36" s="1060">
        <f>SUM(AF31:AF35)</f>
        <v>0</v>
      </c>
    </row>
    <row r="37" spans="1:34" s="1057" customFormat="1" ht="25.5" hidden="1" customHeight="1" x14ac:dyDescent="0.2">
      <c r="A37" s="1061" t="s">
        <v>85</v>
      </c>
      <c r="B37" s="1057">
        <f>IF(B36&gt;D36,IF(C71=AL7,1,IF(C71=AL7-1,1,0)),0)</f>
        <v>0</v>
      </c>
      <c r="C37" s="1057">
        <f>B37+D37</f>
        <v>1</v>
      </c>
      <c r="D37" s="1060">
        <f>IF(D36&gt;B36,IF(C71=AL7,1,IF(C71=AL7-1,1,0)),0)</f>
        <v>1</v>
      </c>
      <c r="E37" s="1057">
        <f>IF(E36&gt;G36,IF(F71=AL7,1,IF(F71=AL7-1,1,0)),0)</f>
        <v>1</v>
      </c>
      <c r="F37" s="1057">
        <f>E37+G37</f>
        <v>1</v>
      </c>
      <c r="G37" s="1060">
        <f>IF(G36&gt;E36,IF(F71=AL7,1,IF(F71=AL7-1,1,0)),0)</f>
        <v>0</v>
      </c>
      <c r="H37" s="1057">
        <f>IF(H36&gt;J36,IF(I71=AL7,1,IF(I71=AL7-1,1,0)),0)</f>
        <v>0</v>
      </c>
      <c r="I37" s="1057">
        <f>H37+J37</f>
        <v>1</v>
      </c>
      <c r="J37" s="1060">
        <f>IF(J36&gt;H36,IF(I71=AL7,1,IF(I71=AL7-1,1,0)),0)</f>
        <v>1</v>
      </c>
      <c r="K37" s="1060"/>
      <c r="L37" s="1057">
        <f>IF(L36&gt;N36,IF(M71=AL7,1,IF(M71=AL7-1,1,0)),0)</f>
        <v>0</v>
      </c>
      <c r="M37" s="1057">
        <f>L37+N37</f>
        <v>1</v>
      </c>
      <c r="N37" s="1060">
        <f>IF(N36&gt;L36,IF(M71=AL7,1,IF(M71=AL7-1,1,0)),0)</f>
        <v>1</v>
      </c>
      <c r="O37" s="1057">
        <f>IF(O36&gt;Q36,IF(P71=AL7,1,IF(P71=AL7-1,1,0)),0)</f>
        <v>1</v>
      </c>
      <c r="P37" s="1057">
        <f>O37+Q37</f>
        <v>1</v>
      </c>
      <c r="Q37" s="1060">
        <f>IF(Q36&gt;O36,IF(P71=AL7,1,IF(P71=AL7-1,1,0)),0)</f>
        <v>0</v>
      </c>
      <c r="R37" s="1057">
        <f>IF(R36&gt;T36,IF(S71=AL7,1,IF(S71=AL7-1,1,0)),0)</f>
        <v>1</v>
      </c>
      <c r="S37" s="1057">
        <f>R37+T37</f>
        <v>1</v>
      </c>
      <c r="T37" s="1060">
        <f>IF(T36&gt;R36,IF(S71=AL7,1,IF(S71=AL7-1,1,0)),0)</f>
        <v>0</v>
      </c>
      <c r="U37" s="1057">
        <f>IF(U36&gt;W36,IF(V71=AL7,1,IF(V71=AL7-1,1,0)),0)</f>
        <v>0</v>
      </c>
      <c r="V37" s="1057">
        <f>U37+W37</f>
        <v>0</v>
      </c>
      <c r="W37" s="1060">
        <f>IF(W36&gt;U36,IF(V71=AL7,1,IF(V71=AL7-1,1,0)),0)</f>
        <v>0</v>
      </c>
      <c r="X37" s="1057">
        <f>IF(X36&gt;Z36,IF(Y71=AL7,1,IF(Y71=AL7-1,1,0)),0)</f>
        <v>0</v>
      </c>
      <c r="Y37" s="1057">
        <f>X37+Z37</f>
        <v>0</v>
      </c>
      <c r="Z37" s="1060">
        <f>IF(Z36&gt;X36,IF(Y71=AL7,1,IF(Y71=AL7-1,1,0)),0)</f>
        <v>0</v>
      </c>
      <c r="AA37" s="1057">
        <f>IF(AA36&gt;AC36,IF(AB71=AL7,1,IF(AB71=AL7-1,1,0)),0)</f>
        <v>0</v>
      </c>
      <c r="AB37" s="1057">
        <f>AA37+AC37</f>
        <v>0</v>
      </c>
      <c r="AC37" s="1060">
        <f>IF(AC36&gt;AA36,IF(AB71=AL7,1,IF(AB71=AL7-1,1,0)),0)</f>
        <v>0</v>
      </c>
      <c r="AD37" s="1057">
        <f>IF(AD36&gt;AF36,IF(AE71=AL7,1,IF(AE71=AL7-1,1,0)),0)</f>
        <v>0</v>
      </c>
      <c r="AE37" s="1057">
        <f>AD37+AF37</f>
        <v>0</v>
      </c>
      <c r="AF37" s="1060">
        <f>IF(AF36&gt;AD36,IF(AE71=AL7,1,IF(AE71=AL7-1,1,0)),0)</f>
        <v>0</v>
      </c>
    </row>
    <row r="38" spans="1:34" s="1057" customFormat="1" ht="25.5" hidden="1" customHeight="1" x14ac:dyDescent="0.2">
      <c r="A38" s="1061"/>
      <c r="D38" s="1060"/>
      <c r="G38" s="1060"/>
      <c r="J38" s="1060"/>
      <c r="K38" s="1060"/>
      <c r="N38" s="1060"/>
      <c r="Q38" s="1060"/>
      <c r="T38" s="1060"/>
      <c r="W38" s="1060"/>
      <c r="Z38" s="1060"/>
      <c r="AC38" s="1060"/>
      <c r="AF38" s="1060"/>
    </row>
    <row r="39" spans="1:34" s="1057" customFormat="1" ht="12.75" hidden="1" customHeight="1" x14ac:dyDescent="0.2">
      <c r="A39" s="1057" t="s">
        <v>86</v>
      </c>
      <c r="B39" s="1057">
        <f>IF(B31=1,B25,0)</f>
        <v>0</v>
      </c>
      <c r="D39" s="1060">
        <f t="shared" ref="D39:E43" si="2">IF(D31=1,D25,0)</f>
        <v>20</v>
      </c>
      <c r="E39" s="1057">
        <f t="shared" si="2"/>
        <v>22</v>
      </c>
      <c r="G39" s="1060">
        <f t="shared" ref="G39:H43" si="3">IF(G31=1,G25,0)</f>
        <v>0</v>
      </c>
      <c r="H39" s="1057">
        <f t="shared" si="3"/>
        <v>0</v>
      </c>
      <c r="J39" s="1060">
        <f>IF(J31=1,J25,0)</f>
        <v>23</v>
      </c>
      <c r="K39" s="1060"/>
      <c r="L39" s="1057">
        <f>IF(L31=1,L25,0)</f>
        <v>0</v>
      </c>
      <c r="N39" s="1060">
        <f t="shared" ref="N39:O43" si="4">IF(N31=1,N25,0)</f>
        <v>23</v>
      </c>
      <c r="O39" s="1057">
        <f t="shared" si="4"/>
        <v>24</v>
      </c>
      <c r="Q39" s="1060">
        <f t="shared" ref="Q39:R43" si="5">IF(Q31=1,Q25,0)</f>
        <v>0</v>
      </c>
      <c r="R39" s="1057">
        <f t="shared" si="5"/>
        <v>24</v>
      </c>
      <c r="T39" s="1060">
        <f t="shared" ref="T39:U43" si="6">IF(T31=1,T25,0)</f>
        <v>0</v>
      </c>
      <c r="U39" s="1057">
        <f t="shared" si="6"/>
        <v>0</v>
      </c>
      <c r="W39" s="1060">
        <f t="shared" ref="W39:X43" si="7">IF(W31=1,W25,0)</f>
        <v>0</v>
      </c>
      <c r="X39" s="1057">
        <f t="shared" si="7"/>
        <v>0</v>
      </c>
      <c r="Z39" s="1060">
        <f t="shared" ref="Z39:AA43" si="8">IF(Z31=1,Z25,0)</f>
        <v>0</v>
      </c>
      <c r="AA39" s="1057">
        <f t="shared" si="8"/>
        <v>0</v>
      </c>
      <c r="AC39" s="1060">
        <f t="shared" ref="AC39:AD43" si="9">IF(AC31=1,AC25,0)</f>
        <v>0</v>
      </c>
      <c r="AD39" s="1057">
        <f t="shared" si="9"/>
        <v>0</v>
      </c>
      <c r="AF39" s="1060">
        <f>IF(AF31=1,AF25,0)</f>
        <v>0</v>
      </c>
    </row>
    <row r="40" spans="1:34" s="1057" customFormat="1" ht="12.75" hidden="1" customHeight="1" x14ac:dyDescent="0.2">
      <c r="A40" s="1057" t="s">
        <v>87</v>
      </c>
      <c r="B40" s="1057">
        <f>IF(B32=1,B26,0)</f>
        <v>0</v>
      </c>
      <c r="D40" s="1060">
        <f t="shared" si="2"/>
        <v>0</v>
      </c>
      <c r="E40" s="1057">
        <f t="shared" si="2"/>
        <v>0</v>
      </c>
      <c r="G40" s="1060">
        <f t="shared" si="3"/>
        <v>0</v>
      </c>
      <c r="H40" s="1057">
        <f t="shared" si="3"/>
        <v>0</v>
      </c>
      <c r="J40" s="1060">
        <f>IF(J32=1,J26,0)</f>
        <v>0</v>
      </c>
      <c r="K40" s="1060"/>
      <c r="L40" s="1057">
        <f>IF(L32=1,L26,0)</f>
        <v>0</v>
      </c>
      <c r="N40" s="1060">
        <f t="shared" si="4"/>
        <v>0</v>
      </c>
      <c r="O40" s="1057">
        <f t="shared" si="4"/>
        <v>0</v>
      </c>
      <c r="Q40" s="1060">
        <f t="shared" si="5"/>
        <v>0</v>
      </c>
      <c r="R40" s="1057">
        <f t="shared" si="5"/>
        <v>0</v>
      </c>
      <c r="T40" s="1060">
        <f t="shared" si="6"/>
        <v>0</v>
      </c>
      <c r="U40" s="1057">
        <f t="shared" si="6"/>
        <v>0</v>
      </c>
      <c r="W40" s="1060">
        <f t="shared" si="7"/>
        <v>0</v>
      </c>
      <c r="X40" s="1057">
        <f t="shared" si="7"/>
        <v>0</v>
      </c>
      <c r="Z40" s="1060">
        <f t="shared" si="8"/>
        <v>0</v>
      </c>
      <c r="AA40" s="1057">
        <f t="shared" si="8"/>
        <v>0</v>
      </c>
      <c r="AC40" s="1060">
        <f t="shared" si="9"/>
        <v>0</v>
      </c>
      <c r="AD40" s="1057">
        <f t="shared" si="9"/>
        <v>0</v>
      </c>
      <c r="AF40" s="1060">
        <f>IF(AF32=1,AF26,0)</f>
        <v>0</v>
      </c>
    </row>
    <row r="41" spans="1:34" s="1057" customFormat="1" ht="12.75" hidden="1" customHeight="1" x14ac:dyDescent="0.2">
      <c r="A41" s="1057" t="s">
        <v>88</v>
      </c>
      <c r="B41" s="1057">
        <f>IF(B33=1,B27,0)</f>
        <v>0</v>
      </c>
      <c r="D41" s="1060">
        <f t="shared" si="2"/>
        <v>0</v>
      </c>
      <c r="E41" s="1057">
        <f t="shared" si="2"/>
        <v>0</v>
      </c>
      <c r="G41" s="1060">
        <f t="shared" si="3"/>
        <v>0</v>
      </c>
      <c r="H41" s="1057">
        <f t="shared" si="3"/>
        <v>0</v>
      </c>
      <c r="J41" s="1060">
        <f>IF(J33=1,J27,0)</f>
        <v>0</v>
      </c>
      <c r="K41" s="1060"/>
      <c r="L41" s="1057">
        <f>IF(L33=1,L27,0)</f>
        <v>0</v>
      </c>
      <c r="N41" s="1060">
        <f t="shared" si="4"/>
        <v>0</v>
      </c>
      <c r="O41" s="1057">
        <f t="shared" si="4"/>
        <v>0</v>
      </c>
      <c r="Q41" s="1060">
        <f t="shared" si="5"/>
        <v>0</v>
      </c>
      <c r="R41" s="1057">
        <f t="shared" si="5"/>
        <v>0</v>
      </c>
      <c r="T41" s="1060">
        <f t="shared" si="6"/>
        <v>0</v>
      </c>
      <c r="U41" s="1057">
        <f t="shared" si="6"/>
        <v>0</v>
      </c>
      <c r="W41" s="1060">
        <f t="shared" si="7"/>
        <v>0</v>
      </c>
      <c r="X41" s="1057">
        <f t="shared" si="7"/>
        <v>0</v>
      </c>
      <c r="Z41" s="1060">
        <f t="shared" si="8"/>
        <v>0</v>
      </c>
      <c r="AA41" s="1057">
        <f t="shared" si="8"/>
        <v>0</v>
      </c>
      <c r="AC41" s="1060">
        <f t="shared" si="9"/>
        <v>0</v>
      </c>
      <c r="AD41" s="1057">
        <f t="shared" si="9"/>
        <v>0</v>
      </c>
      <c r="AF41" s="1060">
        <f>IF(AF33=1,AF27,0)</f>
        <v>0</v>
      </c>
    </row>
    <row r="42" spans="1:34" s="1057" customFormat="1" ht="12.75" hidden="1" customHeight="1" x14ac:dyDescent="0.2">
      <c r="A42" s="1057" t="s">
        <v>89</v>
      </c>
      <c r="B42" s="1057">
        <f>IF(B34=1,B28,0)</f>
        <v>0</v>
      </c>
      <c r="D42" s="1060">
        <f t="shared" si="2"/>
        <v>0</v>
      </c>
      <c r="E42" s="1057">
        <f t="shared" si="2"/>
        <v>0</v>
      </c>
      <c r="G42" s="1060">
        <f t="shared" si="3"/>
        <v>0</v>
      </c>
      <c r="H42" s="1057">
        <f t="shared" si="3"/>
        <v>0</v>
      </c>
      <c r="J42" s="1060">
        <f>IF(J34=1,J28,0)</f>
        <v>0</v>
      </c>
      <c r="K42" s="1060"/>
      <c r="L42" s="1057">
        <f>IF(L34=1,L28,0)</f>
        <v>0</v>
      </c>
      <c r="N42" s="1060">
        <f t="shared" si="4"/>
        <v>0</v>
      </c>
      <c r="O42" s="1057">
        <f t="shared" si="4"/>
        <v>0</v>
      </c>
      <c r="Q42" s="1060">
        <f t="shared" si="5"/>
        <v>0</v>
      </c>
      <c r="R42" s="1057">
        <f t="shared" si="5"/>
        <v>0</v>
      </c>
      <c r="T42" s="1060">
        <f t="shared" si="6"/>
        <v>0</v>
      </c>
      <c r="U42" s="1057">
        <f t="shared" si="6"/>
        <v>0</v>
      </c>
      <c r="W42" s="1060">
        <f t="shared" si="7"/>
        <v>0</v>
      </c>
      <c r="X42" s="1057">
        <f t="shared" si="7"/>
        <v>0</v>
      </c>
      <c r="Z42" s="1060">
        <f t="shared" si="8"/>
        <v>0</v>
      </c>
      <c r="AA42" s="1057">
        <f t="shared" si="8"/>
        <v>0</v>
      </c>
      <c r="AC42" s="1060">
        <f t="shared" si="9"/>
        <v>0</v>
      </c>
      <c r="AD42" s="1057">
        <f t="shared" si="9"/>
        <v>0</v>
      </c>
      <c r="AF42" s="1060">
        <f>IF(AF34=1,AF28,0)</f>
        <v>0</v>
      </c>
    </row>
    <row r="43" spans="1:34" s="1057" customFormat="1" ht="12.75" hidden="1" customHeight="1" x14ac:dyDescent="0.2">
      <c r="A43" s="1057" t="s">
        <v>90</v>
      </c>
      <c r="B43" s="1057">
        <f>IF(B35=1,B29,0)</f>
        <v>0</v>
      </c>
      <c r="D43" s="1060">
        <f t="shared" si="2"/>
        <v>0</v>
      </c>
      <c r="E43" s="1057">
        <f t="shared" si="2"/>
        <v>0</v>
      </c>
      <c r="G43" s="1060">
        <f t="shared" si="3"/>
        <v>0</v>
      </c>
      <c r="H43" s="1057">
        <f t="shared" si="3"/>
        <v>0</v>
      </c>
      <c r="J43" s="1060">
        <f>IF(J35=1,J29,0)</f>
        <v>0</v>
      </c>
      <c r="K43" s="1060"/>
      <c r="L43" s="1057">
        <f>IF(L35=1,L29,0)</f>
        <v>0</v>
      </c>
      <c r="N43" s="1060">
        <f t="shared" si="4"/>
        <v>0</v>
      </c>
      <c r="O43" s="1057">
        <f t="shared" si="4"/>
        <v>0</v>
      </c>
      <c r="Q43" s="1060">
        <f t="shared" si="5"/>
        <v>0</v>
      </c>
      <c r="R43" s="1057">
        <f t="shared" si="5"/>
        <v>0</v>
      </c>
      <c r="T43" s="1060">
        <f t="shared" si="6"/>
        <v>0</v>
      </c>
      <c r="U43" s="1057">
        <f t="shared" si="6"/>
        <v>0</v>
      </c>
      <c r="W43" s="1060">
        <f t="shared" si="7"/>
        <v>0</v>
      </c>
      <c r="X43" s="1057">
        <f t="shared" si="7"/>
        <v>0</v>
      </c>
      <c r="Z43" s="1060">
        <f t="shared" si="8"/>
        <v>0</v>
      </c>
      <c r="AA43" s="1057">
        <f t="shared" si="8"/>
        <v>0</v>
      </c>
      <c r="AC43" s="1060">
        <f t="shared" si="9"/>
        <v>0</v>
      </c>
      <c r="AD43" s="1057">
        <f t="shared" si="9"/>
        <v>0</v>
      </c>
      <c r="AF43" s="1060">
        <f>IF(AF35=1,AF29,0)</f>
        <v>0</v>
      </c>
    </row>
    <row r="44" spans="1:34" s="1057" customFormat="1" ht="38.25" hidden="1" customHeight="1" x14ac:dyDescent="0.2">
      <c r="A44" s="1061" t="s">
        <v>91</v>
      </c>
      <c r="B44" s="1057">
        <f>SUM(B39:D43)</f>
        <v>20</v>
      </c>
      <c r="D44" s="1060"/>
      <c r="E44" s="1057">
        <f>SUM(E39:G43)</f>
        <v>22</v>
      </c>
      <c r="G44" s="1060"/>
      <c r="H44" s="1057">
        <f>SUM(H39:J43)</f>
        <v>23</v>
      </c>
      <c r="J44" s="1060"/>
      <c r="K44" s="1060"/>
      <c r="L44" s="1057">
        <f>SUM(L39:N43)</f>
        <v>23</v>
      </c>
      <c r="N44" s="1060"/>
      <c r="O44" s="1057">
        <f>SUM(O39:Q43)</f>
        <v>24</v>
      </c>
      <c r="Q44" s="1060"/>
      <c r="R44" s="1057">
        <f>SUM(R39:T43)</f>
        <v>24</v>
      </c>
      <c r="T44" s="1060"/>
      <c r="U44" s="1057">
        <f>SUM(U39:W43)</f>
        <v>0</v>
      </c>
      <c r="W44" s="1060"/>
      <c r="X44" s="1057">
        <f>SUM(X39:Z43)</f>
        <v>0</v>
      </c>
      <c r="Z44" s="1060"/>
      <c r="AA44" s="1057">
        <f>SUM(AA39:AC43)</f>
        <v>0</v>
      </c>
      <c r="AC44" s="1060"/>
      <c r="AD44" s="1057">
        <f>SUM(AD39:AF43)</f>
        <v>0</v>
      </c>
      <c r="AF44" s="1060"/>
    </row>
    <row r="45" spans="1:34" s="1057" customFormat="1" ht="38.25" hidden="1" customHeight="1" x14ac:dyDescent="0.2">
      <c r="A45" s="1057" t="s">
        <v>92</v>
      </c>
      <c r="D45" s="1060"/>
      <c r="G45" s="1060"/>
      <c r="J45" s="1060"/>
      <c r="K45" s="1060"/>
      <c r="N45" s="1060"/>
      <c r="Q45" s="1060"/>
      <c r="T45" s="1060"/>
      <c r="W45" s="1060"/>
      <c r="Z45" s="1060"/>
      <c r="AC45" s="1060"/>
      <c r="AF45" s="1060"/>
      <c r="AG45" s="1061" t="s">
        <v>93</v>
      </c>
      <c r="AH45" s="1057" t="s">
        <v>94</v>
      </c>
    </row>
    <row r="46" spans="1:34" s="1057" customFormat="1" ht="12.75" hidden="1" customHeight="1" x14ac:dyDescent="0.2">
      <c r="A46" s="1057" t="s">
        <v>95</v>
      </c>
      <c r="B46" s="1057">
        <f>IF(B24=1,IF(B37=1,1,0),0)</f>
        <v>0</v>
      </c>
      <c r="D46" s="1060">
        <f>IF(D24=1,IF(D37=1,1,0),0)</f>
        <v>0</v>
      </c>
      <c r="E46" s="1057">
        <f>IF(E24=1,IF(E37=1,1,0),0)</f>
        <v>1</v>
      </c>
      <c r="G46" s="1060">
        <f>IF(G24=1,IF(G37=1,1,0),0)</f>
        <v>0</v>
      </c>
      <c r="H46" s="1057">
        <f>IF(H24=1,IF(H37=1,1,0),0)</f>
        <v>0</v>
      </c>
      <c r="J46" s="1060">
        <f>IF(J24=1,IF(J37=1,1,0),0)</f>
        <v>0</v>
      </c>
      <c r="K46" s="1060"/>
      <c r="L46" s="1057">
        <f>IF(L24=1,IF(L37=1,1,0),0)</f>
        <v>0</v>
      </c>
      <c r="N46" s="1060">
        <f>IF(N24=1,IF(N37=1,1,0),0)</f>
        <v>0</v>
      </c>
      <c r="O46" s="1057">
        <f>IF(O24=1,IF(O37=1,1,0),0)</f>
        <v>0</v>
      </c>
      <c r="Q46" s="1060">
        <f>IF(Q24=1,IF(Q37=1,1,0),0)</f>
        <v>0</v>
      </c>
      <c r="R46" s="1057">
        <f>IF(R24=1,IF(R37=1,1,0),0)</f>
        <v>1</v>
      </c>
      <c r="T46" s="1060">
        <f>IF(T24=1,IF(T37=1,1,0),0)</f>
        <v>0</v>
      </c>
      <c r="U46" s="1057">
        <f>IF(U24=1,IF(U37=1,1,0),0)</f>
        <v>0</v>
      </c>
      <c r="W46" s="1060">
        <f>IF(W24=1,IF(W37=1,1,0),0)</f>
        <v>0</v>
      </c>
      <c r="X46" s="1057">
        <f>IF(X24=1,IF(X37=1,1,0),0)</f>
        <v>0</v>
      </c>
      <c r="Z46" s="1060">
        <f>IF(Z24=1,IF(Z37=1,1,0),0)</f>
        <v>0</v>
      </c>
      <c r="AA46" s="1057">
        <f>IF(AA24=1,IF(AA37=1,1,0),0)</f>
        <v>0</v>
      </c>
      <c r="AC46" s="1060">
        <f>IF(AC24=1,IF(AC37=1,1,0),0)</f>
        <v>0</v>
      </c>
      <c r="AD46" s="1057">
        <f>IF(AD24=1,IF(AD37=1,1,0),0)</f>
        <v>0</v>
      </c>
      <c r="AF46" s="1060">
        <f>IF(AF24=1,IF(AF37=1,1,0),0)</f>
        <v>0</v>
      </c>
      <c r="AG46" s="1057">
        <f>SUM(B46:AF46)</f>
        <v>2</v>
      </c>
      <c r="AH46" s="1057">
        <f>AG52-AG46</f>
        <v>1</v>
      </c>
    </row>
    <row r="47" spans="1:34" s="1057" customFormat="1" ht="12.75" hidden="1" customHeight="1" x14ac:dyDescent="0.2">
      <c r="A47" s="1057" t="s">
        <v>96</v>
      </c>
      <c r="B47" s="1057">
        <f>IF(B24=2,IF(B37=1,1,0),0)</f>
        <v>0</v>
      </c>
      <c r="D47" s="1060">
        <f>IF(D24=2,IF(D37=1,1,0),0)</f>
        <v>0</v>
      </c>
      <c r="E47" s="1057">
        <f>IF(E24=2,IF(E37=1,1,0),0)</f>
        <v>0</v>
      </c>
      <c r="G47" s="1060">
        <f>IF(G24=2,IF(G37=1,1,0),0)</f>
        <v>0</v>
      </c>
      <c r="H47" s="1057">
        <f>IF(H24=2,IF(H37=1,1,0),0)</f>
        <v>0</v>
      </c>
      <c r="J47" s="1060">
        <f>IF(J24=2,IF(J37=1,1,0),0)</f>
        <v>0</v>
      </c>
      <c r="K47" s="1060"/>
      <c r="L47" s="1057">
        <f>IF(L24=2,IF(L37=1,1,0),0)</f>
        <v>0</v>
      </c>
      <c r="N47" s="1060">
        <f>IF(N24=2,IF(N37=1,1,0),0)</f>
        <v>0</v>
      </c>
      <c r="O47" s="1057">
        <f>IF(O24=2,IF(O37=1,1,0),0)</f>
        <v>0</v>
      </c>
      <c r="Q47" s="1060">
        <f>IF(Q24=2,IF(Q37=1,1,0),0)</f>
        <v>0</v>
      </c>
      <c r="R47" s="1057">
        <f>IF(R24=2,IF(R37=1,1,0),0)</f>
        <v>0</v>
      </c>
      <c r="T47" s="1060">
        <f>IF(T24=2,IF(T37=1,1,0),0)</f>
        <v>0</v>
      </c>
      <c r="U47" s="1057">
        <f>IF(U24=2,IF(U37=1,1,0),0)</f>
        <v>0</v>
      </c>
      <c r="W47" s="1060">
        <f>IF(W24=2,IF(W37=1,1,0),0)</f>
        <v>0</v>
      </c>
      <c r="X47" s="1057">
        <f>IF(X24=2,IF(X37=1,1,0),0)</f>
        <v>0</v>
      </c>
      <c r="Z47" s="1060">
        <f>IF(Z24=2,IF(Z37=1,1,0),0)</f>
        <v>0</v>
      </c>
      <c r="AA47" s="1057">
        <f>IF(AA24=2,IF(AA37=1,1,0),0)</f>
        <v>0</v>
      </c>
      <c r="AC47" s="1060">
        <f>IF(AC24=2,IF(AC37=1,1,0),0)</f>
        <v>0</v>
      </c>
      <c r="AD47" s="1057">
        <f>IF(AD24=2,IF(AD37=1,1,0),0)</f>
        <v>0</v>
      </c>
      <c r="AF47" s="1060">
        <f>IF(AF24=2,IF(AF37=1,1,0),0)</f>
        <v>0</v>
      </c>
      <c r="AG47" s="1057">
        <f>SUM(B47:AF47)</f>
        <v>0</v>
      </c>
      <c r="AH47" s="1057">
        <f>AG53-AG47</f>
        <v>3</v>
      </c>
    </row>
    <row r="48" spans="1:34" s="1057" customFormat="1" ht="12.75" hidden="1" customHeight="1" x14ac:dyDescent="0.2">
      <c r="A48" s="1057" t="s">
        <v>97</v>
      </c>
      <c r="B48" s="1057">
        <f>IF(B24=3,IF(B37=1,1,0),0)</f>
        <v>0</v>
      </c>
      <c r="D48" s="1060">
        <f>IF(D24=3,IF(D37=1,1,0),0)</f>
        <v>1</v>
      </c>
      <c r="E48" s="1057">
        <f>IF(E24=3,IF(E37=1,1,0),0)</f>
        <v>0</v>
      </c>
      <c r="G48" s="1060">
        <f>IF(G24=3,IF(G37=1,1,0),0)</f>
        <v>0</v>
      </c>
      <c r="H48" s="1057">
        <f>IF(H24=3,IF(H37=1,1,0),0)</f>
        <v>0</v>
      </c>
      <c r="J48" s="1060">
        <f>IF(J24=3,IF(J37=1,1,0),0)</f>
        <v>0</v>
      </c>
      <c r="K48" s="1060"/>
      <c r="L48" s="1057">
        <f>IF(L24=3,IF(L37=1,1,0),0)</f>
        <v>0</v>
      </c>
      <c r="N48" s="1060">
        <f>IF(N24=3,IF(N37=1,1,0),0)</f>
        <v>1</v>
      </c>
      <c r="O48" s="1057">
        <f>IF(O24=3,IF(O37=1,1,0),0)</f>
        <v>1</v>
      </c>
      <c r="Q48" s="1060">
        <f>IF(Q24=3,IF(Q37=1,1,0),0)</f>
        <v>0</v>
      </c>
      <c r="R48" s="1057">
        <f>IF(R24=3,IF(R37=1,1,0),0)</f>
        <v>0</v>
      </c>
      <c r="T48" s="1060">
        <f>IF(T24=3,IF(T37=1,1,0),0)</f>
        <v>0</v>
      </c>
      <c r="U48" s="1057">
        <f>IF(U24=3,IF(U37=1,1,0),0)</f>
        <v>0</v>
      </c>
      <c r="W48" s="1060">
        <f>IF(W24=3,IF(W37=1,1,0),0)</f>
        <v>0</v>
      </c>
      <c r="X48" s="1057">
        <f>IF(X24=3,IF(X37=1,1,0),0)</f>
        <v>0</v>
      </c>
      <c r="Z48" s="1060">
        <f>IF(Z24=3,IF(Z37=1,1,0),0)</f>
        <v>0</v>
      </c>
      <c r="AA48" s="1057">
        <f>IF(AA24=3,IF(AA37=1,1,0),0)</f>
        <v>0</v>
      </c>
      <c r="AC48" s="1060">
        <f>IF(AC24=3,IF(AC37=1,1,0),0)</f>
        <v>0</v>
      </c>
      <c r="AD48" s="1057">
        <f>IF(AD24=3,IF(AD37=1,1,0),0)</f>
        <v>0</v>
      </c>
      <c r="AF48" s="1060">
        <f>IF(AF24=3,IF(AF37=1,1,0),0)</f>
        <v>0</v>
      </c>
      <c r="AG48" s="1057">
        <f>SUM(B48:AF48)</f>
        <v>3</v>
      </c>
      <c r="AH48" s="1057">
        <f>AG54-AG48</f>
        <v>0</v>
      </c>
    </row>
    <row r="49" spans="1:38" s="1057" customFormat="1" ht="12.75" hidden="1" customHeight="1" x14ac:dyDescent="0.2">
      <c r="A49" s="1057" t="s">
        <v>98</v>
      </c>
      <c r="B49" s="1057">
        <f>IF(B24=4,IF(B37=1,1,0),0)</f>
        <v>0</v>
      </c>
      <c r="D49" s="1060">
        <f>IF(D24=4,IF(D37=1,1,0),0)</f>
        <v>0</v>
      </c>
      <c r="E49" s="1057">
        <f>IF(E24=4,IF(E37=1,1,0),0)</f>
        <v>0</v>
      </c>
      <c r="G49" s="1060">
        <f>IF(G24=4,IF(G37=1,1,0),0)</f>
        <v>0</v>
      </c>
      <c r="H49" s="1057">
        <f>IF(H24=4,IF(H37=1,1,0),0)</f>
        <v>0</v>
      </c>
      <c r="J49" s="1060">
        <f>IF(J24=4,IF(J37=1,1,0),0)</f>
        <v>1</v>
      </c>
      <c r="K49" s="1060"/>
      <c r="L49" s="1057">
        <f>IF(L24=4,IF(L37=1,1,0),0)</f>
        <v>0</v>
      </c>
      <c r="N49" s="1060">
        <f>IF(N24=4,IF(N37=1,1,0),0)</f>
        <v>0</v>
      </c>
      <c r="O49" s="1057">
        <f>IF(O24=4,IF(O37=1,1,0),0)</f>
        <v>0</v>
      </c>
      <c r="Q49" s="1060">
        <f>IF(Q24=4,IF(Q37=1,1,0),0)</f>
        <v>0</v>
      </c>
      <c r="R49" s="1057">
        <f>IF(R24=4,IF(R37=1,1,0),0)</f>
        <v>0</v>
      </c>
      <c r="T49" s="1060">
        <f>IF(T24=4,IF(T37=1,1,0),0)</f>
        <v>0</v>
      </c>
      <c r="U49" s="1057">
        <f>IF(U24=4,IF(U37=1,1,0),0)</f>
        <v>0</v>
      </c>
      <c r="W49" s="1060">
        <f>IF(W24=4,IF(W37=1,1,0),0)</f>
        <v>0</v>
      </c>
      <c r="X49" s="1057">
        <f>IF(X24=4,IF(X37=1,1,0),0)</f>
        <v>0</v>
      </c>
      <c r="Z49" s="1060">
        <f>IF(Z24=4,IF(Z37=1,1,0),0)</f>
        <v>0</v>
      </c>
      <c r="AA49" s="1057">
        <f>IF(AA24=4,IF(AA37=1,1,0),0)</f>
        <v>0</v>
      </c>
      <c r="AC49" s="1060">
        <f>IF(AC24=4,IF(AC37=1,1,0),0)</f>
        <v>0</v>
      </c>
      <c r="AD49" s="1057">
        <f>IF(AD24=4,IF(AD37=1,1,0),0)</f>
        <v>0</v>
      </c>
      <c r="AF49" s="1060">
        <f>IF(AF24=4,IF(AF37=1,1,0),0)</f>
        <v>0</v>
      </c>
      <c r="AG49" s="1057">
        <f>SUM(B49:AF49)</f>
        <v>1</v>
      </c>
      <c r="AH49" s="1057">
        <f>AG55-AG49</f>
        <v>2</v>
      </c>
    </row>
    <row r="50" spans="1:38" s="1057" customFormat="1" ht="12.75" hidden="1" customHeight="1" x14ac:dyDescent="0.2">
      <c r="A50" s="1057" t="s">
        <v>99</v>
      </c>
      <c r="B50" s="1057">
        <f>IF(B24=5,IF(B37=1,1,0),0)</f>
        <v>0</v>
      </c>
      <c r="D50" s="1060">
        <f>IF(D24=5,IF(D37=1,1,0),0)</f>
        <v>0</v>
      </c>
      <c r="E50" s="1057">
        <f>IF(E24=5,IF(E37=1,1,0),0)</f>
        <v>0</v>
      </c>
      <c r="G50" s="1060">
        <f>IF(G24=5,IF(G37=1,1,0),0)</f>
        <v>0</v>
      </c>
      <c r="H50" s="1057">
        <f>IF(H24=5,IF(H37=1,1,0),0)</f>
        <v>0</v>
      </c>
      <c r="J50" s="1060">
        <f>IF(J24=5,IF(J37=1,1,0),0)</f>
        <v>0</v>
      </c>
      <c r="K50" s="1060"/>
      <c r="L50" s="1057">
        <f>IF(L24=5,IF(L37=1,1,0),0)</f>
        <v>0</v>
      </c>
      <c r="N50" s="1060">
        <f>IF(N24=5,IF(N37=1,1,0),0)</f>
        <v>0</v>
      </c>
      <c r="O50" s="1057">
        <f>IF(O24=5,IF(O37=1,1,0),0)</f>
        <v>0</v>
      </c>
      <c r="Q50" s="1060">
        <f>IF(Q24=5,IF(Q37=1,1,0),0)</f>
        <v>0</v>
      </c>
      <c r="R50" s="1057">
        <f>IF(R24=5,IF(R37=1,1,0),0)</f>
        <v>0</v>
      </c>
      <c r="T50" s="1060">
        <f>IF(T24=5,IF(T37=1,1,0),0)</f>
        <v>0</v>
      </c>
      <c r="U50" s="1057">
        <f>IF(U24=5,IF(U37=1,1,0),0)</f>
        <v>0</v>
      </c>
      <c r="W50" s="1060">
        <f>IF(W24=5,IF(W37=1,1,0),0)</f>
        <v>0</v>
      </c>
      <c r="X50" s="1057">
        <f>IF(X24=5,IF(X37=1,1,0),0)</f>
        <v>0</v>
      </c>
      <c r="Z50" s="1060">
        <f>IF(Z24=5,IF(Z37=1,1,0),0)</f>
        <v>0</v>
      </c>
      <c r="AA50" s="1057">
        <f>IF(AA24=5,IF(AA37=1,1,0),0)</f>
        <v>0</v>
      </c>
      <c r="AC50" s="1060">
        <f>IF(AC24=5,IF(AC37=1,1,0),0)</f>
        <v>0</v>
      </c>
      <c r="AD50" s="1057">
        <f>IF(AD24=5,IF(AD37=1,1,0),0)</f>
        <v>0</v>
      </c>
      <c r="AF50" s="1060">
        <f>IF(AF24=5,IF(AF37=1,1,0),0)</f>
        <v>0</v>
      </c>
      <c r="AG50" s="1057">
        <f>SUM(B50:AF50)</f>
        <v>0</v>
      </c>
      <c r="AH50" s="1057">
        <f>AG56-AG50</f>
        <v>0</v>
      </c>
    </row>
    <row r="51" spans="1:38" s="1057" customFormat="1" ht="38.25" hidden="1" customHeight="1" x14ac:dyDescent="0.2">
      <c r="A51" s="1061"/>
      <c r="D51" s="1060"/>
      <c r="G51" s="1060"/>
      <c r="J51" s="1060"/>
      <c r="K51" s="1060"/>
      <c r="N51" s="1060"/>
      <c r="Q51" s="1060"/>
      <c r="T51" s="1060"/>
      <c r="W51" s="1060"/>
      <c r="Z51" s="1060"/>
      <c r="AC51" s="1060"/>
      <c r="AF51" s="1060"/>
      <c r="AG51" s="1061" t="s">
        <v>100</v>
      </c>
    </row>
    <row r="52" spans="1:38" s="1057" customFormat="1" ht="12.75" hidden="1" customHeight="1" x14ac:dyDescent="0.2">
      <c r="A52" s="1057" t="s">
        <v>101</v>
      </c>
      <c r="B52" s="1057">
        <f>IF(B24=1,IF(C37=1,1,0),0)</f>
        <v>0</v>
      </c>
      <c r="D52" s="1060">
        <f>IF(D24=1,IF(C37=1,1,0),0)</f>
        <v>0</v>
      </c>
      <c r="E52" s="1057">
        <f>IF(E24=1,IF(F37=1,1,0),0)</f>
        <v>1</v>
      </c>
      <c r="G52" s="1060">
        <f>IF(G24=1,IF(F37=1,1,0),0)</f>
        <v>0</v>
      </c>
      <c r="H52" s="1057">
        <f>IF(H24=1,IF(I37=1,1,0),0)</f>
        <v>0</v>
      </c>
      <c r="J52" s="1060">
        <f>IF(J24=1,IF(I37=1,1,0),0)</f>
        <v>0</v>
      </c>
      <c r="K52" s="1060"/>
      <c r="L52" s="1057">
        <f>IF(L24=1,IF(M37=1,1,0),0)</f>
        <v>1</v>
      </c>
      <c r="N52" s="1060">
        <f>IF(N24=1,IF(M37=1,1,0),0)</f>
        <v>0</v>
      </c>
      <c r="O52" s="1057">
        <f>IF(O24=1,IF(P37=1,1,0),0)</f>
        <v>0</v>
      </c>
      <c r="Q52" s="1060">
        <f>IF(Q24=1,IF(P37=1,1,0),0)</f>
        <v>0</v>
      </c>
      <c r="R52" s="1057">
        <f>IF(R24=1,IF(S37=1,1,0),0)</f>
        <v>1</v>
      </c>
      <c r="T52" s="1060">
        <f>IF(T24=1,IF(S37=1,1,0),0)</f>
        <v>0</v>
      </c>
      <c r="U52" s="1057">
        <f>IF(U24=1,IF(V37=1,1,0),0)</f>
        <v>0</v>
      </c>
      <c r="W52" s="1060">
        <f>IF(W24=1,IF(V37=1,1,0),0)</f>
        <v>0</v>
      </c>
      <c r="X52" s="1057">
        <f>IF(X24=1,IF(Y37=1,1,0),0)</f>
        <v>0</v>
      </c>
      <c r="Z52" s="1060">
        <f>IF(Z24=1,IF(Y37=1,1,0),0)</f>
        <v>0</v>
      </c>
      <c r="AA52" s="1057">
        <f>IF(AA24=1,IF(AB37=1,1,0),0)</f>
        <v>0</v>
      </c>
      <c r="AC52" s="1060">
        <f>IF(AC24=1,IF(AB37=1,1,0),0)</f>
        <v>0</v>
      </c>
      <c r="AD52" s="1057">
        <f>IF(AD24=1,IF(AE37=1,1,0),0)</f>
        <v>0</v>
      </c>
      <c r="AF52" s="1060">
        <f>IF(AF24=1,IF(AE37=1,1,0),0)</f>
        <v>0</v>
      </c>
      <c r="AG52" s="1057">
        <f>SUM(B52:AF52)</f>
        <v>3</v>
      </c>
    </row>
    <row r="53" spans="1:38" s="1057" customFormat="1" ht="12.75" hidden="1" customHeight="1" x14ac:dyDescent="0.2">
      <c r="A53" s="1057" t="s">
        <v>102</v>
      </c>
      <c r="B53" s="1057">
        <f>IF(B24=2,IF(C37=1,1,0),0)</f>
        <v>1</v>
      </c>
      <c r="D53" s="1060">
        <f>IF(D24=2,IF(C37=1,1,0),0)</f>
        <v>0</v>
      </c>
      <c r="E53" s="1057">
        <f>IF(E24=2,IF(F37=1,1,0),0)</f>
        <v>0</v>
      </c>
      <c r="G53" s="1060">
        <f>IF(G24=2,IF(F37=1,1,0),0)</f>
        <v>0</v>
      </c>
      <c r="H53" s="1057">
        <f>IF(H24=2,IF(I37=1,1,0),0)</f>
        <v>1</v>
      </c>
      <c r="J53" s="1060">
        <f>IF(J24=2,IF(I37=1,1,0),0)</f>
        <v>0</v>
      </c>
      <c r="K53" s="1060"/>
      <c r="L53" s="1057">
        <f>IF(L24=2,IF(M37=1,1,0),0)</f>
        <v>0</v>
      </c>
      <c r="N53" s="1060">
        <f>IF(N24=2,IF(M37=1,1,0),0)</f>
        <v>0</v>
      </c>
      <c r="O53" s="1057">
        <f>IF(O24=2,IF(P37=1,1,0),0)</f>
        <v>0</v>
      </c>
      <c r="Q53" s="1060">
        <f>IF(Q24=2,IF(P37=1,1,0),0)</f>
        <v>0</v>
      </c>
      <c r="R53" s="1057">
        <f>IF(R24=2,IF(S37=1,1,0),0)</f>
        <v>0</v>
      </c>
      <c r="T53" s="1060">
        <f>IF(T24=2,IF(S37=1,1,0),0)</f>
        <v>1</v>
      </c>
      <c r="U53" s="1057">
        <f>IF(U24=2,IF(V37=1,1,0),0)</f>
        <v>0</v>
      </c>
      <c r="W53" s="1060">
        <f>IF(W24=2,IF(V37=1,1,0),0)</f>
        <v>0</v>
      </c>
      <c r="X53" s="1057">
        <f>IF(X24=2,IF(Y37=1,1,0),0)</f>
        <v>0</v>
      </c>
      <c r="Z53" s="1060">
        <f>IF(Z24=2,IF(Y37=1,1,0),0)</f>
        <v>0</v>
      </c>
      <c r="AA53" s="1057">
        <f>IF(AA24=2,IF(AB37=1,1,0),0)</f>
        <v>0</v>
      </c>
      <c r="AC53" s="1060">
        <f>IF(AC24=2,IF(AB37=1,1,0),0)</f>
        <v>0</v>
      </c>
      <c r="AD53" s="1057">
        <f>IF(AD24=2,IF(AE37=1,1,0),0)</f>
        <v>0</v>
      </c>
      <c r="AF53" s="1060">
        <f>IF(AF24=2,IF(AE37=1,1,0),0)</f>
        <v>0</v>
      </c>
      <c r="AG53" s="1057">
        <f>SUM(B53:AF53)</f>
        <v>3</v>
      </c>
    </row>
    <row r="54" spans="1:38" s="1057" customFormat="1" ht="12.75" hidden="1" customHeight="1" x14ac:dyDescent="0.2">
      <c r="A54" s="1057" t="s">
        <v>103</v>
      </c>
      <c r="B54" s="1057">
        <f>IF(B24=3,IF(C37=1,1,0),0)</f>
        <v>0</v>
      </c>
      <c r="D54" s="1060">
        <f>IF(D24=3,IF(C37=1,1,0),0)</f>
        <v>1</v>
      </c>
      <c r="E54" s="1057">
        <f>IF(E24=3,IF(F37=1,1,0),0)</f>
        <v>0</v>
      </c>
      <c r="G54" s="1060">
        <f>IF(G24=3,IF(F37=1,1,0),0)</f>
        <v>0</v>
      </c>
      <c r="H54" s="1057">
        <f>IF(H24=3,IF(I37=1,1,0),0)</f>
        <v>0</v>
      </c>
      <c r="J54" s="1060">
        <f>IF(J24=3,IF(I37=1,1,0),0)</f>
        <v>0</v>
      </c>
      <c r="K54" s="1060"/>
      <c r="L54" s="1057">
        <f>IF(L24=3,IF(M37=1,1,0),0)</f>
        <v>0</v>
      </c>
      <c r="N54" s="1060">
        <f>IF(N24=3,IF(M37=1,1,0),0)</f>
        <v>1</v>
      </c>
      <c r="O54" s="1057">
        <f>IF(O24=3,IF(P37=1,1,0),0)</f>
        <v>1</v>
      </c>
      <c r="Q54" s="1060">
        <f>IF(Q24=3,IF(P37=1,1,0),0)</f>
        <v>0</v>
      </c>
      <c r="R54" s="1057">
        <f>IF(R24=3,IF(S37=1,1,0),0)</f>
        <v>0</v>
      </c>
      <c r="T54" s="1060">
        <f>IF(T24=3,IF(S37=1,1,0),0)</f>
        <v>0</v>
      </c>
      <c r="U54" s="1057">
        <f>IF(U24=3,IF(V37=1,1,0),0)</f>
        <v>0</v>
      </c>
      <c r="W54" s="1060">
        <f>IF(W24=3,IF(V37=1,1,0),0)</f>
        <v>0</v>
      </c>
      <c r="X54" s="1057">
        <f>IF(X24=3,IF(Y37=1,1,0),0)</f>
        <v>0</v>
      </c>
      <c r="Z54" s="1060">
        <f>IF(Z24=3,IF(Y37=1,1,0),0)</f>
        <v>0</v>
      </c>
      <c r="AA54" s="1057">
        <f>IF(AA24=3,IF(AB37=1,1,0),0)</f>
        <v>0</v>
      </c>
      <c r="AC54" s="1060">
        <f>IF(AC24=3,IF(AB37=1,1,0),0)</f>
        <v>0</v>
      </c>
      <c r="AD54" s="1057">
        <f>IF(AD24=3,IF(AE37=1,1,0),0)</f>
        <v>0</v>
      </c>
      <c r="AF54" s="1060">
        <f>IF(AF24=3,IF(AE37=1,1,0),0)</f>
        <v>0</v>
      </c>
      <c r="AG54" s="1057">
        <f>SUM(B54:AF54)</f>
        <v>3</v>
      </c>
    </row>
    <row r="55" spans="1:38" s="1057" customFormat="1" ht="12.75" hidden="1" customHeight="1" x14ac:dyDescent="0.2">
      <c r="A55" s="1057" t="s">
        <v>104</v>
      </c>
      <c r="B55" s="1057">
        <f>IF(B24=4,IF(C37=1,1,0),0)</f>
        <v>0</v>
      </c>
      <c r="D55" s="1060">
        <f>IF(D24=4,IF(C37=1,1,0),0)</f>
        <v>0</v>
      </c>
      <c r="E55" s="1057">
        <f>IF(E24=4,IF(F37=1,1,0),0)</f>
        <v>0</v>
      </c>
      <c r="G55" s="1060">
        <f>IF(G24=4,IF(F37=1,1,0),0)</f>
        <v>1</v>
      </c>
      <c r="H55" s="1057">
        <f>IF(H24=4,IF(I37=1,1,0),0)</f>
        <v>0</v>
      </c>
      <c r="J55" s="1060">
        <f>IF(J24=4,IF(I37=1,1,0),0)</f>
        <v>1</v>
      </c>
      <c r="K55" s="1060"/>
      <c r="L55" s="1057">
        <f>IF(L24=4,IF(M37=1,1,0),0)</f>
        <v>0</v>
      </c>
      <c r="N55" s="1060">
        <f>IF(N24=4,IF(M37=1,1,0),0)</f>
        <v>0</v>
      </c>
      <c r="O55" s="1057">
        <f>IF(O24=4,IF(P37=1,1,0),0)</f>
        <v>0</v>
      </c>
      <c r="Q55" s="1060">
        <f>IF(Q24=4,IF(P37=1,1,0),0)</f>
        <v>1</v>
      </c>
      <c r="R55" s="1057">
        <f>IF(R24=4,IF(S37=1,1,0),0)</f>
        <v>0</v>
      </c>
      <c r="T55" s="1060">
        <f>IF(T24=4,IF(S37=1,1,0),0)</f>
        <v>0</v>
      </c>
      <c r="U55" s="1057">
        <f>IF(U24=4,IF(V37=1,1,0),0)</f>
        <v>0</v>
      </c>
      <c r="W55" s="1060">
        <f>IF(W24=4,IF(V37=1,1,0),0)</f>
        <v>0</v>
      </c>
      <c r="X55" s="1057">
        <f>IF(X24=4,IF(Y37=1,1,0),0)</f>
        <v>0</v>
      </c>
      <c r="Z55" s="1060">
        <f>IF(Z24=4,IF(Y37=1,1,0),0)</f>
        <v>0</v>
      </c>
      <c r="AA55" s="1057">
        <f>IF(AA24=4,IF(AB37=1,1,0),0)</f>
        <v>0</v>
      </c>
      <c r="AC55" s="1060">
        <f>IF(AC24=4,IF(AB37=1,1,0),0)</f>
        <v>0</v>
      </c>
      <c r="AD55" s="1057">
        <f>IF(AD24=4,IF(AE37=1,1,0),0)</f>
        <v>0</v>
      </c>
      <c r="AF55" s="1060">
        <f>IF(AF24=4,IF(AE37=1,1,0),0)</f>
        <v>0</v>
      </c>
      <c r="AG55" s="1057">
        <f>SUM(B55:AF55)</f>
        <v>3</v>
      </c>
    </row>
    <row r="56" spans="1:38" s="1057" customFormat="1" ht="12.75" hidden="1" customHeight="1" x14ac:dyDescent="0.2">
      <c r="A56" s="1057" t="s">
        <v>105</v>
      </c>
      <c r="B56" s="1057">
        <f>IF(B24=5,IF(C37=1,1,0),0)</f>
        <v>0</v>
      </c>
      <c r="D56" s="1060">
        <f>IF(D24=5,IF(C37=1,1,0),0)</f>
        <v>0</v>
      </c>
      <c r="E56" s="1057">
        <f>IF(E24=5,IF(F37=1,1,0),0)</f>
        <v>0</v>
      </c>
      <c r="G56" s="1060">
        <f>IF(G24=5,IF(F37=1,1,0),0)</f>
        <v>0</v>
      </c>
      <c r="H56" s="1057">
        <f>IF(H24=5,IF(I37=1,1,0),0)</f>
        <v>0</v>
      </c>
      <c r="J56" s="1060">
        <f>IF(J24=5,IF(I37=1,1,0),0)</f>
        <v>0</v>
      </c>
      <c r="K56" s="1060"/>
      <c r="L56" s="1057">
        <f>IF(L24=5,IF(M37=1,1,0),0)</f>
        <v>0</v>
      </c>
      <c r="N56" s="1060">
        <f>IF(N24=5,IF(M37=1,1,0),0)</f>
        <v>0</v>
      </c>
      <c r="O56" s="1057">
        <f>IF(O24=5,IF(P37=1,1,0),0)</f>
        <v>0</v>
      </c>
      <c r="Q56" s="1060">
        <f>IF(Q24=5,IF(P37=1,1,0),0)</f>
        <v>0</v>
      </c>
      <c r="R56" s="1057">
        <f>IF(R24=5,IF(S37=1,1,0),0)</f>
        <v>0</v>
      </c>
      <c r="T56" s="1060">
        <f>IF(T24=5,IF(S37=1,1,0),0)</f>
        <v>0</v>
      </c>
      <c r="U56" s="1057">
        <f>IF(U24=5,IF(V37=1,1,0),0)</f>
        <v>0</v>
      </c>
      <c r="W56" s="1060">
        <f>IF(W24=5,IF(V37=1,1,0),0)</f>
        <v>0</v>
      </c>
      <c r="X56" s="1057">
        <f>IF(X24=5,IF(Y37=1,1,0),0)</f>
        <v>0</v>
      </c>
      <c r="Z56" s="1060">
        <f>IF(Z24=5,IF(Y37=1,1,0),0)</f>
        <v>0</v>
      </c>
      <c r="AA56" s="1057">
        <f>IF(AA24=5,IF(AB37=1,1,0),0)</f>
        <v>0</v>
      </c>
      <c r="AC56" s="1060">
        <f>IF(AC24=5,IF(AB37=1,1,0),0)</f>
        <v>0</v>
      </c>
      <c r="AD56" s="1057">
        <f>IF(AD24=5,IF(AE37=1,1,0),0)</f>
        <v>0</v>
      </c>
      <c r="AF56" s="1060">
        <f>IF(AF24=5,IF(AE37=1,1,0),0)</f>
        <v>0</v>
      </c>
      <c r="AG56" s="1057">
        <f>SUM(B56:AF56)</f>
        <v>0</v>
      </c>
    </row>
    <row r="57" spans="1:38" s="1057" customFormat="1" ht="38.25" hidden="1" customHeight="1" x14ac:dyDescent="0.2">
      <c r="A57" s="1061"/>
      <c r="D57" s="1060"/>
      <c r="G57" s="1060"/>
      <c r="J57" s="1060"/>
      <c r="K57" s="1060"/>
      <c r="N57" s="1060"/>
      <c r="Q57" s="1060"/>
      <c r="T57" s="1060"/>
      <c r="W57" s="1060"/>
      <c r="Z57" s="1060"/>
      <c r="AC57" s="1060"/>
      <c r="AF57" s="1060"/>
      <c r="AG57" s="1061" t="s">
        <v>106</v>
      </c>
      <c r="AH57" s="1062"/>
      <c r="AI57" s="1062"/>
      <c r="AJ57" s="1062"/>
      <c r="AK57" s="1062"/>
      <c r="AL57" s="1062"/>
    </row>
    <row r="58" spans="1:38" s="1057" customFormat="1" ht="12.75" hidden="1" customHeight="1" x14ac:dyDescent="0.2">
      <c r="A58" s="1057" t="s">
        <v>101</v>
      </c>
      <c r="B58" s="1057">
        <f>IF(B24=1,B44,0)</f>
        <v>0</v>
      </c>
      <c r="D58" s="1060">
        <f>IF(D24=1,B44,0)</f>
        <v>0</v>
      </c>
      <c r="E58" s="1057">
        <f>IF(E24=1,E44,0)</f>
        <v>22</v>
      </c>
      <c r="G58" s="1060">
        <f>IF(G24=1,E44,0)</f>
        <v>0</v>
      </c>
      <c r="H58" s="1057">
        <f>IF(H24=1,H44,0)</f>
        <v>0</v>
      </c>
      <c r="J58" s="1060">
        <f>IF(J24=1,H44,0)</f>
        <v>0</v>
      </c>
      <c r="K58" s="1060"/>
      <c r="L58" s="1057">
        <f>IF(L24=1,L44,0)</f>
        <v>23</v>
      </c>
      <c r="N58" s="1060">
        <f>IF(N24=1,L44,0)</f>
        <v>0</v>
      </c>
      <c r="O58" s="1057">
        <f>IF(O24=1,O44,0)</f>
        <v>0</v>
      </c>
      <c r="Q58" s="1060">
        <f>IF(Q24=1,O44,0)</f>
        <v>0</v>
      </c>
      <c r="R58" s="1057">
        <f>IF(R24=1,R44,0)</f>
        <v>24</v>
      </c>
      <c r="T58" s="1060">
        <f>IF(T24=1,R44,0)</f>
        <v>0</v>
      </c>
      <c r="U58" s="1057">
        <f>IF(U24=1,U44,0)</f>
        <v>0</v>
      </c>
      <c r="W58" s="1060">
        <f>IF(W24=1,U44,0)</f>
        <v>0</v>
      </c>
      <c r="X58" s="1057">
        <f>IF(X24=1,X44,0)</f>
        <v>0</v>
      </c>
      <c r="Z58" s="1060">
        <f>IF(Z24=1,X44,0)</f>
        <v>0</v>
      </c>
      <c r="AA58" s="1057">
        <f>IF(AA24=1,AA44,0)</f>
        <v>0</v>
      </c>
      <c r="AC58" s="1060">
        <f>IF(AC24=1,AA44,0)</f>
        <v>0</v>
      </c>
      <c r="AD58" s="1057">
        <f>IF(AD24=1,AD44,0)</f>
        <v>0</v>
      </c>
      <c r="AF58" s="1060">
        <f>IF(AF24=1,AD44,0)</f>
        <v>0</v>
      </c>
      <c r="AG58" s="1057">
        <f>SUM(B58:AF58)</f>
        <v>69</v>
      </c>
    </row>
    <row r="59" spans="1:38" s="1057" customFormat="1" ht="12.75" hidden="1" customHeight="1" x14ac:dyDescent="0.2">
      <c r="A59" s="1057" t="s">
        <v>102</v>
      </c>
      <c r="B59" s="1057">
        <f>IF(B24=2,B44,0)</f>
        <v>20</v>
      </c>
      <c r="D59" s="1060">
        <f>IF(D24=2,B44,0)</f>
        <v>0</v>
      </c>
      <c r="E59" s="1057">
        <f>IF(E24=2,E44,0)</f>
        <v>0</v>
      </c>
      <c r="G59" s="1060">
        <f>IF(G24=2,E44,0)</f>
        <v>0</v>
      </c>
      <c r="H59" s="1057">
        <f>IF(H24=2,H44,0)</f>
        <v>23</v>
      </c>
      <c r="J59" s="1060">
        <f>IF(J24=2,H44,0)</f>
        <v>0</v>
      </c>
      <c r="K59" s="1060"/>
      <c r="L59" s="1057">
        <f>IF(L24=2,L44,0)</f>
        <v>0</v>
      </c>
      <c r="N59" s="1060">
        <f>IF(N24=2,L44,0)</f>
        <v>0</v>
      </c>
      <c r="O59" s="1057">
        <f>IF(O24=2,O44,0)</f>
        <v>0</v>
      </c>
      <c r="Q59" s="1060">
        <f>IF(Q24=2,O44,0)</f>
        <v>0</v>
      </c>
      <c r="R59" s="1057">
        <f>IF(R24=2,R44,0)</f>
        <v>0</v>
      </c>
      <c r="T59" s="1060">
        <f>IF(T24=2,R44,0)</f>
        <v>24</v>
      </c>
      <c r="U59" s="1057">
        <f>IF(U24=2,U44,0)</f>
        <v>0</v>
      </c>
      <c r="W59" s="1060">
        <f>IF(W24=2,U44,0)</f>
        <v>0</v>
      </c>
      <c r="X59" s="1057">
        <f>IF(X24=2,X44,0)</f>
        <v>0</v>
      </c>
      <c r="Z59" s="1060">
        <f>IF(Z24=2,X44,0)</f>
        <v>0</v>
      </c>
      <c r="AA59" s="1057">
        <f>IF(AA24=2,AA44,0)</f>
        <v>0</v>
      </c>
      <c r="AC59" s="1060">
        <f>IF(AC24=2,AA44,0)</f>
        <v>0</v>
      </c>
      <c r="AD59" s="1057">
        <f>IF(AD24=2,AD44,0)</f>
        <v>0</v>
      </c>
      <c r="AF59" s="1060">
        <f>IF(AF24=2,AD44,0)</f>
        <v>0</v>
      </c>
      <c r="AG59" s="1057">
        <f>SUM(B59:AF59)</f>
        <v>67</v>
      </c>
    </row>
    <row r="60" spans="1:38" s="1057" customFormat="1" ht="12.75" hidden="1" customHeight="1" x14ac:dyDescent="0.2">
      <c r="A60" s="1057" t="s">
        <v>103</v>
      </c>
      <c r="B60" s="1057">
        <f>IF(B24=3,B44,0)</f>
        <v>0</v>
      </c>
      <c r="D60" s="1060">
        <f>IF(D24=3,B44,0)</f>
        <v>20</v>
      </c>
      <c r="E60" s="1057">
        <f>IF(E24=3,E44,0)</f>
        <v>0</v>
      </c>
      <c r="G60" s="1060">
        <f>IF(G24=3,E44,0)</f>
        <v>0</v>
      </c>
      <c r="H60" s="1057">
        <f>IF(H24=3,H44,0)</f>
        <v>0</v>
      </c>
      <c r="J60" s="1060">
        <f>IF(J24=3,H44,0)</f>
        <v>0</v>
      </c>
      <c r="K60" s="1060"/>
      <c r="L60" s="1057">
        <f>IF(L24=3,L44,0)</f>
        <v>0</v>
      </c>
      <c r="N60" s="1060">
        <f>IF(N24=3,L44,0)</f>
        <v>23</v>
      </c>
      <c r="O60" s="1057">
        <f>IF(O24=3,O44,0)</f>
        <v>24</v>
      </c>
      <c r="Q60" s="1060">
        <f>IF(Q24=3,O44,0)</f>
        <v>0</v>
      </c>
      <c r="R60" s="1057">
        <f>IF(R24=3,R44,0)</f>
        <v>0</v>
      </c>
      <c r="T60" s="1060">
        <f>IF(T24=3,R44,0)</f>
        <v>0</v>
      </c>
      <c r="U60" s="1057">
        <f>IF(U24=3,U44,0)</f>
        <v>0</v>
      </c>
      <c r="W60" s="1060">
        <f>IF(W24=3,U44,0)</f>
        <v>0</v>
      </c>
      <c r="X60" s="1057">
        <f>IF(X24=3,X44,0)</f>
        <v>0</v>
      </c>
      <c r="Z60" s="1060">
        <f>IF(Z24=3,X44,0)</f>
        <v>0</v>
      </c>
      <c r="AA60" s="1057">
        <f>IF(AA24=3,AA44,0)</f>
        <v>0</v>
      </c>
      <c r="AC60" s="1060">
        <f>IF(AC24=3,AA44,0)</f>
        <v>0</v>
      </c>
      <c r="AD60" s="1057">
        <f>IF(AD24=3,AD44,0)</f>
        <v>0</v>
      </c>
      <c r="AF60" s="1060">
        <f>IF(AF24=3,AD44,0)</f>
        <v>0</v>
      </c>
      <c r="AG60" s="1057">
        <f>SUM(B60:AF60)</f>
        <v>67</v>
      </c>
    </row>
    <row r="61" spans="1:38" s="1057" customFormat="1" ht="12.75" hidden="1" customHeight="1" x14ac:dyDescent="0.2">
      <c r="A61" s="1057" t="s">
        <v>104</v>
      </c>
      <c r="B61" s="1057">
        <f>IF(B24=4,B44,0)</f>
        <v>0</v>
      </c>
      <c r="D61" s="1060">
        <f>IF(D24=4,B44,0)</f>
        <v>0</v>
      </c>
      <c r="E61" s="1057">
        <f>IF(E24=4,E44,0)</f>
        <v>0</v>
      </c>
      <c r="G61" s="1060">
        <f>IF(G24=4,E44,0)</f>
        <v>22</v>
      </c>
      <c r="H61" s="1057">
        <f>IF(H24=4,H44,0)</f>
        <v>0</v>
      </c>
      <c r="J61" s="1060">
        <f>IF(J24=4,H44,0)</f>
        <v>23</v>
      </c>
      <c r="K61" s="1060"/>
      <c r="L61" s="1057">
        <f>IF(L24=4,L44,0)</f>
        <v>0</v>
      </c>
      <c r="N61" s="1060">
        <f>IF(N24=4,L44,0)</f>
        <v>0</v>
      </c>
      <c r="O61" s="1057">
        <f>IF(O24=4,O44,0)</f>
        <v>0</v>
      </c>
      <c r="Q61" s="1060">
        <f>IF(Q24=4,O44,0)</f>
        <v>24</v>
      </c>
      <c r="R61" s="1057">
        <f>IF(R24=4,R44,0)</f>
        <v>0</v>
      </c>
      <c r="T61" s="1060">
        <f>IF(T24=4,R44,0)</f>
        <v>0</v>
      </c>
      <c r="U61" s="1057">
        <f>IF(U24=4,U44,0)</f>
        <v>0</v>
      </c>
      <c r="W61" s="1060">
        <f>IF(W24=4,U44,0)</f>
        <v>0</v>
      </c>
      <c r="X61" s="1057">
        <f>IF(X24=4,X44,0)</f>
        <v>0</v>
      </c>
      <c r="Z61" s="1060">
        <f>IF(Z24=4,X44,0)</f>
        <v>0</v>
      </c>
      <c r="AA61" s="1057">
        <f>IF(AA24=4,AA44,0)</f>
        <v>0</v>
      </c>
      <c r="AC61" s="1060">
        <f>IF(AC24=4,AA44,0)</f>
        <v>0</v>
      </c>
      <c r="AD61" s="1057">
        <f>IF(AD24=4,AD44,0)</f>
        <v>0</v>
      </c>
      <c r="AF61" s="1060">
        <f>IF(AF24=4,AD44,0)</f>
        <v>0</v>
      </c>
      <c r="AG61" s="1057">
        <f>SUM(B61:AF61)</f>
        <v>69</v>
      </c>
    </row>
    <row r="62" spans="1:38" s="1057" customFormat="1" ht="12.75" hidden="1" customHeight="1" x14ac:dyDescent="0.2">
      <c r="A62" s="1057" t="s">
        <v>105</v>
      </c>
      <c r="B62" s="1057">
        <f>IF(B24=5,B44,0)</f>
        <v>0</v>
      </c>
      <c r="D62" s="1060">
        <f>IF(D24=5,B44,0)</f>
        <v>0</v>
      </c>
      <c r="E62" s="1057">
        <f>IF(E24=5,E44,0)</f>
        <v>0</v>
      </c>
      <c r="G62" s="1060">
        <f>IF(G24=5,E44,0)</f>
        <v>0</v>
      </c>
      <c r="H62" s="1057">
        <f>IF(H24=5,H44,0)</f>
        <v>0</v>
      </c>
      <c r="J62" s="1060">
        <f>IF(J24=5,H44,0)</f>
        <v>0</v>
      </c>
      <c r="K62" s="1060"/>
      <c r="L62" s="1057">
        <f>IF(L24=5,L44,0)</f>
        <v>0</v>
      </c>
      <c r="N62" s="1060">
        <f>IF(N24=5,L44,0)</f>
        <v>0</v>
      </c>
      <c r="O62" s="1057">
        <f>IF(O24=5,O44,0)</f>
        <v>0</v>
      </c>
      <c r="Q62" s="1060">
        <f>IF(Q24=5,O44,0)</f>
        <v>0</v>
      </c>
      <c r="R62" s="1057">
        <f>IF(R24=5,R44,0)</f>
        <v>0</v>
      </c>
      <c r="T62" s="1060">
        <f>IF(T24=5,R44,0)</f>
        <v>0</v>
      </c>
      <c r="U62" s="1057">
        <f>IF(U24=5,U44,0)</f>
        <v>0</v>
      </c>
      <c r="W62" s="1060">
        <f>IF(W24=5,U44,0)</f>
        <v>0</v>
      </c>
      <c r="X62" s="1057">
        <f>IF(X24=5,X44,0)</f>
        <v>0</v>
      </c>
      <c r="Z62" s="1060">
        <f>IF(Z24=5,X44,0)</f>
        <v>0</v>
      </c>
      <c r="AA62" s="1057">
        <f>IF(AA24=5,AA44,0)</f>
        <v>0</v>
      </c>
      <c r="AC62" s="1060">
        <f>IF(AC24=5,AA44,0)</f>
        <v>0</v>
      </c>
      <c r="AD62" s="1057">
        <f>IF(AD24=5,AD44,0)</f>
        <v>0</v>
      </c>
      <c r="AF62" s="1060">
        <f>IF(AF24=5,AD44,0)</f>
        <v>0</v>
      </c>
      <c r="AG62" s="1057">
        <f>SUM(B62:AF62)</f>
        <v>0</v>
      </c>
    </row>
    <row r="63" spans="1:38" s="1057" customFormat="1" ht="38.25" hidden="1" customHeight="1" x14ac:dyDescent="0.2">
      <c r="A63" s="1057" t="s">
        <v>107</v>
      </c>
      <c r="D63" s="1060"/>
      <c r="G63" s="1060"/>
      <c r="J63" s="1060"/>
      <c r="K63" s="1060"/>
      <c r="N63" s="1060"/>
      <c r="Q63" s="1060"/>
      <c r="T63" s="1060"/>
      <c r="W63" s="1060"/>
      <c r="Z63" s="1060"/>
      <c r="AC63" s="1060"/>
      <c r="AF63" s="1060"/>
      <c r="AG63" s="1061" t="s">
        <v>108</v>
      </c>
      <c r="AH63" s="1057" t="s">
        <v>109</v>
      </c>
    </row>
    <row r="64" spans="1:38" s="1057" customFormat="1" ht="12.75" hidden="1" customHeight="1" x14ac:dyDescent="0.2">
      <c r="A64" s="1057" t="s">
        <v>95</v>
      </c>
      <c r="B64" s="1057">
        <f>IF(B24=1,SUMIF(B31:B35,"&gt;0"),0)</f>
        <v>0</v>
      </c>
      <c r="D64" s="1060">
        <f>IF(D24=1,SUMIF(D31:D35,"&gt;0"),0)</f>
        <v>0</v>
      </c>
      <c r="E64" s="1057">
        <f>IF(E24=1,SUMIF(E31:E35,"&gt;0"),0)</f>
        <v>1</v>
      </c>
      <c r="G64" s="1060">
        <f>IF(G24=1,SUMIF(G31:G35,"&gt;0"),0)</f>
        <v>0</v>
      </c>
      <c r="H64" s="1057">
        <f>IF(H24=1,SUMIF(H31:H35,"&gt;0"),0)</f>
        <v>0</v>
      </c>
      <c r="J64" s="1060">
        <f>IF(J24=1,SUMIF(J31:J35,"&gt;0"),0)</f>
        <v>0</v>
      </c>
      <c r="K64" s="1060"/>
      <c r="L64" s="1057">
        <f>IF(L24=1,SUMIF(L31:L35,"&gt;0"),0)</f>
        <v>0</v>
      </c>
      <c r="N64" s="1060">
        <f>IF(N24=1,SUMIF(N31:N35,"&gt;0"),0)</f>
        <v>0</v>
      </c>
      <c r="O64" s="1057">
        <f>IF(O24=1,SUMIF(O31:O35,"&gt;0"),0)</f>
        <v>0</v>
      </c>
      <c r="Q64" s="1060">
        <f>IF(Q24=1,SUMIF(Q31:Q35,"&gt;0"),0)</f>
        <v>0</v>
      </c>
      <c r="R64" s="1057">
        <f>IF(R24=1,SUMIF(R31:R35,"&gt;0"),0)</f>
        <v>1</v>
      </c>
      <c r="T64" s="1060">
        <f>IF(T24=1,SUMIF(T31:T35,"&gt;0"),0)</f>
        <v>0</v>
      </c>
      <c r="U64" s="1057">
        <f>IF(U24=1,SUMIF(U31:U35,"&gt;0"),0)</f>
        <v>0</v>
      </c>
      <c r="W64" s="1060">
        <f>IF(W24=1,SUMIF(W31:W35,"&gt;0"),0)</f>
        <v>0</v>
      </c>
      <c r="X64" s="1057">
        <f>IF(X24=1,SUMIF(X31:X35,"&gt;0"),0)</f>
        <v>0</v>
      </c>
      <c r="Z64" s="1060">
        <f>IF(Z24=1,SUMIF(Z31:Z35,"&gt;0"),0)</f>
        <v>0</v>
      </c>
      <c r="AA64" s="1057">
        <f>IF(AA24=1,SUMIF(AA31:AA35,"&gt;0"),0)</f>
        <v>0</v>
      </c>
      <c r="AC64" s="1060">
        <f>IF(AC24=1,SUMIF(AC31:AC35,"&gt;0"),0)</f>
        <v>0</v>
      </c>
      <c r="AD64" s="1057">
        <f>IF(AD24=1,SUMIF(AD31:AD35,"&gt;0"),0)</f>
        <v>0</v>
      </c>
      <c r="AF64" s="1060">
        <f>IF(AF24=1,SUMIF(AF31:AF35,"&gt;0"),0)</f>
        <v>0</v>
      </c>
      <c r="AG64" s="1057">
        <f>SUM(B64:AF64)</f>
        <v>2</v>
      </c>
      <c r="AH64" s="1057">
        <f>AG72-AG64</f>
        <v>1</v>
      </c>
    </row>
    <row r="65" spans="1:81" s="1057" customFormat="1" ht="12.75" hidden="1" customHeight="1" x14ac:dyDescent="0.2">
      <c r="A65" s="1057" t="s">
        <v>96</v>
      </c>
      <c r="B65" s="1057">
        <f>IF(B24=2,SUMIF(B31:B35,"&gt;0"),0)</f>
        <v>0</v>
      </c>
      <c r="D65" s="1060">
        <f>IF(D24=2,SUMIF(D31:D35,"&gt;0"),0)</f>
        <v>0</v>
      </c>
      <c r="E65" s="1057">
        <f>IF(E24=2,SUMIF(E31:E35,"&gt;0"),0)</f>
        <v>0</v>
      </c>
      <c r="G65" s="1060">
        <f>IF(G24=2,SUMIF(G31:G35,"&gt;0"),0)</f>
        <v>0</v>
      </c>
      <c r="H65" s="1057">
        <f>IF(H24=2,SUMIF(H31:H35,"&gt;0"),0)</f>
        <v>0</v>
      </c>
      <c r="J65" s="1060">
        <f>IF(J24=2,SUMIF(J31:J35,"&gt;0"),0)</f>
        <v>0</v>
      </c>
      <c r="K65" s="1060"/>
      <c r="L65" s="1057">
        <f>IF(L24=2,SUMIF(L31:L35,"&gt;0"),0)</f>
        <v>0</v>
      </c>
      <c r="N65" s="1060">
        <f>IF(N24=2,SUMIF(N31:N35,"&gt;0"),0)</f>
        <v>0</v>
      </c>
      <c r="O65" s="1057">
        <f>IF(O24=2,SUMIF(O31:O35,"&gt;0"),0)</f>
        <v>0</v>
      </c>
      <c r="Q65" s="1060">
        <f>IF(Q24=2,SUMIF(Q31:Q35,"&gt;0"),0)</f>
        <v>0</v>
      </c>
      <c r="R65" s="1057">
        <f>IF(R24=2,SUMIF(R31:R35,"&gt;0"),0)</f>
        <v>0</v>
      </c>
      <c r="T65" s="1060">
        <f>IF(T24=2,SUMIF(T31:T35,"&gt;0"),0)</f>
        <v>0</v>
      </c>
      <c r="U65" s="1057">
        <f>IF(U24=2,SUMIF(U31:U35,"&gt;0"),0)</f>
        <v>0</v>
      </c>
      <c r="W65" s="1060">
        <f>IF(W24=2,SUMIF(W31:W35,"&gt;0"),0)</f>
        <v>0</v>
      </c>
      <c r="X65" s="1057">
        <f>IF(X24=2,SUMIF(X31:X35,"&gt;0"),0)</f>
        <v>0</v>
      </c>
      <c r="Z65" s="1060">
        <f>IF(Z24=2,SUMIF(Z31:Z35,"&gt;0"),0)</f>
        <v>0</v>
      </c>
      <c r="AA65" s="1057">
        <f>IF(AA24=2,SUMIF(AA31:AA35,"&gt;0"),0)</f>
        <v>0</v>
      </c>
      <c r="AC65" s="1060">
        <f>IF(AC24=2,SUMIF(AC31:AC35,"&gt;0"),0)</f>
        <v>0</v>
      </c>
      <c r="AD65" s="1057">
        <f>IF(AD24=2,SUMIF(AD31:AD35,"&gt;0"),0)</f>
        <v>0</v>
      </c>
      <c r="AF65" s="1060">
        <f>IF(AF24=2,SUMIF(AF31:AF35,"&gt;0"),0)</f>
        <v>0</v>
      </c>
      <c r="AG65" s="1057">
        <f>SUM(B65:AF65)</f>
        <v>0</v>
      </c>
      <c r="AH65" s="1057">
        <f>AG73-AG65</f>
        <v>3</v>
      </c>
    </row>
    <row r="66" spans="1:81" s="1057" customFormat="1" ht="12.75" hidden="1" customHeight="1" x14ac:dyDescent="0.2">
      <c r="A66" s="1057" t="s">
        <v>97</v>
      </c>
      <c r="B66" s="1057">
        <f>IF(B24=3,SUMIF(B31:B35,"&gt;0"),0)</f>
        <v>0</v>
      </c>
      <c r="D66" s="1060">
        <f>IF(D24=3,SUMIF(D31:D35,"&gt;0"),0)</f>
        <v>1</v>
      </c>
      <c r="E66" s="1057">
        <f>IF(E24=3,SUMIF(E31:E35,"&gt;0"),0)</f>
        <v>0</v>
      </c>
      <c r="G66" s="1060">
        <f>IF(G24=3,SUMIF(G31:G35,"&gt;0"),0)</f>
        <v>0</v>
      </c>
      <c r="H66" s="1057">
        <f>IF(H24=3,SUMIF(H31:H35,"&gt;0"),0)</f>
        <v>0</v>
      </c>
      <c r="J66" s="1060">
        <f>IF(J24=3,SUMIF(J31:J35,"&gt;0"),0)</f>
        <v>0</v>
      </c>
      <c r="K66" s="1060"/>
      <c r="L66" s="1057">
        <f>IF(L24=3,SUMIF(L31:L35,"&gt;0"),0)</f>
        <v>0</v>
      </c>
      <c r="N66" s="1060">
        <f>IF(N24=3,SUMIF(N31:N35,"&gt;0"),0)</f>
        <v>1</v>
      </c>
      <c r="O66" s="1057">
        <f>IF(O24=3,SUMIF(O31:O35,"&gt;0"),0)</f>
        <v>1</v>
      </c>
      <c r="Q66" s="1060">
        <f>IF(Q24=3,SUMIF(Q31:Q35,"&gt;0"),0)</f>
        <v>0</v>
      </c>
      <c r="R66" s="1057">
        <f>IF(R24=3,SUMIF(R31:R35,"&gt;0"),0)</f>
        <v>0</v>
      </c>
      <c r="T66" s="1060">
        <f>IF(T24=3,SUMIF(T31:T35,"&gt;0"),0)</f>
        <v>0</v>
      </c>
      <c r="U66" s="1057">
        <f>IF(U24=3,SUMIF(U31:U35,"&gt;0"),0)</f>
        <v>0</v>
      </c>
      <c r="W66" s="1060">
        <f>IF(W24=3,SUMIF(W31:W35,"&gt;0"),0)</f>
        <v>0</v>
      </c>
      <c r="X66" s="1057">
        <f>IF(X24=3,SUMIF(X31:X35,"&gt;0"),0)</f>
        <v>0</v>
      </c>
      <c r="Z66" s="1060">
        <f>IF(Z24=3,SUMIF(Z31:Z35,"&gt;0"),0)</f>
        <v>0</v>
      </c>
      <c r="AA66" s="1057">
        <f>IF(AA24=3,SUMIF(AA31:AA35,"&gt;0"),0)</f>
        <v>0</v>
      </c>
      <c r="AC66" s="1060">
        <f>IF(AC24=3,SUMIF(AC31:AC35,"&gt;0"),0)</f>
        <v>0</v>
      </c>
      <c r="AD66" s="1057">
        <f>IF(AD24=3,SUMIF(AD31:AD35,"&gt;0"),0)</f>
        <v>0</v>
      </c>
      <c r="AF66" s="1060">
        <f>IF(AF24=3,SUMIF(AF31:AF35,"&gt;0"),0)</f>
        <v>0</v>
      </c>
      <c r="AG66" s="1057">
        <f>SUM(B66:AF66)</f>
        <v>3</v>
      </c>
      <c r="AH66" s="1057">
        <f>AG74-AG66</f>
        <v>0</v>
      </c>
    </row>
    <row r="67" spans="1:81" s="1057" customFormat="1" ht="12.75" hidden="1" customHeight="1" x14ac:dyDescent="0.2">
      <c r="A67" s="1057" t="s">
        <v>98</v>
      </c>
      <c r="B67" s="1057">
        <f>IF(B24=4,SUMIF(B31:B35,"&gt;0"),0)</f>
        <v>0</v>
      </c>
      <c r="D67" s="1060">
        <f>IF(D24=4,SUMIF(D31:D35,"&gt;0"),0)</f>
        <v>0</v>
      </c>
      <c r="E67" s="1057">
        <f>IF(E24=4,SUMIF(E31:E35,"&gt;0"),0)</f>
        <v>0</v>
      </c>
      <c r="G67" s="1060">
        <f>IF(G24=4,SUMIF(G31:G35,"&gt;0"),0)</f>
        <v>0</v>
      </c>
      <c r="H67" s="1057">
        <f>IF(H24=4,SUMIF(H31:H35,"&gt;0"),0)</f>
        <v>0</v>
      </c>
      <c r="J67" s="1060">
        <f>IF(J24=4,SUMIF(J31:J35,"&gt;0"),0)</f>
        <v>1</v>
      </c>
      <c r="K67" s="1060"/>
      <c r="L67" s="1057">
        <f>IF(L24=4,SUMIF(L31:L35,"&gt;0"),0)</f>
        <v>0</v>
      </c>
      <c r="N67" s="1060">
        <f>IF(N24=4,SUMIF(N31:N35,"&gt;0"),0)</f>
        <v>0</v>
      </c>
      <c r="O67" s="1057">
        <f>IF(O24=4,SUMIF(O31:O35,"&gt;0"),0)</f>
        <v>0</v>
      </c>
      <c r="Q67" s="1060">
        <f>IF(Q24=4,SUMIF(Q31:Q35,"&gt;0"),0)</f>
        <v>0</v>
      </c>
      <c r="R67" s="1057">
        <f>IF(R24=4,SUMIF(R31:R35,"&gt;0"),0)</f>
        <v>0</v>
      </c>
      <c r="T67" s="1060">
        <f>IF(T24=4,SUMIF(T31:T35,"&gt;0"),0)</f>
        <v>0</v>
      </c>
      <c r="U67" s="1057">
        <f>IF(U24=4,SUMIF(U31:U35,"&gt;0"),0)</f>
        <v>0</v>
      </c>
      <c r="W67" s="1060">
        <f>IF(W24=4,SUMIF(W31:W35,"&gt;0"),0)</f>
        <v>0</v>
      </c>
      <c r="X67" s="1057">
        <f>IF(X24=4,SUMIF(X31:X35,"&gt;0"),0)</f>
        <v>0</v>
      </c>
      <c r="Z67" s="1060">
        <f>IF(Z24=4,SUMIF(Z31:Z35,"&gt;0"),0)</f>
        <v>0</v>
      </c>
      <c r="AA67" s="1057">
        <f>IF(AA24=4,SUMIF(AA31:AA35,"&gt;0"),0)</f>
        <v>0</v>
      </c>
      <c r="AC67" s="1060">
        <f>IF(AC24=4,SUMIF(AC31:AC35,"&gt;0"),0)</f>
        <v>0</v>
      </c>
      <c r="AD67" s="1057">
        <f>IF(AD24=4,SUMIF(AD31:AD35,"&gt;0"),0)</f>
        <v>0</v>
      </c>
      <c r="AF67" s="1060">
        <f>IF(AF24=4,SUMIF(AF31:AF35,"&gt;0"),0)</f>
        <v>0</v>
      </c>
      <c r="AG67" s="1057">
        <f>SUM(B67:AF67)</f>
        <v>1</v>
      </c>
      <c r="AH67" s="1057">
        <f>AG75-AG67</f>
        <v>2</v>
      </c>
    </row>
    <row r="68" spans="1:81" s="1057" customFormat="1" ht="12.75" hidden="1" customHeight="1" x14ac:dyDescent="0.2">
      <c r="A68" s="1057" t="s">
        <v>99</v>
      </c>
      <c r="B68" s="1057">
        <f>IF(B24=5,SUMIF(B31:B35,"&gt;0"),0)</f>
        <v>0</v>
      </c>
      <c r="D68" s="1060">
        <f>IF(D24=5,SUMIF(D31:D35,"&gt;0"),0)</f>
        <v>0</v>
      </c>
      <c r="E68" s="1057">
        <f>IF(E24=5,SUMIF(E31:E35,"&gt;0"),0)</f>
        <v>0</v>
      </c>
      <c r="G68" s="1060">
        <f>IF(G24=5,SUMIF(G31:G35,"&gt;0"),0)</f>
        <v>0</v>
      </c>
      <c r="H68" s="1057">
        <f>IF(H24=5,SUMIF(H31:H35,"&gt;0"),0)</f>
        <v>0</v>
      </c>
      <c r="J68" s="1060">
        <f>IF(J24=5,SUMIF(J31:J35,"&gt;0"),0)</f>
        <v>0</v>
      </c>
      <c r="K68" s="1060"/>
      <c r="L68" s="1057">
        <f>IF(L24=5,SUMIF(L31:L35,"&gt;0"),0)</f>
        <v>0</v>
      </c>
      <c r="N68" s="1060">
        <f>IF(N24=5,SUMIF(N31:N35,"&gt;0"),0)</f>
        <v>0</v>
      </c>
      <c r="O68" s="1057">
        <f>IF(O24=5,SUMIF(O31:O35,"&gt;0"),0)</f>
        <v>0</v>
      </c>
      <c r="Q68" s="1060">
        <f>IF(Q24=5,SUMIF(Q31:Q35,"&gt;0"),0)</f>
        <v>0</v>
      </c>
      <c r="R68" s="1057">
        <f>IF(R24=5,SUMIF(R31:R35,"&gt;0"),0)</f>
        <v>0</v>
      </c>
      <c r="T68" s="1060">
        <f>IF(T24=5,SUMIF(T31:T35,"&gt;0"),0)</f>
        <v>0</v>
      </c>
      <c r="U68" s="1057">
        <f>IF(U24=5,SUMIF(U31:U35,"&gt;0"),0)</f>
        <v>0</v>
      </c>
      <c r="W68" s="1060">
        <f>IF(W24=5,SUMIF(W31:W35,"&gt;0"),0)</f>
        <v>0</v>
      </c>
      <c r="X68" s="1057">
        <f>IF(X24=5,SUMIF(X31:X35,"&gt;0"),0)</f>
        <v>0</v>
      </c>
      <c r="Z68" s="1060">
        <f>IF(Z24=5,SUMIF(Z31:Z35,"&gt;0"),0)</f>
        <v>0</v>
      </c>
      <c r="AA68" s="1057">
        <f>IF(AA24=5,SUMIF(AA31:AA35,"&gt;0"),0)</f>
        <v>0</v>
      </c>
      <c r="AC68" s="1060">
        <f>IF(AC24=5,SUMIF(AC31:AC35,"&gt;0"),0)</f>
        <v>0</v>
      </c>
      <c r="AD68" s="1057">
        <f>IF(AD24=5,SUMIF(AD31:AD35,"&gt;0"),0)</f>
        <v>0</v>
      </c>
      <c r="AF68" s="1060">
        <f>IF(AF24=5,SUMIF(AF31:AF35,"&gt;0"),0)</f>
        <v>0</v>
      </c>
      <c r="AG68" s="1057">
        <f>SUM(B68:AF68)</f>
        <v>0</v>
      </c>
      <c r="AH68" s="1057">
        <f>AG76-AG68</f>
        <v>0</v>
      </c>
    </row>
    <row r="69" spans="1:81" s="1057" customFormat="1" ht="12.75" hidden="1" customHeight="1" x14ac:dyDescent="0.2">
      <c r="D69" s="1060"/>
      <c r="G69" s="1060"/>
      <c r="J69" s="1060"/>
      <c r="K69" s="1060"/>
      <c r="N69" s="1060"/>
      <c r="Q69" s="1060"/>
      <c r="T69" s="1060"/>
      <c r="W69" s="1060"/>
      <c r="Z69" s="1060"/>
      <c r="AC69" s="1060"/>
      <c r="AF69" s="1060"/>
    </row>
    <row r="70" spans="1:81" s="1057" customFormat="1" ht="12.75" hidden="1" customHeight="1" x14ac:dyDescent="0.2">
      <c r="D70" s="1060"/>
      <c r="G70" s="1060"/>
      <c r="J70" s="1060"/>
      <c r="K70" s="1060"/>
      <c r="N70" s="1060"/>
      <c r="Q70" s="1060"/>
      <c r="T70" s="1060"/>
      <c r="W70" s="1060"/>
      <c r="Z70" s="1060"/>
      <c r="AC70" s="1060"/>
      <c r="AF70" s="1060"/>
    </row>
    <row r="71" spans="1:81" s="1057" customFormat="1" ht="51" hidden="1" customHeight="1" x14ac:dyDescent="0.2">
      <c r="A71" s="1061" t="s">
        <v>110</v>
      </c>
      <c r="C71" s="1057">
        <f>SUMIF(B64:D68,"&gt;0")</f>
        <v>1</v>
      </c>
      <c r="D71" s="1060"/>
      <c r="F71" s="1057">
        <f>SUMIF(E64:G68,"&gt;0")</f>
        <v>1</v>
      </c>
      <c r="G71" s="1060"/>
      <c r="I71" s="1057">
        <f>SUMIF(H64:J68,"&gt;0")</f>
        <v>1</v>
      </c>
      <c r="J71" s="1060"/>
      <c r="K71" s="1060"/>
      <c r="M71" s="1057">
        <f>SUMIF(L64:N68,"&gt;0")</f>
        <v>1</v>
      </c>
      <c r="N71" s="1060"/>
      <c r="P71" s="1057">
        <f>SUMIF(O64:Q68,"&gt;0")</f>
        <v>1</v>
      </c>
      <c r="Q71" s="1060"/>
      <c r="S71" s="1057">
        <f>SUMIF(R64:T68,"&gt;0")</f>
        <v>1</v>
      </c>
      <c r="T71" s="1060"/>
      <c r="V71" s="1057">
        <f>SUMIF(U64:W68,"&gt;0")</f>
        <v>0</v>
      </c>
      <c r="W71" s="1060"/>
      <c r="Y71" s="1057">
        <f>SUMIF(X64:Z68,"&gt;0")</f>
        <v>0</v>
      </c>
      <c r="Z71" s="1060"/>
      <c r="AB71" s="1057">
        <f>SUMIF(AA64:AC68,"&gt;0")</f>
        <v>0</v>
      </c>
      <c r="AC71" s="1060"/>
      <c r="AE71" s="1057">
        <f>SUMIF(AD64:AF68,"&gt;0")</f>
        <v>0</v>
      </c>
      <c r="AF71" s="1060"/>
      <c r="AG71" s="1061" t="s">
        <v>111</v>
      </c>
    </row>
    <row r="72" spans="1:81" s="1057" customFormat="1" ht="12.75" hidden="1" customHeight="1" x14ac:dyDescent="0.2">
      <c r="A72" s="1057" t="s">
        <v>101</v>
      </c>
      <c r="B72" s="1057">
        <f>IF(B24=1,C71,0)</f>
        <v>0</v>
      </c>
      <c r="D72" s="1060">
        <f>IF(D24=1,C71,0)</f>
        <v>0</v>
      </c>
      <c r="E72" s="1057">
        <f>IF(E24=1,F71,0)</f>
        <v>1</v>
      </c>
      <c r="G72" s="1060">
        <f>IF(G24=1,F71,0)</f>
        <v>0</v>
      </c>
      <c r="H72" s="1057">
        <f>IF(H24=1,I71,0)</f>
        <v>0</v>
      </c>
      <c r="J72" s="1060">
        <f>IF(J24=1,I71,0)</f>
        <v>0</v>
      </c>
      <c r="K72" s="1060"/>
      <c r="L72" s="1057">
        <f>IF(L24=1,M71,0)</f>
        <v>1</v>
      </c>
      <c r="N72" s="1060">
        <f>IF(N24=1,M71,0)</f>
        <v>0</v>
      </c>
      <c r="O72" s="1057">
        <f>IF(O24=1,P71,0)</f>
        <v>0</v>
      </c>
      <c r="Q72" s="1060">
        <f>IF(Q24=1,P71,0)</f>
        <v>0</v>
      </c>
      <c r="R72" s="1057">
        <f>IF(R24=1,S71,0)</f>
        <v>1</v>
      </c>
      <c r="T72" s="1060">
        <f>IF(T24=1,S71,0)</f>
        <v>0</v>
      </c>
      <c r="U72" s="1057">
        <f>IF(U24=1,V71,0)</f>
        <v>0</v>
      </c>
      <c r="W72" s="1060">
        <f>IF(W24=1,V71,0)</f>
        <v>0</v>
      </c>
      <c r="X72" s="1057">
        <f>IF(X24=1,Y71,0)</f>
        <v>0</v>
      </c>
      <c r="Z72" s="1060">
        <f>IF(Z24=1,Y71,0)</f>
        <v>0</v>
      </c>
      <c r="AA72" s="1057">
        <f>IF(AA24=1,AB71,0)</f>
        <v>0</v>
      </c>
      <c r="AC72" s="1060">
        <f>IF(AC24=1,AB71,0)</f>
        <v>0</v>
      </c>
      <c r="AD72" s="1057">
        <f>IF(AD24=1,AE71,0)</f>
        <v>0</v>
      </c>
      <c r="AF72" s="1060">
        <f>IF(AF24=1,AE71,0)</f>
        <v>0</v>
      </c>
      <c r="AG72" s="1057">
        <f>SUM(B72:AF72)</f>
        <v>3</v>
      </c>
    </row>
    <row r="73" spans="1:81" s="1057" customFormat="1" ht="12.75" hidden="1" customHeight="1" x14ac:dyDescent="0.2">
      <c r="A73" s="1057" t="s">
        <v>102</v>
      </c>
      <c r="B73" s="1057">
        <f>IF(B24=2,C71,0)</f>
        <v>1</v>
      </c>
      <c r="D73" s="1060">
        <f>IF(D24=2,C71,0)</f>
        <v>0</v>
      </c>
      <c r="E73" s="1057">
        <f>IF(E24=2,F71,0)</f>
        <v>0</v>
      </c>
      <c r="G73" s="1060">
        <f>IF(G24=2,F71,0)</f>
        <v>0</v>
      </c>
      <c r="H73" s="1057">
        <f>IF(H24=2,I71,0)</f>
        <v>1</v>
      </c>
      <c r="J73" s="1060">
        <f>IF(J24=2,I71,0)</f>
        <v>0</v>
      </c>
      <c r="K73" s="1060"/>
      <c r="L73" s="1057">
        <f>IF(L24=2,M71,0)</f>
        <v>0</v>
      </c>
      <c r="N73" s="1060">
        <f>IF(N24=2,M71,0)</f>
        <v>0</v>
      </c>
      <c r="O73" s="1057">
        <f>IF(O24=2,P71,0)</f>
        <v>0</v>
      </c>
      <c r="Q73" s="1060">
        <f>IF(Q24=2,P71,0)</f>
        <v>0</v>
      </c>
      <c r="R73" s="1057">
        <f>IF(R24=2,S71,0)</f>
        <v>0</v>
      </c>
      <c r="T73" s="1060">
        <f>IF(T24=2,S71,0)</f>
        <v>1</v>
      </c>
      <c r="U73" s="1057">
        <f>IF(U24=2,V71,0)</f>
        <v>0</v>
      </c>
      <c r="W73" s="1060">
        <f>IF(W24=2,V71,0)</f>
        <v>0</v>
      </c>
      <c r="X73" s="1057">
        <f>IF(X24=2,Y71,0)</f>
        <v>0</v>
      </c>
      <c r="Z73" s="1060">
        <f>IF(Z24=2,Y71,0)</f>
        <v>0</v>
      </c>
      <c r="AA73" s="1057">
        <f>IF(AA24=2,AB71,0)</f>
        <v>0</v>
      </c>
      <c r="AC73" s="1060">
        <f>IF(AC24=2,AB71,0)</f>
        <v>0</v>
      </c>
      <c r="AD73" s="1057">
        <f>IF(AD24=2,AE71,0)</f>
        <v>0</v>
      </c>
      <c r="AF73" s="1060">
        <f>IF(AF24=2,AE71,0)</f>
        <v>0</v>
      </c>
      <c r="AG73" s="1057">
        <f>SUM(B73:AF73)</f>
        <v>3</v>
      </c>
    </row>
    <row r="74" spans="1:81" s="1057" customFormat="1" ht="12.75" hidden="1" customHeight="1" x14ac:dyDescent="0.2">
      <c r="A74" s="1057" t="s">
        <v>103</v>
      </c>
      <c r="B74" s="1057">
        <f>IF(B24=3,C71,0)</f>
        <v>0</v>
      </c>
      <c r="D74" s="1060">
        <f>IF(D24=3,C71,0)</f>
        <v>1</v>
      </c>
      <c r="E74" s="1057">
        <f>IF(E24=3,F71,0)</f>
        <v>0</v>
      </c>
      <c r="G74" s="1060">
        <f>IF(G24=3,F71,0)</f>
        <v>0</v>
      </c>
      <c r="H74" s="1057">
        <f>IF(H24=3,I71,0)</f>
        <v>0</v>
      </c>
      <c r="J74" s="1060">
        <f>IF(J24=3,I71,0)</f>
        <v>0</v>
      </c>
      <c r="K74" s="1060"/>
      <c r="L74" s="1057">
        <f>IF(L24=3,M71,0)</f>
        <v>0</v>
      </c>
      <c r="N74" s="1060">
        <f>IF(N24=3,M71,0)</f>
        <v>1</v>
      </c>
      <c r="O74" s="1057">
        <f>IF(O24=3,P71,0)</f>
        <v>1</v>
      </c>
      <c r="Q74" s="1060">
        <f>IF(Q24=3,P71,0)</f>
        <v>0</v>
      </c>
      <c r="R74" s="1057">
        <f>IF(R24=3,S71,0)</f>
        <v>0</v>
      </c>
      <c r="T74" s="1060">
        <f>IF(T24=3,S71,0)</f>
        <v>0</v>
      </c>
      <c r="U74" s="1057">
        <f>IF(U24=3,V71,0)</f>
        <v>0</v>
      </c>
      <c r="W74" s="1060">
        <f>IF(W24=3,V71,0)</f>
        <v>0</v>
      </c>
      <c r="X74" s="1057">
        <f>IF(X24=3,Y71,0)</f>
        <v>0</v>
      </c>
      <c r="Z74" s="1060">
        <f>IF(Z24=3,Y71,0)</f>
        <v>0</v>
      </c>
      <c r="AA74" s="1057">
        <f>IF(AA24=3,AB71,0)</f>
        <v>0</v>
      </c>
      <c r="AC74" s="1060">
        <f>IF(AC24=3,AB71,0)</f>
        <v>0</v>
      </c>
      <c r="AD74" s="1057">
        <f>IF(AD24=3,AE71,0)</f>
        <v>0</v>
      </c>
      <c r="AF74" s="1060">
        <f>IF(AF24=3,AE71,0)</f>
        <v>0</v>
      </c>
      <c r="AG74" s="1057">
        <f>SUM(B74:AF74)</f>
        <v>3</v>
      </c>
    </row>
    <row r="75" spans="1:81" s="1057" customFormat="1" ht="12.75" hidden="1" customHeight="1" x14ac:dyDescent="0.2">
      <c r="A75" s="1057" t="s">
        <v>104</v>
      </c>
      <c r="B75" s="1057">
        <f>IF(B24=4,C71,0)</f>
        <v>0</v>
      </c>
      <c r="D75" s="1060">
        <f>IF(D24=4,C71,0)</f>
        <v>0</v>
      </c>
      <c r="E75" s="1057">
        <f>IF(E24=4,F71,0)</f>
        <v>0</v>
      </c>
      <c r="G75" s="1060">
        <f>IF(G24=4,F71,0)</f>
        <v>1</v>
      </c>
      <c r="H75" s="1057">
        <f>IF(H24=4,I71,0)</f>
        <v>0</v>
      </c>
      <c r="J75" s="1060">
        <f>IF(J24=4,I71,0)</f>
        <v>1</v>
      </c>
      <c r="K75" s="1060"/>
      <c r="L75" s="1057">
        <f>IF(L24=4,M71,0)</f>
        <v>0</v>
      </c>
      <c r="N75" s="1060">
        <f>IF(N24=4,M71,0)</f>
        <v>0</v>
      </c>
      <c r="O75" s="1057">
        <f>IF(O24=4,P71,0)</f>
        <v>0</v>
      </c>
      <c r="Q75" s="1060">
        <f>IF(Q24=4,P71,0)</f>
        <v>1</v>
      </c>
      <c r="R75" s="1057">
        <f>IF(R24=4,S71,0)</f>
        <v>0</v>
      </c>
      <c r="T75" s="1060">
        <f>IF(T24=4,S71,0)</f>
        <v>0</v>
      </c>
      <c r="U75" s="1057">
        <f>IF(U24=4,V71,0)</f>
        <v>0</v>
      </c>
      <c r="W75" s="1060">
        <f>IF(W24=4,V71,0)</f>
        <v>0</v>
      </c>
      <c r="X75" s="1057">
        <f>IF(X24=4,Y71,0)</f>
        <v>0</v>
      </c>
      <c r="Z75" s="1060">
        <f>IF(Z24=4,Y71,0)</f>
        <v>0</v>
      </c>
      <c r="AA75" s="1057">
        <f>IF(AA24=4,AB71,0)</f>
        <v>0</v>
      </c>
      <c r="AC75" s="1060">
        <f>IF(AC24=4,AB71,0)</f>
        <v>0</v>
      </c>
      <c r="AD75" s="1057">
        <f>IF(AD24=4,AE71,0)</f>
        <v>0</v>
      </c>
      <c r="AF75" s="1060">
        <f>IF(AF24=4,AE71,0)</f>
        <v>0</v>
      </c>
      <c r="AG75" s="1057">
        <f>SUM(B75:AF75)</f>
        <v>3</v>
      </c>
    </row>
    <row r="76" spans="1:81" s="1057" customFormat="1" ht="12.75" hidden="1" customHeight="1" x14ac:dyDescent="0.2">
      <c r="A76" s="1057" t="s">
        <v>105</v>
      </c>
      <c r="B76" s="1057">
        <f>IF(B24=5,C71,0)</f>
        <v>0</v>
      </c>
      <c r="D76" s="1060">
        <f>IF(D24=5,C71,0)</f>
        <v>0</v>
      </c>
      <c r="E76" s="1057">
        <f>IF(E24=5,F71,0)</f>
        <v>0</v>
      </c>
      <c r="G76" s="1060">
        <f>IF(G24=5,F71,0)</f>
        <v>0</v>
      </c>
      <c r="H76" s="1057">
        <f>IF(H24=5,I71,0)</f>
        <v>0</v>
      </c>
      <c r="J76" s="1060">
        <f>IF(J24=5,I71,0)</f>
        <v>0</v>
      </c>
      <c r="K76" s="1060"/>
      <c r="L76" s="1057">
        <f>IF(L24=5,M71,0)</f>
        <v>0</v>
      </c>
      <c r="N76" s="1060">
        <f>IF(N24=5,M71,0)</f>
        <v>0</v>
      </c>
      <c r="O76" s="1057">
        <f>IF(O24=5,P71,0)</f>
        <v>0</v>
      </c>
      <c r="Q76" s="1060">
        <f>IF(Q24=5,P71,0)</f>
        <v>0</v>
      </c>
      <c r="R76" s="1057">
        <f>IF(R24=5,S71,0)</f>
        <v>0</v>
      </c>
      <c r="T76" s="1060">
        <f>IF(T24=5,S71,0)</f>
        <v>0</v>
      </c>
      <c r="U76" s="1057">
        <f>IF(U24=5,V71,0)</f>
        <v>0</v>
      </c>
      <c r="W76" s="1060">
        <f>IF(W24=5,V71,0)</f>
        <v>0</v>
      </c>
      <c r="X76" s="1057">
        <f>IF(X24=5,Y71,0)</f>
        <v>0</v>
      </c>
      <c r="Z76" s="1060">
        <f>IF(Z24=5,Y71,0)</f>
        <v>0</v>
      </c>
      <c r="AA76" s="1057">
        <f>IF(AA24=5,AB71,0)</f>
        <v>0</v>
      </c>
      <c r="AC76" s="1060">
        <f>IF(AC24=5,AB71,0)</f>
        <v>0</v>
      </c>
      <c r="AD76" s="1057">
        <f>IF(AD24=5,AE71,0)</f>
        <v>0</v>
      </c>
      <c r="AF76" s="1060">
        <f>IF(AF24=5,AE71,0)</f>
        <v>0</v>
      </c>
      <c r="AG76" s="1057">
        <f>SUM(B76:AF76)</f>
        <v>0</v>
      </c>
    </row>
    <row r="77" spans="1:81" hidden="1" x14ac:dyDescent="0.2">
      <c r="A77" s="1063"/>
      <c r="B77" s="1063"/>
      <c r="C77" s="1063"/>
      <c r="D77" s="1063"/>
      <c r="E77" s="1063"/>
      <c r="F77" s="1063"/>
      <c r="G77" s="1063"/>
      <c r="H77" s="1063"/>
      <c r="I77" s="1063"/>
      <c r="J77" s="1063"/>
      <c r="K77" s="1063"/>
      <c r="L77" s="1063"/>
      <c r="M77" s="1063"/>
      <c r="N77" s="1063"/>
      <c r="O77" s="1063"/>
      <c r="P77" s="1063"/>
      <c r="Q77" s="1063"/>
      <c r="R77" s="1063"/>
      <c r="S77" s="1063"/>
      <c r="T77" s="1063"/>
      <c r="U77" s="1063"/>
      <c r="V77" s="1063"/>
      <c r="W77" s="1063"/>
      <c r="X77" s="1063"/>
      <c r="Y77" s="1063"/>
      <c r="Z77" s="1063"/>
      <c r="AA77" s="1063"/>
      <c r="AB77" s="1063"/>
      <c r="AC77" s="1063"/>
      <c r="AD77" s="1063"/>
      <c r="AE77" s="1063"/>
      <c r="AF77" s="1063"/>
      <c r="AG77" s="1063"/>
      <c r="AH77" s="1063"/>
      <c r="AI77" s="1063"/>
      <c r="AJ77" s="1063"/>
      <c r="AK77" s="1063"/>
      <c r="AL77" s="1063"/>
      <c r="AM77" s="1063"/>
      <c r="AN77" s="1063"/>
      <c r="AO77" s="1064"/>
      <c r="AP77" s="1064"/>
      <c r="AQ77" s="1064"/>
      <c r="AR77" s="1064"/>
      <c r="AS77" s="1065"/>
      <c r="AT77" s="1065"/>
      <c r="AU77" s="1065"/>
      <c r="AV77" s="1065"/>
      <c r="AW77" s="1066"/>
      <c r="BB77" s="1066"/>
      <c r="BE77" s="1066"/>
      <c r="BH77" s="1066"/>
      <c r="BK77" s="1066"/>
      <c r="BN77" s="1066"/>
      <c r="BQ77" s="1066"/>
      <c r="BT77" s="1066"/>
      <c r="BW77" s="1066"/>
      <c r="BZ77" s="1066"/>
      <c r="CC77" s="1066"/>
    </row>
    <row r="78" spans="1:81" s="1065" customFormat="1" hidden="1" x14ac:dyDescent="0.2">
      <c r="A78" s="1067"/>
      <c r="B78" s="1067"/>
      <c r="C78" s="1067" t="s">
        <v>112</v>
      </c>
      <c r="D78" s="1067">
        <v>1</v>
      </c>
      <c r="E78" s="1067"/>
      <c r="F78" s="1067"/>
      <c r="G78" s="1067">
        <v>2</v>
      </c>
      <c r="H78" s="1067"/>
      <c r="I78" s="1067"/>
      <c r="J78" s="1067">
        <v>3</v>
      </c>
      <c r="K78" s="1067"/>
      <c r="L78" s="1067"/>
      <c r="M78" s="1067"/>
      <c r="N78" s="1067">
        <v>4</v>
      </c>
      <c r="O78" s="1067"/>
      <c r="P78" s="1067"/>
      <c r="Q78" s="1067">
        <v>5</v>
      </c>
      <c r="R78" s="1067"/>
      <c r="S78" s="1067"/>
      <c r="T78" s="1067">
        <v>6</v>
      </c>
      <c r="U78" s="1067"/>
      <c r="V78" s="1067"/>
      <c r="W78" s="1067">
        <v>7</v>
      </c>
      <c r="X78" s="1067"/>
      <c r="Y78" s="1067"/>
      <c r="Z78" s="1067">
        <v>8</v>
      </c>
      <c r="AA78" s="1067"/>
      <c r="AB78" s="1067"/>
      <c r="AC78" s="1067">
        <v>9</v>
      </c>
      <c r="AD78" s="1067"/>
      <c r="AE78" s="1067"/>
      <c r="AF78" s="1067">
        <v>10</v>
      </c>
      <c r="AG78" s="846"/>
      <c r="AH78" s="1067"/>
      <c r="AJ78" s="1068"/>
      <c r="AK78" s="846"/>
      <c r="AL78" s="846"/>
      <c r="AM78" s="846"/>
      <c r="AN78" s="846"/>
      <c r="AO78" s="846"/>
      <c r="AP78" s="846"/>
      <c r="AT78" s="1068" t="s">
        <v>113</v>
      </c>
      <c r="AW78" s="1069"/>
      <c r="BB78" s="1069"/>
      <c r="BE78" s="1069"/>
      <c r="BH78" s="1069"/>
      <c r="BK78" s="1069"/>
      <c r="BN78" s="1069"/>
      <c r="BQ78" s="1069"/>
      <c r="BT78" s="1069"/>
      <c r="BW78" s="1069"/>
      <c r="BZ78" s="1069"/>
      <c r="CC78" s="1069"/>
    </row>
    <row r="79" spans="1:81" s="1065" customFormat="1" hidden="1" x14ac:dyDescent="0.2">
      <c r="A79" s="1070">
        <v>1</v>
      </c>
      <c r="B79" s="1070" t="str">
        <f>E8</f>
        <v>Intense kids power col</v>
      </c>
      <c r="C79" s="1070">
        <f>VLOOKUP(B79,AU$3:AY$33,3,FALSE)</f>
        <v>1231.7907169886246</v>
      </c>
      <c r="D79" s="1070">
        <f>IF(B72,B87,IF(D72,D87,C79))</f>
        <v>1231.7907169886246</v>
      </c>
      <c r="E79" s="1070"/>
      <c r="F79" s="1070"/>
      <c r="G79" s="1070">
        <f>IF(E72,E87,IF(G72,G87,D79))</f>
        <v>1245.9818955169301</v>
      </c>
      <c r="H79" s="1070"/>
      <c r="I79" s="1070"/>
      <c r="J79" s="1070">
        <f>IF(H72,H87,IF(J72,J87,G79))</f>
        <v>1245.9818955169301</v>
      </c>
      <c r="K79" s="1070"/>
      <c r="L79" s="1070"/>
      <c r="M79" s="1070"/>
      <c r="N79" s="1070">
        <f>IF(L72,L87,IF(N72,N87,J79))</f>
        <v>1229.0079589117781</v>
      </c>
      <c r="O79" s="1070"/>
      <c r="P79" s="1070"/>
      <c r="Q79" s="1070">
        <f>IF(O72,O87,IF(Q72,Q87,N79))</f>
        <v>1229.0079589117781</v>
      </c>
      <c r="R79" s="1070"/>
      <c r="S79" s="1070"/>
      <c r="T79" s="1070">
        <f>IF(R72,R87,IF(T72,T87,Q79))</f>
        <v>1243.8891049954495</v>
      </c>
      <c r="U79" s="1070"/>
      <c r="V79" s="1070"/>
      <c r="W79" s="1070">
        <f>IF(U72,U87,IF(W72,W87,T79))</f>
        <v>1243.8891049954495</v>
      </c>
      <c r="X79" s="1070"/>
      <c r="Y79" s="1070"/>
      <c r="Z79" s="1070">
        <f>IF(X72,X87,IF(Z72,Z87,W79))</f>
        <v>1243.8891049954495</v>
      </c>
      <c r="AA79" s="1070"/>
      <c r="AB79" s="1070"/>
      <c r="AC79" s="1070">
        <f>IF(AA72,AA87,IF(AC72,AC87,Z79))</f>
        <v>1243.8891049954495</v>
      </c>
      <c r="AD79" s="1070"/>
      <c r="AE79" s="1070"/>
      <c r="AF79" s="1070">
        <f>IF(AD72,AD87,IF(AF72,AF87,AC79))</f>
        <v>1243.8891049954495</v>
      </c>
      <c r="AG79" s="846"/>
      <c r="AH79" s="846"/>
      <c r="AK79" s="846"/>
      <c r="AL79" s="846"/>
      <c r="AM79" s="846"/>
      <c r="AN79" s="846"/>
      <c r="AO79" s="846"/>
      <c r="AP79" s="846"/>
      <c r="AT79" s="1065" t="str">
        <f>B79</f>
        <v>Intense kids power col</v>
      </c>
      <c r="AU79" s="1065">
        <f>AF79</f>
        <v>1243.8891049954495</v>
      </c>
      <c r="AW79" s="1069"/>
      <c r="BB79" s="1069"/>
      <c r="BE79" s="1069"/>
      <c r="BH79" s="1069"/>
      <c r="BK79" s="1069"/>
      <c r="BN79" s="1069"/>
      <c r="BQ79" s="1069"/>
      <c r="BT79" s="1069"/>
      <c r="BW79" s="1069"/>
      <c r="BZ79" s="1069"/>
      <c r="CC79" s="1069"/>
    </row>
    <row r="80" spans="1:81" s="1065" customFormat="1" hidden="1" x14ac:dyDescent="0.2">
      <c r="A80" s="1070">
        <v>2</v>
      </c>
      <c r="B80" s="1070" t="str">
        <f>E10</f>
        <v>MOTO 12'1</v>
      </c>
      <c r="C80" s="1070">
        <f>VLOOKUP(B80,AU$3:AY$33,3,FALSE)</f>
        <v>1240.2255380634294</v>
      </c>
      <c r="D80" s="1070">
        <f>IF(B73,B87,IF(D73,D87,C80))</f>
        <v>1222.7135542439969</v>
      </c>
      <c r="E80" s="1070"/>
      <c r="F80" s="1070"/>
      <c r="G80" s="1070">
        <f>IF(E73,E87,IF(G73,G87,D80))</f>
        <v>1222.7135542439969</v>
      </c>
      <c r="H80" s="1070"/>
      <c r="I80" s="1070"/>
      <c r="J80" s="1070">
        <f>IF(H73,H87,IF(J73,J87,G80))</f>
        <v>1204.6726365702525</v>
      </c>
      <c r="K80" s="1070"/>
      <c r="L80" s="1070"/>
      <c r="M80" s="1070"/>
      <c r="N80" s="1070">
        <f>IF(L73,L87,IF(N73,N87,J80))</f>
        <v>1204.6726365702525</v>
      </c>
      <c r="O80" s="1070"/>
      <c r="P80" s="1070"/>
      <c r="Q80" s="1070">
        <f>IF(O73,O87,IF(Q73,Q87,N80))</f>
        <v>1204.6726365702525</v>
      </c>
      <c r="R80" s="1070"/>
      <c r="S80" s="1070"/>
      <c r="T80" s="1070">
        <f>IF(R73,R87,IF(T73,T87,Q80))</f>
        <v>1189.7914904865811</v>
      </c>
      <c r="U80" s="1070"/>
      <c r="V80" s="1070"/>
      <c r="W80" s="1070">
        <f>IF(U73,U87,IF(W73,W87,T80))</f>
        <v>1189.7914904865811</v>
      </c>
      <c r="X80" s="1070"/>
      <c r="Y80" s="1070"/>
      <c r="Z80" s="1070">
        <f>IF(X73,X87,IF(Z73,Z87,W80))</f>
        <v>1189.7914904865811</v>
      </c>
      <c r="AA80" s="1070"/>
      <c r="AB80" s="1070"/>
      <c r="AC80" s="1070">
        <f>IF(AA73,AA87,IF(AC73,AC87,Z80))</f>
        <v>1189.7914904865811</v>
      </c>
      <c r="AD80" s="1070"/>
      <c r="AE80" s="1070"/>
      <c r="AF80" s="1070">
        <f>IF(AD73,AD87,IF(AF73,AF87,AC80))</f>
        <v>1189.7914904865811</v>
      </c>
      <c r="AG80" s="846"/>
      <c r="AH80" s="846"/>
      <c r="AK80" s="846"/>
      <c r="AM80" s="846"/>
      <c r="AN80" s="846"/>
      <c r="AO80" s="846"/>
      <c r="AP80" s="846"/>
      <c r="AT80" s="1065" t="str">
        <f>B80</f>
        <v>MOTO 12'1</v>
      </c>
      <c r="AU80" s="1065">
        <f>AF80</f>
        <v>1189.7914904865811</v>
      </c>
      <c r="AW80" s="1069"/>
      <c r="BB80" s="1069"/>
      <c r="BE80" s="1069"/>
      <c r="BH80" s="1069"/>
      <c r="BK80" s="1069"/>
      <c r="BN80" s="1069"/>
      <c r="BQ80" s="1069"/>
      <c r="BT80" s="1069"/>
      <c r="BW80" s="1069"/>
      <c r="BZ80" s="1069"/>
      <c r="CC80" s="1069"/>
    </row>
    <row r="81" spans="1:81" s="1065" customFormat="1" hidden="1" x14ac:dyDescent="0.2">
      <c r="A81" s="1070">
        <v>3</v>
      </c>
      <c r="B81" s="1070" t="str">
        <f>E12</f>
        <v>C1VB Juniors Royal</v>
      </c>
      <c r="C81" s="1070">
        <f>VLOOKUP(B81,AU$3:AY$33,3,FALSE)</f>
        <v>1207.2949680843783</v>
      </c>
      <c r="D81" s="1070">
        <f>IF(B74,B87,IF(D74,D87,C81))</f>
        <v>1224.8069519038108</v>
      </c>
      <c r="E81" s="1070"/>
      <c r="F81" s="1070"/>
      <c r="G81" s="1070">
        <f>IF(E74,E87,IF(G74,G87,D81))</f>
        <v>1224.8069519038108</v>
      </c>
      <c r="H81" s="1070"/>
      <c r="I81" s="1070"/>
      <c r="J81" s="1070">
        <f>IF(H74,H87,IF(J74,J87,G81))</f>
        <v>1224.8069519038108</v>
      </c>
      <c r="K81" s="1070"/>
      <c r="L81" s="1070"/>
      <c r="M81" s="1070"/>
      <c r="N81" s="1070">
        <f>IF(L74,L87,IF(N74,N87,J81))</f>
        <v>1241.7808885089628</v>
      </c>
      <c r="O81" s="1070"/>
      <c r="P81" s="1070"/>
      <c r="Q81" s="1070">
        <f>IF(O74,O87,IF(Q74,Q87,N81))</f>
        <v>1255.6934893512482</v>
      </c>
      <c r="R81" s="1070"/>
      <c r="S81" s="1070"/>
      <c r="T81" s="1070">
        <f>IF(R74,R87,IF(T74,T87,Q81))</f>
        <v>1255.6934893512482</v>
      </c>
      <c r="U81" s="1070"/>
      <c r="V81" s="1070"/>
      <c r="W81" s="1070">
        <f>IF(U74,U87,IF(W74,W87,T81))</f>
        <v>1255.6934893512482</v>
      </c>
      <c r="X81" s="1070"/>
      <c r="Y81" s="1070"/>
      <c r="Z81" s="1070">
        <f>IF(X74,X87,IF(Z74,Z87,W81))</f>
        <v>1255.6934893512482</v>
      </c>
      <c r="AA81" s="1070"/>
      <c r="AB81" s="1070"/>
      <c r="AC81" s="1070">
        <f>IF(AA74,AA87,IF(AC74,AC87,Z81))</f>
        <v>1255.6934893512482</v>
      </c>
      <c r="AD81" s="1070"/>
      <c r="AE81" s="1070"/>
      <c r="AF81" s="1070">
        <f>IF(AD74,AD87,IF(AF74,AF87,AC81))</f>
        <v>1255.6934893512482</v>
      </c>
      <c r="AG81" s="846"/>
      <c r="AH81" s="846"/>
      <c r="AK81" s="846"/>
      <c r="AM81" s="846"/>
      <c r="AN81" s="846"/>
      <c r="AO81" s="846"/>
      <c r="AP81" s="846"/>
      <c r="AT81" s="1065" t="str">
        <f>B81</f>
        <v>C1VB Juniors Royal</v>
      </c>
      <c r="AU81" s="1065">
        <f>AF81</f>
        <v>1255.6934893512482</v>
      </c>
      <c r="AW81" s="1069"/>
      <c r="BB81" s="1069"/>
      <c r="BE81" s="1069"/>
      <c r="BH81" s="1069"/>
      <c r="BK81" s="1069"/>
      <c r="BN81" s="1069"/>
      <c r="BQ81" s="1069"/>
      <c r="BT81" s="1069"/>
      <c r="BW81" s="1069"/>
      <c r="BZ81" s="1069"/>
      <c r="CC81" s="1069"/>
    </row>
    <row r="82" spans="1:81" s="1065" customFormat="1" hidden="1" x14ac:dyDescent="0.2">
      <c r="A82" s="1070">
        <v>4</v>
      </c>
      <c r="B82" s="1070" t="str">
        <f>E14</f>
        <v>Foothills Vanessa</v>
      </c>
      <c r="C82" s="1070">
        <f>VLOOKUP(B82,AU$3:AY$33,3,FALSE)</f>
        <v>1192.3440303301518</v>
      </c>
      <c r="D82" s="1070">
        <f>IF(B75,B87,IF(D75,D87,C82))</f>
        <v>1192.3440303301518</v>
      </c>
      <c r="E82" s="1070"/>
      <c r="F82" s="1070"/>
      <c r="G82" s="1070">
        <f>IF(E75,E87,IF(G75,G87,D82))</f>
        <v>1178.1528518018463</v>
      </c>
      <c r="H82" s="1070"/>
      <c r="I82" s="1070"/>
      <c r="J82" s="1070">
        <f>IF(H75,H87,IF(J75,J87,G82))</f>
        <v>1196.1937694755907</v>
      </c>
      <c r="K82" s="1070"/>
      <c r="L82" s="1070"/>
      <c r="M82" s="1070"/>
      <c r="N82" s="1070">
        <f>IF(L75,L87,IF(N75,N87,J82))</f>
        <v>1196.1937694755907</v>
      </c>
      <c r="O82" s="1070"/>
      <c r="P82" s="1070"/>
      <c r="Q82" s="1070">
        <f>IF(O75,O87,IF(Q75,Q87,N82))</f>
        <v>1182.2811686333052</v>
      </c>
      <c r="R82" s="1070"/>
      <c r="S82" s="1070"/>
      <c r="T82" s="1070">
        <f>IF(R75,R87,IF(T75,T87,Q82))</f>
        <v>1182.2811686333052</v>
      </c>
      <c r="U82" s="1070"/>
      <c r="V82" s="1070"/>
      <c r="W82" s="1070">
        <f>IF(U75,U87,IF(W75,W87,T82))</f>
        <v>1182.2811686333052</v>
      </c>
      <c r="X82" s="1070"/>
      <c r="Y82" s="1070"/>
      <c r="Z82" s="1070">
        <f>IF(X75,X87,IF(Z75,Z87,W82))</f>
        <v>1182.2811686333052</v>
      </c>
      <c r="AA82" s="1070"/>
      <c r="AB82" s="1070"/>
      <c r="AC82" s="1070">
        <f>IF(AA75,AA87,IF(AC75,AC87,Z82))</f>
        <v>1182.2811686333052</v>
      </c>
      <c r="AD82" s="1070"/>
      <c r="AE82" s="1070"/>
      <c r="AF82" s="1070">
        <f>IF(AD75,AD87,IF(AF75,AF87,AC82))</f>
        <v>1182.2811686333052</v>
      </c>
      <c r="AG82" s="846"/>
      <c r="AH82" s="846"/>
      <c r="AK82" s="846"/>
      <c r="AM82" s="846"/>
      <c r="AN82" s="846"/>
      <c r="AO82" s="846"/>
      <c r="AP82" s="846"/>
      <c r="AT82" s="1065" t="str">
        <f>B82</f>
        <v>Foothills Vanessa</v>
      </c>
      <c r="AU82" s="1065">
        <f>AF82</f>
        <v>1182.2811686333052</v>
      </c>
      <c r="AW82" s="1069"/>
      <c r="BB82" s="1069"/>
      <c r="BE82" s="1069"/>
      <c r="BH82" s="1069"/>
      <c r="BK82" s="1069"/>
      <c r="BN82" s="1069"/>
      <c r="BQ82" s="1069"/>
      <c r="BT82" s="1069"/>
      <c r="BW82" s="1069"/>
      <c r="BZ82" s="1069"/>
      <c r="CC82" s="1069"/>
    </row>
    <row r="83" spans="1:81" s="1065" customFormat="1" hidden="1" x14ac:dyDescent="0.2">
      <c r="A83" s="1070">
        <v>5</v>
      </c>
      <c r="B83" s="1070">
        <f>E16</f>
        <v>0</v>
      </c>
      <c r="C83" s="1070" t="e">
        <f>VLOOKUP(B83,AU$3:AY$33,3,FALSE)</f>
        <v>#N/A</v>
      </c>
      <c r="D83" s="1070" t="e">
        <f>IF(B76,B87,IF(D76,D87,C83))</f>
        <v>#N/A</v>
      </c>
      <c r="E83" s="1070"/>
      <c r="F83" s="1070"/>
      <c r="G83" s="1070" t="e">
        <f>IF(E76,E87,IF(G76,G87,D83))</f>
        <v>#N/A</v>
      </c>
      <c r="H83" s="1070"/>
      <c r="I83" s="1070"/>
      <c r="J83" s="1070" t="e">
        <f>IF(H76,H87,IF(J76,J87,G83))</f>
        <v>#N/A</v>
      </c>
      <c r="K83" s="1070"/>
      <c r="L83" s="1070"/>
      <c r="M83" s="1070"/>
      <c r="N83" s="1070" t="e">
        <f>IF(L76,L87,IF(N76,N87,J83))</f>
        <v>#N/A</v>
      </c>
      <c r="O83" s="1070"/>
      <c r="P83" s="1070"/>
      <c r="Q83" s="1070" t="e">
        <f>IF(O76,O87,IF(Q76,Q87,N83))</f>
        <v>#N/A</v>
      </c>
      <c r="R83" s="1070"/>
      <c r="S83" s="1070"/>
      <c r="T83" s="1070" t="e">
        <f>IF(R76,R87,IF(T76,T87,Q83))</f>
        <v>#N/A</v>
      </c>
      <c r="U83" s="1070"/>
      <c r="V83" s="1070"/>
      <c r="W83" s="1070" t="e">
        <f>IF(U76,U87,IF(W76,W87,T83))</f>
        <v>#N/A</v>
      </c>
      <c r="X83" s="1070"/>
      <c r="Y83" s="1070"/>
      <c r="Z83" s="1070" t="e">
        <f>IF(X76,X87,IF(Z76,Z87,W83))</f>
        <v>#N/A</v>
      </c>
      <c r="AA83" s="1070"/>
      <c r="AB83" s="1070"/>
      <c r="AC83" s="1070" t="e">
        <f>IF(AA76,AA87,IF(AC76,AC87,Z83))</f>
        <v>#N/A</v>
      </c>
      <c r="AD83" s="1070"/>
      <c r="AE83" s="1070"/>
      <c r="AF83" s="1070" t="e">
        <f>IF(AD76,AD87,IF(AF76,AF87,AC83))</f>
        <v>#N/A</v>
      </c>
      <c r="AG83" s="846"/>
      <c r="AH83" s="846"/>
      <c r="AK83" s="846"/>
      <c r="AM83" s="846"/>
      <c r="AN83" s="846"/>
      <c r="AO83" s="846"/>
      <c r="AP83" s="846"/>
      <c r="AT83" s="1065">
        <f>B83</f>
        <v>0</v>
      </c>
      <c r="AU83" s="1065" t="e">
        <f>AF83</f>
        <v>#N/A</v>
      </c>
      <c r="AW83" s="1069"/>
      <c r="BB83" s="1069"/>
      <c r="BE83" s="1069"/>
      <c r="BH83" s="1069"/>
      <c r="BK83" s="1069"/>
      <c r="BN83" s="1069"/>
      <c r="BQ83" s="1069"/>
      <c r="BT83" s="1069"/>
      <c r="BW83" s="1069"/>
      <c r="BZ83" s="1069"/>
      <c r="CC83" s="1069"/>
    </row>
    <row r="84" spans="1:81" s="1065" customFormat="1" hidden="1" x14ac:dyDescent="0.2">
      <c r="A84" s="1070"/>
      <c r="B84" s="1070"/>
      <c r="C84" s="1070"/>
      <c r="D84" s="1070"/>
      <c r="E84" s="1070"/>
      <c r="F84" s="1070"/>
      <c r="G84" s="1070"/>
      <c r="H84" s="1070"/>
      <c r="I84" s="1070"/>
      <c r="J84" s="1070"/>
      <c r="K84" s="1070"/>
      <c r="L84" s="1070"/>
      <c r="M84" s="1070"/>
      <c r="N84" s="1070"/>
      <c r="O84" s="1070"/>
      <c r="P84" s="1070"/>
      <c r="Q84" s="1070"/>
      <c r="R84" s="1070"/>
      <c r="S84" s="1070"/>
      <c r="T84" s="1070"/>
      <c r="U84" s="1070"/>
      <c r="V84" s="1070"/>
      <c r="W84" s="1070"/>
      <c r="X84" s="1070"/>
      <c r="Y84" s="1070"/>
      <c r="Z84" s="1070"/>
      <c r="AA84" s="1070"/>
      <c r="AB84" s="1070"/>
      <c r="AC84" s="1070"/>
      <c r="AD84" s="1070"/>
      <c r="AE84" s="1070"/>
      <c r="AF84" s="1070"/>
      <c r="AG84" s="846"/>
      <c r="AH84" s="846"/>
      <c r="AK84" s="846"/>
      <c r="AM84" s="846"/>
      <c r="AN84" s="846"/>
      <c r="AO84" s="846"/>
      <c r="AP84" s="846"/>
      <c r="AW84" s="1069"/>
      <c r="BB84" s="1069"/>
      <c r="BE84" s="1069"/>
      <c r="BH84" s="1069"/>
      <c r="BK84" s="1069"/>
      <c r="BN84" s="1069"/>
      <c r="BQ84" s="1069"/>
      <c r="BT84" s="1069"/>
      <c r="BW84" s="1069"/>
      <c r="BZ84" s="1069"/>
      <c r="CC84" s="1069"/>
    </row>
    <row r="85" spans="1:81" s="1065" customFormat="1" hidden="1" x14ac:dyDescent="0.2">
      <c r="A85" s="1070" t="s">
        <v>114</v>
      </c>
      <c r="B85" s="1070">
        <f>VLOOKUP(B24,$A79:$AF83,3,FALSE)</f>
        <v>1240.2255380634294</v>
      </c>
      <c r="C85" s="1070">
        <v>1</v>
      </c>
      <c r="D85" s="1070">
        <f>VLOOKUP(D24,$A79:$AF83,3,FALSE)</f>
        <v>1207.2949680843783</v>
      </c>
      <c r="E85" s="1070">
        <f>VLOOKUP(E24,$A79:$AF83,4,FALSE)</f>
        <v>1231.7907169886246</v>
      </c>
      <c r="F85" s="1070">
        <v>2</v>
      </c>
      <c r="G85" s="1070">
        <f>VLOOKUP(G24,$A79:$AF83,4,FALSE)</f>
        <v>1192.3440303301518</v>
      </c>
      <c r="H85" s="1070">
        <f>VLOOKUP(H24,$A79:$AF83,7,FALSE)</f>
        <v>1222.7135542439969</v>
      </c>
      <c r="I85" s="1070">
        <v>3</v>
      </c>
      <c r="J85" s="1070">
        <f>VLOOKUP(J24,$A79:$AF83,7,FALSE)</f>
        <v>1178.1528518018463</v>
      </c>
      <c r="K85" s="1070"/>
      <c r="L85" s="1070">
        <f>VLOOKUP(L24,$A79:$AF83,10,FALSE)</f>
        <v>1245.9818955169301</v>
      </c>
      <c r="M85" s="1070">
        <v>4</v>
      </c>
      <c r="N85" s="1070">
        <f>VLOOKUP(N24,$A79:$AF83,10,FALSE)</f>
        <v>1224.8069519038108</v>
      </c>
      <c r="O85" s="1070">
        <f>VLOOKUP(O24,$A79:$AF83,14,FALSE)</f>
        <v>1241.7808885089628</v>
      </c>
      <c r="P85" s="1070">
        <v>5</v>
      </c>
      <c r="Q85" s="1070">
        <f>VLOOKUP(Q24,$A79:$AF83,14,FALSE)</f>
        <v>1196.1937694755907</v>
      </c>
      <c r="R85" s="1070">
        <f>VLOOKUP(R24,$A79:$AF83,17,FALSE)</f>
        <v>1229.0079589117781</v>
      </c>
      <c r="S85" s="1070">
        <v>6</v>
      </c>
      <c r="T85" s="1070">
        <f>VLOOKUP(T24,$A79:$AF83,17,FALSE)</f>
        <v>1204.6726365702525</v>
      </c>
      <c r="U85" s="1070" t="e">
        <f>VLOOKUP(U24,$A79:$AF83,20,FALSE)</f>
        <v>#N/A</v>
      </c>
      <c r="V85" s="1070">
        <v>7</v>
      </c>
      <c r="W85" s="1070" t="e">
        <f>VLOOKUP(W24,$A79:$AF83,20,FALSE)</f>
        <v>#N/A</v>
      </c>
      <c r="X85" s="1070" t="e">
        <f>VLOOKUP(X24,$A79:$AF83,23,FALSE)</f>
        <v>#N/A</v>
      </c>
      <c r="Y85" s="1070">
        <v>8</v>
      </c>
      <c r="Z85" s="1070" t="e">
        <f>VLOOKUP(Z24,$A79:$AF83,23,FALSE)</f>
        <v>#N/A</v>
      </c>
      <c r="AA85" s="1070" t="e">
        <f>VLOOKUP(AA24,$A79:$AF83,26,FALSE)</f>
        <v>#N/A</v>
      </c>
      <c r="AB85" s="1070">
        <v>9</v>
      </c>
      <c r="AC85" s="1070" t="e">
        <f>VLOOKUP(AC24,$A79:$AF83,26,FALSE)</f>
        <v>#N/A</v>
      </c>
      <c r="AD85" s="1070" t="e">
        <f>VLOOKUP(AD24,$A79:$AF83,29,FALSE)</f>
        <v>#N/A</v>
      </c>
      <c r="AE85" s="1070">
        <v>10</v>
      </c>
      <c r="AF85" s="1070" t="e">
        <f>VLOOKUP(AF24,$A79:$AF83,29,FALSE)</f>
        <v>#N/A</v>
      </c>
      <c r="AG85" s="846"/>
      <c r="AH85" s="1063"/>
      <c r="AI85" s="1063"/>
      <c r="AJ85" s="1063"/>
      <c r="AK85" s="1063"/>
      <c r="AL85" s="1063"/>
      <c r="AM85" s="1063"/>
      <c r="AN85" s="1063"/>
      <c r="AO85" s="1064"/>
      <c r="AP85" s="1064"/>
      <c r="AQ85" s="1064"/>
      <c r="AR85" s="1064"/>
      <c r="AW85" s="1069"/>
      <c r="BB85" s="1069"/>
      <c r="BE85" s="1069"/>
      <c r="BH85" s="1069"/>
      <c r="BK85" s="1069"/>
      <c r="BN85" s="1069"/>
      <c r="BQ85" s="1069"/>
      <c r="BT85" s="1069"/>
      <c r="BW85" s="1069"/>
      <c r="BZ85" s="1069"/>
      <c r="CC85" s="1069"/>
    </row>
    <row r="86" spans="1:81" s="1075" customFormat="1" hidden="1" x14ac:dyDescent="0.2">
      <c r="A86" s="1071" t="s">
        <v>115</v>
      </c>
      <c r="B86" s="1071">
        <f>1/(1+(10^-((B85-D85)/400)))*(B36+D36)</f>
        <v>0.54724949435726777</v>
      </c>
      <c r="C86" s="1071"/>
      <c r="D86" s="1071">
        <f>1/(1+(10^-((D85-B85)/400)))*(B36+D36)</f>
        <v>0.45275050564273228</v>
      </c>
      <c r="E86" s="1071">
        <f>1/(1+(10^-((E85-G85)/400)))*(E36+G36)</f>
        <v>0.55652567099045058</v>
      </c>
      <c r="F86" s="1071"/>
      <c r="G86" s="1071">
        <f>1/(1+(10^-((G85-E85)/400)))*(E36+G36)</f>
        <v>0.44347432900954936</v>
      </c>
      <c r="H86" s="1071">
        <f>1/(1+(10^-((H85-J85)/400)))*(H36+J36)</f>
        <v>0.56377867730451403</v>
      </c>
      <c r="I86" s="1071"/>
      <c r="J86" s="1071">
        <f>1/(1+(10^-((J85-H85)/400)))*(H36+J36)</f>
        <v>0.43622132269548591</v>
      </c>
      <c r="K86" s="1071"/>
      <c r="L86" s="1071">
        <f>1/(1+(10^-((L85-N85)/400)))*(L36+N36)</f>
        <v>0.53043551891099661</v>
      </c>
      <c r="M86" s="1071"/>
      <c r="N86" s="1071">
        <f>1/(1+(10^-((N85-L85)/400)))*(L36+N36)</f>
        <v>0.46956448108900334</v>
      </c>
      <c r="O86" s="1071">
        <f>1/(1+(10^-((O85-Q85)/400)))*(O36+Q36)</f>
        <v>0.56523122367858025</v>
      </c>
      <c r="P86" s="1071"/>
      <c r="Q86" s="1071">
        <f>1/(1+(10^-((Q85-O85)/400)))*(O36+Q36)</f>
        <v>0.43476877632141969</v>
      </c>
      <c r="R86" s="1071">
        <f>1/(1+(10^-((R85-T85)/400)))*(R36+T36)</f>
        <v>0.53496418488526509</v>
      </c>
      <c r="S86" s="1071"/>
      <c r="T86" s="1071">
        <f>1/(1+(10^-((T85-R85)/400)))*(R36+T36)</f>
        <v>0.46503581511473485</v>
      </c>
      <c r="U86" s="1071" t="e">
        <f>1/(1+(10^-((U85-W85)/400)))*(U36+W36)</f>
        <v>#N/A</v>
      </c>
      <c r="V86" s="1071"/>
      <c r="W86" s="1071" t="e">
        <f>1/(1+(10^-((W85-U85)/400)))*(U36+W36)</f>
        <v>#N/A</v>
      </c>
      <c r="X86" s="1071" t="e">
        <f>1/(1+(10^-((X85-Z85)/400)))*(X36+Z36)</f>
        <v>#N/A</v>
      </c>
      <c r="Y86" s="1071"/>
      <c r="Z86" s="1071" t="e">
        <f>1/(1+(10^-((Z85-X85)/400)))*(X36+Z36)</f>
        <v>#N/A</v>
      </c>
      <c r="AA86" s="1071" t="e">
        <f>1/(1+(10^-((AA85-AC85)/400)))*(AA36+AC36)</f>
        <v>#N/A</v>
      </c>
      <c r="AB86" s="1071"/>
      <c r="AC86" s="1071" t="e">
        <f>1/(1+(10^-((AC85-AA85)/400)))*(AA36+AC36)</f>
        <v>#N/A</v>
      </c>
      <c r="AD86" s="1071" t="e">
        <f>1/(1+(10^-((AD85-AF85)/400)))*(AD36+AF36)</f>
        <v>#N/A</v>
      </c>
      <c r="AE86" s="1071"/>
      <c r="AF86" s="1071" t="e">
        <f>1/(1+(10^-((AF85-AD85)/400)))*(AD36+AF36)</f>
        <v>#N/A</v>
      </c>
      <c r="AG86" s="1072"/>
      <c r="AH86" s="1073"/>
      <c r="AI86" s="1073"/>
      <c r="AJ86" s="1073"/>
      <c r="AK86" s="1073"/>
      <c r="AL86" s="1073"/>
      <c r="AM86" s="1073"/>
      <c r="AN86" s="1073"/>
      <c r="AO86" s="1074"/>
      <c r="AP86" s="1074"/>
      <c r="AQ86" s="1074"/>
      <c r="AR86" s="1074"/>
      <c r="AW86" s="1076"/>
      <c r="BB86" s="1076"/>
      <c r="BE86" s="1076"/>
      <c r="BH86" s="1076"/>
      <c r="BK86" s="1076"/>
      <c r="BN86" s="1076"/>
      <c r="BQ86" s="1076"/>
      <c r="BT86" s="1076"/>
      <c r="BW86" s="1076"/>
      <c r="BZ86" s="1076"/>
      <c r="CC86" s="1076"/>
    </row>
    <row r="87" spans="1:81" s="1081" customFormat="1" hidden="1" x14ac:dyDescent="0.2">
      <c r="A87" s="1077" t="s">
        <v>116</v>
      </c>
      <c r="B87" s="1077">
        <f>B85+(B36-B86)*$BA$1</f>
        <v>1222.7135542439969</v>
      </c>
      <c r="C87" s="1077"/>
      <c r="D87" s="1077">
        <f>D85+(D36-D86)*$BA$1</f>
        <v>1224.8069519038108</v>
      </c>
      <c r="E87" s="1077">
        <f>E85+(E36-E86)*$BA$1</f>
        <v>1245.9818955169301</v>
      </c>
      <c r="F87" s="1077"/>
      <c r="G87" s="1077">
        <f>G85+(G36-G86)*$BA$1</f>
        <v>1178.1528518018463</v>
      </c>
      <c r="H87" s="1077">
        <f>H85+(H36-H86)*$BA$1</f>
        <v>1204.6726365702525</v>
      </c>
      <c r="I87" s="1077"/>
      <c r="J87" s="1077">
        <f>J85+(J36-J86)*$BA$1</f>
        <v>1196.1937694755907</v>
      </c>
      <c r="K87" s="1077"/>
      <c r="L87" s="1077">
        <f>L85+(L36-L86)*$BA$1</f>
        <v>1229.0079589117781</v>
      </c>
      <c r="M87" s="1077"/>
      <c r="N87" s="1077">
        <f>N85+(N36-N86)*$BA$1</f>
        <v>1241.7808885089628</v>
      </c>
      <c r="O87" s="1077">
        <f>O85+(O36-O86)*$BA$1</f>
        <v>1255.6934893512482</v>
      </c>
      <c r="P87" s="1077"/>
      <c r="Q87" s="1077">
        <f>Q85+(Q36-Q86)*$BA$1</f>
        <v>1182.2811686333052</v>
      </c>
      <c r="R87" s="1077">
        <f>R85+(R36-R86)*$BA$1</f>
        <v>1243.8891049954495</v>
      </c>
      <c r="S87" s="1077"/>
      <c r="T87" s="1077">
        <f>T85+(T36-T86)*$BA$1</f>
        <v>1189.7914904865811</v>
      </c>
      <c r="U87" s="1077" t="e">
        <f>U85+(U36-U86)*$BA$1</f>
        <v>#N/A</v>
      </c>
      <c r="V87" s="1077"/>
      <c r="W87" s="1077" t="e">
        <f>W85+(W36-W86)*$BA$1</f>
        <v>#N/A</v>
      </c>
      <c r="X87" s="1077" t="e">
        <f>X85+(X36-X86)*$BA$1</f>
        <v>#N/A</v>
      </c>
      <c r="Y87" s="1077"/>
      <c r="Z87" s="1077" t="e">
        <f>Z85+(Z36-Z86)*$BA$1</f>
        <v>#N/A</v>
      </c>
      <c r="AA87" s="1077" t="e">
        <f>AA85+(AA36-AA86)*$BA$1</f>
        <v>#N/A</v>
      </c>
      <c r="AB87" s="1077"/>
      <c r="AC87" s="1077" t="e">
        <f>AC85+(AC36-AC86)*$BA$1</f>
        <v>#N/A</v>
      </c>
      <c r="AD87" s="1077" t="e">
        <f>AD85+(AD36-AD86)*$BA$1</f>
        <v>#N/A</v>
      </c>
      <c r="AE87" s="1077"/>
      <c r="AF87" s="1077" t="e">
        <f>AF85+(AF36-AF86)*$BA$1</f>
        <v>#N/A</v>
      </c>
      <c r="AG87" s="1078"/>
      <c r="AH87" s="1079"/>
      <c r="AI87" s="1079"/>
      <c r="AJ87" s="1079"/>
      <c r="AK87" s="1079"/>
      <c r="AL87" s="1079"/>
      <c r="AM87" s="1079"/>
      <c r="AN87" s="1079"/>
      <c r="AO87" s="1080"/>
      <c r="AP87" s="1080"/>
      <c r="AQ87" s="1080"/>
      <c r="AR87" s="1080"/>
      <c r="AW87" s="1082"/>
      <c r="BB87" s="1082"/>
      <c r="BE87" s="1082"/>
      <c r="BH87" s="1082"/>
      <c r="BK87" s="1082"/>
      <c r="BN87" s="1082"/>
      <c r="BQ87" s="1082"/>
      <c r="BT87" s="1082"/>
      <c r="BW87" s="1082"/>
      <c r="BZ87" s="1082"/>
      <c r="CC87" s="1082"/>
    </row>
    <row r="88" spans="1:81" s="1081" customFormat="1" hidden="1" x14ac:dyDescent="0.2">
      <c r="A88" s="1077"/>
      <c r="B88" s="1077"/>
      <c r="C88" s="1077"/>
      <c r="D88" s="1077"/>
      <c r="E88" s="1077"/>
      <c r="F88" s="1077"/>
      <c r="G88" s="1077"/>
      <c r="H88" s="1077"/>
      <c r="I88" s="1077"/>
      <c r="J88" s="1077"/>
      <c r="K88" s="1077"/>
      <c r="L88" s="1077"/>
      <c r="M88" s="1077"/>
      <c r="N88" s="1077"/>
      <c r="O88" s="1077"/>
      <c r="P88" s="1077"/>
      <c r="Q88" s="1077"/>
      <c r="R88" s="1077"/>
      <c r="S88" s="1077"/>
      <c r="T88" s="1077"/>
      <c r="U88" s="1077"/>
      <c r="V88" s="1077"/>
      <c r="W88" s="1077"/>
      <c r="X88" s="1077"/>
      <c r="Y88" s="1077"/>
      <c r="Z88" s="1077"/>
      <c r="AA88" s="1077"/>
      <c r="AB88" s="1077"/>
      <c r="AC88" s="1077"/>
      <c r="AD88" s="1077"/>
      <c r="AE88" s="1077"/>
      <c r="AF88" s="1077"/>
      <c r="AG88" s="1078"/>
      <c r="AH88" s="1079"/>
      <c r="AI88" s="1079"/>
      <c r="AJ88" s="1079"/>
      <c r="AK88" s="1079"/>
      <c r="AL88" s="1079"/>
      <c r="AM88" s="1079"/>
      <c r="AN88" s="1079"/>
      <c r="AO88" s="1080"/>
      <c r="AP88" s="1080"/>
      <c r="AQ88" s="1080"/>
      <c r="AR88" s="1080"/>
      <c r="AW88" s="1082"/>
      <c r="BB88" s="1082"/>
      <c r="BE88" s="1082"/>
      <c r="BH88" s="1082"/>
      <c r="BK88" s="1082"/>
      <c r="BN88" s="1082"/>
      <c r="BQ88" s="1082"/>
      <c r="BT88" s="1082"/>
      <c r="BW88" s="1082"/>
      <c r="BZ88" s="1082"/>
      <c r="CC88" s="1082"/>
    </row>
    <row r="89" spans="1:81" s="1065" customFormat="1" x14ac:dyDescent="0.2">
      <c r="A89" s="1083" t="str">
        <f>IF($AL10=1,"Pool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89" s="1083"/>
      <c r="C89" s="1083"/>
      <c r="D89" s="1083"/>
      <c r="E89" s="1083"/>
      <c r="F89" s="1083"/>
      <c r="G89" s="1083"/>
      <c r="H89" s="1083"/>
      <c r="I89" s="1083"/>
      <c r="J89" s="1083"/>
      <c r="K89" s="1083"/>
      <c r="L89" s="1083"/>
      <c r="M89" s="1083"/>
      <c r="N89" s="1083"/>
      <c r="O89" s="1083"/>
      <c r="P89" s="1083"/>
      <c r="Q89" s="1083"/>
      <c r="R89" s="1083"/>
      <c r="S89" s="1083"/>
      <c r="T89" s="1083"/>
      <c r="U89" s="1083"/>
      <c r="V89" s="1083"/>
      <c r="W89" s="1083"/>
      <c r="X89" s="1083"/>
      <c r="Y89" s="1083"/>
      <c r="Z89" s="1083"/>
      <c r="AA89" s="1083"/>
      <c r="AB89" s="1083"/>
      <c r="AC89" s="1083"/>
      <c r="AD89" s="1083"/>
      <c r="AE89" s="1083"/>
      <c r="AF89" s="1083"/>
      <c r="AG89" s="1083"/>
      <c r="AH89" s="1083"/>
      <c r="AI89" s="1083"/>
      <c r="AJ89" s="1083"/>
      <c r="AK89" s="1083"/>
      <c r="AL89" s="1083"/>
      <c r="AM89" s="1083"/>
      <c r="AN89" s="1084"/>
      <c r="AO89" s="1084"/>
      <c r="AP89" s="1084"/>
      <c r="AQ89" s="1084"/>
    </row>
    <row r="90" spans="1:81" s="1065" customFormat="1" ht="13.5" thickBot="1" x14ac:dyDescent="0.25">
      <c r="A90" s="1085"/>
      <c r="B90" s="1085"/>
      <c r="C90" s="1085"/>
      <c r="D90" s="1085"/>
      <c r="E90" s="1085"/>
      <c r="F90" s="1085"/>
      <c r="G90" s="1085"/>
      <c r="H90" s="1085"/>
      <c r="I90" s="1085"/>
      <c r="J90" s="1085"/>
      <c r="K90" s="1085"/>
      <c r="L90" s="1085"/>
      <c r="M90" s="1085"/>
      <c r="N90" s="1085"/>
      <c r="O90" s="1085"/>
      <c r="P90" s="1085"/>
      <c r="Q90" s="1085"/>
      <c r="R90" s="1085"/>
      <c r="S90" s="1085"/>
      <c r="T90" s="1085"/>
      <c r="U90" s="1085"/>
      <c r="V90" s="1085"/>
      <c r="W90" s="1085"/>
      <c r="X90" s="1085"/>
      <c r="Y90" s="1085"/>
      <c r="Z90" s="1085"/>
      <c r="AA90" s="1085"/>
      <c r="AB90" s="1085"/>
      <c r="AC90" s="1085"/>
      <c r="AD90" s="1085"/>
      <c r="AE90" s="1085"/>
      <c r="AF90" s="1085"/>
      <c r="AG90" s="1085"/>
      <c r="AH90" s="1085"/>
      <c r="AI90" s="1085"/>
      <c r="AJ90" s="1085"/>
      <c r="AK90" s="1085"/>
      <c r="AL90" s="1085"/>
      <c r="AM90" s="1085"/>
      <c r="AN90" s="1085"/>
      <c r="AO90" s="1085"/>
      <c r="AP90" s="1085"/>
      <c r="AQ90" s="1085"/>
      <c r="AR90" s="1085"/>
    </row>
    <row r="91" spans="1:81" ht="24" customHeight="1" thickBot="1" x14ac:dyDescent="0.25">
      <c r="A91" s="919" t="s">
        <v>33</v>
      </c>
      <c r="B91" s="920" t="s">
        <v>117</v>
      </c>
      <c r="C91" s="921" t="s">
        <v>35</v>
      </c>
      <c r="D91" s="922"/>
      <c r="E91" s="922"/>
      <c r="F91" s="922"/>
      <c r="G91" s="922"/>
      <c r="H91" s="923"/>
      <c r="I91" s="924">
        <v>2</v>
      </c>
      <c r="J91" s="925"/>
      <c r="K91" s="926" t="str">
        <f>"Pool "&amp;B91&amp;" - Round 1 - Court "&amp;I91</f>
        <v>Pool B - Round 1 - Court 2</v>
      </c>
      <c r="L91" s="927"/>
      <c r="M91" s="927"/>
      <c r="N91" s="927"/>
      <c r="O91" s="927"/>
      <c r="P91" s="927"/>
      <c r="Q91" s="927"/>
      <c r="R91" s="927"/>
      <c r="S91" s="927"/>
      <c r="T91" s="927"/>
      <c r="U91" s="927"/>
      <c r="V91" s="927"/>
      <c r="W91" s="927"/>
      <c r="X91" s="927"/>
      <c r="Y91" s="927"/>
      <c r="Z91" s="927"/>
      <c r="AA91" s="927"/>
      <c r="AB91" s="927"/>
      <c r="AC91" s="927"/>
      <c r="AD91" s="927"/>
      <c r="AE91" s="927"/>
      <c r="AF91" s="927"/>
      <c r="AG91" s="927"/>
      <c r="AH91" s="927"/>
      <c r="AI91" s="927"/>
      <c r="AJ91" s="928"/>
      <c r="AK91" s="868"/>
      <c r="AL91" s="868"/>
      <c r="AM91" s="868"/>
      <c r="AN91" s="868"/>
      <c r="AO91" s="868"/>
      <c r="AP91" s="868"/>
      <c r="AQ91" s="868"/>
      <c r="AR91" s="868"/>
    </row>
    <row r="92" spans="1:81" ht="27" customHeight="1" thickBot="1" x14ac:dyDescent="0.25">
      <c r="A92" s="930" t="s">
        <v>38</v>
      </c>
      <c r="B92" s="902" t="s">
        <v>10</v>
      </c>
      <c r="C92" s="931"/>
      <c r="D92" s="931"/>
      <c r="E92" s="931"/>
      <c r="F92" s="931"/>
      <c r="G92" s="931"/>
      <c r="H92" s="931"/>
      <c r="I92" s="931"/>
      <c r="J92" s="931"/>
      <c r="K92" s="931"/>
      <c r="L92" s="931"/>
      <c r="M92" s="902" t="str">
        <f>IF($AL95=0,"Games Won","Matches Won")</f>
        <v>Matches Won</v>
      </c>
      <c r="N92" s="931"/>
      <c r="O92" s="931"/>
      <c r="P92" s="931"/>
      <c r="Q92" s="931"/>
      <c r="R92" s="932"/>
      <c r="S92" s="902" t="str">
        <f>IF($AL95=0,"Games Lost","Matches Lost")</f>
        <v>Matches Lost</v>
      </c>
      <c r="T92" s="933"/>
      <c r="U92" s="933"/>
      <c r="V92" s="933"/>
      <c r="W92" s="934"/>
      <c r="X92" s="935" t="s">
        <v>39</v>
      </c>
      <c r="Y92" s="936"/>
      <c r="Z92" s="937"/>
      <c r="AA92" s="935" t="s">
        <v>40</v>
      </c>
      <c r="AB92" s="936"/>
      <c r="AC92" s="937"/>
      <c r="AD92" s="938" t="s">
        <v>41</v>
      </c>
      <c r="AE92" s="939"/>
      <c r="AF92" s="940"/>
      <c r="AG92" s="941" t="s">
        <v>42</v>
      </c>
      <c r="AH92" s="942" t="s">
        <v>9</v>
      </c>
      <c r="AI92" s="943" t="s">
        <v>43</v>
      </c>
      <c r="AJ92" s="944"/>
      <c r="AK92" s="945"/>
      <c r="AL92" s="946">
        <v>1</v>
      </c>
      <c r="AM92" s="947" t="s">
        <v>44</v>
      </c>
      <c r="AN92" s="947"/>
      <c r="AO92" s="947"/>
      <c r="AP92" s="947"/>
      <c r="AQ92" s="947"/>
      <c r="AR92" s="947"/>
      <c r="AS92" s="948"/>
    </row>
    <row r="93" spans="1:81" ht="18.75" customHeight="1" x14ac:dyDescent="0.2">
      <c r="A93" s="949" t="str">
        <f>IF($AL94&gt;0,"1","")</f>
        <v>1</v>
      </c>
      <c r="B93" s="950" t="s">
        <v>10</v>
      </c>
      <c r="C93" s="951"/>
      <c r="D93" s="952"/>
      <c r="E93" s="953" t="str">
        <f>AU4</f>
        <v>SC Midlands KP White</v>
      </c>
      <c r="F93" s="954"/>
      <c r="G93" s="954"/>
      <c r="H93" s="954"/>
      <c r="I93" s="954"/>
      <c r="J93" s="954"/>
      <c r="K93" s="954"/>
      <c r="L93" s="955"/>
      <c r="M93" s="956">
        <f>IF($AL95=0,AG149,AG131)</f>
        <v>2</v>
      </c>
      <c r="N93" s="957"/>
      <c r="O93" s="957"/>
      <c r="P93" s="957"/>
      <c r="Q93" s="957"/>
      <c r="R93" s="932"/>
      <c r="S93" s="956">
        <f>IF($AL95=0,AH149,AH131)</f>
        <v>2</v>
      </c>
      <c r="T93" s="957"/>
      <c r="U93" s="957"/>
      <c r="V93" s="957"/>
      <c r="W93" s="957"/>
      <c r="X93" s="956">
        <f>AR109</f>
        <v>2</v>
      </c>
      <c r="Y93" s="957"/>
      <c r="Z93" s="957"/>
      <c r="AA93" s="958">
        <f>IF(AG143&gt;0,(AR109/AG143),0)</f>
        <v>2.1505376344086023E-2</v>
      </c>
      <c r="AB93" s="959"/>
      <c r="AC93" s="959"/>
      <c r="AD93" s="960">
        <f>IF(AG157=0,0,(AG149/AG157))</f>
        <v>0.5</v>
      </c>
      <c r="AE93" s="961"/>
      <c r="AF93" s="962"/>
      <c r="AG93" s="963">
        <v>2</v>
      </c>
      <c r="AH93" s="963">
        <v>4</v>
      </c>
      <c r="AI93" s="964"/>
      <c r="AJ93" s="965"/>
      <c r="AK93" s="945"/>
      <c r="AL93" s="946">
        <v>6</v>
      </c>
      <c r="AM93" s="947" t="s">
        <v>47</v>
      </c>
      <c r="AN93" s="947"/>
      <c r="AO93" s="947"/>
      <c r="AP93" s="947"/>
      <c r="AQ93" s="947"/>
      <c r="AR93" s="947"/>
      <c r="AS93" s="948"/>
    </row>
    <row r="94" spans="1:81" ht="18.75" customHeight="1" thickBot="1" x14ac:dyDescent="0.25">
      <c r="A94" s="966"/>
      <c r="B94" s="967" t="s">
        <v>11</v>
      </c>
      <c r="C94" s="968"/>
      <c r="D94" s="969"/>
      <c r="E94" s="970" t="str">
        <f>AV4</f>
        <v>fj2scmid2pm</v>
      </c>
      <c r="F94" s="971"/>
      <c r="G94" s="971"/>
      <c r="H94" s="971"/>
      <c r="I94" s="971"/>
      <c r="J94" s="971"/>
      <c r="K94" s="971"/>
      <c r="L94" s="971"/>
      <c r="M94" s="972"/>
      <c r="N94" s="973"/>
      <c r="O94" s="973"/>
      <c r="P94" s="973"/>
      <c r="Q94" s="973"/>
      <c r="R94" s="932"/>
      <c r="S94" s="972"/>
      <c r="T94" s="973"/>
      <c r="U94" s="973"/>
      <c r="V94" s="973"/>
      <c r="W94" s="973"/>
      <c r="X94" s="972"/>
      <c r="Y94" s="973"/>
      <c r="Z94" s="973"/>
      <c r="AA94" s="974"/>
      <c r="AB94" s="975"/>
      <c r="AC94" s="975"/>
      <c r="AD94" s="976"/>
      <c r="AE94" s="977"/>
      <c r="AF94" s="978"/>
      <c r="AG94" s="979"/>
      <c r="AH94" s="979"/>
      <c r="AI94" s="980"/>
      <c r="AJ94" s="981"/>
      <c r="AK94" s="945"/>
      <c r="AL94" s="946">
        <v>3</v>
      </c>
      <c r="AM94" s="947" t="s">
        <v>50</v>
      </c>
      <c r="AN94" s="945"/>
      <c r="AO94" s="945"/>
      <c r="AP94" s="945"/>
      <c r="AQ94" s="945"/>
      <c r="AR94" s="945"/>
      <c r="AS94" s="845"/>
    </row>
    <row r="95" spans="1:81" ht="18.75" customHeight="1" x14ac:dyDescent="0.2">
      <c r="A95" s="949" t="str">
        <f>IF($AL94&gt;1,"2","")</f>
        <v>2</v>
      </c>
      <c r="B95" s="950" t="s">
        <v>10</v>
      </c>
      <c r="C95" s="951"/>
      <c r="D95" s="952"/>
      <c r="E95" s="953" t="str">
        <f>AU5</f>
        <v>SC Midlands KP Boys</v>
      </c>
      <c r="F95" s="954"/>
      <c r="G95" s="954"/>
      <c r="H95" s="954"/>
      <c r="I95" s="954"/>
      <c r="J95" s="954"/>
      <c r="K95" s="954"/>
      <c r="L95" s="955"/>
      <c r="M95" s="956">
        <f>IF($AL95=0,AG150,AG132)</f>
        <v>4</v>
      </c>
      <c r="N95" s="957"/>
      <c r="O95" s="957"/>
      <c r="P95" s="957"/>
      <c r="Q95" s="957"/>
      <c r="R95" s="932"/>
      <c r="S95" s="956">
        <f>IF($AL95=0,AH150,AH132)</f>
        <v>0</v>
      </c>
      <c r="T95" s="957"/>
      <c r="U95" s="957"/>
      <c r="V95" s="957"/>
      <c r="W95" s="957"/>
      <c r="X95" s="956">
        <f>AR110</f>
        <v>37</v>
      </c>
      <c r="Y95" s="957"/>
      <c r="Z95" s="957"/>
      <c r="AA95" s="958">
        <f>IF(AG144&gt;0,(AR110/AG144),0)</f>
        <v>0.40217391304347827</v>
      </c>
      <c r="AB95" s="959"/>
      <c r="AC95" s="959"/>
      <c r="AD95" s="960">
        <f>IF(AG158=0,0,(AG150/AG158))</f>
        <v>1</v>
      </c>
      <c r="AE95" s="961"/>
      <c r="AF95" s="962"/>
      <c r="AG95" s="963">
        <v>1</v>
      </c>
      <c r="AH95" s="963">
        <v>4</v>
      </c>
      <c r="AI95" s="964"/>
      <c r="AJ95" s="965"/>
      <c r="AK95" s="945"/>
      <c r="AL95" s="946">
        <v>1</v>
      </c>
      <c r="AM95" s="947" t="s">
        <v>53</v>
      </c>
      <c r="AN95" s="947"/>
      <c r="AO95" s="947"/>
      <c r="AP95" s="947"/>
      <c r="AQ95" s="947"/>
      <c r="AR95" s="947"/>
      <c r="AS95" s="948"/>
    </row>
    <row r="96" spans="1:81" ht="18.75" customHeight="1" thickBot="1" x14ac:dyDescent="0.25">
      <c r="A96" s="966"/>
      <c r="B96" s="988" t="s">
        <v>11</v>
      </c>
      <c r="C96" s="989"/>
      <c r="D96" s="989"/>
      <c r="E96" s="970" t="str">
        <f>AV5</f>
        <v>fj2scmid3pm</v>
      </c>
      <c r="F96" s="971"/>
      <c r="G96" s="971"/>
      <c r="H96" s="971"/>
      <c r="I96" s="971"/>
      <c r="J96" s="971"/>
      <c r="K96" s="971"/>
      <c r="L96" s="971"/>
      <c r="M96" s="972"/>
      <c r="N96" s="973"/>
      <c r="O96" s="973"/>
      <c r="P96" s="973"/>
      <c r="Q96" s="973"/>
      <c r="R96" s="932"/>
      <c r="S96" s="972"/>
      <c r="T96" s="973"/>
      <c r="U96" s="973"/>
      <c r="V96" s="973"/>
      <c r="W96" s="973"/>
      <c r="X96" s="972"/>
      <c r="Y96" s="973"/>
      <c r="Z96" s="973"/>
      <c r="AA96" s="974"/>
      <c r="AB96" s="975"/>
      <c r="AC96" s="975"/>
      <c r="AD96" s="976"/>
      <c r="AE96" s="977"/>
      <c r="AF96" s="978"/>
      <c r="AG96" s="979"/>
      <c r="AH96" s="979"/>
      <c r="AI96" s="980"/>
      <c r="AJ96" s="981"/>
      <c r="AK96" s="945"/>
      <c r="AL96" s="946">
        <v>1</v>
      </c>
      <c r="AM96" s="947" t="s">
        <v>56</v>
      </c>
      <c r="AN96" s="945"/>
      <c r="AO96" s="945"/>
      <c r="AP96" s="945"/>
      <c r="AQ96" s="945"/>
      <c r="AR96" s="945"/>
      <c r="AS96" s="845"/>
    </row>
    <row r="97" spans="1:45" ht="18.75" customHeight="1" x14ac:dyDescent="0.2">
      <c r="A97" s="949" t="str">
        <f>IF($AL94&gt;2,"3","")</f>
        <v>3</v>
      </c>
      <c r="B97" s="990" t="s">
        <v>10</v>
      </c>
      <c r="C97" s="991"/>
      <c r="D97" s="991"/>
      <c r="E97" s="953" t="str">
        <f>AU8</f>
        <v>C1VB Juniors Grey</v>
      </c>
      <c r="F97" s="954"/>
      <c r="G97" s="954"/>
      <c r="H97" s="954"/>
      <c r="I97" s="954"/>
      <c r="J97" s="954"/>
      <c r="K97" s="954"/>
      <c r="L97" s="955"/>
      <c r="M97" s="956">
        <f>IF($AL95=0,AG151,AG133)</f>
        <v>0</v>
      </c>
      <c r="N97" s="957"/>
      <c r="O97" s="957"/>
      <c r="P97" s="957"/>
      <c r="Q97" s="957"/>
      <c r="R97" s="932"/>
      <c r="S97" s="956">
        <f>IF($AL95=0,AH151,AH133)</f>
        <v>4</v>
      </c>
      <c r="T97" s="957"/>
      <c r="U97" s="957"/>
      <c r="V97" s="957"/>
      <c r="W97" s="957"/>
      <c r="X97" s="956">
        <f>AR111</f>
        <v>-39</v>
      </c>
      <c r="Y97" s="957"/>
      <c r="Z97" s="957"/>
      <c r="AA97" s="958">
        <f>IF(AG145&gt;0,(AR111/AG145),0)</f>
        <v>-0.42857142857142855</v>
      </c>
      <c r="AB97" s="959"/>
      <c r="AC97" s="959"/>
      <c r="AD97" s="960">
        <f>IF(AG159=0,0,(AG151/AG159))</f>
        <v>0</v>
      </c>
      <c r="AE97" s="961"/>
      <c r="AF97" s="962"/>
      <c r="AG97" s="963">
        <v>3</v>
      </c>
      <c r="AH97" s="963">
        <v>4</v>
      </c>
      <c r="AI97" s="964"/>
      <c r="AJ97" s="965"/>
      <c r="AK97" s="992"/>
      <c r="AL97" s="946">
        <v>4</v>
      </c>
      <c r="AM97" s="993" t="s">
        <v>59</v>
      </c>
      <c r="AN97" s="947"/>
      <c r="AO97" s="947"/>
      <c r="AP97" s="947"/>
      <c r="AQ97" s="947"/>
      <c r="AR97" s="947"/>
      <c r="AS97" s="948"/>
    </row>
    <row r="98" spans="1:45" ht="18.75" customHeight="1" thickBot="1" x14ac:dyDescent="0.25">
      <c r="A98" s="966"/>
      <c r="B98" s="988" t="s">
        <v>11</v>
      </c>
      <c r="C98" s="989"/>
      <c r="D98" s="989"/>
      <c r="E98" s="970" t="str">
        <f>AV8</f>
        <v>fj2crone8pm</v>
      </c>
      <c r="F98" s="971"/>
      <c r="G98" s="971"/>
      <c r="H98" s="971"/>
      <c r="I98" s="971"/>
      <c r="J98" s="971"/>
      <c r="K98" s="971"/>
      <c r="L98" s="971"/>
      <c r="M98" s="972"/>
      <c r="N98" s="973"/>
      <c r="O98" s="973"/>
      <c r="P98" s="973"/>
      <c r="Q98" s="973"/>
      <c r="R98" s="932"/>
      <c r="S98" s="972"/>
      <c r="T98" s="973"/>
      <c r="U98" s="973"/>
      <c r="V98" s="973"/>
      <c r="W98" s="973"/>
      <c r="X98" s="972"/>
      <c r="Y98" s="973"/>
      <c r="Z98" s="973"/>
      <c r="AA98" s="974"/>
      <c r="AB98" s="975"/>
      <c r="AC98" s="975"/>
      <c r="AD98" s="976"/>
      <c r="AE98" s="977"/>
      <c r="AF98" s="978"/>
      <c r="AG98" s="979"/>
      <c r="AH98" s="979"/>
      <c r="AI98" s="980"/>
      <c r="AJ98" s="981"/>
      <c r="AK98" s="992"/>
      <c r="AL98" s="1000"/>
      <c r="AM98" s="1001"/>
      <c r="AN98" s="1001"/>
      <c r="AO98" s="1001"/>
      <c r="AP98" s="1001"/>
      <c r="AQ98" s="1001"/>
      <c r="AR98" s="945"/>
      <c r="AS98" s="845"/>
    </row>
    <row r="99" spans="1:45" ht="18.75" customHeight="1" x14ac:dyDescent="0.2">
      <c r="A99" s="949" t="str">
        <f>IF($AL94&gt;3,"4","")</f>
        <v/>
      </c>
      <c r="B99" s="990" t="s">
        <v>10</v>
      </c>
      <c r="C99" s="991"/>
      <c r="D99" s="991"/>
      <c r="E99" s="953">
        <f>AU10</f>
        <v>0</v>
      </c>
      <c r="F99" s="954"/>
      <c r="G99" s="954"/>
      <c r="H99" s="954"/>
      <c r="I99" s="954"/>
      <c r="J99" s="954"/>
      <c r="K99" s="954"/>
      <c r="L99" s="955"/>
      <c r="M99" s="956">
        <f>IF($AL95=0,AG152,AG134)</f>
        <v>0</v>
      </c>
      <c r="N99" s="957"/>
      <c r="O99" s="957"/>
      <c r="P99" s="957"/>
      <c r="Q99" s="957"/>
      <c r="R99" s="932"/>
      <c r="S99" s="956">
        <f>IF($AL95=0,AH152,AH134)</f>
        <v>0</v>
      </c>
      <c r="T99" s="957"/>
      <c r="U99" s="957"/>
      <c r="V99" s="957"/>
      <c r="W99" s="957"/>
      <c r="X99" s="956">
        <f>AR112</f>
        <v>0</v>
      </c>
      <c r="Y99" s="957"/>
      <c r="Z99" s="957"/>
      <c r="AA99" s="958">
        <f>IF(AG146&gt;0,(AR112/AG146),0)</f>
        <v>0</v>
      </c>
      <c r="AB99" s="959"/>
      <c r="AC99" s="959"/>
      <c r="AD99" s="960">
        <f>IF(AG160=0,0,(AG152/AG160))</f>
        <v>0</v>
      </c>
      <c r="AE99" s="961"/>
      <c r="AF99" s="962"/>
      <c r="AG99" s="963"/>
      <c r="AH99" s="963"/>
      <c r="AI99" s="964"/>
      <c r="AJ99" s="965"/>
      <c r="AK99" s="868"/>
      <c r="AL99" s="1001"/>
      <c r="AM99" s="1001"/>
      <c r="AN99" s="1001"/>
      <c r="AO99" s="1001"/>
      <c r="AP99" s="1001"/>
      <c r="AQ99" s="1001"/>
      <c r="AR99" s="947"/>
      <c r="AS99" s="948"/>
    </row>
    <row r="100" spans="1:45" ht="18.75" customHeight="1" thickBot="1" x14ac:dyDescent="0.25">
      <c r="A100" s="966"/>
      <c r="B100" s="988" t="s">
        <v>11</v>
      </c>
      <c r="C100" s="989"/>
      <c r="D100" s="989"/>
      <c r="E100" s="970">
        <f>AV10</f>
        <v>0</v>
      </c>
      <c r="F100" s="971"/>
      <c r="G100" s="971"/>
      <c r="H100" s="971"/>
      <c r="I100" s="971"/>
      <c r="J100" s="971"/>
      <c r="K100" s="971"/>
      <c r="L100" s="971"/>
      <c r="M100" s="972"/>
      <c r="N100" s="973"/>
      <c r="O100" s="973"/>
      <c r="P100" s="973"/>
      <c r="Q100" s="973"/>
      <c r="R100" s="932"/>
      <c r="S100" s="972"/>
      <c r="T100" s="973"/>
      <c r="U100" s="973"/>
      <c r="V100" s="973"/>
      <c r="W100" s="973"/>
      <c r="X100" s="972"/>
      <c r="Y100" s="973"/>
      <c r="Z100" s="973"/>
      <c r="AA100" s="974"/>
      <c r="AB100" s="975"/>
      <c r="AC100" s="975"/>
      <c r="AD100" s="976"/>
      <c r="AE100" s="977"/>
      <c r="AF100" s="978"/>
      <c r="AG100" s="979"/>
      <c r="AH100" s="979"/>
      <c r="AI100" s="980"/>
      <c r="AJ100" s="981"/>
      <c r="AK100" s="868"/>
      <c r="AL100" s="1001"/>
      <c r="AM100" s="1001"/>
      <c r="AN100" s="1001"/>
      <c r="AO100" s="1001"/>
      <c r="AP100" s="1001"/>
      <c r="AQ100" s="1001"/>
      <c r="AR100" s="868"/>
      <c r="AS100" s="845"/>
    </row>
    <row r="101" spans="1:45" ht="18.75" customHeight="1" x14ac:dyDescent="0.2">
      <c r="A101" s="949" t="str">
        <f>IF($AL94&gt;4,"5","")</f>
        <v/>
      </c>
      <c r="B101" s="990" t="s">
        <v>10</v>
      </c>
      <c r="C101" s="991"/>
      <c r="D101" s="991"/>
      <c r="E101" s="953">
        <f>AU12</f>
        <v>0</v>
      </c>
      <c r="F101" s="954"/>
      <c r="G101" s="954"/>
      <c r="H101" s="954"/>
      <c r="I101" s="954"/>
      <c r="J101" s="954"/>
      <c r="K101" s="954"/>
      <c r="L101" s="955"/>
      <c r="M101" s="956">
        <f>IF($AL95=0,AG153,AG135)</f>
        <v>0</v>
      </c>
      <c r="N101" s="957"/>
      <c r="O101" s="957"/>
      <c r="P101" s="957"/>
      <c r="Q101" s="957"/>
      <c r="R101" s="932"/>
      <c r="S101" s="956">
        <f>IF($AL95=0,AH153,AH135)</f>
        <v>0</v>
      </c>
      <c r="T101" s="957"/>
      <c r="U101" s="957"/>
      <c r="V101" s="957"/>
      <c r="W101" s="957"/>
      <c r="X101" s="956">
        <f>AR113</f>
        <v>0</v>
      </c>
      <c r="Y101" s="957"/>
      <c r="Z101" s="957"/>
      <c r="AA101" s="958">
        <f>IF(AG147&gt;0,(AR113/AG147),0)</f>
        <v>0</v>
      </c>
      <c r="AB101" s="959"/>
      <c r="AC101" s="959"/>
      <c r="AD101" s="960">
        <f>IF(AG161=0,0,(AG153/AG161))</f>
        <v>0</v>
      </c>
      <c r="AE101" s="961"/>
      <c r="AF101" s="962"/>
      <c r="AG101" s="963"/>
      <c r="AH101" s="963"/>
      <c r="AI101" s="964"/>
      <c r="AJ101" s="965"/>
      <c r="AK101" s="868"/>
      <c r="AL101" s="1001"/>
      <c r="AM101" s="1001"/>
      <c r="AN101" s="1001"/>
      <c r="AO101" s="1001"/>
      <c r="AP101" s="1001"/>
      <c r="AQ101" s="1001"/>
      <c r="AR101" s="868"/>
      <c r="AS101" s="845"/>
    </row>
    <row r="102" spans="1:45" ht="18.75" customHeight="1" thickBot="1" x14ac:dyDescent="0.25">
      <c r="A102" s="966"/>
      <c r="B102" s="1009" t="s">
        <v>11</v>
      </c>
      <c r="C102" s="1010"/>
      <c r="D102" s="1010"/>
      <c r="E102" s="1011">
        <f>AV12</f>
        <v>0</v>
      </c>
      <c r="F102" s="1012"/>
      <c r="G102" s="1012"/>
      <c r="H102" s="1012"/>
      <c r="I102" s="1012"/>
      <c r="J102" s="1012"/>
      <c r="K102" s="1012"/>
      <c r="L102" s="1012"/>
      <c r="M102" s="1013"/>
      <c r="N102" s="1014"/>
      <c r="O102" s="1014"/>
      <c r="P102" s="1014"/>
      <c r="Q102" s="1014"/>
      <c r="R102" s="932"/>
      <c r="S102" s="972"/>
      <c r="T102" s="973"/>
      <c r="U102" s="973"/>
      <c r="V102" s="973"/>
      <c r="W102" s="973"/>
      <c r="X102" s="972"/>
      <c r="Y102" s="973"/>
      <c r="Z102" s="973"/>
      <c r="AA102" s="974"/>
      <c r="AB102" s="975"/>
      <c r="AC102" s="975"/>
      <c r="AD102" s="976"/>
      <c r="AE102" s="977"/>
      <c r="AF102" s="978"/>
      <c r="AG102" s="979"/>
      <c r="AH102" s="1015"/>
      <c r="AI102" s="980"/>
      <c r="AJ102" s="981"/>
      <c r="AK102" s="868"/>
      <c r="AL102" s="1001"/>
      <c r="AM102" s="1001"/>
      <c r="AN102" s="1001"/>
      <c r="AO102" s="1001"/>
      <c r="AP102" s="1001"/>
      <c r="AQ102" s="1001"/>
      <c r="AR102" s="868"/>
      <c r="AS102" s="845"/>
    </row>
    <row r="103" spans="1:45" ht="21" customHeight="1" thickTop="1" thickBot="1" x14ac:dyDescent="0.25">
      <c r="A103" s="1016"/>
      <c r="B103" s="1017" t="s">
        <v>1128</v>
      </c>
      <c r="C103" s="1018"/>
      <c r="D103" s="1018"/>
      <c r="E103" s="1018"/>
      <c r="F103" s="1018"/>
      <c r="G103" s="1018"/>
      <c r="H103" s="1018"/>
      <c r="I103" s="1018"/>
      <c r="J103" s="1018"/>
      <c r="K103" s="1018"/>
      <c r="L103" s="1018"/>
      <c r="M103" s="1018"/>
      <c r="N103" s="1018"/>
      <c r="O103" s="1018"/>
      <c r="P103" s="1018"/>
      <c r="Q103" s="1018"/>
      <c r="R103" s="1018"/>
      <c r="S103" s="1018"/>
      <c r="T103" s="1018"/>
      <c r="U103" s="1018"/>
      <c r="V103" s="1018"/>
      <c r="W103" s="1018"/>
      <c r="X103" s="1018"/>
      <c r="Y103" s="1018"/>
      <c r="Z103" s="1018"/>
      <c r="AA103" s="1018"/>
      <c r="AB103" s="1018"/>
      <c r="AC103" s="1018"/>
      <c r="AD103" s="1018"/>
      <c r="AE103" s="1018"/>
      <c r="AF103" s="1018"/>
      <c r="AG103" s="1018"/>
      <c r="AH103" s="1018"/>
      <c r="AI103" s="1018"/>
      <c r="AJ103" s="1019"/>
      <c r="AK103" s="868"/>
      <c r="AL103" s="1001"/>
      <c r="AM103" s="1001"/>
      <c r="AN103" s="1001"/>
      <c r="AO103" s="1001"/>
      <c r="AP103" s="1001"/>
      <c r="AQ103" s="1001"/>
      <c r="AR103" s="868"/>
      <c r="AS103" s="845"/>
    </row>
    <row r="104" spans="1:45" ht="13.5" customHeight="1" thickTop="1" x14ac:dyDescent="0.2">
      <c r="A104" s="846" t="s">
        <v>64</v>
      </c>
      <c r="B104" s="1020">
        <v>0.35416666666666669</v>
      </c>
      <c r="C104" s="1021"/>
      <c r="D104" s="1022"/>
      <c r="E104" s="1020">
        <v>0.39583333333333331</v>
      </c>
      <c r="F104" s="1021"/>
      <c r="G104" s="1022"/>
      <c r="H104" s="1020">
        <v>0.4375</v>
      </c>
      <c r="I104" s="1021"/>
      <c r="J104" s="1022"/>
      <c r="K104" s="1086" t="s">
        <v>1129</v>
      </c>
      <c r="L104" s="1020">
        <v>0.5</v>
      </c>
      <c r="M104" s="1021"/>
      <c r="N104" s="1022"/>
      <c r="O104" s="1020">
        <v>4.1666666666666664E-2</v>
      </c>
      <c r="P104" s="1021"/>
      <c r="Q104" s="1022"/>
      <c r="R104" s="1020">
        <v>8.3333333333333329E-2</v>
      </c>
      <c r="S104" s="1021"/>
      <c r="T104" s="1022"/>
      <c r="U104" s="1020">
        <v>4.1666666666666664E-2</v>
      </c>
      <c r="V104" s="1021"/>
      <c r="W104" s="1022"/>
      <c r="X104" s="1020">
        <v>7.2916666666666671E-2</v>
      </c>
      <c r="Y104" s="1021"/>
      <c r="Z104" s="1022"/>
      <c r="AA104" s="1020">
        <v>0.10416666666666667</v>
      </c>
      <c r="AB104" s="1021"/>
      <c r="AC104" s="1022"/>
      <c r="AD104" s="1020">
        <v>0.13541666666666666</v>
      </c>
      <c r="AE104" s="1021"/>
      <c r="AF104" s="1022"/>
      <c r="AG104" s="1024" t="s">
        <v>65</v>
      </c>
      <c r="AH104" s="1025"/>
      <c r="AI104" s="1025"/>
      <c r="AJ104" s="1025"/>
      <c r="AK104" s="1026"/>
      <c r="AL104" s="1026"/>
      <c r="AM104" s="1026"/>
      <c r="AN104" s="1026"/>
      <c r="AO104" s="1026"/>
      <c r="AP104" s="1026"/>
      <c r="AQ104" s="1026"/>
      <c r="AR104" s="1027"/>
    </row>
    <row r="105" spans="1:45" x14ac:dyDescent="0.2">
      <c r="A105" s="1028" t="s">
        <v>66</v>
      </c>
      <c r="B105" s="1029"/>
      <c r="C105" s="1030"/>
      <c r="D105" s="1031"/>
      <c r="E105" s="1029"/>
      <c r="F105" s="1030"/>
      <c r="G105" s="1031"/>
      <c r="H105" s="1029"/>
      <c r="I105" s="1030"/>
      <c r="J105" s="1031"/>
      <c r="K105" s="1087"/>
      <c r="L105" s="1029"/>
      <c r="M105" s="1030"/>
      <c r="N105" s="1031"/>
      <c r="O105" s="1029"/>
      <c r="P105" s="1030"/>
      <c r="Q105" s="1031"/>
      <c r="R105" s="1029"/>
      <c r="S105" s="1030"/>
      <c r="T105" s="1031"/>
      <c r="U105" s="1029"/>
      <c r="V105" s="1030"/>
      <c r="W105" s="1031"/>
      <c r="X105" s="1029"/>
      <c r="Y105" s="1030"/>
      <c r="Z105" s="1031"/>
      <c r="AA105" s="1029"/>
      <c r="AB105" s="1030"/>
      <c r="AC105" s="1031"/>
      <c r="AD105" s="1029"/>
      <c r="AE105" s="1030"/>
      <c r="AF105" s="1031"/>
      <c r="AG105" s="1024"/>
      <c r="AH105" s="1025"/>
      <c r="AI105" s="1025"/>
      <c r="AJ105" s="1025"/>
      <c r="AK105" s="1025"/>
      <c r="AL105" s="1025"/>
      <c r="AM105" s="1025"/>
      <c r="AN105" s="1025"/>
      <c r="AO105" s="1025"/>
      <c r="AP105" s="1025"/>
      <c r="AQ105" s="1025"/>
      <c r="AR105" s="1033"/>
    </row>
    <row r="106" spans="1:45" x14ac:dyDescent="0.2">
      <c r="A106" s="1028" t="s">
        <v>67</v>
      </c>
      <c r="B106" s="1029"/>
      <c r="C106" s="1030"/>
      <c r="D106" s="1031"/>
      <c r="E106" s="1029"/>
      <c r="F106" s="1030"/>
      <c r="G106" s="1031"/>
      <c r="H106" s="1029"/>
      <c r="I106" s="1030"/>
      <c r="J106" s="1031"/>
      <c r="K106" s="1087"/>
      <c r="L106" s="1029"/>
      <c r="M106" s="1030"/>
      <c r="N106" s="1031"/>
      <c r="O106" s="1029"/>
      <c r="P106" s="1030"/>
      <c r="Q106" s="1031"/>
      <c r="R106" s="1029"/>
      <c r="S106" s="1030"/>
      <c r="T106" s="1031"/>
      <c r="U106" s="1029"/>
      <c r="V106" s="1030"/>
      <c r="W106" s="1031"/>
      <c r="X106" s="1029"/>
      <c r="Y106" s="1030"/>
      <c r="Z106" s="1031"/>
      <c r="AA106" s="1029"/>
      <c r="AB106" s="1030"/>
      <c r="AC106" s="1031"/>
      <c r="AD106" s="1029"/>
      <c r="AE106" s="1030"/>
      <c r="AF106" s="1031"/>
      <c r="AG106" s="1024"/>
      <c r="AH106" s="1025"/>
      <c r="AI106" s="1025"/>
      <c r="AJ106" s="1025"/>
      <c r="AK106" s="1025"/>
      <c r="AL106" s="1025"/>
      <c r="AM106" s="1025"/>
      <c r="AN106" s="1025"/>
      <c r="AO106" s="1025"/>
      <c r="AP106" s="1025"/>
      <c r="AQ106" s="1025"/>
      <c r="AR106" s="1033"/>
    </row>
    <row r="107" spans="1:45" ht="13.5" thickBot="1" x14ac:dyDescent="0.25">
      <c r="A107" s="868"/>
      <c r="B107" s="1034" t="s">
        <v>68</v>
      </c>
      <c r="C107" s="1035"/>
      <c r="D107" s="1036"/>
      <c r="E107" s="1034" t="str">
        <f>IF(AL93&gt;1,"Match 2","")</f>
        <v>Match 2</v>
      </c>
      <c r="F107" s="1035"/>
      <c r="G107" s="1036"/>
      <c r="H107" s="1034" t="str">
        <f>IF(AL93&gt;2,"Match 3","")</f>
        <v>Match 3</v>
      </c>
      <c r="I107" s="1035"/>
      <c r="J107" s="1036"/>
      <c r="K107" s="1087"/>
      <c r="L107" s="1034" t="str">
        <f>IF(AL93&gt;3,"Match 4","")</f>
        <v>Match 4</v>
      </c>
      <c r="M107" s="1035"/>
      <c r="N107" s="1036"/>
      <c r="O107" s="1034" t="str">
        <f>IF(AL93&gt;4,"Match 5","")</f>
        <v>Match 5</v>
      </c>
      <c r="P107" s="1035"/>
      <c r="Q107" s="1036"/>
      <c r="R107" s="1034" t="str">
        <f>IF(AL93&gt;5,"Match 6","")</f>
        <v>Match 6</v>
      </c>
      <c r="S107" s="1035"/>
      <c r="T107" s="1036"/>
      <c r="U107" s="1034" t="str">
        <f>IF(AL93&gt;6,"Match 7","")</f>
        <v/>
      </c>
      <c r="V107" s="1035"/>
      <c r="W107" s="1036"/>
      <c r="X107" s="1034" t="str">
        <f>IF(AL93&gt;7,"Match 8","")</f>
        <v/>
      </c>
      <c r="Y107" s="1035"/>
      <c r="Z107" s="1036"/>
      <c r="AA107" s="1034" t="str">
        <f>IF(AL93&gt;8,"Match 9","")</f>
        <v/>
      </c>
      <c r="AB107" s="1035"/>
      <c r="AC107" s="1036"/>
      <c r="AD107" s="1034" t="str">
        <f>IF(AL93&gt;9,"Match 10","")</f>
        <v/>
      </c>
      <c r="AE107" s="1035"/>
      <c r="AF107" s="1036"/>
      <c r="AG107" s="1037"/>
      <c r="AH107" s="1038"/>
      <c r="AI107" s="1038"/>
      <c r="AJ107" s="1038"/>
      <c r="AK107" s="1038"/>
      <c r="AL107" s="1038"/>
      <c r="AM107" s="1038"/>
      <c r="AN107" s="1038"/>
      <c r="AO107" s="1038"/>
      <c r="AP107" s="1038"/>
      <c r="AQ107" s="1038"/>
      <c r="AR107" s="1039"/>
    </row>
    <row r="108" spans="1:45" ht="15.75" x14ac:dyDescent="0.25">
      <c r="A108" s="868"/>
      <c r="B108" s="1040" t="s">
        <v>70</v>
      </c>
      <c r="C108" s="1041"/>
      <c r="D108" s="1042"/>
      <c r="E108" s="1040" t="s">
        <v>71</v>
      </c>
      <c r="F108" s="1041"/>
      <c r="G108" s="1042"/>
      <c r="H108" s="1040" t="s">
        <v>73</v>
      </c>
      <c r="I108" s="1041"/>
      <c r="J108" s="1042"/>
      <c r="K108" s="1087"/>
      <c r="L108" s="1040" t="s">
        <v>70</v>
      </c>
      <c r="M108" s="1041"/>
      <c r="N108" s="1042"/>
      <c r="O108" s="1040" t="s">
        <v>71</v>
      </c>
      <c r="P108" s="1041"/>
      <c r="Q108" s="1042"/>
      <c r="R108" s="1040" t="s">
        <v>73</v>
      </c>
      <c r="S108" s="1041"/>
      <c r="T108" s="1042"/>
      <c r="U108" s="1040" t="s">
        <v>69</v>
      </c>
      <c r="V108" s="1041"/>
      <c r="W108" s="1042"/>
      <c r="X108" s="1040" t="s">
        <v>73</v>
      </c>
      <c r="Y108" s="1041"/>
      <c r="Z108" s="1042"/>
      <c r="AA108" s="1040" t="s">
        <v>1117</v>
      </c>
      <c r="AB108" s="1041"/>
      <c r="AC108" s="1042"/>
      <c r="AD108" s="1040" t="s">
        <v>70</v>
      </c>
      <c r="AE108" s="1041"/>
      <c r="AF108" s="1042"/>
      <c r="AG108" s="1043" t="s">
        <v>74</v>
      </c>
      <c r="AH108" s="1044">
        <v>1</v>
      </c>
      <c r="AI108" s="1044">
        <v>2</v>
      </c>
      <c r="AJ108" s="1044">
        <v>3</v>
      </c>
      <c r="AK108" s="1044">
        <v>4</v>
      </c>
      <c r="AL108" s="1044">
        <v>5</v>
      </c>
      <c r="AM108" s="1044">
        <v>6</v>
      </c>
      <c r="AN108" s="1044">
        <v>7</v>
      </c>
      <c r="AO108" s="1044">
        <v>8</v>
      </c>
      <c r="AP108" s="1044">
        <v>9</v>
      </c>
      <c r="AQ108" s="1044">
        <v>10</v>
      </c>
      <c r="AR108" s="1045" t="s">
        <v>75</v>
      </c>
    </row>
    <row r="109" spans="1:45" ht="15.75" x14ac:dyDescent="0.25">
      <c r="A109" s="868"/>
      <c r="B109" s="1046">
        <v>1</v>
      </c>
      <c r="C109" s="1047" t="s">
        <v>76</v>
      </c>
      <c r="D109" s="1048">
        <v>3</v>
      </c>
      <c r="E109" s="1046">
        <v>2</v>
      </c>
      <c r="F109" s="1047" t="str">
        <f>IF(AL93&gt;1,"v","")</f>
        <v>v</v>
      </c>
      <c r="G109" s="1048">
        <v>3</v>
      </c>
      <c r="H109" s="1046">
        <v>1</v>
      </c>
      <c r="I109" s="1047" t="str">
        <f>IF(AL93&gt;2,"v","")</f>
        <v>v</v>
      </c>
      <c r="J109" s="1048">
        <v>2</v>
      </c>
      <c r="K109" s="1087"/>
      <c r="L109" s="1046">
        <v>1</v>
      </c>
      <c r="M109" s="1047" t="str">
        <f>IF(AL93&gt;3,"v","")</f>
        <v>v</v>
      </c>
      <c r="N109" s="1048">
        <v>3</v>
      </c>
      <c r="O109" s="1046">
        <v>2</v>
      </c>
      <c r="P109" s="1047" t="str">
        <f>IF(AL93&gt;4,"v","")</f>
        <v>v</v>
      </c>
      <c r="Q109" s="1048">
        <v>3</v>
      </c>
      <c r="R109" s="1046">
        <v>1</v>
      </c>
      <c r="S109" s="1047" t="str">
        <f>IF(AL93&gt;5,"v","")</f>
        <v>v</v>
      </c>
      <c r="T109" s="1048">
        <v>2</v>
      </c>
      <c r="U109" s="1046">
        <v>2</v>
      </c>
      <c r="V109" s="1047" t="str">
        <f>IF(AL93&gt;6,"v","")</f>
        <v/>
      </c>
      <c r="W109" s="1048">
        <v>3</v>
      </c>
      <c r="X109" s="1046">
        <v>1</v>
      </c>
      <c r="Y109" s="1047" t="str">
        <f>IF(AL93&gt;7,"v","")</f>
        <v/>
      </c>
      <c r="Z109" s="1048">
        <v>5</v>
      </c>
      <c r="AA109" s="1046">
        <v>3</v>
      </c>
      <c r="AB109" s="1047" t="str">
        <f>IF(AL93&gt;8,"v","")</f>
        <v/>
      </c>
      <c r="AC109" s="1048">
        <v>4</v>
      </c>
      <c r="AD109" s="1046">
        <v>1</v>
      </c>
      <c r="AE109" s="1047" t="str">
        <f>IF(AL93&gt;9,"v","")</f>
        <v/>
      </c>
      <c r="AF109" s="1048">
        <v>2</v>
      </c>
      <c r="AG109" s="1049" t="str">
        <f>IF(AL94&gt;0,"Team 1","")</f>
        <v>Team 1</v>
      </c>
      <c r="AH109" s="1050">
        <f>IF(AL94&lt;1,"",IF(AL93&lt;1,"",IF(B109=1,B115-D115,IF(D109=1,D115-B115,""))))</f>
        <v>6</v>
      </c>
      <c r="AI109" s="1050" t="str">
        <f>IF(AL94&lt;1,"",IF(AL93&lt;2,"",IF(E109=1,E115-G115,IF(G109=1,G115-E115,""))))</f>
        <v/>
      </c>
      <c r="AJ109" s="1050">
        <f>IF(AL94&lt;1,"",IF(AL93&lt;3,"",IF(H109=1,H115-J115,IF(J109=1,J115-H115,""))))</f>
        <v>-11</v>
      </c>
      <c r="AK109" s="1050">
        <f>IF(AL94&lt;1,"",IF(AL93&lt;4,"",IF(L109=1,L115-N115,IF(N109=1,N115-L115,""))))</f>
        <v>12</v>
      </c>
      <c r="AL109" s="1050" t="str">
        <f>IF(AL94&lt;1,"",IF(AL93&lt;5,"",IF(O109=1,O115-Q115,IF(Q109=1,Q115-O115,""))))</f>
        <v/>
      </c>
      <c r="AM109" s="1050">
        <f>IF(AL94&lt;1,"",IF(AL93&lt;6,"",IF(R109=1,R115-T115,IF(T109=1,T115-R115,""))))</f>
        <v>-5</v>
      </c>
      <c r="AN109" s="1050" t="str">
        <f>IF(AL94&lt;1,"",IF(AL93&lt;7,"",IF(U109=1,U115-W115,IF(W109=1,W115-U115,""))))</f>
        <v/>
      </c>
      <c r="AO109" s="1050" t="str">
        <f>IF(AL94&lt;1,"",IF(AL93&lt;8,"",IF(X109=1,X115-Z115,IF(Z109=1,Z115-X115,""))))</f>
        <v/>
      </c>
      <c r="AP109" s="1050" t="str">
        <f>IF(AL94&lt;1,"",IF(AL93&lt;9,"",IF(AA109=1,AA115-AC115,IF(AC109=1,AC115-AA115,""))))</f>
        <v/>
      </c>
      <c r="AQ109" s="1050" t="str">
        <f>IF(AL94&lt;1,"",IF(AL93&lt;10,"",IF(AD109=1,AD115-AF115,IF(AF109=1,AF115-AD115,""))))</f>
        <v/>
      </c>
      <c r="AR109" s="1045">
        <f>SUM(AH109:AQ109)</f>
        <v>2</v>
      </c>
    </row>
    <row r="110" spans="1:45" ht="15" x14ac:dyDescent="0.2">
      <c r="A110" s="846" t="s">
        <v>77</v>
      </c>
      <c r="B110" s="1051">
        <v>22</v>
      </c>
      <c r="C110" s="1052" t="s">
        <v>78</v>
      </c>
      <c r="D110" s="1053">
        <v>16</v>
      </c>
      <c r="E110" s="1051">
        <v>24</v>
      </c>
      <c r="F110" s="1052" t="str">
        <f>IF(AL93&gt;1,"/","")</f>
        <v>/</v>
      </c>
      <c r="G110" s="1053">
        <v>10</v>
      </c>
      <c r="H110" s="1051">
        <v>14</v>
      </c>
      <c r="I110" s="1052" t="str">
        <f>IF(AL93&gt;2,"/","")</f>
        <v>/</v>
      </c>
      <c r="J110" s="1053">
        <v>25</v>
      </c>
      <c r="K110" s="1087"/>
      <c r="L110" s="1051">
        <v>24</v>
      </c>
      <c r="M110" s="1052" t="str">
        <f>IF(AL93&gt;3,"/","")</f>
        <v>/</v>
      </c>
      <c r="N110" s="1053">
        <v>12</v>
      </c>
      <c r="O110" s="1051">
        <v>21</v>
      </c>
      <c r="P110" s="1052" t="str">
        <f>IF(AL93&gt;4,"/","")</f>
        <v>/</v>
      </c>
      <c r="Q110" s="1053">
        <v>14</v>
      </c>
      <c r="R110" s="1051">
        <v>17</v>
      </c>
      <c r="S110" s="1052" t="str">
        <f>IF(AL93&gt;5,"/","")</f>
        <v>/</v>
      </c>
      <c r="T110" s="1053">
        <v>22</v>
      </c>
      <c r="U110" s="1051"/>
      <c r="V110" s="1052" t="str">
        <f>IF(AL93&gt;6,"/","")</f>
        <v/>
      </c>
      <c r="W110" s="1053"/>
      <c r="X110" s="1051"/>
      <c r="Y110" s="1052" t="str">
        <f>IF(AL93&gt;7,"/","")</f>
        <v/>
      </c>
      <c r="Z110" s="1053"/>
      <c r="AA110" s="1051"/>
      <c r="AB110" s="1052" t="str">
        <f>IF(AL93&gt;8,"/","")</f>
        <v/>
      </c>
      <c r="AC110" s="1053"/>
      <c r="AD110" s="1051"/>
      <c r="AE110" s="1052" t="str">
        <f>IF(AL93&gt;9,"/","")</f>
        <v/>
      </c>
      <c r="AF110" s="1053"/>
      <c r="AG110" s="1049" t="str">
        <f>IF(AL94&gt;1,"Team 2","")</f>
        <v>Team 2</v>
      </c>
      <c r="AH110" s="1050" t="str">
        <f>IF(AL94&lt;2,"",IF(AL93&lt;1,"",IF(B109=2,B115-D115,IF(D109=2,D115-B115,""))))</f>
        <v/>
      </c>
      <c r="AI110" s="1050">
        <f>IF(AL94&lt;2,"",IF(AL93&lt;2,"",IF(E109=2,E115-G115,IF(G109=2,G115-E115,""))))</f>
        <v>14</v>
      </c>
      <c r="AJ110" s="1050">
        <f>IF(AL94&lt;2,"",IF(AL93&lt;3,"",IF(H109=2,H115-J115,IF(J109=2,J115-H115,""))))</f>
        <v>11</v>
      </c>
      <c r="AK110" s="1050" t="str">
        <f>IF(AL94&lt;2,"",IF(AL93&lt;4,"",IF(L109=2,L115-N115,IF(N109=2,N115-L115,""))))</f>
        <v/>
      </c>
      <c r="AL110" s="1050">
        <f>IF(AL94&lt;2,"",IF(AL93&lt;5,"",IF(O109=2,O115-Q115,IF(Q109=2,Q115-O115,""))))</f>
        <v>7</v>
      </c>
      <c r="AM110" s="1050">
        <f>IF(AL94&lt;2,"",IF(AL93&lt;6,"",IF(R109=2,R115-T115,IF(T109=2,T115-R115,""))))</f>
        <v>5</v>
      </c>
      <c r="AN110" s="1050" t="str">
        <f>IF(AL94&lt;2,"",IF(AL93&lt;7,"",IF(U109=2,U115-W115,IF(W109=2,W115-U115,""))))</f>
        <v/>
      </c>
      <c r="AO110" s="1050" t="str">
        <f>IF(AL94&lt;2,"",IF(AL93&lt;8,"",IF(X109=2,X115-Z115,IF(Z109=2,Z115-X115,""))))</f>
        <v/>
      </c>
      <c r="AP110" s="1050" t="str">
        <f>IF(AL94&lt;2,"",IF(AL93&lt;9,"",IF(AA109=2,AA115-AC115,IF(AC109=2,AC115-AA115,""))))</f>
        <v/>
      </c>
      <c r="AQ110" s="1050" t="str">
        <f>IF(AL94&lt;2,"",IF(AL93&lt;10,"",IF(AD109=2,AD115-AF115,IF(AF109=2,AF115-AD115,""))))</f>
        <v/>
      </c>
      <c r="AR110" s="1045">
        <f>SUM(AH110:AQ110)</f>
        <v>37</v>
      </c>
    </row>
    <row r="111" spans="1:45" ht="15" x14ac:dyDescent="0.2">
      <c r="A111" s="845" t="str">
        <f>IF(AL92&gt;1,"Game 2","")</f>
        <v/>
      </c>
      <c r="B111" s="1051"/>
      <c r="C111" s="1052" t="s">
        <v>78</v>
      </c>
      <c r="D111" s="1053"/>
      <c r="E111" s="1051"/>
      <c r="F111" s="1052" t="str">
        <f>IF(AL93&gt;1,IF(AL92&gt;1,"/",""),"")</f>
        <v/>
      </c>
      <c r="G111" s="1053"/>
      <c r="H111" s="1051"/>
      <c r="I111" s="1052" t="str">
        <f>IF(AL93&gt;2,IF(AL92&gt;1,"/",""),"")</f>
        <v/>
      </c>
      <c r="J111" s="1053"/>
      <c r="K111" s="1087"/>
      <c r="L111" s="1051"/>
      <c r="M111" s="1052" t="str">
        <f>IF(AL93&gt;3,IF(AL92&gt;1,"/",""),"")</f>
        <v/>
      </c>
      <c r="N111" s="1053"/>
      <c r="O111" s="1051"/>
      <c r="P111" s="1052" t="str">
        <f>IF(AL93&gt;4,IF(AL92&gt;1,"/",""),"")</f>
        <v/>
      </c>
      <c r="Q111" s="1053"/>
      <c r="R111" s="1051"/>
      <c r="S111" s="1052" t="str">
        <f>IF(AL93&gt;5,IF(AL92&gt;1,"/",""),"")</f>
        <v/>
      </c>
      <c r="T111" s="1053"/>
      <c r="U111" s="1051"/>
      <c r="V111" s="1052" t="str">
        <f>IF(AL93&gt;6,IF(AL92&gt;1,"/",""),"")</f>
        <v/>
      </c>
      <c r="W111" s="1053"/>
      <c r="X111" s="1051"/>
      <c r="Y111" s="1052" t="str">
        <f>IF(AL93&gt;7,IF(AL92&gt;1,"/",""),"")</f>
        <v/>
      </c>
      <c r="Z111" s="1053"/>
      <c r="AA111" s="1051"/>
      <c r="AB111" s="1052" t="str">
        <f>IF(AL93&gt;8,IF(AL92&gt;1,"/",""),"")</f>
        <v/>
      </c>
      <c r="AC111" s="1053"/>
      <c r="AD111" s="1051"/>
      <c r="AE111" s="1052" t="str">
        <f>IF(AL93&gt;9,IF(AL92&gt;1,"/",""),"")</f>
        <v/>
      </c>
      <c r="AF111" s="1053"/>
      <c r="AG111" s="1049" t="str">
        <f>IF(AL94&gt;2,"Team 3","")</f>
        <v>Team 3</v>
      </c>
      <c r="AH111" s="1050">
        <f>IF(AL94&lt;3,"",IF(AL93&lt;1,"",IF(B109=3,B115-D115,IF(D109=3,D115-B115,""))))</f>
        <v>-6</v>
      </c>
      <c r="AI111" s="1050">
        <f>IF(AL94&lt;3,"",IF(AL93&lt;2,"",IF(E109=3,E115-G115,IF(G109=3,G115-E115,""))))</f>
        <v>-14</v>
      </c>
      <c r="AJ111" s="1050" t="str">
        <f>IF(AL94&lt;3,"",IF(AL93&lt;3,"",IF(H109=3,H115-J115,IF(J109=3,J115-H115,""))))</f>
        <v/>
      </c>
      <c r="AK111" s="1050">
        <f>IF(AL94&lt;3,"",IF(AL93&lt;4,"",IF(L109=3,L115-N115,IF(N109=3,N115-L115,""))))</f>
        <v>-12</v>
      </c>
      <c r="AL111" s="1050">
        <f>IF(AL94&lt;3,"",IF(AL93&lt;5,"",IF(O109=3,O115-Q115,IF(Q109=3,Q115-O115,""))))</f>
        <v>-7</v>
      </c>
      <c r="AM111" s="1050" t="str">
        <f>IF(AL94&lt;3,"",IF(AL93&lt;6,"",IF(R109=3,R115-T115,IF(T109=3,T115-R115,""))))</f>
        <v/>
      </c>
      <c r="AN111" s="1050" t="str">
        <f>IF(AL94&lt;3,"",IF(AL93&lt;7,"",IF(U109=3,U115-W115,IF(W109=3,W115-U115,""))))</f>
        <v/>
      </c>
      <c r="AO111" s="1050" t="str">
        <f>IF(AL94&lt;3,"",IF(AL93&lt;8,"",IF(X109=3,X115-Z115,IF(Z109=3,Z115-X115,""))))</f>
        <v/>
      </c>
      <c r="AP111" s="1050" t="str">
        <f>IF(AL94&lt;3,"",IF(AL93&lt;9,"",IF(AA109=3,AA115-AC115,IF(AC109=3,AC115-AA115,""))))</f>
        <v/>
      </c>
      <c r="AQ111" s="1050" t="str">
        <f>IF(AL94&lt;3,"",IF(AL93&lt;9,"",IF(AD109=3,AD115-AF115,IF(AF109=3,AF115-AD115,""))))</f>
        <v/>
      </c>
      <c r="AR111" s="1045">
        <f>SUM(AH111:AQ111)</f>
        <v>-39</v>
      </c>
    </row>
    <row r="112" spans="1:45" ht="15" x14ac:dyDescent="0.2">
      <c r="A112" s="845" t="str">
        <f>IF(AL92&gt;2,"Game 3","")</f>
        <v/>
      </c>
      <c r="B112" s="1051"/>
      <c r="C112" s="1052" t="s">
        <v>78</v>
      </c>
      <c r="D112" s="1053"/>
      <c r="E112" s="1051"/>
      <c r="F112" s="1052" t="str">
        <f>IF(AL93&gt;1,IF(AL92&gt;2,"/",""),"")</f>
        <v/>
      </c>
      <c r="G112" s="1053"/>
      <c r="H112" s="1051"/>
      <c r="I112" s="1052" t="str">
        <f>IF(AL93&gt;2,IF(AL92&gt;2,"/",""),"")</f>
        <v/>
      </c>
      <c r="J112" s="1053"/>
      <c r="K112" s="1087"/>
      <c r="L112" s="1051"/>
      <c r="M112" s="1052" t="str">
        <f>IF(AL93&gt;3,IF(AL92&gt;2,"/",""),"")</f>
        <v/>
      </c>
      <c r="N112" s="1053"/>
      <c r="O112" s="1051"/>
      <c r="P112" s="1052" t="str">
        <f>IF(AL93&gt;4,IF(AL92&gt;2,"/",""),"")</f>
        <v/>
      </c>
      <c r="Q112" s="1053"/>
      <c r="R112" s="1051"/>
      <c r="S112" s="1052" t="str">
        <f>IF(AL93&gt;5,IF(AL92&gt;2,"/",""),"")</f>
        <v/>
      </c>
      <c r="T112" s="1053"/>
      <c r="U112" s="1051"/>
      <c r="V112" s="1052" t="str">
        <f>IF(AL93&gt;6,IF(AL92&gt;2,"/",""),"")</f>
        <v/>
      </c>
      <c r="W112" s="1053"/>
      <c r="X112" s="1051"/>
      <c r="Y112" s="1052" t="str">
        <f>IF(AL93&gt;7,IF(AL92&gt;2,"/",""),"")</f>
        <v/>
      </c>
      <c r="Z112" s="1053"/>
      <c r="AA112" s="1051"/>
      <c r="AB112" s="1052" t="str">
        <f>IF(AL93&gt;8,IF(AL92&gt;2,"/",""),"")</f>
        <v/>
      </c>
      <c r="AC112" s="1053"/>
      <c r="AD112" s="1051"/>
      <c r="AE112" s="1052" t="str">
        <f>IF(AL93&gt;9,IF(AL92&gt;2,"/",""),"")</f>
        <v/>
      </c>
      <c r="AF112" s="1053"/>
      <c r="AG112" s="1049" t="str">
        <f>IF(AL94&gt;3,"Team 4","")</f>
        <v/>
      </c>
      <c r="AH112" s="1050" t="str">
        <f>IF(AL94&lt;4,"",IF(AL93&lt;1,"",IF(B109=4,B115-D115,IF(D109=4,D115-B115,""))))</f>
        <v/>
      </c>
      <c r="AI112" s="1050" t="str">
        <f>IF(AL94&lt;4,"",IF(AL93&lt;2,"",IF(E109=4,E115-G115,IF(G109=4,G115-E115,""))))</f>
        <v/>
      </c>
      <c r="AJ112" s="1050" t="str">
        <f>IF(AL94&lt;4,"",IF(AL93&lt;3,"",IF(H109=4,H115-J115,IF(J109=4,J115-H115,""))))</f>
        <v/>
      </c>
      <c r="AK112" s="1050" t="str">
        <f>IF(AL94&lt;4,"",IF(AL93&lt;4,"",IF(L109=4,L115-N115,IF(N109=4,N115-L115,""))))</f>
        <v/>
      </c>
      <c r="AL112" s="1050" t="str">
        <f>IF(AL94&lt;4,"",IF(AL93&lt;5,"",IF(O109=4,O115-Q115,IF(Q109=4,Q115-O115,""))))</f>
        <v/>
      </c>
      <c r="AM112" s="1050" t="str">
        <f>IF(AL94&lt;4,"",IF(AL93&lt;6,"",IF(R109=4,R115-T115,IF(T109=4,T115-R115,""))))</f>
        <v/>
      </c>
      <c r="AN112" s="1050" t="str">
        <f>IF(AL94&lt;4,"",IF(AL93&lt;7,"",IF(U109=4,U115-W115,IF(W109=4,W115-U115,""))))</f>
        <v/>
      </c>
      <c r="AO112" s="1050" t="str">
        <f>IF(AL94&lt;4,"",IF(AL93&lt;8,"",IF(X109=4,X115-Z115,IF(Z109=4,Z115-X115,""))))</f>
        <v/>
      </c>
      <c r="AP112" s="1050" t="str">
        <f>IF(AL94&lt;4,"",IF(AL93&lt;9,"",IF(AA109=4,AA115-AC115,IF(AC109=4,AC115-AA115,""))))</f>
        <v/>
      </c>
      <c r="AQ112" s="1050" t="str">
        <f>IF(AL94&lt;4,"",IF(AL93&lt;10,"",IF(AD109=4,AD115-AF115,IF(AF109=4,AF115-AD115,""))))</f>
        <v/>
      </c>
      <c r="AR112" s="1045">
        <f>SUM(AH112:AQ112)</f>
        <v>0</v>
      </c>
    </row>
    <row r="113" spans="1:44" ht="15" x14ac:dyDescent="0.2">
      <c r="A113" s="845" t="str">
        <f>IF(AL92&gt;3,"Game 4","")</f>
        <v/>
      </c>
      <c r="B113" s="1051"/>
      <c r="C113" s="1052" t="s">
        <v>78</v>
      </c>
      <c r="D113" s="1053"/>
      <c r="E113" s="1051"/>
      <c r="F113" s="1052" t="str">
        <f>IF(AL93&gt;1,IF(AL92&gt;3,"/",""),"")</f>
        <v/>
      </c>
      <c r="G113" s="1053"/>
      <c r="H113" s="1051"/>
      <c r="I113" s="1052" t="str">
        <f>IF(AL93&gt;2,IF(AL92&gt;3,"/",""),"")</f>
        <v/>
      </c>
      <c r="J113" s="1053"/>
      <c r="K113" s="1087"/>
      <c r="L113" s="1051"/>
      <c r="M113" s="1052" t="str">
        <f>IF(AL93&gt;3,IF(AL92&gt;3,"/",""),"")</f>
        <v/>
      </c>
      <c r="N113" s="1053"/>
      <c r="O113" s="1051"/>
      <c r="P113" s="1052" t="str">
        <f>IF(AL93&gt;4,IF(AL92&gt;3,"/",""),"")</f>
        <v/>
      </c>
      <c r="Q113" s="1053"/>
      <c r="R113" s="1051"/>
      <c r="S113" s="1052" t="str">
        <f>IF(AL93&gt;5,IF(AL92&gt;3,"/",""),"")</f>
        <v/>
      </c>
      <c r="T113" s="1053"/>
      <c r="U113" s="1051"/>
      <c r="V113" s="1052" t="str">
        <f>IF(AL93&gt;6,IF(AL92&gt;3,"/",""),"")</f>
        <v/>
      </c>
      <c r="W113" s="1053"/>
      <c r="X113" s="1051"/>
      <c r="Y113" s="1052" t="str">
        <f>IF(AL93&gt;7,IF(AL92&gt;3,"/",""),"")</f>
        <v/>
      </c>
      <c r="Z113" s="1053"/>
      <c r="AA113" s="1051"/>
      <c r="AB113" s="1052" t="str">
        <f>IF(AL93&gt;8,IF(AL92&gt;3,"/",""),"")</f>
        <v/>
      </c>
      <c r="AC113" s="1053"/>
      <c r="AD113" s="1051"/>
      <c r="AE113" s="1052" t="str">
        <f>IF(AL93&gt;9,IF(AL92&gt;3,"/",""),"")</f>
        <v/>
      </c>
      <c r="AF113" s="1053"/>
      <c r="AG113" s="1049" t="str">
        <f>IF(AL94&gt;4,"Team 5","")</f>
        <v/>
      </c>
      <c r="AH113" s="1054" t="str">
        <f>IF(AL94&lt;5,"",IF(AL93&lt;1,"",IF(B109=5,B115-D115,IF(D109=5,D115-B115,""))))</f>
        <v/>
      </c>
      <c r="AI113" s="1050" t="str">
        <f>IF(AL94&lt;5,"",IF(AL93&lt;2,"",IF(E109=5,E115-G115,IF(G109=5,G115-E115,""))))</f>
        <v/>
      </c>
      <c r="AJ113" s="1050" t="str">
        <f>IF(AL94&lt;5,"",IF(AL93&lt;3,"",IF(H109=5,H115-J115,IF(J109=5,J115-H115,""))))</f>
        <v/>
      </c>
      <c r="AK113" s="1050" t="str">
        <f>IF(AL94&lt;5,"",IF(AL93&lt;4,"",IF(L109=5,L115-N115,IF(N109=5,N115-L115,""))))</f>
        <v/>
      </c>
      <c r="AL113" s="1050" t="str">
        <f>IF(AL94&lt;5,"",IF(AL93&lt;5,"",IF(O109=5,O115-Q115,IF(Q109=5,Q115-O115,""))))</f>
        <v/>
      </c>
      <c r="AM113" s="1050" t="str">
        <f>IF(AL94&lt;5,"",IF(AL93&lt;6,"",IF(R109=5,R115-T115,IF(T109=5,T115-R115,""))))</f>
        <v/>
      </c>
      <c r="AN113" s="1050" t="str">
        <f>IF(AL94&lt;5,"",IF(AL93&lt;7,"",IF(U109=5,U115-W115,IF(W109=5,W115-U115,""))))</f>
        <v/>
      </c>
      <c r="AO113" s="1050" t="str">
        <f>IF(AL94&lt;5,"",IF(AL93&lt;8,"",IF(X109=5,X115-Z115,IF(Z109=5,Z115-X115,""))))</f>
        <v/>
      </c>
      <c r="AP113" s="1050" t="str">
        <f>IF(AL94&lt;5,"",IF(AL93&lt;9,"",IF(AA109=5,AA115-AC115,IF(AC109=5,AC115-AA115,""))))</f>
        <v/>
      </c>
      <c r="AQ113" s="1050" t="str">
        <f>IF(AL94&lt;5,"",IF(AL93&lt;10,"",IF(AD109=5,AD115-AF115,IF(AF109=5,AF115-AD115,""))))</f>
        <v/>
      </c>
      <c r="AR113" s="1045">
        <f>SUM(AH113:AQ113)</f>
        <v>0</v>
      </c>
    </row>
    <row r="114" spans="1:44" ht="15" x14ac:dyDescent="0.2">
      <c r="A114" s="845" t="str">
        <f>IF(AL92&gt;4,"Game 5","")</f>
        <v/>
      </c>
      <c r="B114" s="1051"/>
      <c r="C114" s="1052" t="s">
        <v>78</v>
      </c>
      <c r="D114" s="1053"/>
      <c r="E114" s="1051"/>
      <c r="F114" s="1052" t="str">
        <f>IF(AL93&gt;1,IF(AL92&gt;4,"/",""),"")</f>
        <v/>
      </c>
      <c r="G114" s="1053"/>
      <c r="H114" s="1051"/>
      <c r="I114" s="1052" t="str">
        <f>IF(AL93&gt;2,IF(AL92&gt;4,"/",""),"")</f>
        <v/>
      </c>
      <c r="J114" s="1053"/>
      <c r="K114" s="1088"/>
      <c r="L114" s="1051"/>
      <c r="M114" s="1052" t="str">
        <f>IF(AL93&gt;3,IF(AL92&gt;4,"/",""),"")</f>
        <v/>
      </c>
      <c r="N114" s="1053"/>
      <c r="O114" s="1051"/>
      <c r="P114" s="1052" t="str">
        <f>IF(AL93&gt;4,IF(AL92&gt;4,"/",""),"")</f>
        <v/>
      </c>
      <c r="Q114" s="1053"/>
      <c r="R114" s="1051"/>
      <c r="S114" s="1052" t="str">
        <f>IF(AL93&gt;5,IF(AL92&gt;4,"/",""),"")</f>
        <v/>
      </c>
      <c r="T114" s="1053"/>
      <c r="U114" s="1051"/>
      <c r="V114" s="1052" t="str">
        <f>IF(AL93&gt;6,IF(AL92&gt;4,"/",""),"")</f>
        <v/>
      </c>
      <c r="W114" s="1053"/>
      <c r="X114" s="1051"/>
      <c r="Y114" s="1052" t="str">
        <f>IF(AL93&gt;7,IF(AL92&gt;4,"/",""),"")</f>
        <v/>
      </c>
      <c r="Z114" s="1053"/>
      <c r="AA114" s="1051"/>
      <c r="AB114" s="1052" t="str">
        <f>IF(AL93&gt;8,IF(AL92&gt;4,"/",""),"")</f>
        <v/>
      </c>
      <c r="AC114" s="1053"/>
      <c r="AD114" s="1051"/>
      <c r="AE114" s="1052" t="str">
        <f>IF(AL93&gt;9,IF(AL92&gt;4,"/",""),"")</f>
        <v/>
      </c>
      <c r="AF114" s="1053"/>
      <c r="AG114" s="868"/>
      <c r="AH114" s="868"/>
      <c r="AI114" s="868"/>
      <c r="AJ114" s="868"/>
      <c r="AK114" s="868"/>
      <c r="AL114" s="868"/>
      <c r="AM114" s="868"/>
      <c r="AN114" s="868"/>
      <c r="AO114" s="868"/>
      <c r="AP114" s="868"/>
      <c r="AQ114" s="868"/>
      <c r="AR114" s="868"/>
    </row>
    <row r="115" spans="1:44" hidden="1" x14ac:dyDescent="0.2">
      <c r="A115" s="1056"/>
      <c r="B115" s="1056">
        <f>IF($AL92=5,SUM(B110:B114),IF($AL92=4,SUM(B110:B113),IF($AL92=3,SUM(B110:B112),IF($AL92=2,SUM(B110:B111),B110))))</f>
        <v>22</v>
      </c>
      <c r="C115" s="1056"/>
      <c r="D115" s="1056">
        <f>IF($AL92=5,SUM(D110:D114),IF($AL92=4,SUM(D110:D113),IF($AL92=3,SUM(D110:D112),IF($AL92=2,SUM(D110:D111),D110))))</f>
        <v>16</v>
      </c>
      <c r="E115" s="1056">
        <f>IF($AL92=5,SUM(E110:E114),IF($AL92=4,SUM(E110:E113),IF($AL92=3,SUM(E110:E112),IF($AL92=2,SUM(E110:E111),E110))))</f>
        <v>24</v>
      </c>
      <c r="F115" s="1056"/>
      <c r="G115" s="1056">
        <f>IF($AL92=5,SUM(G110:G114),IF($AL92=4,SUM(G110:G113),IF($AL92=3,SUM(G110:G112),IF($AL92=2,SUM(G110:G111),G110))))</f>
        <v>10</v>
      </c>
      <c r="H115" s="1056">
        <f>IF($AL92=5,SUM(H110:H114),IF($AL92=4,SUM(H110:H113),IF($AL92=3,SUM(H110:H112),IF($AL92=2,SUM(H110:H111),H110))))</f>
        <v>14</v>
      </c>
      <c r="I115" s="1056"/>
      <c r="J115" s="1056">
        <f>IF($AL92=5,SUM(J110:J114),IF($AL92=4,SUM(J110:J113),IF($AL92=3,SUM(J110:J112),IF($AL92=2,SUM(J110:J111),J110))))</f>
        <v>25</v>
      </c>
      <c r="K115" s="1056"/>
      <c r="L115" s="1056">
        <f>IF($AL92=5,SUM(L110:L114),IF($AL92=4,SUM(L110:L113),IF($AL92=3,SUM(L110:L112),IF($AL92=2,SUM(L110:L111),L110))))</f>
        <v>24</v>
      </c>
      <c r="M115" s="1056"/>
      <c r="N115" s="1056">
        <f>IF($AL92=5,SUM(N110:N114),IF($AL92=4,SUM(N110:N113),IF($AL92=3,SUM(N110:N112),IF($AL92=2,SUM(N110:N111),N110))))</f>
        <v>12</v>
      </c>
      <c r="O115" s="1056">
        <f>IF($AL92=5,SUM(O110:O114),IF($AL92=4,SUM(O110:O113),IF($AL92=3,SUM(O110:O112),IF($AL92=2,SUM(O110:O111),O110))))</f>
        <v>21</v>
      </c>
      <c r="P115" s="1056"/>
      <c r="Q115" s="1056">
        <f>IF($AL92=5,SUM(Q110:Q114),IF($AL92=4,SUM(Q110:Q113),IF($AL92=3,SUM(Q110:Q112),IF($AL92=2,SUM(Q110:Q111),Q110))))</f>
        <v>14</v>
      </c>
      <c r="R115" s="1056">
        <f>IF($AL92=5,SUM(R110:R114),IF($AL92=4,SUM(R110:R113),IF($AL92=3,SUM(R110:R112),IF($AL92=2,SUM(R110:R111),R110))))</f>
        <v>17</v>
      </c>
      <c r="S115" s="1056"/>
      <c r="T115" s="1056">
        <f>IF($AL92=5,SUM(T110:T114),IF($AL92=4,SUM(T110:T113),IF($AL92=3,SUM(T110:T112),IF($AL92=2,SUM(T110:T111),T110))))</f>
        <v>22</v>
      </c>
      <c r="U115" s="1056">
        <f>IF($AL92=5,SUM(U110:U114),IF($AL92=4,SUM(U110:U113),IF($AL92=3,SUM(U110:U112),IF($AL92=2,SUM(U110:U111),U110))))</f>
        <v>0</v>
      </c>
      <c r="V115" s="1056"/>
      <c r="W115" s="1056">
        <f>IF($AL92=5,SUM(W110:W114),IF($AL92=4,SUM(W110:W113),IF($AL92=3,SUM(W110:W112),IF($AL92=2,SUM(W110:W111),W110))))</f>
        <v>0</v>
      </c>
      <c r="X115" s="1056">
        <f>IF($AL92=5,SUM(X110:X114),IF($AL92=4,SUM(X110:X113),IF($AL92=3,SUM(X110:X112),IF($AL92=2,SUM(X110:X111),X110))))</f>
        <v>0</v>
      </c>
      <c r="Y115" s="1056"/>
      <c r="Z115" s="1056">
        <f>IF($AL92=5,SUM(Z110:Z114),IF($AL92=4,SUM(Z110:Z113),IF($AL92=3,SUM(Z110:Z112),IF($AL92=2,SUM(Z110:Z111),Z110))))</f>
        <v>0</v>
      </c>
      <c r="AA115" s="1056">
        <f>IF($AL92=5,SUM(AA110:AA114),IF($AL92=4,SUM(AA110:AA113),IF($AL92=3,SUM(AA110:AA112),IF($AL92=2,SUM(AA110:AA111),AA110))))</f>
        <v>0</v>
      </c>
      <c r="AB115" s="1056"/>
      <c r="AC115" s="1056">
        <f>IF($AL92=5,SUM(AC110:AC114),IF($AL92=4,SUM(AC110:AC113),IF($AL92=3,SUM(AC110:AC112),IF($AL92=2,SUM(AC110:AC111),AC110))))</f>
        <v>0</v>
      </c>
      <c r="AD115" s="1056">
        <f>IF($AL92=5,SUM(AD110:AD114),IF($AL92=4,SUM(AD110:AD113),IF($AL92=3,SUM(AD110:AD112),IF($AL92=2,SUM(AD110:AD111),AD110))))</f>
        <v>0</v>
      </c>
      <c r="AE115" s="1056"/>
      <c r="AF115" s="1056">
        <f>IF($AL92=5,SUM(AF110:AF114),IF($AL92=4,SUM(AF110:AF113),IF($AL92=3,SUM(AF110:AF112),IF($AL92=2,SUM(AF110:AF111),AF110))))</f>
        <v>0</v>
      </c>
      <c r="AG115" s="868"/>
      <c r="AH115" s="868"/>
      <c r="AI115" s="868"/>
      <c r="AJ115" s="868"/>
      <c r="AK115" s="868"/>
      <c r="AL115" s="868"/>
      <c r="AM115" s="868"/>
      <c r="AN115" s="868"/>
      <c r="AO115" s="868"/>
      <c r="AP115" s="868"/>
      <c r="AQ115" s="868"/>
      <c r="AR115" s="868"/>
    </row>
    <row r="116" spans="1:44" s="1057" customFormat="1" ht="12.75" hidden="1" customHeight="1" x14ac:dyDescent="0.2">
      <c r="A116" s="1057" t="s">
        <v>79</v>
      </c>
      <c r="B116" s="1058">
        <f>IF(AND(B110&gt;D110,$AL93&gt;0,ISNUMBER(B110),ISNUMBER(D110)),1,0)</f>
        <v>1</v>
      </c>
      <c r="C116" s="1058"/>
      <c r="D116" s="1059">
        <f>IF(AND(D110&gt;B110,$AL93&gt;0,ISNUMBER(B110),ISNUMBER(D110)),1,0)</f>
        <v>0</v>
      </c>
      <c r="E116" s="1058">
        <f>IF(AND(E110&gt;G110,$AL93&gt;1,ISNUMBER(E110),ISNUMBER(G110)),1,0)</f>
        <v>1</v>
      </c>
      <c r="F116" s="1058"/>
      <c r="G116" s="1059">
        <f>IF(AND(G110&gt;E110,$AL93&gt;1,ISNUMBER(E110),ISNUMBER(G110)),1,0)</f>
        <v>0</v>
      </c>
      <c r="H116" s="1058">
        <f>IF(AND(H110&gt;J110,$AL93&gt;2,ISNUMBER(H110),ISNUMBER(J110)),1,0)</f>
        <v>0</v>
      </c>
      <c r="I116" s="1058"/>
      <c r="J116" s="1059">
        <f>IF(AND(J110&gt;H110,$AL93&gt;2,ISNUMBER(H110),ISNUMBER(J110)),1,0)</f>
        <v>1</v>
      </c>
      <c r="K116" s="1060"/>
      <c r="L116" s="1058">
        <f>IF(AND(L110&gt;N110,$AL93&gt;3,ISNUMBER(L110),ISNUMBER(N110)),1,0)</f>
        <v>1</v>
      </c>
      <c r="M116" s="1058"/>
      <c r="N116" s="1059">
        <f>IF(AND(N110&gt;L110,$AL93&gt;3,ISNUMBER(L110),ISNUMBER(N110)),1,0)</f>
        <v>0</v>
      </c>
      <c r="O116" s="1058">
        <f>IF(AND(O110&gt;Q110,$AL93&gt;4,ISNUMBER(O110),ISNUMBER(Q110)),1,0)</f>
        <v>1</v>
      </c>
      <c r="P116" s="1058"/>
      <c r="Q116" s="1059">
        <f>IF(AND(Q110&gt;O110,$AL93&gt;4,ISNUMBER(O110),ISNUMBER(Q110)),1,0)</f>
        <v>0</v>
      </c>
      <c r="R116" s="1058">
        <f>IF(AND(R110&gt;T110,$AL93&gt;5,ISNUMBER(R110),ISNUMBER(T110)),1,0)</f>
        <v>0</v>
      </c>
      <c r="S116" s="1058"/>
      <c r="T116" s="1059">
        <f>IF(AND(T110&gt;R110,$AL93&gt;5,ISNUMBER(R110),ISNUMBER(T110)),1,0)</f>
        <v>1</v>
      </c>
      <c r="U116" s="1058">
        <f>IF(AND(U110&gt;W110,$AL93&gt;6,ISNUMBER(U110),ISNUMBER(W110)),1,0)</f>
        <v>0</v>
      </c>
      <c r="V116" s="1058"/>
      <c r="W116" s="1059">
        <f>IF(AND(W110&gt;U110,$AL93&gt;6,ISNUMBER(U110),ISNUMBER(W110)),1,0)</f>
        <v>0</v>
      </c>
      <c r="X116" s="1058">
        <f>IF(AND(X110&gt;Z110,$AL93&gt;7,ISNUMBER(X110),ISNUMBER(Z110)),1,0)</f>
        <v>0</v>
      </c>
      <c r="Y116" s="1058"/>
      <c r="Z116" s="1059">
        <f>IF(AND(Z110&gt;X110,$AL93&gt;7,ISNUMBER(X110),ISNUMBER(Z110)),1,0)</f>
        <v>0</v>
      </c>
      <c r="AA116" s="1058">
        <f>IF(AND(AA110&gt;AC110,$AL93&gt;8,ISNUMBER(AA110),ISNUMBER(AC110)),1,0)</f>
        <v>0</v>
      </c>
      <c r="AB116" s="1058"/>
      <c r="AC116" s="1059">
        <f>IF(AND(AC110&gt;AA110,$AL93&gt;8,ISNUMBER(AA110),ISNUMBER(AC110)),1,0)</f>
        <v>0</v>
      </c>
      <c r="AD116" s="1058">
        <f>IF(AND(AD110&gt;AF110,$AL93&gt;9,ISNUMBER(AD110),ISNUMBER(AF110)),1,0)</f>
        <v>0</v>
      </c>
      <c r="AE116" s="1058"/>
      <c r="AF116" s="1059">
        <f>IF(AND(AF110&gt;AD110,$AL93&gt;9,ISNUMBER(AD110),ISNUMBER(AF110)),1,0)</f>
        <v>0</v>
      </c>
    </row>
    <row r="117" spans="1:44" s="1057" customFormat="1" ht="12.75" hidden="1" customHeight="1" x14ac:dyDescent="0.2">
      <c r="A117" s="1057" t="s">
        <v>80</v>
      </c>
      <c r="B117" s="1058">
        <f>IF(AND(B111&gt;D111,$AL93&gt;0,$AL92&gt;1,ISNUMBER(B111),ISNUMBER(D111)),1,0)</f>
        <v>0</v>
      </c>
      <c r="C117" s="1058"/>
      <c r="D117" s="1059">
        <f>IF(AND(D111&gt;B111,$AL93&gt;0,$AL92&gt;1,ISNUMBER(B111),ISNUMBER(D111)),1,0)</f>
        <v>0</v>
      </c>
      <c r="E117" s="1058">
        <f>IF(AND(E111&gt;G111,$AL93&gt;1,$AL92&gt;1,ISNUMBER(E111),ISNUMBER(G111)),1,0)</f>
        <v>0</v>
      </c>
      <c r="F117" s="1058"/>
      <c r="G117" s="1059">
        <f>IF(AND(G111&gt;E111,$AL93&gt;1,$AL92&gt;1,ISNUMBER(E111),ISNUMBER(G111)),1,0)</f>
        <v>0</v>
      </c>
      <c r="H117" s="1058">
        <f>IF(AND(H111&gt;J111,$AL93&gt;2,$AL92&gt;1,ISNUMBER(H111),ISNUMBER(J111)),1,0)</f>
        <v>0</v>
      </c>
      <c r="I117" s="1058"/>
      <c r="J117" s="1059">
        <f>IF(AND(J111&gt;H111,$AL93&gt;2,$AL92&gt;1,ISNUMBER(H111),ISNUMBER(J111)),1,0)</f>
        <v>0</v>
      </c>
      <c r="K117" s="1060"/>
      <c r="L117" s="1058">
        <f>IF(AND(L111&gt;N111,$AL93&gt;3,$AL92&gt;1,ISNUMBER(L111),ISNUMBER(N111)),1,0)</f>
        <v>0</v>
      </c>
      <c r="M117" s="1058"/>
      <c r="N117" s="1059">
        <f>IF(AND(N111&gt;L111,$AL93&gt;3,$AL92&gt;1,ISNUMBER(L111),ISNUMBER(N111)),1,0)</f>
        <v>0</v>
      </c>
      <c r="O117" s="1058">
        <f>IF(AND(O111&gt;Q111,$AL93&gt;4,$AL92&gt;1,ISNUMBER(O111),ISNUMBER(Q111)),1,0)</f>
        <v>0</v>
      </c>
      <c r="P117" s="1058"/>
      <c r="Q117" s="1059">
        <f>IF(AND(Q111&gt;O111,$AL93&gt;4,$AL92&gt;1,ISNUMBER(O111),ISNUMBER(Q111)),1,0)</f>
        <v>0</v>
      </c>
      <c r="R117" s="1058">
        <f>IF(AND(R111&gt;T111,$AL93&gt;5,$AL92&gt;1,ISNUMBER(R111),ISNUMBER(T111)),1,0)</f>
        <v>0</v>
      </c>
      <c r="S117" s="1058"/>
      <c r="T117" s="1059">
        <f>IF(AND(T111&gt;R111,$AL93&gt;5,$AL92&gt;1,ISNUMBER(R111),ISNUMBER(T111)),1,0)</f>
        <v>0</v>
      </c>
      <c r="U117" s="1058">
        <f>IF(AND(U111&gt;W111,$AL93&gt;6,$AL92&gt;1,ISNUMBER(U111),ISNUMBER(W111)),1,0)</f>
        <v>0</v>
      </c>
      <c r="V117" s="1058"/>
      <c r="W117" s="1059">
        <f>IF(AND(W111&gt;U111,$AL93&gt;6,$AL92&gt;1,ISNUMBER(U111),ISNUMBER(W111)),1,0)</f>
        <v>0</v>
      </c>
      <c r="X117" s="1058">
        <f>IF(AND(X111&gt;Z111,$AL93&gt;7,$AL92&gt;1,ISNUMBER(X111),ISNUMBER(Z111)),1,0)</f>
        <v>0</v>
      </c>
      <c r="Y117" s="1058"/>
      <c r="Z117" s="1059">
        <f>IF(AND(Z111&gt;X111,$AL93&gt;7,$AL92&gt;1,ISNUMBER(X111),ISNUMBER(Z111)),1,0)</f>
        <v>0</v>
      </c>
      <c r="AA117" s="1058">
        <f>IF(AND(AA111&gt;AC111,$AL93&gt;8,$AL92&gt;1,ISNUMBER(AA111),ISNUMBER(AC111)),1,0)</f>
        <v>0</v>
      </c>
      <c r="AB117" s="1058"/>
      <c r="AC117" s="1059">
        <f>IF(AND(AC111&gt;AA111,$AL93&gt;8,$AL92&gt;1,ISNUMBER(AA111),ISNUMBER(AC111)),1,0)</f>
        <v>0</v>
      </c>
      <c r="AD117" s="1058">
        <f>IF(AND(AD111&gt;AF111,$AL93&gt;9,$AL92&gt;1,ISNUMBER(AD111),ISNUMBER(AF111)),1,0)</f>
        <v>0</v>
      </c>
      <c r="AE117" s="1058"/>
      <c r="AF117" s="1059">
        <f>IF(AND(AF111&gt;AD111,$AL93&gt;9,$AL92&gt;1,ISNUMBER(AD111),ISNUMBER(AF111)),1,0)</f>
        <v>0</v>
      </c>
    </row>
    <row r="118" spans="1:44" s="1057" customFormat="1" ht="12.75" hidden="1" customHeight="1" x14ac:dyDescent="0.2">
      <c r="A118" s="1057" t="s">
        <v>81</v>
      </c>
      <c r="B118" s="1058">
        <f>IF(AND(B112&gt;D112,$AL93&gt;0,$AL92&gt;2,ISNUMBER(B112),ISNUMBER(D112)),1,0)</f>
        <v>0</v>
      </c>
      <c r="C118" s="1058"/>
      <c r="D118" s="1059">
        <f>IF(AND(D112&gt;B112,$AL93&gt;0,$AL92&gt;2,ISNUMBER(B112),ISNUMBER(D112)),1,0)</f>
        <v>0</v>
      </c>
      <c r="E118" s="1058">
        <f>IF(AND(E112&gt;G112,$AL93&gt;1,$AL92&gt;2,ISNUMBER(E112),ISNUMBER(G112)),1,0)</f>
        <v>0</v>
      </c>
      <c r="F118" s="1058"/>
      <c r="G118" s="1059">
        <f>IF(AND(G112&gt;E112,$AL93&gt;1,$AL92&gt;2,ISNUMBER(E112),ISNUMBER(G112)),1,0)</f>
        <v>0</v>
      </c>
      <c r="H118" s="1058">
        <f>IF(AND(H112&gt;J112,$AL93&gt;2,$AL92&gt;2,ISNUMBER(H112),ISNUMBER(J112)),1,0)</f>
        <v>0</v>
      </c>
      <c r="I118" s="1058"/>
      <c r="J118" s="1059">
        <f>IF(AND(J112&gt;H112,$AL93&gt;2,$AL92&gt;2,ISNUMBER(H112),ISNUMBER(J112)),1,0)</f>
        <v>0</v>
      </c>
      <c r="K118" s="1060"/>
      <c r="L118" s="1058">
        <f>IF(AND(L112&gt;N112,$AL93&gt;3,$AL92&gt;2,ISNUMBER(L112),ISNUMBER(N112)),1,0)</f>
        <v>0</v>
      </c>
      <c r="M118" s="1058"/>
      <c r="N118" s="1059">
        <f>IF(AND(N112&gt;L112,$AL93&gt;3,$AL92&gt;2,ISNUMBER(L112),ISNUMBER(N112)),1,0)</f>
        <v>0</v>
      </c>
      <c r="O118" s="1058">
        <f>IF(AND(O112&gt;Q112,$AL93&gt;4,$AL92&gt;2,ISNUMBER(O112),ISNUMBER(Q112)),1,0)</f>
        <v>0</v>
      </c>
      <c r="P118" s="1058"/>
      <c r="Q118" s="1059">
        <f>IF(AND(Q112&gt;O112,$AL93&gt;4,$AL92&gt;2,ISNUMBER(O112),ISNUMBER(Q112)),1,0)</f>
        <v>0</v>
      </c>
      <c r="R118" s="1058">
        <f>IF(AND(R112&gt;T112,$AL93&gt;5,$AL92&gt;2,ISNUMBER(R112),ISNUMBER(T112)),1,0)</f>
        <v>0</v>
      </c>
      <c r="S118" s="1058"/>
      <c r="T118" s="1059">
        <f>IF(AND(T112&gt;R112,$AL93&gt;5,$AL92&gt;2,ISNUMBER(R112),ISNUMBER(T112)),1,0)</f>
        <v>0</v>
      </c>
      <c r="U118" s="1058">
        <f>IF(AND(U112&gt;W112,$AL93&gt;6,$AL92&gt;2,ISNUMBER(U112),ISNUMBER(W112)),1,0)</f>
        <v>0</v>
      </c>
      <c r="V118" s="1058"/>
      <c r="W118" s="1059">
        <f>IF(AND(W112&gt;U112,$AL93&gt;6,$AL92&gt;2,ISNUMBER(U112),ISNUMBER(W112)),1,0)</f>
        <v>0</v>
      </c>
      <c r="X118" s="1058">
        <f>IF(AND(X112&gt;Z112,$AL93&gt;7,$AL92&gt;2,ISNUMBER(X112),ISNUMBER(Z112)),1,0)</f>
        <v>0</v>
      </c>
      <c r="Y118" s="1058"/>
      <c r="Z118" s="1059">
        <f>IF(AND(Z112&gt;X112,$AL93&gt;7,$AL92&gt;2,ISNUMBER(X112),ISNUMBER(Z112)),1,0)</f>
        <v>0</v>
      </c>
      <c r="AA118" s="1058">
        <f>IF(AND(AA112&gt;AC112,$AL93&gt;8,$AL92&gt;2,ISNUMBER(AA112),ISNUMBER(AC112)),1,0)</f>
        <v>0</v>
      </c>
      <c r="AB118" s="1058"/>
      <c r="AC118" s="1059">
        <f>IF(AND(AC112&gt;AA112,$AL93&gt;8,$AL92&gt;2,ISNUMBER(AA112),ISNUMBER(AC112)),1,0)</f>
        <v>0</v>
      </c>
      <c r="AD118" s="1058">
        <f>IF(AND(AD112&gt;AF112,$AL93&gt;9,$AL92&gt;2,ISNUMBER(AD112),ISNUMBER(AF112)),1,0)</f>
        <v>0</v>
      </c>
      <c r="AE118" s="1058"/>
      <c r="AF118" s="1059">
        <f>IF(AND(AF112&gt;AD112,$AL93&gt;9,$AL92&gt;2,ISNUMBER(AD112),ISNUMBER(AF112)),1,0)</f>
        <v>0</v>
      </c>
    </row>
    <row r="119" spans="1:44" s="1057" customFormat="1" ht="12.75" hidden="1" customHeight="1" x14ac:dyDescent="0.2">
      <c r="A119" s="1057" t="s">
        <v>82</v>
      </c>
      <c r="B119" s="1058">
        <f>IF(AND(B113&gt;D113,$AL93&gt;0,$AL92&gt;3,ISNUMBER(B113),ISNUMBER(D113)),1,0)</f>
        <v>0</v>
      </c>
      <c r="C119" s="1058"/>
      <c r="D119" s="1059">
        <f>IF(AND(D113&gt;B113,$AL93&gt;0,$AL92&gt;3,ISNUMBER(B113),ISNUMBER(D113)),1,0)</f>
        <v>0</v>
      </c>
      <c r="E119" s="1058">
        <f>IF(AND(E113&gt;G113,$AL93&gt;1,$AL92&gt;3,ISNUMBER(E113),ISNUMBER(G113)),1,0)</f>
        <v>0</v>
      </c>
      <c r="F119" s="1058"/>
      <c r="G119" s="1059">
        <f>IF(AND(G113&gt;E113,$AL93&gt;1,$AL92&gt;3,ISNUMBER(E113),ISNUMBER(G113)),1,0)</f>
        <v>0</v>
      </c>
      <c r="H119" s="1058">
        <f>IF(AND(H113&gt;J113,$AL93&gt;2,$AL92&gt;3,ISNUMBER(H113),ISNUMBER(J113)),1,0)</f>
        <v>0</v>
      </c>
      <c r="I119" s="1058"/>
      <c r="J119" s="1059">
        <f>IF(AND(J113&gt;H113,$AL93&gt;2,$AL92&gt;3,ISNUMBER(H113),ISNUMBER(J113)),1,0)</f>
        <v>0</v>
      </c>
      <c r="K119" s="1060"/>
      <c r="L119" s="1058">
        <f>IF(AND(L113&gt;N113,$AL93&gt;3,$AL92&gt;3,ISNUMBER(L113),ISNUMBER(N113)),1,0)</f>
        <v>0</v>
      </c>
      <c r="M119" s="1058"/>
      <c r="N119" s="1059">
        <f>IF(AND(N113&gt;L113,$AL93&gt;3,$AL92&gt;3,ISNUMBER(L113),ISNUMBER(N113)),1,0)</f>
        <v>0</v>
      </c>
      <c r="O119" s="1058">
        <f>IF(AND(O113&gt;Q113,$AL93&gt;4,$AL92&gt;3,ISNUMBER(O113),ISNUMBER(Q113)),1,0)</f>
        <v>0</v>
      </c>
      <c r="P119" s="1058"/>
      <c r="Q119" s="1059">
        <f>IF(AND(Q113&gt;O113,$AL93&gt;4,$AL92&gt;3,ISNUMBER(O113),ISNUMBER(Q113)),1,0)</f>
        <v>0</v>
      </c>
      <c r="R119" s="1058">
        <f>IF(AND(R113&gt;T113,$AL93&gt;5,$AL92&gt;3,ISNUMBER(R113),ISNUMBER(T113)),1,0)</f>
        <v>0</v>
      </c>
      <c r="S119" s="1058"/>
      <c r="T119" s="1059">
        <f>IF(AND(T113&gt;R113,$AL93&gt;5,$AL92&gt;3,ISNUMBER(R113),ISNUMBER(T113)),1,0)</f>
        <v>0</v>
      </c>
      <c r="U119" s="1058">
        <f>IF(AND(U113&gt;W113,$AL93&gt;6,$AL92&gt;3,ISNUMBER(U113),ISNUMBER(W113)),1,0)</f>
        <v>0</v>
      </c>
      <c r="V119" s="1058"/>
      <c r="W119" s="1059">
        <f>IF(AND(W113&gt;U113,$AL93&gt;6,$AL92&gt;3,ISNUMBER(U113),ISNUMBER(W113)),1,0)</f>
        <v>0</v>
      </c>
      <c r="X119" s="1058">
        <f>IF(AND(X113&gt;Z113,$AL93&gt;7,$AL92&gt;3,ISNUMBER(X113),ISNUMBER(Z113)),1,0)</f>
        <v>0</v>
      </c>
      <c r="Y119" s="1058"/>
      <c r="Z119" s="1059">
        <f>IF(AND(Z113&gt;X113,$AL93&gt;7,$AL92&gt;3,ISNUMBER(X113),ISNUMBER(Z113)),1,0)</f>
        <v>0</v>
      </c>
      <c r="AA119" s="1058">
        <f>IF(AND(AA113&gt;AC113,$AL93&gt;8,$AL92&gt;3,ISNUMBER(AA113),ISNUMBER(AC113)),1,0)</f>
        <v>0</v>
      </c>
      <c r="AB119" s="1058"/>
      <c r="AC119" s="1059">
        <f>IF(AND(AC113&gt;AA113,$AL93&gt;8,$AL92&gt;3,ISNUMBER(AA113),ISNUMBER(AC113)),1,0)</f>
        <v>0</v>
      </c>
      <c r="AD119" s="1058">
        <f>IF(AND(AD113&gt;AF113,$AL93&gt;9,$AL92&gt;3,ISNUMBER(AD113),ISNUMBER(AF113)),1,0)</f>
        <v>0</v>
      </c>
      <c r="AE119" s="1058"/>
      <c r="AF119" s="1059">
        <f>IF(AND(AF113&gt;AD113,$AL93&gt;9,$AL92&gt;3,ISNUMBER(AD113),ISNUMBER(AF113)),1,0)</f>
        <v>0</v>
      </c>
    </row>
    <row r="120" spans="1:44" s="1057" customFormat="1" ht="12.75" hidden="1" customHeight="1" x14ac:dyDescent="0.2">
      <c r="A120" s="1057" t="s">
        <v>83</v>
      </c>
      <c r="B120" s="1058">
        <f>IF(AND(B114&gt;D114,$AL93&gt;0,$AL92&gt;4,ISNUMBER(B114),ISNUMBER(D114)),1,0)</f>
        <v>0</v>
      </c>
      <c r="C120" s="1058"/>
      <c r="D120" s="1059">
        <f>IF(AND(D114&gt;B114,$AL93&gt;0,$AL92&gt;4,ISNUMBER(B114),ISNUMBER(D114)),1,0)</f>
        <v>0</v>
      </c>
      <c r="E120" s="1058">
        <f>IF(AND(E114&gt;G114,$AL93&gt;1,$AL92&gt;4,ISNUMBER(E114),ISNUMBER(G114)),1,0)</f>
        <v>0</v>
      </c>
      <c r="F120" s="1058"/>
      <c r="G120" s="1059">
        <f>IF(AND(G114&gt;E114,$AL93&gt;1,$AL92&gt;4,ISNUMBER(E114),ISNUMBER(G114)),1,0)</f>
        <v>0</v>
      </c>
      <c r="H120" s="1058">
        <f>IF(AND(H114&gt;J114,$AL93&gt;2,$AL92&gt;4,ISNUMBER(H114),ISNUMBER(J114)),1,0)</f>
        <v>0</v>
      </c>
      <c r="I120" s="1058"/>
      <c r="J120" s="1059">
        <f>IF(AND(J114&gt;H114,$AL93&gt;2,$AL92&gt;4,ISNUMBER(H114),ISNUMBER(J114)),1,0)</f>
        <v>0</v>
      </c>
      <c r="K120" s="1060"/>
      <c r="L120" s="1058">
        <f>IF(AND(L114&gt;N114,$AL93&gt;3,$AL92&gt;4,ISNUMBER(L114),ISNUMBER(N114)),1,0)</f>
        <v>0</v>
      </c>
      <c r="M120" s="1058"/>
      <c r="N120" s="1059">
        <f>IF(AND(N114&gt;L114,$AL93&gt;3,$AL92&gt;4,ISNUMBER(L114),ISNUMBER(N114)),1,0)</f>
        <v>0</v>
      </c>
      <c r="O120" s="1058">
        <f>IF(AND(O114&gt;Q114,$AL93&gt;4,$AL92&gt;4,ISNUMBER(O114),ISNUMBER(Q114)),1,0)</f>
        <v>0</v>
      </c>
      <c r="P120" s="1058"/>
      <c r="Q120" s="1059">
        <f>IF(AND(Q114&gt;O114,$AL93&gt;4,$AL92&gt;4,ISNUMBER(O114),ISNUMBER(Q114)),1,0)</f>
        <v>0</v>
      </c>
      <c r="R120" s="1058">
        <f>IF(AND(R114&gt;T114,$AL93&gt;5,$AL92&gt;4,ISNUMBER(R114),ISNUMBER(T114)),1,0)</f>
        <v>0</v>
      </c>
      <c r="S120" s="1058"/>
      <c r="T120" s="1059">
        <f>IF(AND(T114&gt;R114,$AL93&gt;5,$AL92&gt;4,ISNUMBER(R114),ISNUMBER(T114)),1,0)</f>
        <v>0</v>
      </c>
      <c r="U120" s="1058">
        <f>IF(AND(U114&gt;W114,$AL93&gt;6,$AL92&gt;4,ISNUMBER(U114),ISNUMBER(W114)),1,0)</f>
        <v>0</v>
      </c>
      <c r="V120" s="1058"/>
      <c r="W120" s="1059">
        <f>IF(AND(W114&gt;U114,$AL93&gt;6,$AL92&gt;4,ISNUMBER(U114),ISNUMBER(W114)),1,0)</f>
        <v>0</v>
      </c>
      <c r="X120" s="1058">
        <f>IF(AND(X114&gt;Z114,$AL93&gt;7,$AL92&gt;4,ISNUMBER(X114),ISNUMBER(Z114)),1,0)</f>
        <v>0</v>
      </c>
      <c r="Y120" s="1058"/>
      <c r="Z120" s="1059">
        <f>IF(AND(Z114&gt;X114,$AL93&gt;7,$AL92&gt;4,ISNUMBER(X114),ISNUMBER(Z114)),1,0)</f>
        <v>0</v>
      </c>
      <c r="AA120" s="1058">
        <f>IF(AND(AA114&gt;AC114,$AL93&gt;8,$AL92&gt;4,ISNUMBER(AA114),ISNUMBER(AC114)),1,0)</f>
        <v>0</v>
      </c>
      <c r="AB120" s="1058"/>
      <c r="AC120" s="1059">
        <f>IF(AND(AC114&gt;AA114,$AL93&gt;8,$AL92&gt;4,ISNUMBER(AA114),ISNUMBER(AC114)),1,0)</f>
        <v>0</v>
      </c>
      <c r="AD120" s="1058">
        <f>IF(AND(AD114&gt;AF114,$AL93&gt;9,$AL92&gt;4,ISNUMBER(AD114),ISNUMBER(AF114)),1,0)</f>
        <v>0</v>
      </c>
      <c r="AE120" s="1058"/>
      <c r="AF120" s="1059">
        <f>IF(AND(AF114&gt;AD114,$AL93&gt;9,$AL92&gt;4,ISNUMBER(AD114),ISNUMBER(AF114)),1,0)</f>
        <v>0</v>
      </c>
    </row>
    <row r="121" spans="1:44" s="1057" customFormat="1" ht="38.25" hidden="1" customHeight="1" x14ac:dyDescent="0.2">
      <c r="A121" s="1061" t="s">
        <v>84</v>
      </c>
      <c r="B121" s="1057">
        <f>SUM(B116:B120)</f>
        <v>1</v>
      </c>
      <c r="D121" s="1060">
        <f>SUM(D116:D120)</f>
        <v>0</v>
      </c>
      <c r="E121" s="1057">
        <f>SUM(E116:E120)</f>
        <v>1</v>
      </c>
      <c r="G121" s="1060">
        <f>SUM(G116:G120)</f>
        <v>0</v>
      </c>
      <c r="H121" s="1057">
        <f>SUM(H116:H120)</f>
        <v>0</v>
      </c>
      <c r="J121" s="1060">
        <f>SUM(J116:J120)</f>
        <v>1</v>
      </c>
      <c r="K121" s="1060"/>
      <c r="L121" s="1057">
        <f>SUM(L116:L120)</f>
        <v>1</v>
      </c>
      <c r="N121" s="1060">
        <f>SUM(N116:N120)</f>
        <v>0</v>
      </c>
      <c r="O121" s="1057">
        <f>SUM(O116:O120)</f>
        <v>1</v>
      </c>
      <c r="Q121" s="1060">
        <f>SUM(Q116:Q120)</f>
        <v>0</v>
      </c>
      <c r="R121" s="1057">
        <f>SUM(R116:R120)</f>
        <v>0</v>
      </c>
      <c r="T121" s="1060">
        <f>SUM(T116:T120)</f>
        <v>1</v>
      </c>
      <c r="U121" s="1057">
        <f>SUM(U116:U120)</f>
        <v>0</v>
      </c>
      <c r="W121" s="1060">
        <f>SUM(W116:W120)</f>
        <v>0</v>
      </c>
      <c r="X121" s="1057">
        <f>SUM(X116:X120)</f>
        <v>0</v>
      </c>
      <c r="Z121" s="1060">
        <f>SUM(Z116:Z120)</f>
        <v>0</v>
      </c>
      <c r="AA121" s="1057">
        <f>SUM(AA116:AA120)</f>
        <v>0</v>
      </c>
      <c r="AC121" s="1060">
        <f>SUM(AC116:AC120)</f>
        <v>0</v>
      </c>
      <c r="AD121" s="1057">
        <f>SUM(AD116:AD120)</f>
        <v>0</v>
      </c>
      <c r="AF121" s="1060">
        <f>SUM(AF116:AF120)</f>
        <v>0</v>
      </c>
    </row>
    <row r="122" spans="1:44" s="1057" customFormat="1" ht="25.5" hidden="1" customHeight="1" x14ac:dyDescent="0.2">
      <c r="A122" s="1061" t="s">
        <v>85</v>
      </c>
      <c r="B122" s="1057">
        <f>IF(B121&gt;D121,IF(C156=AL92,1,IF(C156=AL92-1,1,0)),0)</f>
        <v>1</v>
      </c>
      <c r="C122" s="1057">
        <f>B122+D122</f>
        <v>1</v>
      </c>
      <c r="D122" s="1060">
        <f>IF(D121&gt;B121,IF(C156=AL92,1,IF(C156=AL92-1,1,0)),0)</f>
        <v>0</v>
      </c>
      <c r="E122" s="1057">
        <f>IF(E121&gt;G121,IF(F156=AL92,1,IF(F156=AL92-1,1,0)),0)</f>
        <v>1</v>
      </c>
      <c r="F122" s="1057">
        <f>E122+G122</f>
        <v>1</v>
      </c>
      <c r="G122" s="1060">
        <f>IF(G121&gt;E121,IF(F156=AL92,1,IF(F156=AL92-1,1,0)),0)</f>
        <v>0</v>
      </c>
      <c r="H122" s="1057">
        <f>IF(H121&gt;J121,IF(I156=AL92,1,IF(I156=AL92-1,1,0)),0)</f>
        <v>0</v>
      </c>
      <c r="I122" s="1057">
        <f>H122+J122</f>
        <v>1</v>
      </c>
      <c r="J122" s="1060">
        <f>IF(J121&gt;H121,IF(I156=AL92,1,IF(I156=AL92-1,1,0)),0)</f>
        <v>1</v>
      </c>
      <c r="K122" s="1060"/>
      <c r="L122" s="1057">
        <f>IF(L121&gt;N121,IF(M156=AL92,1,IF(M156=AL92-1,1,0)),0)</f>
        <v>1</v>
      </c>
      <c r="M122" s="1057">
        <f>L122+N122</f>
        <v>1</v>
      </c>
      <c r="N122" s="1060">
        <f>IF(N121&gt;L121,IF(M156=AL92,1,IF(M156=AL92-1,1,0)),0)</f>
        <v>0</v>
      </c>
      <c r="O122" s="1057">
        <f>IF(O121&gt;Q121,IF(P156=AL92,1,IF(P156=AL92-1,1,0)),0)</f>
        <v>1</v>
      </c>
      <c r="P122" s="1057">
        <f>O122+Q122</f>
        <v>1</v>
      </c>
      <c r="Q122" s="1060">
        <f>IF(Q121&gt;O121,IF(P156=AL92,1,IF(P156=AL92-1,1,0)),0)</f>
        <v>0</v>
      </c>
      <c r="R122" s="1057">
        <f>IF(R121&gt;T121,IF(S156=AL92,1,IF(S156=AL92-1,1,0)),0)</f>
        <v>0</v>
      </c>
      <c r="S122" s="1057">
        <f>R122+T122</f>
        <v>1</v>
      </c>
      <c r="T122" s="1060">
        <f>IF(T121&gt;R121,IF(S156=AL92,1,IF(S156=AL92-1,1,0)),0)</f>
        <v>1</v>
      </c>
      <c r="U122" s="1057">
        <f>IF(U121&gt;W121,IF(V156=AL92,1,IF(V156=AL92-1,1,0)),0)</f>
        <v>0</v>
      </c>
      <c r="V122" s="1057">
        <f>U122+W122</f>
        <v>0</v>
      </c>
      <c r="W122" s="1060">
        <f>IF(W121&gt;U121,IF(V156=AL92,1,IF(V156=AL92-1,1,0)),0)</f>
        <v>0</v>
      </c>
      <c r="X122" s="1057">
        <f>IF(X121&gt;Z121,IF(Y156=AL92,1,IF(Y156=AL92-1,1,0)),0)</f>
        <v>0</v>
      </c>
      <c r="Y122" s="1057">
        <f>X122+Z122</f>
        <v>0</v>
      </c>
      <c r="Z122" s="1060">
        <f>IF(Z121&gt;X121,IF(Y156=AL92,1,IF(Y156=AL92-1,1,0)),0)</f>
        <v>0</v>
      </c>
      <c r="AA122" s="1057">
        <f>IF(AA121&gt;AC121,IF(AB156=AL92,1,IF(AB156=AL92-1,1,0)),0)</f>
        <v>0</v>
      </c>
      <c r="AB122" s="1057">
        <f>AA122+AC122</f>
        <v>0</v>
      </c>
      <c r="AC122" s="1060">
        <f>IF(AC121&gt;AA121,IF(AB156=AL92,1,IF(AB156=AL92-1,1,0)),0)</f>
        <v>0</v>
      </c>
      <c r="AD122" s="1057">
        <f>IF(AD121&gt;AF121,IF(AE156=AL92,1,IF(AE156=AL92-1,1,0)),0)</f>
        <v>0</v>
      </c>
      <c r="AE122" s="1057">
        <f>AD122+AF122</f>
        <v>0</v>
      </c>
      <c r="AF122" s="1060">
        <f>IF(AF121&gt;AD121,IF(AE156=AL92,1,IF(AE156=AL92-1,1,0)),0)</f>
        <v>0</v>
      </c>
    </row>
    <row r="123" spans="1:44" s="1057" customFormat="1" ht="25.5" hidden="1" customHeight="1" x14ac:dyDescent="0.2">
      <c r="A123" s="1061"/>
      <c r="D123" s="1060"/>
      <c r="G123" s="1060"/>
      <c r="J123" s="1060"/>
      <c r="K123" s="1060"/>
      <c r="N123" s="1060"/>
      <c r="Q123" s="1060"/>
      <c r="T123" s="1060"/>
      <c r="W123" s="1060"/>
      <c r="Z123" s="1060"/>
      <c r="AC123" s="1060"/>
      <c r="AF123" s="1060"/>
    </row>
    <row r="124" spans="1:44" s="1057" customFormat="1" ht="12.75" hidden="1" customHeight="1" x14ac:dyDescent="0.2">
      <c r="A124" s="1057" t="s">
        <v>86</v>
      </c>
      <c r="B124" s="1057">
        <f>IF(B116=1,B110,0)</f>
        <v>22</v>
      </c>
      <c r="D124" s="1060">
        <f t="shared" ref="D124:E128" si="10">IF(D116=1,D110,0)</f>
        <v>0</v>
      </c>
      <c r="E124" s="1057">
        <f t="shared" si="10"/>
        <v>24</v>
      </c>
      <c r="G124" s="1060">
        <f t="shared" ref="G124:H128" si="11">IF(G116=1,G110,0)</f>
        <v>0</v>
      </c>
      <c r="H124" s="1057">
        <f t="shared" si="11"/>
        <v>0</v>
      </c>
      <c r="J124" s="1060">
        <f>IF(J116=1,J110,0)</f>
        <v>25</v>
      </c>
      <c r="K124" s="1060"/>
      <c r="L124" s="1057">
        <f>IF(L116=1,L110,0)</f>
        <v>24</v>
      </c>
      <c r="N124" s="1060">
        <f t="shared" ref="N124:O128" si="12">IF(N116=1,N110,0)</f>
        <v>0</v>
      </c>
      <c r="O124" s="1057">
        <f t="shared" si="12"/>
        <v>21</v>
      </c>
      <c r="Q124" s="1060">
        <f t="shared" ref="Q124:R128" si="13">IF(Q116=1,Q110,0)</f>
        <v>0</v>
      </c>
      <c r="R124" s="1057">
        <f t="shared" si="13"/>
        <v>0</v>
      </c>
      <c r="T124" s="1060">
        <f t="shared" ref="T124:U128" si="14">IF(T116=1,T110,0)</f>
        <v>22</v>
      </c>
      <c r="U124" s="1057">
        <f t="shared" si="14"/>
        <v>0</v>
      </c>
      <c r="W124" s="1060">
        <f t="shared" ref="W124:X128" si="15">IF(W116=1,W110,0)</f>
        <v>0</v>
      </c>
      <c r="X124" s="1057">
        <f t="shared" si="15"/>
        <v>0</v>
      </c>
      <c r="Z124" s="1060">
        <f t="shared" ref="Z124:AA128" si="16">IF(Z116=1,Z110,0)</f>
        <v>0</v>
      </c>
      <c r="AA124" s="1057">
        <f t="shared" si="16"/>
        <v>0</v>
      </c>
      <c r="AC124" s="1060">
        <f t="shared" ref="AC124:AD128" si="17">IF(AC116=1,AC110,0)</f>
        <v>0</v>
      </c>
      <c r="AD124" s="1057">
        <f t="shared" si="17"/>
        <v>0</v>
      </c>
      <c r="AF124" s="1060">
        <f>IF(AF116=1,AF110,0)</f>
        <v>0</v>
      </c>
    </row>
    <row r="125" spans="1:44" s="1057" customFormat="1" ht="12.75" hidden="1" customHeight="1" x14ac:dyDescent="0.2">
      <c r="A125" s="1057" t="s">
        <v>87</v>
      </c>
      <c r="B125" s="1057">
        <f>IF(B117=1,B111,0)</f>
        <v>0</v>
      </c>
      <c r="D125" s="1060">
        <f t="shared" si="10"/>
        <v>0</v>
      </c>
      <c r="E125" s="1057">
        <f t="shared" si="10"/>
        <v>0</v>
      </c>
      <c r="G125" s="1060">
        <f t="shared" si="11"/>
        <v>0</v>
      </c>
      <c r="H125" s="1057">
        <f t="shared" si="11"/>
        <v>0</v>
      </c>
      <c r="J125" s="1060">
        <f>IF(J117=1,J111,0)</f>
        <v>0</v>
      </c>
      <c r="K125" s="1060"/>
      <c r="L125" s="1057">
        <f>IF(L117=1,L111,0)</f>
        <v>0</v>
      </c>
      <c r="N125" s="1060">
        <f t="shared" si="12"/>
        <v>0</v>
      </c>
      <c r="O125" s="1057">
        <f t="shared" si="12"/>
        <v>0</v>
      </c>
      <c r="Q125" s="1060">
        <f t="shared" si="13"/>
        <v>0</v>
      </c>
      <c r="R125" s="1057">
        <f t="shared" si="13"/>
        <v>0</v>
      </c>
      <c r="T125" s="1060">
        <f t="shared" si="14"/>
        <v>0</v>
      </c>
      <c r="U125" s="1057">
        <f t="shared" si="14"/>
        <v>0</v>
      </c>
      <c r="W125" s="1060">
        <f t="shared" si="15"/>
        <v>0</v>
      </c>
      <c r="X125" s="1057">
        <f t="shared" si="15"/>
        <v>0</v>
      </c>
      <c r="Z125" s="1060">
        <f t="shared" si="16"/>
        <v>0</v>
      </c>
      <c r="AA125" s="1057">
        <f t="shared" si="16"/>
        <v>0</v>
      </c>
      <c r="AC125" s="1060">
        <f t="shared" si="17"/>
        <v>0</v>
      </c>
      <c r="AD125" s="1057">
        <f t="shared" si="17"/>
        <v>0</v>
      </c>
      <c r="AF125" s="1060">
        <f>IF(AF117=1,AF111,0)</f>
        <v>0</v>
      </c>
    </row>
    <row r="126" spans="1:44" s="1057" customFormat="1" ht="12.75" hidden="1" customHeight="1" x14ac:dyDescent="0.2">
      <c r="A126" s="1057" t="s">
        <v>88</v>
      </c>
      <c r="B126" s="1057">
        <f>IF(B118=1,B112,0)</f>
        <v>0</v>
      </c>
      <c r="D126" s="1060">
        <f t="shared" si="10"/>
        <v>0</v>
      </c>
      <c r="E126" s="1057">
        <f t="shared" si="10"/>
        <v>0</v>
      </c>
      <c r="G126" s="1060">
        <f t="shared" si="11"/>
        <v>0</v>
      </c>
      <c r="H126" s="1057">
        <f t="shared" si="11"/>
        <v>0</v>
      </c>
      <c r="J126" s="1060">
        <f>IF(J118=1,J112,0)</f>
        <v>0</v>
      </c>
      <c r="K126" s="1060"/>
      <c r="L126" s="1057">
        <f>IF(L118=1,L112,0)</f>
        <v>0</v>
      </c>
      <c r="N126" s="1060">
        <f t="shared" si="12"/>
        <v>0</v>
      </c>
      <c r="O126" s="1057">
        <f t="shared" si="12"/>
        <v>0</v>
      </c>
      <c r="Q126" s="1060">
        <f t="shared" si="13"/>
        <v>0</v>
      </c>
      <c r="R126" s="1057">
        <f t="shared" si="13"/>
        <v>0</v>
      </c>
      <c r="T126" s="1060">
        <f t="shared" si="14"/>
        <v>0</v>
      </c>
      <c r="U126" s="1057">
        <f t="shared" si="14"/>
        <v>0</v>
      </c>
      <c r="W126" s="1060">
        <f t="shared" si="15"/>
        <v>0</v>
      </c>
      <c r="X126" s="1057">
        <f t="shared" si="15"/>
        <v>0</v>
      </c>
      <c r="Z126" s="1060">
        <f t="shared" si="16"/>
        <v>0</v>
      </c>
      <c r="AA126" s="1057">
        <f t="shared" si="16"/>
        <v>0</v>
      </c>
      <c r="AC126" s="1060">
        <f t="shared" si="17"/>
        <v>0</v>
      </c>
      <c r="AD126" s="1057">
        <f t="shared" si="17"/>
        <v>0</v>
      </c>
      <c r="AF126" s="1060">
        <f>IF(AF118=1,AF112,0)</f>
        <v>0</v>
      </c>
    </row>
    <row r="127" spans="1:44" s="1057" customFormat="1" ht="12.75" hidden="1" customHeight="1" x14ac:dyDescent="0.2">
      <c r="A127" s="1057" t="s">
        <v>89</v>
      </c>
      <c r="B127" s="1057">
        <f>IF(B119=1,B113,0)</f>
        <v>0</v>
      </c>
      <c r="D127" s="1060">
        <f t="shared" si="10"/>
        <v>0</v>
      </c>
      <c r="E127" s="1057">
        <f t="shared" si="10"/>
        <v>0</v>
      </c>
      <c r="G127" s="1060">
        <f t="shared" si="11"/>
        <v>0</v>
      </c>
      <c r="H127" s="1057">
        <f t="shared" si="11"/>
        <v>0</v>
      </c>
      <c r="J127" s="1060">
        <f>IF(J119=1,J113,0)</f>
        <v>0</v>
      </c>
      <c r="K127" s="1060"/>
      <c r="L127" s="1057">
        <f>IF(L119=1,L113,0)</f>
        <v>0</v>
      </c>
      <c r="N127" s="1060">
        <f t="shared" si="12"/>
        <v>0</v>
      </c>
      <c r="O127" s="1057">
        <f t="shared" si="12"/>
        <v>0</v>
      </c>
      <c r="Q127" s="1060">
        <f t="shared" si="13"/>
        <v>0</v>
      </c>
      <c r="R127" s="1057">
        <f t="shared" si="13"/>
        <v>0</v>
      </c>
      <c r="T127" s="1060">
        <f t="shared" si="14"/>
        <v>0</v>
      </c>
      <c r="U127" s="1057">
        <f t="shared" si="14"/>
        <v>0</v>
      </c>
      <c r="W127" s="1060">
        <f t="shared" si="15"/>
        <v>0</v>
      </c>
      <c r="X127" s="1057">
        <f t="shared" si="15"/>
        <v>0</v>
      </c>
      <c r="Z127" s="1060">
        <f t="shared" si="16"/>
        <v>0</v>
      </c>
      <c r="AA127" s="1057">
        <f t="shared" si="16"/>
        <v>0</v>
      </c>
      <c r="AC127" s="1060">
        <f t="shared" si="17"/>
        <v>0</v>
      </c>
      <c r="AD127" s="1057">
        <f t="shared" si="17"/>
        <v>0</v>
      </c>
      <c r="AF127" s="1060">
        <f>IF(AF119=1,AF113,0)</f>
        <v>0</v>
      </c>
    </row>
    <row r="128" spans="1:44" s="1057" customFormat="1" ht="12.75" hidden="1" customHeight="1" x14ac:dyDescent="0.2">
      <c r="A128" s="1057" t="s">
        <v>90</v>
      </c>
      <c r="B128" s="1057">
        <f>IF(B120=1,B114,0)</f>
        <v>0</v>
      </c>
      <c r="D128" s="1060">
        <f t="shared" si="10"/>
        <v>0</v>
      </c>
      <c r="E128" s="1057">
        <f t="shared" si="10"/>
        <v>0</v>
      </c>
      <c r="G128" s="1060">
        <f t="shared" si="11"/>
        <v>0</v>
      </c>
      <c r="H128" s="1057">
        <f t="shared" si="11"/>
        <v>0</v>
      </c>
      <c r="J128" s="1060">
        <f>IF(J120=1,J114,0)</f>
        <v>0</v>
      </c>
      <c r="K128" s="1060"/>
      <c r="L128" s="1057">
        <f>IF(L120=1,L114,0)</f>
        <v>0</v>
      </c>
      <c r="N128" s="1060">
        <f t="shared" si="12"/>
        <v>0</v>
      </c>
      <c r="O128" s="1057">
        <f t="shared" si="12"/>
        <v>0</v>
      </c>
      <c r="Q128" s="1060">
        <f t="shared" si="13"/>
        <v>0</v>
      </c>
      <c r="R128" s="1057">
        <f t="shared" si="13"/>
        <v>0</v>
      </c>
      <c r="T128" s="1060">
        <f t="shared" si="14"/>
        <v>0</v>
      </c>
      <c r="U128" s="1057">
        <f t="shared" si="14"/>
        <v>0</v>
      </c>
      <c r="W128" s="1060">
        <f t="shared" si="15"/>
        <v>0</v>
      </c>
      <c r="X128" s="1057">
        <f t="shared" si="15"/>
        <v>0</v>
      </c>
      <c r="Z128" s="1060">
        <f t="shared" si="16"/>
        <v>0</v>
      </c>
      <c r="AA128" s="1057">
        <f t="shared" si="16"/>
        <v>0</v>
      </c>
      <c r="AC128" s="1060">
        <f t="shared" si="17"/>
        <v>0</v>
      </c>
      <c r="AD128" s="1057">
        <f t="shared" si="17"/>
        <v>0</v>
      </c>
      <c r="AF128" s="1060">
        <f>IF(AF120=1,AF114,0)</f>
        <v>0</v>
      </c>
    </row>
    <row r="129" spans="1:38" s="1057" customFormat="1" ht="38.25" hidden="1" customHeight="1" x14ac:dyDescent="0.2">
      <c r="A129" s="1061" t="s">
        <v>91</v>
      </c>
      <c r="B129" s="1057">
        <f>SUM(B124:D128)</f>
        <v>22</v>
      </c>
      <c r="D129" s="1060"/>
      <c r="E129" s="1057">
        <f>SUM(E124:G128)</f>
        <v>24</v>
      </c>
      <c r="G129" s="1060"/>
      <c r="H129" s="1057">
        <f>SUM(H124:J128)</f>
        <v>25</v>
      </c>
      <c r="J129" s="1060"/>
      <c r="K129" s="1060"/>
      <c r="L129" s="1057">
        <f>SUM(L124:N128)</f>
        <v>24</v>
      </c>
      <c r="N129" s="1060"/>
      <c r="O129" s="1057">
        <f>SUM(O124:Q128)</f>
        <v>21</v>
      </c>
      <c r="Q129" s="1060"/>
      <c r="R129" s="1057">
        <f>SUM(R124:T128)</f>
        <v>22</v>
      </c>
      <c r="T129" s="1060"/>
      <c r="U129" s="1057">
        <f>SUM(U124:W128)</f>
        <v>0</v>
      </c>
      <c r="W129" s="1060"/>
      <c r="X129" s="1057">
        <f>SUM(X124:Z128)</f>
        <v>0</v>
      </c>
      <c r="Z129" s="1060"/>
      <c r="AA129" s="1057">
        <f>SUM(AA124:AC128)</f>
        <v>0</v>
      </c>
      <c r="AC129" s="1060"/>
      <c r="AD129" s="1057">
        <f>SUM(AD124:AF128)</f>
        <v>0</v>
      </c>
      <c r="AF129" s="1060"/>
    </row>
    <row r="130" spans="1:38" s="1057" customFormat="1" ht="38.25" hidden="1" customHeight="1" x14ac:dyDescent="0.2">
      <c r="A130" s="1057" t="s">
        <v>92</v>
      </c>
      <c r="D130" s="1060"/>
      <c r="G130" s="1060"/>
      <c r="J130" s="1060"/>
      <c r="K130" s="1060"/>
      <c r="N130" s="1060"/>
      <c r="Q130" s="1060"/>
      <c r="T130" s="1060"/>
      <c r="W130" s="1060"/>
      <c r="Z130" s="1060"/>
      <c r="AC130" s="1060"/>
      <c r="AF130" s="1060"/>
      <c r="AG130" s="1061" t="s">
        <v>93</v>
      </c>
      <c r="AH130" s="1057" t="s">
        <v>94</v>
      </c>
    </row>
    <row r="131" spans="1:38" s="1057" customFormat="1" ht="12.75" hidden="1" customHeight="1" x14ac:dyDescent="0.2">
      <c r="A131" s="1057" t="s">
        <v>95</v>
      </c>
      <c r="B131" s="1057">
        <f>IF(B109=1,IF(B122=1,1,0),0)</f>
        <v>1</v>
      </c>
      <c r="D131" s="1060">
        <f>IF(D109=1,IF(D122=1,1,0),0)</f>
        <v>0</v>
      </c>
      <c r="E131" s="1057">
        <f>IF(E109=1,IF(E122=1,1,0),0)</f>
        <v>0</v>
      </c>
      <c r="G131" s="1060">
        <f>IF(G109=1,IF(G122=1,1,0),0)</f>
        <v>0</v>
      </c>
      <c r="H131" s="1057">
        <f>IF(H109=1,IF(H122=1,1,0),0)</f>
        <v>0</v>
      </c>
      <c r="J131" s="1060">
        <f>IF(J109=1,IF(J122=1,1,0),0)</f>
        <v>0</v>
      </c>
      <c r="K131" s="1060"/>
      <c r="L131" s="1057">
        <f>IF(L109=1,IF(L122=1,1,0),0)</f>
        <v>1</v>
      </c>
      <c r="N131" s="1060">
        <f>IF(N109=1,IF(N122=1,1,0),0)</f>
        <v>0</v>
      </c>
      <c r="O131" s="1057">
        <f>IF(O109=1,IF(O122=1,1,0),0)</f>
        <v>0</v>
      </c>
      <c r="Q131" s="1060">
        <f>IF(Q109=1,IF(Q122=1,1,0),0)</f>
        <v>0</v>
      </c>
      <c r="R131" s="1057">
        <f>IF(R109=1,IF(R122=1,1,0),0)</f>
        <v>0</v>
      </c>
      <c r="T131" s="1060">
        <f>IF(T109=1,IF(T122=1,1,0),0)</f>
        <v>0</v>
      </c>
      <c r="U131" s="1057">
        <f>IF(U109=1,IF(U122=1,1,0),0)</f>
        <v>0</v>
      </c>
      <c r="W131" s="1060">
        <f>IF(W109=1,IF(W122=1,1,0),0)</f>
        <v>0</v>
      </c>
      <c r="X131" s="1057">
        <f>IF(X109=1,IF(X122=1,1,0),0)</f>
        <v>0</v>
      </c>
      <c r="Z131" s="1060">
        <f>IF(Z109=1,IF(Z122=1,1,0),0)</f>
        <v>0</v>
      </c>
      <c r="AA131" s="1057">
        <f>IF(AA109=1,IF(AA122=1,1,0),0)</f>
        <v>0</v>
      </c>
      <c r="AC131" s="1060">
        <f>IF(AC109=1,IF(AC122=1,1,0),0)</f>
        <v>0</v>
      </c>
      <c r="AD131" s="1057">
        <f>IF(AD109=1,IF(AD122=1,1,0),0)</f>
        <v>0</v>
      </c>
      <c r="AF131" s="1060">
        <f>IF(AF109=1,IF(AF122=1,1,0),0)</f>
        <v>0</v>
      </c>
      <c r="AG131" s="1057">
        <f>SUM(B131:AF131)</f>
        <v>2</v>
      </c>
      <c r="AH131" s="1057">
        <f>AG137-AG131</f>
        <v>2</v>
      </c>
    </row>
    <row r="132" spans="1:38" s="1057" customFormat="1" ht="12.75" hidden="1" customHeight="1" x14ac:dyDescent="0.2">
      <c r="A132" s="1057" t="s">
        <v>96</v>
      </c>
      <c r="B132" s="1057">
        <f>IF(B109=2,IF(B122=1,1,0),0)</f>
        <v>0</v>
      </c>
      <c r="D132" s="1060">
        <f>IF(D109=2,IF(D122=1,1,0),0)</f>
        <v>0</v>
      </c>
      <c r="E132" s="1057">
        <f>IF(E109=2,IF(E122=1,1,0),0)</f>
        <v>1</v>
      </c>
      <c r="G132" s="1060">
        <f>IF(G109=2,IF(G122=1,1,0),0)</f>
        <v>0</v>
      </c>
      <c r="H132" s="1057">
        <f>IF(H109=2,IF(H122=1,1,0),0)</f>
        <v>0</v>
      </c>
      <c r="J132" s="1060">
        <f>IF(J109=2,IF(J122=1,1,0),0)</f>
        <v>1</v>
      </c>
      <c r="K132" s="1060"/>
      <c r="L132" s="1057">
        <f>IF(L109=2,IF(L122=1,1,0),0)</f>
        <v>0</v>
      </c>
      <c r="N132" s="1060">
        <f>IF(N109=2,IF(N122=1,1,0),0)</f>
        <v>0</v>
      </c>
      <c r="O132" s="1057">
        <f>IF(O109=2,IF(O122=1,1,0),0)</f>
        <v>1</v>
      </c>
      <c r="Q132" s="1060">
        <f>IF(Q109=2,IF(Q122=1,1,0),0)</f>
        <v>0</v>
      </c>
      <c r="R132" s="1057">
        <f>IF(R109=2,IF(R122=1,1,0),0)</f>
        <v>0</v>
      </c>
      <c r="T132" s="1060">
        <f>IF(T109=2,IF(T122=1,1,0),0)</f>
        <v>1</v>
      </c>
      <c r="U132" s="1057">
        <f>IF(U109=2,IF(U122=1,1,0),0)</f>
        <v>0</v>
      </c>
      <c r="W132" s="1060">
        <f>IF(W109=2,IF(W122=1,1,0),0)</f>
        <v>0</v>
      </c>
      <c r="X132" s="1057">
        <f>IF(X109=2,IF(X122=1,1,0),0)</f>
        <v>0</v>
      </c>
      <c r="Z132" s="1060">
        <f>IF(Z109=2,IF(Z122=1,1,0),0)</f>
        <v>0</v>
      </c>
      <c r="AA132" s="1057">
        <f>IF(AA109=2,IF(AA122=1,1,0),0)</f>
        <v>0</v>
      </c>
      <c r="AC132" s="1060">
        <f>IF(AC109=2,IF(AC122=1,1,0),0)</f>
        <v>0</v>
      </c>
      <c r="AD132" s="1057">
        <f>IF(AD109=2,IF(AD122=1,1,0),0)</f>
        <v>0</v>
      </c>
      <c r="AF132" s="1060">
        <f>IF(AF109=2,IF(AF122=1,1,0),0)</f>
        <v>0</v>
      </c>
      <c r="AG132" s="1057">
        <f>SUM(B132:AF132)</f>
        <v>4</v>
      </c>
      <c r="AH132" s="1057">
        <f>AG138-AG132</f>
        <v>0</v>
      </c>
    </row>
    <row r="133" spans="1:38" s="1057" customFormat="1" ht="12.75" hidden="1" customHeight="1" x14ac:dyDescent="0.2">
      <c r="A133" s="1057" t="s">
        <v>97</v>
      </c>
      <c r="B133" s="1057">
        <f>IF(B109=3,IF(B122=1,1,0),0)</f>
        <v>0</v>
      </c>
      <c r="D133" s="1060">
        <f>IF(D109=3,IF(D122=1,1,0),0)</f>
        <v>0</v>
      </c>
      <c r="E133" s="1057">
        <f>IF(E109=3,IF(E122=1,1,0),0)</f>
        <v>0</v>
      </c>
      <c r="G133" s="1060">
        <f>IF(G109=3,IF(G122=1,1,0),0)</f>
        <v>0</v>
      </c>
      <c r="H133" s="1057">
        <f>IF(H109=3,IF(H122=1,1,0),0)</f>
        <v>0</v>
      </c>
      <c r="J133" s="1060">
        <f>IF(J109=3,IF(J122=1,1,0),0)</f>
        <v>0</v>
      </c>
      <c r="K133" s="1060"/>
      <c r="L133" s="1057">
        <f>IF(L109=3,IF(L122=1,1,0),0)</f>
        <v>0</v>
      </c>
      <c r="N133" s="1060">
        <f>IF(N109=3,IF(N122=1,1,0),0)</f>
        <v>0</v>
      </c>
      <c r="O133" s="1057">
        <f>IF(O109=3,IF(O122=1,1,0),0)</f>
        <v>0</v>
      </c>
      <c r="Q133" s="1060">
        <f>IF(Q109=3,IF(Q122=1,1,0),0)</f>
        <v>0</v>
      </c>
      <c r="R133" s="1057">
        <f>IF(R109=3,IF(R122=1,1,0),0)</f>
        <v>0</v>
      </c>
      <c r="T133" s="1060">
        <f>IF(T109=3,IF(T122=1,1,0),0)</f>
        <v>0</v>
      </c>
      <c r="U133" s="1057">
        <f>IF(U109=3,IF(U122=1,1,0),0)</f>
        <v>0</v>
      </c>
      <c r="W133" s="1060">
        <f>IF(W109=3,IF(W122=1,1,0),0)</f>
        <v>0</v>
      </c>
      <c r="X133" s="1057">
        <f>IF(X109=3,IF(X122=1,1,0),0)</f>
        <v>0</v>
      </c>
      <c r="Z133" s="1060">
        <f>IF(Z109=3,IF(Z122=1,1,0),0)</f>
        <v>0</v>
      </c>
      <c r="AA133" s="1057">
        <f>IF(AA109=3,IF(AA122=1,1,0),0)</f>
        <v>0</v>
      </c>
      <c r="AC133" s="1060">
        <f>IF(AC109=3,IF(AC122=1,1,0),0)</f>
        <v>0</v>
      </c>
      <c r="AD133" s="1057">
        <f>IF(AD109=3,IF(AD122=1,1,0),0)</f>
        <v>0</v>
      </c>
      <c r="AF133" s="1060">
        <f>IF(AF109=3,IF(AF122=1,1,0),0)</f>
        <v>0</v>
      </c>
      <c r="AG133" s="1057">
        <f>SUM(B133:AF133)</f>
        <v>0</v>
      </c>
      <c r="AH133" s="1057">
        <f>AG139-AG133</f>
        <v>4</v>
      </c>
    </row>
    <row r="134" spans="1:38" s="1057" customFormat="1" ht="12.75" hidden="1" customHeight="1" x14ac:dyDescent="0.2">
      <c r="A134" s="1057" t="s">
        <v>98</v>
      </c>
      <c r="B134" s="1057">
        <f>IF(B109=4,IF(B122=1,1,0),0)</f>
        <v>0</v>
      </c>
      <c r="D134" s="1060">
        <f>IF(D109=4,IF(D122=1,1,0),0)</f>
        <v>0</v>
      </c>
      <c r="E134" s="1057">
        <f>IF(E109=4,IF(E122=1,1,0),0)</f>
        <v>0</v>
      </c>
      <c r="G134" s="1060">
        <f>IF(G109=4,IF(G122=1,1,0),0)</f>
        <v>0</v>
      </c>
      <c r="H134" s="1057">
        <f>IF(H109=4,IF(H122=1,1,0),0)</f>
        <v>0</v>
      </c>
      <c r="J134" s="1060">
        <f>IF(J109=4,IF(J122=1,1,0),0)</f>
        <v>0</v>
      </c>
      <c r="K134" s="1060"/>
      <c r="L134" s="1057">
        <f>IF(L109=4,IF(L122=1,1,0),0)</f>
        <v>0</v>
      </c>
      <c r="N134" s="1060">
        <f>IF(N109=4,IF(N122=1,1,0),0)</f>
        <v>0</v>
      </c>
      <c r="O134" s="1057">
        <f>IF(O109=4,IF(O122=1,1,0),0)</f>
        <v>0</v>
      </c>
      <c r="Q134" s="1060">
        <f>IF(Q109=4,IF(Q122=1,1,0),0)</f>
        <v>0</v>
      </c>
      <c r="R134" s="1057">
        <f>IF(R109=4,IF(R122=1,1,0),0)</f>
        <v>0</v>
      </c>
      <c r="T134" s="1060">
        <f>IF(T109=4,IF(T122=1,1,0),0)</f>
        <v>0</v>
      </c>
      <c r="U134" s="1057">
        <f>IF(U109=4,IF(U122=1,1,0),0)</f>
        <v>0</v>
      </c>
      <c r="W134" s="1060">
        <f>IF(W109=4,IF(W122=1,1,0),0)</f>
        <v>0</v>
      </c>
      <c r="X134" s="1057">
        <f>IF(X109=4,IF(X122=1,1,0),0)</f>
        <v>0</v>
      </c>
      <c r="Z134" s="1060">
        <f>IF(Z109=4,IF(Z122=1,1,0),0)</f>
        <v>0</v>
      </c>
      <c r="AA134" s="1057">
        <f>IF(AA109=4,IF(AA122=1,1,0),0)</f>
        <v>0</v>
      </c>
      <c r="AC134" s="1060">
        <f>IF(AC109=4,IF(AC122=1,1,0),0)</f>
        <v>0</v>
      </c>
      <c r="AD134" s="1057">
        <f>IF(AD109=4,IF(AD122=1,1,0),0)</f>
        <v>0</v>
      </c>
      <c r="AF134" s="1060">
        <f>IF(AF109=4,IF(AF122=1,1,0),0)</f>
        <v>0</v>
      </c>
      <c r="AG134" s="1057">
        <f>SUM(B134:AF134)</f>
        <v>0</v>
      </c>
      <c r="AH134" s="1057">
        <f>AG140-AG134</f>
        <v>0</v>
      </c>
    </row>
    <row r="135" spans="1:38" s="1057" customFormat="1" ht="12.75" hidden="1" customHeight="1" x14ac:dyDescent="0.2">
      <c r="A135" s="1057" t="s">
        <v>99</v>
      </c>
      <c r="B135" s="1057">
        <f>IF(B109=5,IF(B122=1,1,0),0)</f>
        <v>0</v>
      </c>
      <c r="D135" s="1060">
        <f>IF(D109=5,IF(D122=1,1,0),0)</f>
        <v>0</v>
      </c>
      <c r="E135" s="1057">
        <f>IF(E109=5,IF(E122=1,1,0),0)</f>
        <v>0</v>
      </c>
      <c r="G135" s="1060">
        <f>IF(G109=5,IF(G122=1,1,0),0)</f>
        <v>0</v>
      </c>
      <c r="H135" s="1057">
        <f>IF(H109=5,IF(H122=1,1,0),0)</f>
        <v>0</v>
      </c>
      <c r="J135" s="1060">
        <f>IF(J109=5,IF(J122=1,1,0),0)</f>
        <v>0</v>
      </c>
      <c r="K135" s="1060"/>
      <c r="L135" s="1057">
        <f>IF(L109=5,IF(L122=1,1,0),0)</f>
        <v>0</v>
      </c>
      <c r="N135" s="1060">
        <f>IF(N109=5,IF(N122=1,1,0),0)</f>
        <v>0</v>
      </c>
      <c r="O135" s="1057">
        <f>IF(O109=5,IF(O122=1,1,0),0)</f>
        <v>0</v>
      </c>
      <c r="Q135" s="1060">
        <f>IF(Q109=5,IF(Q122=1,1,0),0)</f>
        <v>0</v>
      </c>
      <c r="R135" s="1057">
        <f>IF(R109=5,IF(R122=1,1,0),0)</f>
        <v>0</v>
      </c>
      <c r="T135" s="1060">
        <f>IF(T109=5,IF(T122=1,1,0),0)</f>
        <v>0</v>
      </c>
      <c r="U135" s="1057">
        <f>IF(U109=5,IF(U122=1,1,0),0)</f>
        <v>0</v>
      </c>
      <c r="W135" s="1060">
        <f>IF(W109=5,IF(W122=1,1,0),0)</f>
        <v>0</v>
      </c>
      <c r="X135" s="1057">
        <f>IF(X109=5,IF(X122=1,1,0),0)</f>
        <v>0</v>
      </c>
      <c r="Z135" s="1060">
        <f>IF(Z109=5,IF(Z122=1,1,0),0)</f>
        <v>0</v>
      </c>
      <c r="AA135" s="1057">
        <f>IF(AA109=5,IF(AA122=1,1,0),0)</f>
        <v>0</v>
      </c>
      <c r="AC135" s="1060">
        <f>IF(AC109=5,IF(AC122=1,1,0),0)</f>
        <v>0</v>
      </c>
      <c r="AD135" s="1057">
        <f>IF(AD109=5,IF(AD122=1,1,0),0)</f>
        <v>0</v>
      </c>
      <c r="AF135" s="1060">
        <f>IF(AF109=5,IF(AF122=1,1,0),0)</f>
        <v>0</v>
      </c>
      <c r="AG135" s="1057">
        <f>SUM(B135:AF135)</f>
        <v>0</v>
      </c>
      <c r="AH135" s="1057">
        <f>AG141-AG135</f>
        <v>0</v>
      </c>
    </row>
    <row r="136" spans="1:38" s="1057" customFormat="1" ht="38.25" hidden="1" customHeight="1" x14ac:dyDescent="0.2">
      <c r="A136" s="1061"/>
      <c r="D136" s="1060"/>
      <c r="G136" s="1060"/>
      <c r="J136" s="1060"/>
      <c r="K136" s="1060"/>
      <c r="N136" s="1060"/>
      <c r="Q136" s="1060"/>
      <c r="T136" s="1060"/>
      <c r="W136" s="1060"/>
      <c r="Z136" s="1060"/>
      <c r="AC136" s="1060"/>
      <c r="AF136" s="1060"/>
      <c r="AG136" s="1061" t="s">
        <v>100</v>
      </c>
    </row>
    <row r="137" spans="1:38" s="1057" customFormat="1" ht="12.75" hidden="1" customHeight="1" x14ac:dyDescent="0.2">
      <c r="A137" s="1057" t="s">
        <v>101</v>
      </c>
      <c r="B137" s="1057">
        <f>IF(B109=1,IF(C122=1,1,0),0)</f>
        <v>1</v>
      </c>
      <c r="D137" s="1060">
        <f>IF(D109=1,IF(C122=1,1,0),0)</f>
        <v>0</v>
      </c>
      <c r="E137" s="1057">
        <f>IF(E109=1,IF(F122=1,1,0),0)</f>
        <v>0</v>
      </c>
      <c r="G137" s="1060">
        <f>IF(G109=1,IF(F122=1,1,0),0)</f>
        <v>0</v>
      </c>
      <c r="H137" s="1057">
        <f>IF(H109=1,IF(I122=1,1,0),0)</f>
        <v>1</v>
      </c>
      <c r="J137" s="1060">
        <f>IF(J109=1,IF(I122=1,1,0),0)</f>
        <v>0</v>
      </c>
      <c r="K137" s="1060"/>
      <c r="L137" s="1057">
        <f>IF(L109=1,IF(M122=1,1,0),0)</f>
        <v>1</v>
      </c>
      <c r="N137" s="1060">
        <f>IF(N109=1,IF(M122=1,1,0),0)</f>
        <v>0</v>
      </c>
      <c r="O137" s="1057">
        <f>IF(O109=1,IF(P122=1,1,0),0)</f>
        <v>0</v>
      </c>
      <c r="Q137" s="1060">
        <f>IF(Q109=1,IF(P122=1,1,0),0)</f>
        <v>0</v>
      </c>
      <c r="R137" s="1057">
        <f>IF(R109=1,IF(S122=1,1,0),0)</f>
        <v>1</v>
      </c>
      <c r="T137" s="1060">
        <f>IF(T109=1,IF(S122=1,1,0),0)</f>
        <v>0</v>
      </c>
      <c r="U137" s="1057">
        <f>IF(U109=1,IF(V122=1,1,0),0)</f>
        <v>0</v>
      </c>
      <c r="W137" s="1060">
        <f>IF(W109=1,IF(V122=1,1,0),0)</f>
        <v>0</v>
      </c>
      <c r="X137" s="1057">
        <f>IF(X109=1,IF(Y122=1,1,0),0)</f>
        <v>0</v>
      </c>
      <c r="Z137" s="1060">
        <f>IF(Z109=1,IF(Y122=1,1,0),0)</f>
        <v>0</v>
      </c>
      <c r="AA137" s="1057">
        <f>IF(AA109=1,IF(AB122=1,1,0),0)</f>
        <v>0</v>
      </c>
      <c r="AC137" s="1060">
        <f>IF(AC109=1,IF(AB122=1,1,0),0)</f>
        <v>0</v>
      </c>
      <c r="AD137" s="1057">
        <f>IF(AD109=1,IF(AE122=1,1,0),0)</f>
        <v>0</v>
      </c>
      <c r="AF137" s="1060">
        <f>IF(AF109=1,IF(AE122=1,1,0),0)</f>
        <v>0</v>
      </c>
      <c r="AG137" s="1057">
        <f>SUM(B137:AF137)</f>
        <v>4</v>
      </c>
    </row>
    <row r="138" spans="1:38" s="1057" customFormat="1" ht="12.75" hidden="1" customHeight="1" x14ac:dyDescent="0.2">
      <c r="A138" s="1057" t="s">
        <v>102</v>
      </c>
      <c r="B138" s="1057">
        <f>IF(B109=2,IF(C122=1,1,0),0)</f>
        <v>0</v>
      </c>
      <c r="D138" s="1060">
        <f>IF(D109=2,IF(C122=1,1,0),0)</f>
        <v>0</v>
      </c>
      <c r="E138" s="1057">
        <f>IF(E109=2,IF(F122=1,1,0),0)</f>
        <v>1</v>
      </c>
      <c r="G138" s="1060">
        <f>IF(G109=2,IF(F122=1,1,0),0)</f>
        <v>0</v>
      </c>
      <c r="H138" s="1057">
        <f>IF(H109=2,IF(I122=1,1,0),0)</f>
        <v>0</v>
      </c>
      <c r="J138" s="1060">
        <f>IF(J109=2,IF(I122=1,1,0),0)</f>
        <v>1</v>
      </c>
      <c r="K138" s="1060"/>
      <c r="L138" s="1057">
        <f>IF(L109=2,IF(M122=1,1,0),0)</f>
        <v>0</v>
      </c>
      <c r="N138" s="1060">
        <f>IF(N109=2,IF(M122=1,1,0),0)</f>
        <v>0</v>
      </c>
      <c r="O138" s="1057">
        <f>IF(O109=2,IF(P122=1,1,0),0)</f>
        <v>1</v>
      </c>
      <c r="Q138" s="1060">
        <f>IF(Q109=2,IF(P122=1,1,0),0)</f>
        <v>0</v>
      </c>
      <c r="R138" s="1057">
        <f>IF(R109=2,IF(S122=1,1,0),0)</f>
        <v>0</v>
      </c>
      <c r="T138" s="1060">
        <f>IF(T109=2,IF(S122=1,1,0),0)</f>
        <v>1</v>
      </c>
      <c r="U138" s="1057">
        <f>IF(U109=2,IF(V122=1,1,0),0)</f>
        <v>0</v>
      </c>
      <c r="W138" s="1060">
        <f>IF(W109=2,IF(V122=1,1,0),0)</f>
        <v>0</v>
      </c>
      <c r="X138" s="1057">
        <f>IF(X109=2,IF(Y122=1,1,0),0)</f>
        <v>0</v>
      </c>
      <c r="Z138" s="1060">
        <f>IF(Z109=2,IF(Y122=1,1,0),0)</f>
        <v>0</v>
      </c>
      <c r="AA138" s="1057">
        <f>IF(AA109=2,IF(AB122=1,1,0),0)</f>
        <v>0</v>
      </c>
      <c r="AC138" s="1060">
        <f>IF(AC109=2,IF(AB122=1,1,0),0)</f>
        <v>0</v>
      </c>
      <c r="AD138" s="1057">
        <f>IF(AD109=2,IF(AE122=1,1,0),0)</f>
        <v>0</v>
      </c>
      <c r="AF138" s="1060">
        <f>IF(AF109=2,IF(AE122=1,1,0),0)</f>
        <v>0</v>
      </c>
      <c r="AG138" s="1057">
        <f>SUM(B138:AF138)</f>
        <v>4</v>
      </c>
    </row>
    <row r="139" spans="1:38" s="1057" customFormat="1" ht="12.75" hidden="1" customHeight="1" x14ac:dyDescent="0.2">
      <c r="A139" s="1057" t="s">
        <v>103</v>
      </c>
      <c r="B139" s="1057">
        <f>IF(B109=3,IF(C122=1,1,0),0)</f>
        <v>0</v>
      </c>
      <c r="D139" s="1060">
        <f>IF(D109=3,IF(C122=1,1,0),0)</f>
        <v>1</v>
      </c>
      <c r="E139" s="1057">
        <f>IF(E109=3,IF(F122=1,1,0),0)</f>
        <v>0</v>
      </c>
      <c r="G139" s="1060">
        <f>IF(G109=3,IF(F122=1,1,0),0)</f>
        <v>1</v>
      </c>
      <c r="H139" s="1057">
        <f>IF(H109=3,IF(I122=1,1,0),0)</f>
        <v>0</v>
      </c>
      <c r="J139" s="1060">
        <f>IF(J109=3,IF(I122=1,1,0),0)</f>
        <v>0</v>
      </c>
      <c r="K139" s="1060"/>
      <c r="L139" s="1057">
        <f>IF(L109=3,IF(M122=1,1,0),0)</f>
        <v>0</v>
      </c>
      <c r="N139" s="1060">
        <f>IF(N109=3,IF(M122=1,1,0),0)</f>
        <v>1</v>
      </c>
      <c r="O139" s="1057">
        <f>IF(O109=3,IF(P122=1,1,0),0)</f>
        <v>0</v>
      </c>
      <c r="Q139" s="1060">
        <f>IF(Q109=3,IF(P122=1,1,0),0)</f>
        <v>1</v>
      </c>
      <c r="R139" s="1057">
        <f>IF(R109=3,IF(S122=1,1,0),0)</f>
        <v>0</v>
      </c>
      <c r="T139" s="1060">
        <f>IF(T109=3,IF(S122=1,1,0),0)</f>
        <v>0</v>
      </c>
      <c r="U139" s="1057">
        <f>IF(U109=3,IF(V122=1,1,0),0)</f>
        <v>0</v>
      </c>
      <c r="W139" s="1060">
        <f>IF(W109=3,IF(V122=1,1,0),0)</f>
        <v>0</v>
      </c>
      <c r="X139" s="1057">
        <f>IF(X109=3,IF(Y122=1,1,0),0)</f>
        <v>0</v>
      </c>
      <c r="Z139" s="1060">
        <f>IF(Z109=3,IF(Y122=1,1,0),0)</f>
        <v>0</v>
      </c>
      <c r="AA139" s="1057">
        <f>IF(AA109=3,IF(AB122=1,1,0),0)</f>
        <v>0</v>
      </c>
      <c r="AC139" s="1060">
        <f>IF(AC109=3,IF(AB122=1,1,0),0)</f>
        <v>0</v>
      </c>
      <c r="AD139" s="1057">
        <f>IF(AD109=3,IF(AE122=1,1,0),0)</f>
        <v>0</v>
      </c>
      <c r="AF139" s="1060">
        <f>IF(AF109=3,IF(AE122=1,1,0),0)</f>
        <v>0</v>
      </c>
      <c r="AG139" s="1057">
        <f>SUM(B139:AF139)</f>
        <v>4</v>
      </c>
    </row>
    <row r="140" spans="1:38" s="1057" customFormat="1" ht="12.75" hidden="1" customHeight="1" x14ac:dyDescent="0.2">
      <c r="A140" s="1057" t="s">
        <v>104</v>
      </c>
      <c r="B140" s="1057">
        <f>IF(B109=4,IF(C122=1,1,0),0)</f>
        <v>0</v>
      </c>
      <c r="D140" s="1060">
        <f>IF(D109=4,IF(C122=1,1,0),0)</f>
        <v>0</v>
      </c>
      <c r="E140" s="1057">
        <f>IF(E109=4,IF(F122=1,1,0),0)</f>
        <v>0</v>
      </c>
      <c r="G140" s="1060">
        <f>IF(G109=4,IF(F122=1,1,0),0)</f>
        <v>0</v>
      </c>
      <c r="H140" s="1057">
        <f>IF(H109=4,IF(I122=1,1,0),0)</f>
        <v>0</v>
      </c>
      <c r="J140" s="1060">
        <f>IF(J109=4,IF(I122=1,1,0),0)</f>
        <v>0</v>
      </c>
      <c r="K140" s="1060"/>
      <c r="L140" s="1057">
        <f>IF(L109=4,IF(M122=1,1,0),0)</f>
        <v>0</v>
      </c>
      <c r="N140" s="1060">
        <f>IF(N109=4,IF(M122=1,1,0),0)</f>
        <v>0</v>
      </c>
      <c r="O140" s="1057">
        <f>IF(O109=4,IF(P122=1,1,0),0)</f>
        <v>0</v>
      </c>
      <c r="Q140" s="1060">
        <f>IF(Q109=4,IF(P122=1,1,0),0)</f>
        <v>0</v>
      </c>
      <c r="R140" s="1057">
        <f>IF(R109=4,IF(S122=1,1,0),0)</f>
        <v>0</v>
      </c>
      <c r="T140" s="1060">
        <f>IF(T109=4,IF(S122=1,1,0),0)</f>
        <v>0</v>
      </c>
      <c r="U140" s="1057">
        <f>IF(U109=4,IF(V122=1,1,0),0)</f>
        <v>0</v>
      </c>
      <c r="W140" s="1060">
        <f>IF(W109=4,IF(V122=1,1,0),0)</f>
        <v>0</v>
      </c>
      <c r="X140" s="1057">
        <f>IF(X109=4,IF(Y122=1,1,0),0)</f>
        <v>0</v>
      </c>
      <c r="Z140" s="1060">
        <f>IF(Z109=4,IF(Y122=1,1,0),0)</f>
        <v>0</v>
      </c>
      <c r="AA140" s="1057">
        <f>IF(AA109=4,IF(AB122=1,1,0),0)</f>
        <v>0</v>
      </c>
      <c r="AC140" s="1060">
        <f>IF(AC109=4,IF(AB122=1,1,0),0)</f>
        <v>0</v>
      </c>
      <c r="AD140" s="1057">
        <f>IF(AD109=4,IF(AE122=1,1,0),0)</f>
        <v>0</v>
      </c>
      <c r="AF140" s="1060">
        <f>IF(AF109=4,IF(AE122=1,1,0),0)</f>
        <v>0</v>
      </c>
      <c r="AG140" s="1057">
        <f>SUM(B140:AF140)</f>
        <v>0</v>
      </c>
    </row>
    <row r="141" spans="1:38" s="1057" customFormat="1" ht="12.75" hidden="1" customHeight="1" x14ac:dyDescent="0.2">
      <c r="A141" s="1057" t="s">
        <v>105</v>
      </c>
      <c r="B141" s="1057">
        <f>IF(B109=5,IF(C122=1,1,0),0)</f>
        <v>0</v>
      </c>
      <c r="D141" s="1060">
        <f>IF(D109=5,IF(C122=1,1,0),0)</f>
        <v>0</v>
      </c>
      <c r="E141" s="1057">
        <f>IF(E109=5,IF(F122=1,1,0),0)</f>
        <v>0</v>
      </c>
      <c r="G141" s="1060">
        <f>IF(G109=5,IF(F122=1,1,0),0)</f>
        <v>0</v>
      </c>
      <c r="H141" s="1057">
        <f>IF(H109=5,IF(I122=1,1,0),0)</f>
        <v>0</v>
      </c>
      <c r="J141" s="1060">
        <f>IF(J109=5,IF(I122=1,1,0),0)</f>
        <v>0</v>
      </c>
      <c r="K141" s="1060"/>
      <c r="L141" s="1057">
        <f>IF(L109=5,IF(M122=1,1,0),0)</f>
        <v>0</v>
      </c>
      <c r="N141" s="1060">
        <f>IF(N109=5,IF(M122=1,1,0),0)</f>
        <v>0</v>
      </c>
      <c r="O141" s="1057">
        <f>IF(O109=5,IF(P122=1,1,0),0)</f>
        <v>0</v>
      </c>
      <c r="Q141" s="1060">
        <f>IF(Q109=5,IF(P122=1,1,0),0)</f>
        <v>0</v>
      </c>
      <c r="R141" s="1057">
        <f>IF(R109=5,IF(S122=1,1,0),0)</f>
        <v>0</v>
      </c>
      <c r="T141" s="1060">
        <f>IF(T109=5,IF(S122=1,1,0),0)</f>
        <v>0</v>
      </c>
      <c r="U141" s="1057">
        <f>IF(U109=5,IF(V122=1,1,0),0)</f>
        <v>0</v>
      </c>
      <c r="W141" s="1060">
        <f>IF(W109=5,IF(V122=1,1,0),0)</f>
        <v>0</v>
      </c>
      <c r="X141" s="1057">
        <f>IF(X109=5,IF(Y122=1,1,0),0)</f>
        <v>0</v>
      </c>
      <c r="Z141" s="1060">
        <f>IF(Z109=5,IF(Y122=1,1,0),0)</f>
        <v>0</v>
      </c>
      <c r="AA141" s="1057">
        <f>IF(AA109=5,IF(AB122=1,1,0),0)</f>
        <v>0</v>
      </c>
      <c r="AC141" s="1060">
        <f>IF(AC109=5,IF(AB122=1,1,0),0)</f>
        <v>0</v>
      </c>
      <c r="AD141" s="1057">
        <f>IF(AD109=5,IF(AE122=1,1,0),0)</f>
        <v>0</v>
      </c>
      <c r="AF141" s="1060">
        <f>IF(AF109=5,IF(AE122=1,1,0),0)</f>
        <v>0</v>
      </c>
      <c r="AG141" s="1057">
        <f>SUM(B141:AF141)</f>
        <v>0</v>
      </c>
    </row>
    <row r="142" spans="1:38" s="1057" customFormat="1" ht="38.25" hidden="1" customHeight="1" x14ac:dyDescent="0.2">
      <c r="A142" s="1061"/>
      <c r="D142" s="1060"/>
      <c r="G142" s="1060"/>
      <c r="J142" s="1060"/>
      <c r="K142" s="1060"/>
      <c r="N142" s="1060"/>
      <c r="Q142" s="1060"/>
      <c r="T142" s="1060"/>
      <c r="W142" s="1060"/>
      <c r="Z142" s="1060"/>
      <c r="AC142" s="1060"/>
      <c r="AF142" s="1060"/>
      <c r="AG142" s="1061" t="s">
        <v>106</v>
      </c>
      <c r="AH142" s="1062"/>
      <c r="AI142" s="1062"/>
      <c r="AJ142" s="1062"/>
      <c r="AK142" s="1062"/>
      <c r="AL142" s="1062"/>
    </row>
    <row r="143" spans="1:38" s="1057" customFormat="1" ht="12.75" hidden="1" customHeight="1" x14ac:dyDescent="0.2">
      <c r="A143" s="1057" t="s">
        <v>101</v>
      </c>
      <c r="B143" s="1057">
        <f>IF(B109=1,B129,0)</f>
        <v>22</v>
      </c>
      <c r="D143" s="1060">
        <f>IF(D109=1,B129,0)</f>
        <v>0</v>
      </c>
      <c r="E143" s="1057">
        <f>IF(E109=1,E129,0)</f>
        <v>0</v>
      </c>
      <c r="G143" s="1060">
        <f>IF(G109=1,E129,0)</f>
        <v>0</v>
      </c>
      <c r="H143" s="1057">
        <f>IF(H109=1,H129,0)</f>
        <v>25</v>
      </c>
      <c r="J143" s="1060">
        <f>IF(J109=1,H129,0)</f>
        <v>0</v>
      </c>
      <c r="K143" s="1060"/>
      <c r="L143" s="1057">
        <f>IF(L109=1,L129,0)</f>
        <v>24</v>
      </c>
      <c r="N143" s="1060">
        <f>IF(N109=1,L129,0)</f>
        <v>0</v>
      </c>
      <c r="O143" s="1057">
        <f>IF(O109=1,O129,0)</f>
        <v>0</v>
      </c>
      <c r="Q143" s="1060">
        <f>IF(Q109=1,O129,0)</f>
        <v>0</v>
      </c>
      <c r="R143" s="1057">
        <f>IF(R109=1,R129,0)</f>
        <v>22</v>
      </c>
      <c r="T143" s="1060">
        <f>IF(T109=1,R129,0)</f>
        <v>0</v>
      </c>
      <c r="U143" s="1057">
        <f>IF(U109=1,U129,0)</f>
        <v>0</v>
      </c>
      <c r="W143" s="1060">
        <f>IF(W109=1,U129,0)</f>
        <v>0</v>
      </c>
      <c r="X143" s="1057">
        <f>IF(X109=1,X129,0)</f>
        <v>0</v>
      </c>
      <c r="Z143" s="1060">
        <f>IF(Z109=1,X129,0)</f>
        <v>0</v>
      </c>
      <c r="AA143" s="1057">
        <f>IF(AA109=1,AA129,0)</f>
        <v>0</v>
      </c>
      <c r="AC143" s="1060">
        <f>IF(AC109=1,AA129,0)</f>
        <v>0</v>
      </c>
      <c r="AD143" s="1057">
        <f>IF(AD109=1,AD129,0)</f>
        <v>0</v>
      </c>
      <c r="AF143" s="1060">
        <f>IF(AF109=1,AD129,0)</f>
        <v>0</v>
      </c>
      <c r="AG143" s="1057">
        <f>SUM(B143:AF143)</f>
        <v>93</v>
      </c>
    </row>
    <row r="144" spans="1:38" s="1057" customFormat="1" ht="12.75" hidden="1" customHeight="1" x14ac:dyDescent="0.2">
      <c r="A144" s="1057" t="s">
        <v>102</v>
      </c>
      <c r="B144" s="1057">
        <f>IF(B109=2,B129,0)</f>
        <v>0</v>
      </c>
      <c r="D144" s="1060">
        <f>IF(D109=2,B129,0)</f>
        <v>0</v>
      </c>
      <c r="E144" s="1057">
        <f>IF(E109=2,E129,0)</f>
        <v>24</v>
      </c>
      <c r="G144" s="1060">
        <f>IF(G109=2,E129,0)</f>
        <v>0</v>
      </c>
      <c r="H144" s="1057">
        <f>IF(H109=2,H129,0)</f>
        <v>0</v>
      </c>
      <c r="J144" s="1060">
        <f>IF(J109=2,H129,0)</f>
        <v>25</v>
      </c>
      <c r="K144" s="1060"/>
      <c r="L144" s="1057">
        <f>IF(L109=2,L129,0)</f>
        <v>0</v>
      </c>
      <c r="N144" s="1060">
        <f>IF(N109=2,L129,0)</f>
        <v>0</v>
      </c>
      <c r="O144" s="1057">
        <f>IF(O109=2,O129,0)</f>
        <v>21</v>
      </c>
      <c r="Q144" s="1060">
        <f>IF(Q109=2,O129,0)</f>
        <v>0</v>
      </c>
      <c r="R144" s="1057">
        <f>IF(R109=2,R129,0)</f>
        <v>0</v>
      </c>
      <c r="T144" s="1060">
        <f>IF(T109=2,R129,0)</f>
        <v>22</v>
      </c>
      <c r="U144" s="1057">
        <f>IF(U109=2,U129,0)</f>
        <v>0</v>
      </c>
      <c r="W144" s="1060">
        <f>IF(W109=2,U129,0)</f>
        <v>0</v>
      </c>
      <c r="X144" s="1057">
        <f>IF(X109=2,X129,0)</f>
        <v>0</v>
      </c>
      <c r="Z144" s="1060">
        <f>IF(Z109=2,X129,0)</f>
        <v>0</v>
      </c>
      <c r="AA144" s="1057">
        <f>IF(AA109=2,AA129,0)</f>
        <v>0</v>
      </c>
      <c r="AC144" s="1060">
        <f>IF(AC109=2,AA129,0)</f>
        <v>0</v>
      </c>
      <c r="AD144" s="1057">
        <f>IF(AD109=2,AD129,0)</f>
        <v>0</v>
      </c>
      <c r="AF144" s="1060">
        <f>IF(AF109=2,AD129,0)</f>
        <v>0</v>
      </c>
      <c r="AG144" s="1057">
        <f>SUM(B144:AF144)</f>
        <v>92</v>
      </c>
    </row>
    <row r="145" spans="1:34" s="1057" customFormat="1" ht="12.75" hidden="1" customHeight="1" x14ac:dyDescent="0.2">
      <c r="A145" s="1057" t="s">
        <v>103</v>
      </c>
      <c r="B145" s="1057">
        <f>IF(B109=3,B129,0)</f>
        <v>0</v>
      </c>
      <c r="D145" s="1060">
        <f>IF(D109=3,B129,0)</f>
        <v>22</v>
      </c>
      <c r="E145" s="1057">
        <f>IF(E109=3,E129,0)</f>
        <v>0</v>
      </c>
      <c r="G145" s="1060">
        <f>IF(G109=3,E129,0)</f>
        <v>24</v>
      </c>
      <c r="H145" s="1057">
        <f>IF(H109=3,H129,0)</f>
        <v>0</v>
      </c>
      <c r="J145" s="1060">
        <f>IF(J109=3,H129,0)</f>
        <v>0</v>
      </c>
      <c r="K145" s="1060"/>
      <c r="L145" s="1057">
        <f>IF(L109=3,L129,0)</f>
        <v>0</v>
      </c>
      <c r="N145" s="1060">
        <f>IF(N109=3,L129,0)</f>
        <v>24</v>
      </c>
      <c r="O145" s="1057">
        <f>IF(O109=3,O129,0)</f>
        <v>0</v>
      </c>
      <c r="Q145" s="1060">
        <f>IF(Q109=3,O129,0)</f>
        <v>21</v>
      </c>
      <c r="R145" s="1057">
        <f>IF(R109=3,R129,0)</f>
        <v>0</v>
      </c>
      <c r="T145" s="1060">
        <f>IF(T109=3,R129,0)</f>
        <v>0</v>
      </c>
      <c r="U145" s="1057">
        <f>IF(U109=3,U129,0)</f>
        <v>0</v>
      </c>
      <c r="W145" s="1060">
        <f>IF(W109=3,U129,0)</f>
        <v>0</v>
      </c>
      <c r="X145" s="1057">
        <f>IF(X109=3,X129,0)</f>
        <v>0</v>
      </c>
      <c r="Z145" s="1060">
        <f>IF(Z109=3,X129,0)</f>
        <v>0</v>
      </c>
      <c r="AA145" s="1057">
        <f>IF(AA109=3,AA129,0)</f>
        <v>0</v>
      </c>
      <c r="AC145" s="1060">
        <f>IF(AC109=3,AA129,0)</f>
        <v>0</v>
      </c>
      <c r="AD145" s="1057">
        <f>IF(AD109=3,AD129,0)</f>
        <v>0</v>
      </c>
      <c r="AF145" s="1060">
        <f>IF(AF109=3,AD129,0)</f>
        <v>0</v>
      </c>
      <c r="AG145" s="1057">
        <f>SUM(B145:AF145)</f>
        <v>91</v>
      </c>
    </row>
    <row r="146" spans="1:34" s="1057" customFormat="1" ht="12.75" hidden="1" customHeight="1" x14ac:dyDescent="0.2">
      <c r="A146" s="1057" t="s">
        <v>104</v>
      </c>
      <c r="B146" s="1057">
        <f>IF(B109=4,B129,0)</f>
        <v>0</v>
      </c>
      <c r="D146" s="1060">
        <f>IF(D109=4,B129,0)</f>
        <v>0</v>
      </c>
      <c r="E146" s="1057">
        <f>IF(E109=4,E129,0)</f>
        <v>0</v>
      </c>
      <c r="G146" s="1060">
        <f>IF(G109=4,E129,0)</f>
        <v>0</v>
      </c>
      <c r="H146" s="1057">
        <f>IF(H109=4,H129,0)</f>
        <v>0</v>
      </c>
      <c r="J146" s="1060">
        <f>IF(J109=4,H129,0)</f>
        <v>0</v>
      </c>
      <c r="K146" s="1060"/>
      <c r="L146" s="1057">
        <f>IF(L109=4,L129,0)</f>
        <v>0</v>
      </c>
      <c r="N146" s="1060">
        <f>IF(N109=4,L129,0)</f>
        <v>0</v>
      </c>
      <c r="O146" s="1057">
        <f>IF(O109=4,O129,0)</f>
        <v>0</v>
      </c>
      <c r="Q146" s="1060">
        <f>IF(Q109=4,O129,0)</f>
        <v>0</v>
      </c>
      <c r="R146" s="1057">
        <f>IF(R109=4,R129,0)</f>
        <v>0</v>
      </c>
      <c r="T146" s="1060">
        <f>IF(T109=4,R129,0)</f>
        <v>0</v>
      </c>
      <c r="U146" s="1057">
        <f>IF(U109=4,U129,0)</f>
        <v>0</v>
      </c>
      <c r="W146" s="1060">
        <f>IF(W109=4,U129,0)</f>
        <v>0</v>
      </c>
      <c r="X146" s="1057">
        <f>IF(X109=4,X129,0)</f>
        <v>0</v>
      </c>
      <c r="Z146" s="1060">
        <f>IF(Z109=4,X129,0)</f>
        <v>0</v>
      </c>
      <c r="AA146" s="1057">
        <f>IF(AA109=4,AA129,0)</f>
        <v>0</v>
      </c>
      <c r="AC146" s="1060">
        <f>IF(AC109=4,AA129,0)</f>
        <v>0</v>
      </c>
      <c r="AD146" s="1057">
        <f>IF(AD109=4,AD129,0)</f>
        <v>0</v>
      </c>
      <c r="AF146" s="1060">
        <f>IF(AF109=4,AD129,0)</f>
        <v>0</v>
      </c>
      <c r="AG146" s="1057">
        <f>SUM(B146:AF146)</f>
        <v>0</v>
      </c>
    </row>
    <row r="147" spans="1:34" s="1057" customFormat="1" ht="12.75" hidden="1" customHeight="1" x14ac:dyDescent="0.2">
      <c r="A147" s="1057" t="s">
        <v>105</v>
      </c>
      <c r="B147" s="1057">
        <f>IF(B109=5,B129,0)</f>
        <v>0</v>
      </c>
      <c r="D147" s="1060">
        <f>IF(D109=5,B129,0)</f>
        <v>0</v>
      </c>
      <c r="E147" s="1057">
        <f>IF(E109=5,E129,0)</f>
        <v>0</v>
      </c>
      <c r="G147" s="1060">
        <f>IF(G109=5,E129,0)</f>
        <v>0</v>
      </c>
      <c r="H147" s="1057">
        <f>IF(H109=5,H129,0)</f>
        <v>0</v>
      </c>
      <c r="J147" s="1060">
        <f>IF(J109=5,H129,0)</f>
        <v>0</v>
      </c>
      <c r="K147" s="1060"/>
      <c r="L147" s="1057">
        <f>IF(L109=5,L129,0)</f>
        <v>0</v>
      </c>
      <c r="N147" s="1060">
        <f>IF(N109=5,L129,0)</f>
        <v>0</v>
      </c>
      <c r="O147" s="1057">
        <f>IF(O109=5,O129,0)</f>
        <v>0</v>
      </c>
      <c r="Q147" s="1060">
        <f>IF(Q109=5,O129,0)</f>
        <v>0</v>
      </c>
      <c r="R147" s="1057">
        <f>IF(R109=5,R129,0)</f>
        <v>0</v>
      </c>
      <c r="T147" s="1060">
        <f>IF(T109=5,R129,0)</f>
        <v>0</v>
      </c>
      <c r="U147" s="1057">
        <f>IF(U109=5,U129,0)</f>
        <v>0</v>
      </c>
      <c r="W147" s="1060">
        <f>IF(W109=5,U129,0)</f>
        <v>0</v>
      </c>
      <c r="X147" s="1057">
        <f>IF(X109=5,X129,0)</f>
        <v>0</v>
      </c>
      <c r="Z147" s="1060">
        <f>IF(Z109=5,X129,0)</f>
        <v>0</v>
      </c>
      <c r="AA147" s="1057">
        <f>IF(AA109=5,AA129,0)</f>
        <v>0</v>
      </c>
      <c r="AC147" s="1060">
        <f>IF(AC109=5,AA129,0)</f>
        <v>0</v>
      </c>
      <c r="AD147" s="1057">
        <f>IF(AD109=5,AD129,0)</f>
        <v>0</v>
      </c>
      <c r="AF147" s="1060">
        <f>IF(AF109=5,AD129,0)</f>
        <v>0</v>
      </c>
      <c r="AG147" s="1057">
        <f>SUM(B147:AF147)</f>
        <v>0</v>
      </c>
    </row>
    <row r="148" spans="1:34" s="1057" customFormat="1" ht="38.25" hidden="1" customHeight="1" x14ac:dyDescent="0.2">
      <c r="A148" s="1057" t="s">
        <v>107</v>
      </c>
      <c r="D148" s="1060"/>
      <c r="G148" s="1060"/>
      <c r="J148" s="1060"/>
      <c r="K148" s="1060"/>
      <c r="N148" s="1060"/>
      <c r="Q148" s="1060"/>
      <c r="T148" s="1060"/>
      <c r="W148" s="1060"/>
      <c r="Z148" s="1060"/>
      <c r="AC148" s="1060"/>
      <c r="AF148" s="1060"/>
      <c r="AG148" s="1061" t="s">
        <v>108</v>
      </c>
      <c r="AH148" s="1057" t="s">
        <v>109</v>
      </c>
    </row>
    <row r="149" spans="1:34" s="1057" customFormat="1" ht="12.75" hidden="1" customHeight="1" x14ac:dyDescent="0.2">
      <c r="A149" s="1057" t="s">
        <v>95</v>
      </c>
      <c r="B149" s="1057">
        <f>IF(B109=1,SUMIF(B116:B120,"&gt;0"),0)</f>
        <v>1</v>
      </c>
      <c r="D149" s="1060">
        <f>IF(D109=1,SUMIF(D116:D120,"&gt;0"),0)</f>
        <v>0</v>
      </c>
      <c r="E149" s="1057">
        <f>IF(E109=1,SUMIF(E116:E120,"&gt;0"),0)</f>
        <v>0</v>
      </c>
      <c r="G149" s="1060">
        <f>IF(G109=1,SUMIF(G116:G120,"&gt;0"),0)</f>
        <v>0</v>
      </c>
      <c r="H149" s="1057">
        <f>IF(H109=1,SUMIF(H116:H120,"&gt;0"),0)</f>
        <v>0</v>
      </c>
      <c r="J149" s="1060">
        <f>IF(J109=1,SUMIF(J116:J120,"&gt;0"),0)</f>
        <v>0</v>
      </c>
      <c r="K149" s="1060"/>
      <c r="L149" s="1057">
        <f>IF(L109=1,SUMIF(L116:L120,"&gt;0"),0)</f>
        <v>1</v>
      </c>
      <c r="N149" s="1060">
        <f>IF(N109=1,SUMIF(N116:N120,"&gt;0"),0)</f>
        <v>0</v>
      </c>
      <c r="O149" s="1057">
        <f>IF(O109=1,SUMIF(O116:O120,"&gt;0"),0)</f>
        <v>0</v>
      </c>
      <c r="Q149" s="1060">
        <f>IF(Q109=1,SUMIF(Q116:Q120,"&gt;0"),0)</f>
        <v>0</v>
      </c>
      <c r="R149" s="1057">
        <f>IF(R109=1,SUMIF(R116:R120,"&gt;0"),0)</f>
        <v>0</v>
      </c>
      <c r="T149" s="1060">
        <f>IF(T109=1,SUMIF(T116:T120,"&gt;0"),0)</f>
        <v>0</v>
      </c>
      <c r="U149" s="1057">
        <f>IF(U109=1,SUMIF(U116:U120,"&gt;0"),0)</f>
        <v>0</v>
      </c>
      <c r="W149" s="1060">
        <f>IF(W109=1,SUMIF(W116:W120,"&gt;0"),0)</f>
        <v>0</v>
      </c>
      <c r="X149" s="1057">
        <f>IF(X109=1,SUMIF(X116:X120,"&gt;0"),0)</f>
        <v>0</v>
      </c>
      <c r="Z149" s="1060">
        <f>IF(Z109=1,SUMIF(Z116:Z120,"&gt;0"),0)</f>
        <v>0</v>
      </c>
      <c r="AA149" s="1057">
        <f>IF(AA109=1,SUMIF(AA116:AA120,"&gt;0"),0)</f>
        <v>0</v>
      </c>
      <c r="AC149" s="1060">
        <f>IF(AC109=1,SUMIF(AC116:AC120,"&gt;0"),0)</f>
        <v>0</v>
      </c>
      <c r="AD149" s="1057">
        <f>IF(AD109=1,SUMIF(AD116:AD120,"&gt;0"),0)</f>
        <v>0</v>
      </c>
      <c r="AF149" s="1060">
        <f>IF(AF109=1,SUMIF(AF116:AF120,"&gt;0"),0)</f>
        <v>0</v>
      </c>
      <c r="AG149" s="1057">
        <f>SUM(B149:AF149)</f>
        <v>2</v>
      </c>
      <c r="AH149" s="1057">
        <f>AG157-AG149</f>
        <v>2</v>
      </c>
    </row>
    <row r="150" spans="1:34" s="1057" customFormat="1" ht="12.75" hidden="1" customHeight="1" x14ac:dyDescent="0.2">
      <c r="A150" s="1057" t="s">
        <v>96</v>
      </c>
      <c r="B150" s="1057">
        <f>IF(B109=2,SUMIF(B116:B120,"&gt;0"),0)</f>
        <v>0</v>
      </c>
      <c r="D150" s="1060">
        <f>IF(D109=2,SUMIF(D116:D120,"&gt;0"),0)</f>
        <v>0</v>
      </c>
      <c r="E150" s="1057">
        <f>IF(E109=2,SUMIF(E116:E120,"&gt;0"),0)</f>
        <v>1</v>
      </c>
      <c r="G150" s="1060">
        <f>IF(G109=2,SUMIF(G116:G120,"&gt;0"),0)</f>
        <v>0</v>
      </c>
      <c r="H150" s="1057">
        <f>IF(H109=2,SUMIF(H116:H120,"&gt;0"),0)</f>
        <v>0</v>
      </c>
      <c r="J150" s="1060">
        <f>IF(J109=2,SUMIF(J116:J120,"&gt;0"),0)</f>
        <v>1</v>
      </c>
      <c r="K150" s="1060"/>
      <c r="L150" s="1057">
        <f>IF(L109=2,SUMIF(L116:L120,"&gt;0"),0)</f>
        <v>0</v>
      </c>
      <c r="N150" s="1060">
        <f>IF(N109=2,SUMIF(N116:N120,"&gt;0"),0)</f>
        <v>0</v>
      </c>
      <c r="O150" s="1057">
        <f>IF(O109=2,SUMIF(O116:O120,"&gt;0"),0)</f>
        <v>1</v>
      </c>
      <c r="Q150" s="1060">
        <f>IF(Q109=2,SUMIF(Q116:Q120,"&gt;0"),0)</f>
        <v>0</v>
      </c>
      <c r="R150" s="1057">
        <f>IF(R109=2,SUMIF(R116:R120,"&gt;0"),0)</f>
        <v>0</v>
      </c>
      <c r="T150" s="1060">
        <f>IF(T109=2,SUMIF(T116:T120,"&gt;0"),0)</f>
        <v>1</v>
      </c>
      <c r="U150" s="1057">
        <f>IF(U109=2,SUMIF(U116:U120,"&gt;0"),0)</f>
        <v>0</v>
      </c>
      <c r="W150" s="1060">
        <f>IF(W109=2,SUMIF(W116:W120,"&gt;0"),0)</f>
        <v>0</v>
      </c>
      <c r="X150" s="1057">
        <f>IF(X109=2,SUMIF(X116:X120,"&gt;0"),0)</f>
        <v>0</v>
      </c>
      <c r="Z150" s="1060">
        <f>IF(Z109=2,SUMIF(Z116:Z120,"&gt;0"),0)</f>
        <v>0</v>
      </c>
      <c r="AA150" s="1057">
        <f>IF(AA109=2,SUMIF(AA116:AA120,"&gt;0"),0)</f>
        <v>0</v>
      </c>
      <c r="AC150" s="1060">
        <f>IF(AC109=2,SUMIF(AC116:AC120,"&gt;0"),0)</f>
        <v>0</v>
      </c>
      <c r="AD150" s="1057">
        <f>IF(AD109=2,SUMIF(AD116:AD120,"&gt;0"),0)</f>
        <v>0</v>
      </c>
      <c r="AF150" s="1060">
        <f>IF(AF109=2,SUMIF(AF116:AF120,"&gt;0"),0)</f>
        <v>0</v>
      </c>
      <c r="AG150" s="1057">
        <f>SUM(B150:AF150)</f>
        <v>4</v>
      </c>
      <c r="AH150" s="1057">
        <f>AG158-AG150</f>
        <v>0</v>
      </c>
    </row>
    <row r="151" spans="1:34" s="1057" customFormat="1" ht="12.75" hidden="1" customHeight="1" x14ac:dyDescent="0.2">
      <c r="A151" s="1057" t="s">
        <v>97</v>
      </c>
      <c r="B151" s="1057">
        <f>IF(B109=3,SUMIF(B116:B120,"&gt;0"),0)</f>
        <v>0</v>
      </c>
      <c r="D151" s="1060">
        <f>IF(D109=3,SUMIF(D116:D120,"&gt;0"),0)</f>
        <v>0</v>
      </c>
      <c r="E151" s="1057">
        <f>IF(E109=3,SUMIF(E116:E120,"&gt;0"),0)</f>
        <v>0</v>
      </c>
      <c r="G151" s="1060">
        <f>IF(G109=3,SUMIF(G116:G120,"&gt;0"),0)</f>
        <v>0</v>
      </c>
      <c r="H151" s="1057">
        <f>IF(H109=3,SUMIF(H116:H120,"&gt;0"),0)</f>
        <v>0</v>
      </c>
      <c r="J151" s="1060">
        <f>IF(J109=3,SUMIF(J116:J120,"&gt;0"),0)</f>
        <v>0</v>
      </c>
      <c r="K151" s="1060"/>
      <c r="L151" s="1057">
        <f>IF(L109=3,SUMIF(L116:L120,"&gt;0"),0)</f>
        <v>0</v>
      </c>
      <c r="N151" s="1060">
        <f>IF(N109=3,SUMIF(N116:N120,"&gt;0"),0)</f>
        <v>0</v>
      </c>
      <c r="O151" s="1057">
        <f>IF(O109=3,SUMIF(O116:O120,"&gt;0"),0)</f>
        <v>0</v>
      </c>
      <c r="Q151" s="1060">
        <f>IF(Q109=3,SUMIF(Q116:Q120,"&gt;0"),0)</f>
        <v>0</v>
      </c>
      <c r="R151" s="1057">
        <f>IF(R109=3,SUMIF(R116:R120,"&gt;0"),0)</f>
        <v>0</v>
      </c>
      <c r="T151" s="1060">
        <f>IF(T109=3,SUMIF(T116:T120,"&gt;0"),0)</f>
        <v>0</v>
      </c>
      <c r="U151" s="1057">
        <f>IF(U109=3,SUMIF(U116:U120,"&gt;0"),0)</f>
        <v>0</v>
      </c>
      <c r="W151" s="1060">
        <f>IF(W109=3,SUMIF(W116:W120,"&gt;0"),0)</f>
        <v>0</v>
      </c>
      <c r="X151" s="1057">
        <f>IF(X109=3,SUMIF(X116:X120,"&gt;0"),0)</f>
        <v>0</v>
      </c>
      <c r="Z151" s="1060">
        <f>IF(Z109=3,SUMIF(Z116:Z120,"&gt;0"),0)</f>
        <v>0</v>
      </c>
      <c r="AA151" s="1057">
        <f>IF(AA109=3,SUMIF(AA116:AA120,"&gt;0"),0)</f>
        <v>0</v>
      </c>
      <c r="AC151" s="1060">
        <f>IF(AC109=3,SUMIF(AC116:AC120,"&gt;0"),0)</f>
        <v>0</v>
      </c>
      <c r="AD151" s="1057">
        <f>IF(AD109=3,SUMIF(AD116:AD120,"&gt;0"),0)</f>
        <v>0</v>
      </c>
      <c r="AF151" s="1060">
        <f>IF(AF109=3,SUMIF(AF116:AF120,"&gt;0"),0)</f>
        <v>0</v>
      </c>
      <c r="AG151" s="1057">
        <f>SUM(B151:AF151)</f>
        <v>0</v>
      </c>
      <c r="AH151" s="1057">
        <f>AG159-AG151</f>
        <v>4</v>
      </c>
    </row>
    <row r="152" spans="1:34" s="1057" customFormat="1" ht="12.75" hidden="1" customHeight="1" x14ac:dyDescent="0.2">
      <c r="A152" s="1057" t="s">
        <v>98</v>
      </c>
      <c r="B152" s="1057">
        <f>IF(B109=4,SUMIF(B116:B120,"&gt;0"),0)</f>
        <v>0</v>
      </c>
      <c r="D152" s="1060">
        <f>IF(D109=4,SUMIF(D116:D120,"&gt;0"),0)</f>
        <v>0</v>
      </c>
      <c r="E152" s="1057">
        <f>IF(E109=4,SUMIF(E116:E120,"&gt;0"),0)</f>
        <v>0</v>
      </c>
      <c r="G152" s="1060">
        <f>IF(G109=4,SUMIF(G116:G120,"&gt;0"),0)</f>
        <v>0</v>
      </c>
      <c r="H152" s="1057">
        <f>IF(H109=4,SUMIF(H116:H120,"&gt;0"),0)</f>
        <v>0</v>
      </c>
      <c r="J152" s="1060">
        <f>IF(J109=4,SUMIF(J116:J120,"&gt;0"),0)</f>
        <v>0</v>
      </c>
      <c r="K152" s="1060"/>
      <c r="L152" s="1057">
        <f>IF(L109=4,SUMIF(L116:L120,"&gt;0"),0)</f>
        <v>0</v>
      </c>
      <c r="N152" s="1060">
        <f>IF(N109=4,SUMIF(N116:N120,"&gt;0"),0)</f>
        <v>0</v>
      </c>
      <c r="O152" s="1057">
        <f>IF(O109=4,SUMIF(O116:O120,"&gt;0"),0)</f>
        <v>0</v>
      </c>
      <c r="Q152" s="1060">
        <f>IF(Q109=4,SUMIF(Q116:Q120,"&gt;0"),0)</f>
        <v>0</v>
      </c>
      <c r="R152" s="1057">
        <f>IF(R109=4,SUMIF(R116:R120,"&gt;0"),0)</f>
        <v>0</v>
      </c>
      <c r="T152" s="1060">
        <f>IF(T109=4,SUMIF(T116:T120,"&gt;0"),0)</f>
        <v>0</v>
      </c>
      <c r="U152" s="1057">
        <f>IF(U109=4,SUMIF(U116:U120,"&gt;0"),0)</f>
        <v>0</v>
      </c>
      <c r="W152" s="1060">
        <f>IF(W109=4,SUMIF(W116:W120,"&gt;0"),0)</f>
        <v>0</v>
      </c>
      <c r="X152" s="1057">
        <f>IF(X109=4,SUMIF(X116:X120,"&gt;0"),0)</f>
        <v>0</v>
      </c>
      <c r="Z152" s="1060">
        <f>IF(Z109=4,SUMIF(Z116:Z120,"&gt;0"),0)</f>
        <v>0</v>
      </c>
      <c r="AA152" s="1057">
        <f>IF(AA109=4,SUMIF(AA116:AA120,"&gt;0"),0)</f>
        <v>0</v>
      </c>
      <c r="AC152" s="1060">
        <f>IF(AC109=4,SUMIF(AC116:AC120,"&gt;0"),0)</f>
        <v>0</v>
      </c>
      <c r="AD152" s="1057">
        <f>IF(AD109=4,SUMIF(AD116:AD120,"&gt;0"),0)</f>
        <v>0</v>
      </c>
      <c r="AF152" s="1060">
        <f>IF(AF109=4,SUMIF(AF116:AF120,"&gt;0"),0)</f>
        <v>0</v>
      </c>
      <c r="AG152" s="1057">
        <f>SUM(B152:AF152)</f>
        <v>0</v>
      </c>
      <c r="AH152" s="1057">
        <f>AG160-AG152</f>
        <v>0</v>
      </c>
    </row>
    <row r="153" spans="1:34" s="1057" customFormat="1" ht="12.75" hidden="1" customHeight="1" x14ac:dyDescent="0.2">
      <c r="A153" s="1057" t="s">
        <v>99</v>
      </c>
      <c r="B153" s="1057">
        <f>IF(B109=5,SUMIF(B116:B120,"&gt;0"),0)</f>
        <v>0</v>
      </c>
      <c r="D153" s="1060">
        <f>IF(D109=5,SUMIF(D116:D120,"&gt;0"),0)</f>
        <v>0</v>
      </c>
      <c r="E153" s="1057">
        <f>IF(E109=5,SUMIF(E116:E120,"&gt;0"),0)</f>
        <v>0</v>
      </c>
      <c r="G153" s="1060">
        <f>IF(G109=5,SUMIF(G116:G120,"&gt;0"),0)</f>
        <v>0</v>
      </c>
      <c r="H153" s="1057">
        <f>IF(H109=5,SUMIF(H116:H120,"&gt;0"),0)</f>
        <v>0</v>
      </c>
      <c r="J153" s="1060">
        <f>IF(J109=5,SUMIF(J116:J120,"&gt;0"),0)</f>
        <v>0</v>
      </c>
      <c r="K153" s="1060"/>
      <c r="L153" s="1057">
        <f>IF(L109=5,SUMIF(L116:L120,"&gt;0"),0)</f>
        <v>0</v>
      </c>
      <c r="N153" s="1060">
        <f>IF(N109=5,SUMIF(N116:N120,"&gt;0"),0)</f>
        <v>0</v>
      </c>
      <c r="O153" s="1057">
        <f>IF(O109=5,SUMIF(O116:O120,"&gt;0"),0)</f>
        <v>0</v>
      </c>
      <c r="Q153" s="1060">
        <f>IF(Q109=5,SUMIF(Q116:Q120,"&gt;0"),0)</f>
        <v>0</v>
      </c>
      <c r="R153" s="1057">
        <f>IF(R109=5,SUMIF(R116:R120,"&gt;0"),0)</f>
        <v>0</v>
      </c>
      <c r="T153" s="1060">
        <f>IF(T109=5,SUMIF(T116:T120,"&gt;0"),0)</f>
        <v>0</v>
      </c>
      <c r="U153" s="1057">
        <f>IF(U109=5,SUMIF(U116:U120,"&gt;0"),0)</f>
        <v>0</v>
      </c>
      <c r="W153" s="1060">
        <f>IF(W109=5,SUMIF(W116:W120,"&gt;0"),0)</f>
        <v>0</v>
      </c>
      <c r="X153" s="1057">
        <f>IF(X109=5,SUMIF(X116:X120,"&gt;0"),0)</f>
        <v>0</v>
      </c>
      <c r="Z153" s="1060">
        <f>IF(Z109=5,SUMIF(Z116:Z120,"&gt;0"),0)</f>
        <v>0</v>
      </c>
      <c r="AA153" s="1057">
        <f>IF(AA109=5,SUMIF(AA116:AA120,"&gt;0"),0)</f>
        <v>0</v>
      </c>
      <c r="AC153" s="1060">
        <f>IF(AC109=5,SUMIF(AC116:AC120,"&gt;0"),0)</f>
        <v>0</v>
      </c>
      <c r="AD153" s="1057">
        <f>IF(AD109=5,SUMIF(AD116:AD120,"&gt;0"),0)</f>
        <v>0</v>
      </c>
      <c r="AF153" s="1060">
        <f>IF(AF109=5,SUMIF(AF116:AF120,"&gt;0"),0)</f>
        <v>0</v>
      </c>
      <c r="AG153" s="1057">
        <f>SUM(B153:AF153)</f>
        <v>0</v>
      </c>
      <c r="AH153" s="1057">
        <f>AG161-AG153</f>
        <v>0</v>
      </c>
    </row>
    <row r="154" spans="1:34" s="1057" customFormat="1" ht="12.75" hidden="1" customHeight="1" x14ac:dyDescent="0.2">
      <c r="D154" s="1060"/>
      <c r="G154" s="1060"/>
      <c r="J154" s="1060"/>
      <c r="K154" s="1060"/>
      <c r="N154" s="1060"/>
      <c r="Q154" s="1060"/>
      <c r="T154" s="1060"/>
      <c r="W154" s="1060"/>
      <c r="Z154" s="1060"/>
      <c r="AC154" s="1060"/>
      <c r="AF154" s="1060"/>
    </row>
    <row r="155" spans="1:34" s="1057" customFormat="1" ht="12.75" hidden="1" customHeight="1" x14ac:dyDescent="0.2">
      <c r="D155" s="1060"/>
      <c r="G155" s="1060"/>
      <c r="J155" s="1060"/>
      <c r="K155" s="1060"/>
      <c r="N155" s="1060"/>
      <c r="Q155" s="1060"/>
      <c r="T155" s="1060"/>
      <c r="W155" s="1060"/>
      <c r="Z155" s="1060"/>
      <c r="AC155" s="1060"/>
      <c r="AF155" s="1060"/>
    </row>
    <row r="156" spans="1:34" s="1057" customFormat="1" ht="51" hidden="1" customHeight="1" x14ac:dyDescent="0.2">
      <c r="A156" s="1061" t="s">
        <v>110</v>
      </c>
      <c r="C156" s="1057">
        <f>SUMIF(B149:D153,"&gt;0")</f>
        <v>1</v>
      </c>
      <c r="D156" s="1060"/>
      <c r="F156" s="1057">
        <f>SUMIF(E149:G153,"&gt;0")</f>
        <v>1</v>
      </c>
      <c r="G156" s="1060"/>
      <c r="I156" s="1057">
        <f>SUMIF(H149:J153,"&gt;0")</f>
        <v>1</v>
      </c>
      <c r="J156" s="1060"/>
      <c r="K156" s="1060"/>
      <c r="M156" s="1057">
        <f>SUMIF(L149:N153,"&gt;0")</f>
        <v>1</v>
      </c>
      <c r="N156" s="1060"/>
      <c r="P156" s="1057">
        <f>SUMIF(O149:Q153,"&gt;0")</f>
        <v>1</v>
      </c>
      <c r="Q156" s="1060"/>
      <c r="S156" s="1057">
        <f>SUMIF(R149:T153,"&gt;0")</f>
        <v>1</v>
      </c>
      <c r="T156" s="1060"/>
      <c r="V156" s="1057">
        <f>SUMIF(U149:W153,"&gt;0")</f>
        <v>0</v>
      </c>
      <c r="W156" s="1060"/>
      <c r="Y156" s="1057">
        <f>SUMIF(X149:Z153,"&gt;0")</f>
        <v>0</v>
      </c>
      <c r="Z156" s="1060"/>
      <c r="AB156" s="1057">
        <f>SUMIF(AA149:AC153,"&gt;0")</f>
        <v>0</v>
      </c>
      <c r="AC156" s="1060"/>
      <c r="AE156" s="1057">
        <f>SUMIF(AD149:AF153,"&gt;0")</f>
        <v>0</v>
      </c>
      <c r="AF156" s="1060"/>
      <c r="AG156" s="1061" t="s">
        <v>111</v>
      </c>
    </row>
    <row r="157" spans="1:34" s="1057" customFormat="1" ht="12.75" hidden="1" customHeight="1" x14ac:dyDescent="0.2">
      <c r="A157" s="1057" t="s">
        <v>101</v>
      </c>
      <c r="B157" s="1057">
        <f>IF(B109=1,C156,0)</f>
        <v>1</v>
      </c>
      <c r="D157" s="1060">
        <f>IF(D109=1,C156,0)</f>
        <v>0</v>
      </c>
      <c r="E157" s="1057">
        <f>IF(E109=1,F156,0)</f>
        <v>0</v>
      </c>
      <c r="G157" s="1060">
        <f>IF(G109=1,F156,0)</f>
        <v>0</v>
      </c>
      <c r="H157" s="1057">
        <f>IF(H109=1,I156,0)</f>
        <v>1</v>
      </c>
      <c r="J157" s="1060">
        <f>IF(J109=1,I156,0)</f>
        <v>0</v>
      </c>
      <c r="K157" s="1060"/>
      <c r="L157" s="1057">
        <f>IF(L109=1,M156,0)</f>
        <v>1</v>
      </c>
      <c r="N157" s="1060">
        <f>IF(N109=1,M156,0)</f>
        <v>0</v>
      </c>
      <c r="O157" s="1057">
        <f>IF(O109=1,P156,0)</f>
        <v>0</v>
      </c>
      <c r="Q157" s="1060">
        <f>IF(Q109=1,P156,0)</f>
        <v>0</v>
      </c>
      <c r="R157" s="1057">
        <f>IF(R109=1,S156,0)</f>
        <v>1</v>
      </c>
      <c r="T157" s="1060">
        <f>IF(T109=1,S156,0)</f>
        <v>0</v>
      </c>
      <c r="U157" s="1057">
        <f>IF(U109=1,V156,0)</f>
        <v>0</v>
      </c>
      <c r="W157" s="1060">
        <f>IF(W109=1,V156,0)</f>
        <v>0</v>
      </c>
      <c r="X157" s="1057">
        <f>IF(X109=1,Y156,0)</f>
        <v>0</v>
      </c>
      <c r="Z157" s="1060">
        <f>IF(Z109=1,Y156,0)</f>
        <v>0</v>
      </c>
      <c r="AA157" s="1057">
        <f>IF(AA109=1,AB156,0)</f>
        <v>0</v>
      </c>
      <c r="AC157" s="1060">
        <f>IF(AC109=1,AB156,0)</f>
        <v>0</v>
      </c>
      <c r="AD157" s="1057">
        <f>IF(AD109=1,AE156,0)</f>
        <v>0</v>
      </c>
      <c r="AF157" s="1060">
        <f>IF(AF109=1,AE156,0)</f>
        <v>0</v>
      </c>
      <c r="AG157" s="1057">
        <f>SUM(B157:AF157)</f>
        <v>4</v>
      </c>
    </row>
    <row r="158" spans="1:34" s="1057" customFormat="1" ht="12.75" hidden="1" customHeight="1" x14ac:dyDescent="0.2">
      <c r="A158" s="1057" t="s">
        <v>102</v>
      </c>
      <c r="B158" s="1057">
        <f>IF(B109=2,C156,0)</f>
        <v>0</v>
      </c>
      <c r="D158" s="1060">
        <f>IF(D109=2,C156,0)</f>
        <v>0</v>
      </c>
      <c r="E158" s="1057">
        <f>IF(E109=2,F156,0)</f>
        <v>1</v>
      </c>
      <c r="G158" s="1060">
        <f>IF(G109=2,F156,0)</f>
        <v>0</v>
      </c>
      <c r="H158" s="1057">
        <f>IF(H109=2,I156,0)</f>
        <v>0</v>
      </c>
      <c r="J158" s="1060">
        <f>IF(J109=2,I156,0)</f>
        <v>1</v>
      </c>
      <c r="K158" s="1060"/>
      <c r="L158" s="1057">
        <f>IF(L109=2,M156,0)</f>
        <v>0</v>
      </c>
      <c r="N158" s="1060">
        <f>IF(N109=2,M156,0)</f>
        <v>0</v>
      </c>
      <c r="O158" s="1057">
        <f>IF(O109=2,P156,0)</f>
        <v>1</v>
      </c>
      <c r="Q158" s="1060">
        <f>IF(Q109=2,P156,0)</f>
        <v>0</v>
      </c>
      <c r="R158" s="1057">
        <f>IF(R109=2,S156,0)</f>
        <v>0</v>
      </c>
      <c r="T158" s="1060">
        <f>IF(T109=2,S156,0)</f>
        <v>1</v>
      </c>
      <c r="U158" s="1057">
        <f>IF(U109=2,V156,0)</f>
        <v>0</v>
      </c>
      <c r="W158" s="1060">
        <f>IF(W109=2,V156,0)</f>
        <v>0</v>
      </c>
      <c r="X158" s="1057">
        <f>IF(X109=2,Y156,0)</f>
        <v>0</v>
      </c>
      <c r="Z158" s="1060">
        <f>IF(Z109=2,Y156,0)</f>
        <v>0</v>
      </c>
      <c r="AA158" s="1057">
        <f>IF(AA109=2,AB156,0)</f>
        <v>0</v>
      </c>
      <c r="AC158" s="1060">
        <f>IF(AC109=2,AB156,0)</f>
        <v>0</v>
      </c>
      <c r="AD158" s="1057">
        <f>IF(AD109=2,AE156,0)</f>
        <v>0</v>
      </c>
      <c r="AF158" s="1060">
        <f>IF(AF109=2,AE156,0)</f>
        <v>0</v>
      </c>
      <c r="AG158" s="1057">
        <f>SUM(B158:AF158)</f>
        <v>4</v>
      </c>
    </row>
    <row r="159" spans="1:34" s="1057" customFormat="1" ht="12.75" hidden="1" customHeight="1" x14ac:dyDescent="0.2">
      <c r="A159" s="1057" t="s">
        <v>103</v>
      </c>
      <c r="B159" s="1057">
        <f>IF(B109=3,C156,0)</f>
        <v>0</v>
      </c>
      <c r="D159" s="1060">
        <f>IF(D109=3,C156,0)</f>
        <v>1</v>
      </c>
      <c r="E159" s="1057">
        <f>IF(E109=3,F156,0)</f>
        <v>0</v>
      </c>
      <c r="G159" s="1060">
        <f>IF(G109=3,F156,0)</f>
        <v>1</v>
      </c>
      <c r="H159" s="1057">
        <f>IF(H109=3,I156,0)</f>
        <v>0</v>
      </c>
      <c r="J159" s="1060">
        <f>IF(J109=3,I156,0)</f>
        <v>0</v>
      </c>
      <c r="K159" s="1060"/>
      <c r="L159" s="1057">
        <f>IF(L109=3,M156,0)</f>
        <v>0</v>
      </c>
      <c r="N159" s="1060">
        <f>IF(N109=3,M156,0)</f>
        <v>1</v>
      </c>
      <c r="O159" s="1057">
        <f>IF(O109=3,P156,0)</f>
        <v>0</v>
      </c>
      <c r="Q159" s="1060">
        <f>IF(Q109=3,P156,0)</f>
        <v>1</v>
      </c>
      <c r="R159" s="1057">
        <f>IF(R109=3,S156,0)</f>
        <v>0</v>
      </c>
      <c r="T159" s="1060">
        <f>IF(T109=3,S156,0)</f>
        <v>0</v>
      </c>
      <c r="U159" s="1057">
        <f>IF(U109=3,V156,0)</f>
        <v>0</v>
      </c>
      <c r="W159" s="1060">
        <f>IF(W109=3,V156,0)</f>
        <v>0</v>
      </c>
      <c r="X159" s="1057">
        <f>IF(X109=3,Y156,0)</f>
        <v>0</v>
      </c>
      <c r="Z159" s="1060">
        <f>IF(Z109=3,Y156,0)</f>
        <v>0</v>
      </c>
      <c r="AA159" s="1057">
        <f>IF(AA109=3,AB156,0)</f>
        <v>0</v>
      </c>
      <c r="AC159" s="1060">
        <f>IF(AC109=3,AB156,0)</f>
        <v>0</v>
      </c>
      <c r="AD159" s="1057">
        <f>IF(AD109=3,AE156,0)</f>
        <v>0</v>
      </c>
      <c r="AF159" s="1060">
        <f>IF(AF109=3,AE156,0)</f>
        <v>0</v>
      </c>
      <c r="AG159" s="1057">
        <f>SUM(B159:AF159)</f>
        <v>4</v>
      </c>
    </row>
    <row r="160" spans="1:34" s="1057" customFormat="1" ht="12.75" hidden="1" customHeight="1" x14ac:dyDescent="0.2">
      <c r="A160" s="1057" t="s">
        <v>104</v>
      </c>
      <c r="B160" s="1057">
        <f>IF(B109=4,C156,0)</f>
        <v>0</v>
      </c>
      <c r="D160" s="1060">
        <f>IF(D109=4,C156,0)</f>
        <v>0</v>
      </c>
      <c r="E160" s="1057">
        <f>IF(E109=4,F156,0)</f>
        <v>0</v>
      </c>
      <c r="G160" s="1060">
        <f>IF(G109=4,F156,0)</f>
        <v>0</v>
      </c>
      <c r="H160" s="1057">
        <f>IF(H109=4,I156,0)</f>
        <v>0</v>
      </c>
      <c r="J160" s="1060">
        <f>IF(J109=4,I156,0)</f>
        <v>0</v>
      </c>
      <c r="K160" s="1060"/>
      <c r="L160" s="1057">
        <f>IF(L109=4,M156,0)</f>
        <v>0</v>
      </c>
      <c r="N160" s="1060">
        <f>IF(N109=4,M156,0)</f>
        <v>0</v>
      </c>
      <c r="O160" s="1057">
        <f>IF(O109=4,P156,0)</f>
        <v>0</v>
      </c>
      <c r="Q160" s="1060">
        <f>IF(Q109=4,P156,0)</f>
        <v>0</v>
      </c>
      <c r="R160" s="1057">
        <f>IF(R109=4,S156,0)</f>
        <v>0</v>
      </c>
      <c r="T160" s="1060">
        <f>IF(T109=4,S156,0)</f>
        <v>0</v>
      </c>
      <c r="U160" s="1057">
        <f>IF(U109=4,V156,0)</f>
        <v>0</v>
      </c>
      <c r="W160" s="1060">
        <f>IF(W109=4,V156,0)</f>
        <v>0</v>
      </c>
      <c r="X160" s="1057">
        <f>IF(X109=4,Y156,0)</f>
        <v>0</v>
      </c>
      <c r="Z160" s="1060">
        <f>IF(Z109=4,Y156,0)</f>
        <v>0</v>
      </c>
      <c r="AA160" s="1057">
        <f>IF(AA109=4,AB156,0)</f>
        <v>0</v>
      </c>
      <c r="AC160" s="1060">
        <f>IF(AC109=4,AB156,0)</f>
        <v>0</v>
      </c>
      <c r="AD160" s="1057">
        <f>IF(AD109=4,AE156,0)</f>
        <v>0</v>
      </c>
      <c r="AF160" s="1060">
        <f>IF(AF109=4,AE156,0)</f>
        <v>0</v>
      </c>
      <c r="AG160" s="1057">
        <f>SUM(B160:AF160)</f>
        <v>0</v>
      </c>
    </row>
    <row r="161" spans="1:81" s="1057" customFormat="1" ht="12.75" hidden="1" customHeight="1" x14ac:dyDescent="0.2">
      <c r="A161" s="1057" t="s">
        <v>105</v>
      </c>
      <c r="B161" s="1057">
        <f>IF(B109=5,C156,0)</f>
        <v>0</v>
      </c>
      <c r="D161" s="1060">
        <f>IF(D109=5,C156,0)</f>
        <v>0</v>
      </c>
      <c r="E161" s="1057">
        <f>IF(E109=5,F156,0)</f>
        <v>0</v>
      </c>
      <c r="G161" s="1060">
        <f>IF(G109=5,F156,0)</f>
        <v>0</v>
      </c>
      <c r="H161" s="1057">
        <f>IF(H109=5,I156,0)</f>
        <v>0</v>
      </c>
      <c r="J161" s="1060">
        <f>IF(J109=5,I156,0)</f>
        <v>0</v>
      </c>
      <c r="K161" s="1060"/>
      <c r="L161" s="1057">
        <f>IF(L109=5,M156,0)</f>
        <v>0</v>
      </c>
      <c r="N161" s="1060">
        <f>IF(N109=5,M156,0)</f>
        <v>0</v>
      </c>
      <c r="O161" s="1057">
        <f>IF(O109=5,P156,0)</f>
        <v>0</v>
      </c>
      <c r="Q161" s="1060">
        <f>IF(Q109=5,P156,0)</f>
        <v>0</v>
      </c>
      <c r="R161" s="1057">
        <f>IF(R109=5,S156,0)</f>
        <v>0</v>
      </c>
      <c r="T161" s="1060">
        <f>IF(T109=5,S156,0)</f>
        <v>0</v>
      </c>
      <c r="U161" s="1057">
        <f>IF(U109=5,V156,0)</f>
        <v>0</v>
      </c>
      <c r="W161" s="1060">
        <f>IF(W109=5,V156,0)</f>
        <v>0</v>
      </c>
      <c r="X161" s="1057">
        <f>IF(X109=5,Y156,0)</f>
        <v>0</v>
      </c>
      <c r="Z161" s="1060">
        <f>IF(Z109=5,Y156,0)</f>
        <v>0</v>
      </c>
      <c r="AA161" s="1057">
        <f>IF(AA109=5,AB156,0)</f>
        <v>0</v>
      </c>
      <c r="AC161" s="1060">
        <f>IF(AC109=5,AB156,0)</f>
        <v>0</v>
      </c>
      <c r="AD161" s="1057">
        <f>IF(AD109=5,AE156,0)</f>
        <v>0</v>
      </c>
      <c r="AF161" s="1060">
        <f>IF(AF109=5,AE156,0)</f>
        <v>0</v>
      </c>
      <c r="AG161" s="1057">
        <f>SUM(B161:AF161)</f>
        <v>0</v>
      </c>
    </row>
    <row r="162" spans="1:81" hidden="1" x14ac:dyDescent="0.2">
      <c r="A162" s="1063"/>
      <c r="B162" s="1063"/>
      <c r="C162" s="1063"/>
      <c r="D162" s="1063"/>
      <c r="E162" s="1063"/>
      <c r="F162" s="1063"/>
      <c r="G162" s="1063"/>
      <c r="H162" s="1063"/>
      <c r="I162" s="1063"/>
      <c r="J162" s="1063"/>
      <c r="K162" s="1063"/>
      <c r="L162" s="1063"/>
      <c r="M162" s="1063"/>
      <c r="N162" s="1063"/>
      <c r="O162" s="1063"/>
      <c r="P162" s="1063"/>
      <c r="Q162" s="1063"/>
      <c r="R162" s="1063"/>
      <c r="S162" s="1063"/>
      <c r="T162" s="1063"/>
      <c r="U162" s="1063"/>
      <c r="V162" s="1063"/>
      <c r="W162" s="1063"/>
      <c r="X162" s="1063"/>
      <c r="Y162" s="1063"/>
      <c r="Z162" s="1063"/>
      <c r="AA162" s="1063"/>
      <c r="AB162" s="1063"/>
      <c r="AC162" s="1063"/>
      <c r="AD162" s="1063"/>
      <c r="AE162" s="1063"/>
      <c r="AF162" s="1063"/>
      <c r="AG162" s="1063"/>
      <c r="AH162" s="1063"/>
      <c r="AI162" s="1063"/>
      <c r="AJ162" s="1063"/>
      <c r="AK162" s="1063"/>
      <c r="AL162" s="1063"/>
      <c r="AM162" s="1063"/>
      <c r="AN162" s="1063"/>
      <c r="AO162" s="1064"/>
      <c r="AP162" s="1064"/>
      <c r="AQ162" s="1064"/>
      <c r="AR162" s="1064"/>
      <c r="AS162" s="1065"/>
      <c r="AT162" s="1065"/>
      <c r="AU162" s="1065"/>
      <c r="AV162" s="1065"/>
      <c r="AW162" s="1066"/>
      <c r="BB162" s="1066"/>
      <c r="BE162" s="1066"/>
      <c r="BH162" s="1066"/>
      <c r="BK162" s="1066"/>
      <c r="BN162" s="1066"/>
      <c r="BQ162" s="1066"/>
      <c r="BT162" s="1066"/>
      <c r="BW162" s="1066"/>
      <c r="BZ162" s="1066"/>
      <c r="CC162" s="1066"/>
    </row>
    <row r="163" spans="1:81" s="1065" customFormat="1" hidden="1" x14ac:dyDescent="0.2">
      <c r="A163" s="1067"/>
      <c r="B163" s="1067"/>
      <c r="C163" s="1067" t="s">
        <v>112</v>
      </c>
      <c r="D163" s="1067">
        <v>1</v>
      </c>
      <c r="E163" s="1067"/>
      <c r="F163" s="1067"/>
      <c r="G163" s="1067">
        <v>2</v>
      </c>
      <c r="H163" s="1067"/>
      <c r="I163" s="1067"/>
      <c r="J163" s="1067">
        <v>3</v>
      </c>
      <c r="K163" s="1067"/>
      <c r="L163" s="1067"/>
      <c r="M163" s="1067"/>
      <c r="N163" s="1067">
        <v>4</v>
      </c>
      <c r="O163" s="1067"/>
      <c r="P163" s="1067"/>
      <c r="Q163" s="1067">
        <v>5</v>
      </c>
      <c r="R163" s="1067"/>
      <c r="S163" s="1067"/>
      <c r="T163" s="1067">
        <v>6</v>
      </c>
      <c r="U163" s="1067"/>
      <c r="V163" s="1067"/>
      <c r="W163" s="1067">
        <v>7</v>
      </c>
      <c r="X163" s="1067"/>
      <c r="Y163" s="1067"/>
      <c r="Z163" s="1067">
        <v>8</v>
      </c>
      <c r="AA163" s="1067"/>
      <c r="AB163" s="1067"/>
      <c r="AC163" s="1067">
        <v>9</v>
      </c>
      <c r="AD163" s="1067"/>
      <c r="AE163" s="1067"/>
      <c r="AF163" s="1067">
        <v>10</v>
      </c>
      <c r="AG163" s="846"/>
      <c r="AH163" s="1067"/>
      <c r="AJ163" s="1068"/>
      <c r="AK163" s="846"/>
      <c r="AL163" s="846"/>
      <c r="AM163" s="846"/>
      <c r="AN163" s="846"/>
      <c r="AO163" s="846"/>
      <c r="AP163" s="846"/>
      <c r="AT163" s="1068" t="s">
        <v>113</v>
      </c>
      <c r="AW163" s="1069"/>
      <c r="BB163" s="1069"/>
      <c r="BE163" s="1069"/>
      <c r="BH163" s="1069"/>
      <c r="BK163" s="1069"/>
      <c r="BN163" s="1069"/>
      <c r="BQ163" s="1069"/>
      <c r="BT163" s="1069"/>
      <c r="BW163" s="1069"/>
      <c r="BZ163" s="1069"/>
      <c r="CC163" s="1069"/>
    </row>
    <row r="164" spans="1:81" s="1065" customFormat="1" hidden="1" x14ac:dyDescent="0.2">
      <c r="A164" s="1070">
        <v>1</v>
      </c>
      <c r="B164" s="1070" t="str">
        <f>E93</f>
        <v>SC Midlands KP White</v>
      </c>
      <c r="C164" s="1070">
        <f>VLOOKUP(B164,AU$3:AY$33,3,FALSE)</f>
        <v>1210.0364093066682</v>
      </c>
      <c r="D164" s="1070">
        <f>IF(B157,B172,IF(D157,D172,C164))</f>
        <v>1223.8795699969048</v>
      </c>
      <c r="E164" s="1070"/>
      <c r="F164" s="1070"/>
      <c r="G164" s="1070">
        <f>IF(E157,E172,IF(G157,G172,D164))</f>
        <v>1223.8795699969048</v>
      </c>
      <c r="H164" s="1070"/>
      <c r="I164" s="1070"/>
      <c r="J164" s="1070">
        <f>IF(H157,H172,IF(J157,J172,G164))</f>
        <v>1210.4201464947857</v>
      </c>
      <c r="K164" s="1070"/>
      <c r="L164" s="1070"/>
      <c r="M164" s="1070"/>
      <c r="N164" s="1070">
        <f>IF(L157,L172,IF(N157,N172,J164))</f>
        <v>1223.1492103984283</v>
      </c>
      <c r="O164" s="1070"/>
      <c r="P164" s="1070"/>
      <c r="Q164" s="1070">
        <f>IF(O157,O172,IF(Q157,Q172,N164))</f>
        <v>1223.1492103984283</v>
      </c>
      <c r="R164" s="1070"/>
      <c r="S164" s="1070"/>
      <c r="T164" s="1070">
        <f>IF(R157,R172,IF(T157,T172,Q164))</f>
        <v>1210.7113361544355</v>
      </c>
      <c r="U164" s="1070"/>
      <c r="V164" s="1070"/>
      <c r="W164" s="1070">
        <f>IF(U157,U172,IF(W157,W172,T164))</f>
        <v>1210.7113361544355</v>
      </c>
      <c r="X164" s="1070"/>
      <c r="Y164" s="1070"/>
      <c r="Z164" s="1070">
        <f>IF(X157,X172,IF(Z157,Z172,W164))</f>
        <v>1210.7113361544355</v>
      </c>
      <c r="AA164" s="1070"/>
      <c r="AB164" s="1070"/>
      <c r="AC164" s="1070">
        <f>IF(AA157,AA172,IF(AC157,AC172,Z164))</f>
        <v>1210.7113361544355</v>
      </c>
      <c r="AD164" s="1070"/>
      <c r="AE164" s="1070"/>
      <c r="AF164" s="1070">
        <f>IF(AD157,AD172,IF(AF157,AF172,AC164))</f>
        <v>1210.7113361544355</v>
      </c>
      <c r="AG164" s="846"/>
      <c r="AH164" s="846"/>
      <c r="AK164" s="846"/>
      <c r="AL164" s="846"/>
      <c r="AM164" s="846"/>
      <c r="AN164" s="846"/>
      <c r="AO164" s="846"/>
      <c r="AP164" s="846"/>
      <c r="AT164" s="1065" t="str">
        <f>B164</f>
        <v>SC Midlands KP White</v>
      </c>
      <c r="AU164" s="1065">
        <f>AF164</f>
        <v>1210.7113361544355</v>
      </c>
      <c r="AW164" s="1069"/>
      <c r="BB164" s="1069"/>
      <c r="BE164" s="1069"/>
      <c r="BH164" s="1069"/>
      <c r="BK164" s="1069"/>
      <c r="BN164" s="1069"/>
      <c r="BQ164" s="1069"/>
      <c r="BT164" s="1069"/>
      <c r="BW164" s="1069"/>
      <c r="BZ164" s="1069"/>
      <c r="CC164" s="1069"/>
    </row>
    <row r="165" spans="1:81" s="1065" customFormat="1" hidden="1" x14ac:dyDescent="0.2">
      <c r="A165" s="1070">
        <v>2</v>
      </c>
      <c r="B165" s="1070" t="str">
        <f>E95</f>
        <v>SC Midlands KP Boys</v>
      </c>
      <c r="C165" s="1070">
        <f>VLOOKUP(B165,AU$3:AY$33,3,FALSE)</f>
        <v>1268.8246362009256</v>
      </c>
      <c r="D165" s="1070">
        <f>IF(B158,B172,IF(D158,D172,C165))</f>
        <v>1268.8246362009256</v>
      </c>
      <c r="E165" s="1070"/>
      <c r="F165" s="1070"/>
      <c r="G165" s="1070">
        <f>IF(E158,E172,IF(G158,G172,D165))</f>
        <v>1279.518280174751</v>
      </c>
      <c r="H165" s="1070"/>
      <c r="I165" s="1070"/>
      <c r="J165" s="1070">
        <f>IF(H158,H172,IF(J158,J172,G165))</f>
        <v>1292.9777036768701</v>
      </c>
      <c r="K165" s="1070"/>
      <c r="L165" s="1070"/>
      <c r="M165" s="1070"/>
      <c r="N165" s="1070">
        <f>IF(L158,L172,IF(N158,N172,J165))</f>
        <v>1292.9777036768701</v>
      </c>
      <c r="O165" s="1070"/>
      <c r="P165" s="1070"/>
      <c r="Q165" s="1070">
        <f>IF(O158,O172,IF(Q158,Q172,N165))</f>
        <v>1301.8171643968469</v>
      </c>
      <c r="R165" s="1070"/>
      <c r="S165" s="1070"/>
      <c r="T165" s="1070">
        <f>IF(R158,R172,IF(T158,T172,Q165))</f>
        <v>1314.2550386408398</v>
      </c>
      <c r="U165" s="1070"/>
      <c r="V165" s="1070"/>
      <c r="W165" s="1070">
        <f>IF(U158,U172,IF(W158,W172,T165))</f>
        <v>1314.2550386408398</v>
      </c>
      <c r="X165" s="1070"/>
      <c r="Y165" s="1070"/>
      <c r="Z165" s="1070">
        <f>IF(X158,X172,IF(Z158,Z172,W165))</f>
        <v>1314.2550386408398</v>
      </c>
      <c r="AA165" s="1070"/>
      <c r="AB165" s="1070"/>
      <c r="AC165" s="1070">
        <f>IF(AA158,AA172,IF(AC158,AC172,Z165))</f>
        <v>1314.2550386408398</v>
      </c>
      <c r="AD165" s="1070"/>
      <c r="AE165" s="1070"/>
      <c r="AF165" s="1070">
        <f>IF(AD158,AD172,IF(AF158,AF172,AC165))</f>
        <v>1314.2550386408398</v>
      </c>
      <c r="AG165" s="846"/>
      <c r="AH165" s="846"/>
      <c r="AK165" s="846"/>
      <c r="AM165" s="846"/>
      <c r="AN165" s="846"/>
      <c r="AO165" s="846"/>
      <c r="AP165" s="846"/>
      <c r="AT165" s="1065" t="str">
        <f>B165</f>
        <v>SC Midlands KP Boys</v>
      </c>
      <c r="AU165" s="1065">
        <f>AF165</f>
        <v>1314.2550386408398</v>
      </c>
      <c r="AW165" s="1069"/>
      <c r="BB165" s="1069"/>
      <c r="BE165" s="1069"/>
      <c r="BH165" s="1069"/>
      <c r="BK165" s="1069"/>
      <c r="BN165" s="1069"/>
      <c r="BQ165" s="1069"/>
      <c r="BT165" s="1069"/>
      <c r="BW165" s="1069"/>
      <c r="BZ165" s="1069"/>
      <c r="CC165" s="1069"/>
    </row>
    <row r="166" spans="1:81" s="1065" customFormat="1" hidden="1" x14ac:dyDescent="0.2">
      <c r="A166" s="1070">
        <v>3</v>
      </c>
      <c r="B166" s="1070" t="str">
        <f>E97</f>
        <v>C1VB Juniors Grey</v>
      </c>
      <c r="C166" s="1070">
        <f>VLOOKUP(B166,AU$3:AY$33,3,FALSE)</f>
        <v>1162.9144133651291</v>
      </c>
      <c r="D166" s="1070">
        <f>IF(B159,B172,IF(D159,D172,C166))</f>
        <v>1149.0712526748925</v>
      </c>
      <c r="E166" s="1070"/>
      <c r="F166" s="1070"/>
      <c r="G166" s="1070">
        <f>IF(E159,E172,IF(G159,G172,D166))</f>
        <v>1138.3776087010672</v>
      </c>
      <c r="H166" s="1070"/>
      <c r="I166" s="1070"/>
      <c r="J166" s="1070">
        <f>IF(H159,H172,IF(J159,J172,G166))</f>
        <v>1138.3776087010672</v>
      </c>
      <c r="K166" s="1070"/>
      <c r="L166" s="1070"/>
      <c r="M166" s="1070"/>
      <c r="N166" s="1070">
        <f>IF(L159,L172,IF(N159,N172,J166))</f>
        <v>1125.6485447974246</v>
      </c>
      <c r="O166" s="1070"/>
      <c r="P166" s="1070"/>
      <c r="Q166" s="1070">
        <f>IF(O159,O172,IF(Q159,Q172,N166))</f>
        <v>1116.8090840774478</v>
      </c>
      <c r="R166" s="1070"/>
      <c r="S166" s="1070"/>
      <c r="T166" s="1070">
        <f>IF(R159,R172,IF(T159,T172,Q166))</f>
        <v>1116.8090840774478</v>
      </c>
      <c r="U166" s="1070"/>
      <c r="V166" s="1070"/>
      <c r="W166" s="1070">
        <f>IF(U159,U172,IF(W159,W172,T166))</f>
        <v>1116.8090840774478</v>
      </c>
      <c r="X166" s="1070"/>
      <c r="Y166" s="1070"/>
      <c r="Z166" s="1070">
        <f>IF(X159,X172,IF(Z159,Z172,W166))</f>
        <v>1116.8090840774478</v>
      </c>
      <c r="AA166" s="1070"/>
      <c r="AB166" s="1070"/>
      <c r="AC166" s="1070">
        <f>IF(AA159,AA172,IF(AC159,AC172,Z166))</f>
        <v>1116.8090840774478</v>
      </c>
      <c r="AD166" s="1070"/>
      <c r="AE166" s="1070"/>
      <c r="AF166" s="1070">
        <f>IF(AD159,AD172,IF(AF159,AF172,AC166))</f>
        <v>1116.8090840774478</v>
      </c>
      <c r="AG166" s="846"/>
      <c r="AH166" s="846"/>
      <c r="AK166" s="846"/>
      <c r="AM166" s="846"/>
      <c r="AN166" s="846"/>
      <c r="AO166" s="846"/>
      <c r="AP166" s="846"/>
      <c r="AT166" s="1065" t="str">
        <f>B166</f>
        <v>C1VB Juniors Grey</v>
      </c>
      <c r="AU166" s="1065">
        <f>AF166</f>
        <v>1116.8090840774478</v>
      </c>
      <c r="AW166" s="1069"/>
      <c r="BB166" s="1069"/>
      <c r="BE166" s="1069"/>
      <c r="BH166" s="1069"/>
      <c r="BK166" s="1069"/>
      <c r="BN166" s="1069"/>
      <c r="BQ166" s="1069"/>
      <c r="BT166" s="1069"/>
      <c r="BW166" s="1069"/>
      <c r="BZ166" s="1069"/>
      <c r="CC166" s="1069"/>
    </row>
    <row r="167" spans="1:81" s="1065" customFormat="1" hidden="1" x14ac:dyDescent="0.2">
      <c r="A167" s="1070">
        <v>4</v>
      </c>
      <c r="B167" s="1070">
        <f>E99</f>
        <v>0</v>
      </c>
      <c r="C167" s="1070" t="e">
        <f>VLOOKUP(B167,AU$3:AY$33,3,FALSE)</f>
        <v>#N/A</v>
      </c>
      <c r="D167" s="1070" t="e">
        <f>IF(B160,B172,IF(D160,D172,C167))</f>
        <v>#N/A</v>
      </c>
      <c r="E167" s="1070"/>
      <c r="F167" s="1070"/>
      <c r="G167" s="1070" t="e">
        <f>IF(E160,E172,IF(G160,G172,D167))</f>
        <v>#N/A</v>
      </c>
      <c r="H167" s="1070"/>
      <c r="I167" s="1070"/>
      <c r="J167" s="1070" t="e">
        <f>IF(H160,H172,IF(J160,J172,G167))</f>
        <v>#N/A</v>
      </c>
      <c r="K167" s="1070"/>
      <c r="L167" s="1070"/>
      <c r="M167" s="1070"/>
      <c r="N167" s="1070" t="e">
        <f>IF(L160,L172,IF(N160,N172,J167))</f>
        <v>#N/A</v>
      </c>
      <c r="O167" s="1070"/>
      <c r="P167" s="1070"/>
      <c r="Q167" s="1070" t="e">
        <f>IF(O160,O172,IF(Q160,Q172,N167))</f>
        <v>#N/A</v>
      </c>
      <c r="R167" s="1070"/>
      <c r="S167" s="1070"/>
      <c r="T167" s="1070" t="e">
        <f>IF(R160,R172,IF(T160,T172,Q167))</f>
        <v>#N/A</v>
      </c>
      <c r="U167" s="1070"/>
      <c r="V167" s="1070"/>
      <c r="W167" s="1070" t="e">
        <f>IF(U160,U172,IF(W160,W172,T167))</f>
        <v>#N/A</v>
      </c>
      <c r="X167" s="1070"/>
      <c r="Y167" s="1070"/>
      <c r="Z167" s="1070" t="e">
        <f>IF(X160,X172,IF(Z160,Z172,W167))</f>
        <v>#N/A</v>
      </c>
      <c r="AA167" s="1070"/>
      <c r="AB167" s="1070"/>
      <c r="AC167" s="1070" t="e">
        <f>IF(AA160,AA172,IF(AC160,AC172,Z167))</f>
        <v>#N/A</v>
      </c>
      <c r="AD167" s="1070"/>
      <c r="AE167" s="1070"/>
      <c r="AF167" s="1070" t="e">
        <f>IF(AD160,AD172,IF(AF160,AF172,AC167))</f>
        <v>#N/A</v>
      </c>
      <c r="AG167" s="846"/>
      <c r="AH167" s="846"/>
      <c r="AK167" s="846"/>
      <c r="AM167" s="846"/>
      <c r="AN167" s="846"/>
      <c r="AO167" s="846"/>
      <c r="AP167" s="846"/>
      <c r="AT167" s="1065">
        <f>B167</f>
        <v>0</v>
      </c>
      <c r="AU167" s="1065" t="e">
        <f>AF167</f>
        <v>#N/A</v>
      </c>
      <c r="AW167" s="1069"/>
      <c r="BB167" s="1069"/>
      <c r="BE167" s="1069"/>
      <c r="BH167" s="1069"/>
      <c r="BK167" s="1069"/>
      <c r="BN167" s="1069"/>
      <c r="BQ167" s="1069"/>
      <c r="BT167" s="1069"/>
      <c r="BW167" s="1069"/>
      <c r="BZ167" s="1069"/>
      <c r="CC167" s="1069"/>
    </row>
    <row r="168" spans="1:81" s="1065" customFormat="1" hidden="1" x14ac:dyDescent="0.2">
      <c r="A168" s="1070">
        <v>5</v>
      </c>
      <c r="B168" s="1070">
        <f>E101</f>
        <v>0</v>
      </c>
      <c r="C168" s="1070" t="e">
        <f>VLOOKUP(B168,AU$3:AY$33,3,FALSE)</f>
        <v>#N/A</v>
      </c>
      <c r="D168" s="1070" t="e">
        <f>IF(B161,B172,IF(D161,D172,C168))</f>
        <v>#N/A</v>
      </c>
      <c r="E168" s="1070"/>
      <c r="F168" s="1070"/>
      <c r="G168" s="1070" t="e">
        <f>IF(E161,E172,IF(G161,G172,D168))</f>
        <v>#N/A</v>
      </c>
      <c r="H168" s="1070"/>
      <c r="I168" s="1070"/>
      <c r="J168" s="1070" t="e">
        <f>IF(H161,H172,IF(J161,J172,G168))</f>
        <v>#N/A</v>
      </c>
      <c r="K168" s="1070"/>
      <c r="L168" s="1070"/>
      <c r="M168" s="1070"/>
      <c r="N168" s="1070" t="e">
        <f>IF(L161,L172,IF(N161,N172,J168))</f>
        <v>#N/A</v>
      </c>
      <c r="O168" s="1070"/>
      <c r="P168" s="1070"/>
      <c r="Q168" s="1070" t="e">
        <f>IF(O161,O172,IF(Q161,Q172,N168))</f>
        <v>#N/A</v>
      </c>
      <c r="R168" s="1070"/>
      <c r="S168" s="1070"/>
      <c r="T168" s="1070" t="e">
        <f>IF(R161,R172,IF(T161,T172,Q168))</f>
        <v>#N/A</v>
      </c>
      <c r="U168" s="1070"/>
      <c r="V168" s="1070"/>
      <c r="W168" s="1070" t="e">
        <f>IF(U161,U172,IF(W161,W172,T168))</f>
        <v>#N/A</v>
      </c>
      <c r="X168" s="1070"/>
      <c r="Y168" s="1070"/>
      <c r="Z168" s="1070" t="e">
        <f>IF(X161,X172,IF(Z161,Z172,W168))</f>
        <v>#N/A</v>
      </c>
      <c r="AA168" s="1070"/>
      <c r="AB168" s="1070"/>
      <c r="AC168" s="1070" t="e">
        <f>IF(AA161,AA172,IF(AC161,AC172,Z168))</f>
        <v>#N/A</v>
      </c>
      <c r="AD168" s="1070"/>
      <c r="AE168" s="1070"/>
      <c r="AF168" s="1070" t="e">
        <f>IF(AD161,AD172,IF(AF161,AF172,AC168))</f>
        <v>#N/A</v>
      </c>
      <c r="AG168" s="846"/>
      <c r="AH168" s="846"/>
      <c r="AK168" s="846"/>
      <c r="AM168" s="846"/>
      <c r="AN168" s="846"/>
      <c r="AO168" s="846"/>
      <c r="AP168" s="846"/>
      <c r="AT168" s="1065">
        <f>B168</f>
        <v>0</v>
      </c>
      <c r="AU168" s="1065" t="e">
        <f>AF168</f>
        <v>#N/A</v>
      </c>
      <c r="AW168" s="1069"/>
      <c r="BB168" s="1069"/>
      <c r="BE168" s="1069"/>
      <c r="BH168" s="1069"/>
      <c r="BK168" s="1069"/>
      <c r="BN168" s="1069"/>
      <c r="BQ168" s="1069"/>
      <c r="BT168" s="1069"/>
      <c r="BW168" s="1069"/>
      <c r="BZ168" s="1069"/>
      <c r="CC168" s="1069"/>
    </row>
    <row r="169" spans="1:81" s="1065" customFormat="1" hidden="1" x14ac:dyDescent="0.2">
      <c r="A169" s="1070"/>
      <c r="B169" s="1070"/>
      <c r="C169" s="1070"/>
      <c r="D169" s="1070"/>
      <c r="E169" s="1070"/>
      <c r="F169" s="1070"/>
      <c r="G169" s="1070"/>
      <c r="H169" s="1070"/>
      <c r="I169" s="1070"/>
      <c r="J169" s="1070"/>
      <c r="K169" s="1070"/>
      <c r="L169" s="1070"/>
      <c r="M169" s="1070"/>
      <c r="N169" s="1070"/>
      <c r="O169" s="1070"/>
      <c r="P169" s="1070"/>
      <c r="Q169" s="1070"/>
      <c r="R169" s="1070"/>
      <c r="S169" s="1070"/>
      <c r="T169" s="1070"/>
      <c r="U169" s="1070"/>
      <c r="V169" s="1070"/>
      <c r="W169" s="1070"/>
      <c r="X169" s="1070"/>
      <c r="Y169" s="1070"/>
      <c r="Z169" s="1070"/>
      <c r="AA169" s="1070"/>
      <c r="AB169" s="1070"/>
      <c r="AC169" s="1070"/>
      <c r="AD169" s="1070"/>
      <c r="AE169" s="1070"/>
      <c r="AF169" s="1070"/>
      <c r="AG169" s="846"/>
      <c r="AH169" s="846"/>
      <c r="AK169" s="846"/>
      <c r="AM169" s="846"/>
      <c r="AN169" s="846"/>
      <c r="AO169" s="846"/>
      <c r="AP169" s="846"/>
      <c r="AW169" s="1069"/>
      <c r="BB169" s="1069"/>
      <c r="BE169" s="1069"/>
      <c r="BH169" s="1069"/>
      <c r="BK169" s="1069"/>
      <c r="BN169" s="1069"/>
      <c r="BQ169" s="1069"/>
      <c r="BT169" s="1069"/>
      <c r="BW169" s="1069"/>
      <c r="BZ169" s="1069"/>
      <c r="CC169" s="1069"/>
    </row>
    <row r="170" spans="1:81" s="1065" customFormat="1" hidden="1" x14ac:dyDescent="0.2">
      <c r="A170" s="1070" t="s">
        <v>114</v>
      </c>
      <c r="B170" s="1070">
        <f>VLOOKUP(B109,$A164:$AF168,3,FALSE)</f>
        <v>1210.0364093066682</v>
      </c>
      <c r="C170" s="1070">
        <v>1</v>
      </c>
      <c r="D170" s="1070">
        <f>VLOOKUP(D109,$A164:$AF168,3,FALSE)</f>
        <v>1162.9144133651291</v>
      </c>
      <c r="E170" s="1070">
        <f>VLOOKUP(E109,$A164:$AF168,4,FALSE)</f>
        <v>1268.8246362009256</v>
      </c>
      <c r="F170" s="1070">
        <v>2</v>
      </c>
      <c r="G170" s="1070">
        <f>VLOOKUP(G109,$A164:$AF168,4,FALSE)</f>
        <v>1149.0712526748925</v>
      </c>
      <c r="H170" s="1070">
        <f>VLOOKUP(H109,$A164:$AF168,7,FALSE)</f>
        <v>1223.8795699969048</v>
      </c>
      <c r="I170" s="1070">
        <v>3</v>
      </c>
      <c r="J170" s="1070">
        <f>VLOOKUP(J109,$A164:$AF168,7,FALSE)</f>
        <v>1279.518280174751</v>
      </c>
      <c r="K170" s="1070"/>
      <c r="L170" s="1070">
        <f>VLOOKUP(L109,$A164:$AF168,10,FALSE)</f>
        <v>1210.4201464947857</v>
      </c>
      <c r="M170" s="1070">
        <v>4</v>
      </c>
      <c r="N170" s="1070">
        <f>VLOOKUP(N109,$A164:$AF168,10,FALSE)</f>
        <v>1138.3776087010672</v>
      </c>
      <c r="O170" s="1070">
        <f>VLOOKUP(O109,$A164:$AF168,14,FALSE)</f>
        <v>1292.9777036768701</v>
      </c>
      <c r="P170" s="1070">
        <v>5</v>
      </c>
      <c r="Q170" s="1070">
        <f>VLOOKUP(Q109,$A164:$AF168,14,FALSE)</f>
        <v>1125.6485447974246</v>
      </c>
      <c r="R170" s="1070">
        <f>VLOOKUP(R109,$A164:$AF168,17,FALSE)</f>
        <v>1223.1492103984283</v>
      </c>
      <c r="S170" s="1070">
        <v>6</v>
      </c>
      <c r="T170" s="1070">
        <f>VLOOKUP(T109,$A164:$AF168,17,FALSE)</f>
        <v>1301.8171643968469</v>
      </c>
      <c r="U170" s="1070">
        <f>VLOOKUP(U109,$A164:$AF168,20,FALSE)</f>
        <v>1314.2550386408398</v>
      </c>
      <c r="V170" s="1070">
        <v>7</v>
      </c>
      <c r="W170" s="1070">
        <f>VLOOKUP(W109,$A164:$AF168,20,FALSE)</f>
        <v>1116.8090840774478</v>
      </c>
      <c r="X170" s="1070">
        <f>VLOOKUP(X109,$A164:$AF168,23,FALSE)</f>
        <v>1210.7113361544355</v>
      </c>
      <c r="Y170" s="1070">
        <v>8</v>
      </c>
      <c r="Z170" s="1070" t="e">
        <f>VLOOKUP(Z109,$A164:$AF168,23,FALSE)</f>
        <v>#N/A</v>
      </c>
      <c r="AA170" s="1070">
        <f>VLOOKUP(AA109,$A164:$AF168,26,FALSE)</f>
        <v>1116.8090840774478</v>
      </c>
      <c r="AB170" s="1070">
        <v>9</v>
      </c>
      <c r="AC170" s="1070" t="e">
        <f>VLOOKUP(AC109,$A164:$AF168,26,FALSE)</f>
        <v>#N/A</v>
      </c>
      <c r="AD170" s="1070">
        <f>VLOOKUP(AD109,$A164:$AF168,29,FALSE)</f>
        <v>1210.7113361544355</v>
      </c>
      <c r="AE170" s="1070">
        <v>10</v>
      </c>
      <c r="AF170" s="1070">
        <f>VLOOKUP(AF109,$A164:$AF168,29,FALSE)</f>
        <v>1314.2550386408398</v>
      </c>
      <c r="AG170" s="846"/>
      <c r="AH170" s="1063"/>
      <c r="AI170" s="1063"/>
      <c r="AJ170" s="1063"/>
      <c r="AK170" s="1063"/>
      <c r="AL170" s="1063"/>
      <c r="AM170" s="1063"/>
      <c r="AN170" s="1063"/>
      <c r="AO170" s="1064"/>
      <c r="AP170" s="1064"/>
      <c r="AQ170" s="1064"/>
      <c r="AR170" s="1064"/>
      <c r="AW170" s="1069"/>
      <c r="BB170" s="1069"/>
      <c r="BE170" s="1069"/>
      <c r="BH170" s="1069"/>
      <c r="BK170" s="1069"/>
      <c r="BN170" s="1069"/>
      <c r="BQ170" s="1069"/>
      <c r="BT170" s="1069"/>
      <c r="BW170" s="1069"/>
      <c r="BZ170" s="1069"/>
      <c r="CC170" s="1069"/>
    </row>
    <row r="171" spans="1:81" s="1075" customFormat="1" hidden="1" x14ac:dyDescent="0.2">
      <c r="A171" s="1071" t="s">
        <v>115</v>
      </c>
      <c r="B171" s="1071">
        <f>1/(1+(10^-((B170-D170)/400)))*(B121+D121)</f>
        <v>0.56740122843010543</v>
      </c>
      <c r="C171" s="1071"/>
      <c r="D171" s="1071">
        <f>1/(1+(10^-((D170-B170)/400)))*(B121+D121)</f>
        <v>0.43259877156989462</v>
      </c>
      <c r="E171" s="1071">
        <f>1/(1+(10^-((E170-G170)/400)))*(E121+G121)</f>
        <v>0.66582362581795795</v>
      </c>
      <c r="F171" s="1071"/>
      <c r="G171" s="1071">
        <f>1/(1+(10^-((G170-E170)/400)))*(E121+G121)</f>
        <v>0.3341763741820421</v>
      </c>
      <c r="H171" s="1071">
        <f>1/(1+(10^-((H170-J170)/400)))*(H121+J121)</f>
        <v>0.42060698444121947</v>
      </c>
      <c r="I171" s="1071"/>
      <c r="J171" s="1071">
        <f>1/(1+(10^-((J170-H170)/400)))*(H121+J121)</f>
        <v>0.57939301555878053</v>
      </c>
      <c r="K171" s="1071"/>
      <c r="L171" s="1071">
        <f>1/(1+(10^-((L170-N170)/400)))*(L121+N121)</f>
        <v>0.60221675301116795</v>
      </c>
      <c r="M171" s="1071"/>
      <c r="N171" s="1071">
        <f>1/(1+(10^-((N170-L170)/400)))*(L121+N121)</f>
        <v>0.39778324698883211</v>
      </c>
      <c r="O171" s="1071">
        <f>1/(1+(10^-((O170-Q170)/400)))*(O121+Q121)</f>
        <v>0.7237668525007247</v>
      </c>
      <c r="P171" s="1071"/>
      <c r="Q171" s="1071">
        <f>1/(1+(10^-((Q170-O170)/400)))*(O121+Q121)</f>
        <v>0.27623314749927524</v>
      </c>
      <c r="R171" s="1071">
        <f>1/(1+(10^-((R170-T170)/400)))*(R121+T121)</f>
        <v>0.38868357012477561</v>
      </c>
      <c r="S171" s="1071"/>
      <c r="T171" s="1071">
        <f>1/(1+(10^-((T170-R170)/400)))*(R121+T121)</f>
        <v>0.61131642987522439</v>
      </c>
      <c r="U171" s="1071">
        <f>1/(1+(10^-((U170-W170)/400)))*(U121+W121)</f>
        <v>0</v>
      </c>
      <c r="V171" s="1071"/>
      <c r="W171" s="1071">
        <f>1/(1+(10^-((W170-U170)/400)))*(U121+W121)</f>
        <v>0</v>
      </c>
      <c r="X171" s="1071" t="e">
        <f>1/(1+(10^-((X170-Z170)/400)))*(X121+Z121)</f>
        <v>#N/A</v>
      </c>
      <c r="Y171" s="1071"/>
      <c r="Z171" s="1071" t="e">
        <f>1/(1+(10^-((Z170-X170)/400)))*(X121+Z121)</f>
        <v>#N/A</v>
      </c>
      <c r="AA171" s="1071" t="e">
        <f>1/(1+(10^-((AA170-AC170)/400)))*(AA121+AC121)</f>
        <v>#N/A</v>
      </c>
      <c r="AB171" s="1071"/>
      <c r="AC171" s="1071" t="e">
        <f>1/(1+(10^-((AC170-AA170)/400)))*(AA121+AC121)</f>
        <v>#N/A</v>
      </c>
      <c r="AD171" s="1071">
        <f>1/(1+(10^-((AD170-AF170)/400)))*(AD121+AF121)</f>
        <v>0</v>
      </c>
      <c r="AE171" s="1071"/>
      <c r="AF171" s="1071">
        <f>1/(1+(10^-((AF170-AD170)/400)))*(AD121+AF121)</f>
        <v>0</v>
      </c>
      <c r="AG171" s="1072"/>
      <c r="AH171" s="1073"/>
      <c r="AI171" s="1073"/>
      <c r="AJ171" s="1073"/>
      <c r="AK171" s="1073"/>
      <c r="AL171" s="1073"/>
      <c r="AM171" s="1073"/>
      <c r="AN171" s="1073"/>
      <c r="AO171" s="1074"/>
      <c r="AP171" s="1074"/>
      <c r="AQ171" s="1074"/>
      <c r="AR171" s="1074"/>
      <c r="AW171" s="1076"/>
      <c r="BB171" s="1076"/>
      <c r="BE171" s="1076"/>
      <c r="BH171" s="1076"/>
      <c r="BK171" s="1076"/>
      <c r="BN171" s="1076"/>
      <c r="BQ171" s="1076"/>
      <c r="BT171" s="1076"/>
      <c r="BW171" s="1076"/>
      <c r="BZ171" s="1076"/>
      <c r="CC171" s="1076"/>
    </row>
    <row r="172" spans="1:81" s="1081" customFormat="1" hidden="1" x14ac:dyDescent="0.2">
      <c r="A172" s="1077" t="s">
        <v>116</v>
      </c>
      <c r="B172" s="1077">
        <f>B170+(B121-B171)*$BA$1</f>
        <v>1223.8795699969048</v>
      </c>
      <c r="C172" s="1077"/>
      <c r="D172" s="1077">
        <f>D170+(D121-D171)*$BA$1</f>
        <v>1149.0712526748925</v>
      </c>
      <c r="E172" s="1077">
        <f>E170+(E121-E171)*$BA$1</f>
        <v>1279.518280174751</v>
      </c>
      <c r="F172" s="1077"/>
      <c r="G172" s="1077">
        <f>G170+(G121-G171)*$BA$1</f>
        <v>1138.3776087010672</v>
      </c>
      <c r="H172" s="1077">
        <f>H170+(H121-H171)*$BA$1</f>
        <v>1210.4201464947857</v>
      </c>
      <c r="I172" s="1077"/>
      <c r="J172" s="1077">
        <f>J170+(J121-J171)*$BA$1</f>
        <v>1292.9777036768701</v>
      </c>
      <c r="K172" s="1077"/>
      <c r="L172" s="1077">
        <f>L170+(L121-L171)*$BA$1</f>
        <v>1223.1492103984283</v>
      </c>
      <c r="M172" s="1077"/>
      <c r="N172" s="1077">
        <f>N170+(N121-N171)*$BA$1</f>
        <v>1125.6485447974246</v>
      </c>
      <c r="O172" s="1077">
        <f>O170+(O121-O171)*$BA$1</f>
        <v>1301.8171643968469</v>
      </c>
      <c r="P172" s="1077"/>
      <c r="Q172" s="1077">
        <f>Q170+(Q121-Q171)*$BA$1</f>
        <v>1116.8090840774478</v>
      </c>
      <c r="R172" s="1077">
        <f>R170+(R121-R171)*$BA$1</f>
        <v>1210.7113361544355</v>
      </c>
      <c r="S172" s="1077"/>
      <c r="T172" s="1077">
        <f>T170+(T121-T171)*$BA$1</f>
        <v>1314.2550386408398</v>
      </c>
      <c r="U172" s="1077">
        <f>U170+(U121-U171)*$BA$1</f>
        <v>1314.2550386408398</v>
      </c>
      <c r="V172" s="1077"/>
      <c r="W172" s="1077">
        <f>W170+(W121-W171)*$BA$1</f>
        <v>1116.8090840774478</v>
      </c>
      <c r="X172" s="1077" t="e">
        <f>X170+(X121-X171)*$BA$1</f>
        <v>#N/A</v>
      </c>
      <c r="Y172" s="1077"/>
      <c r="Z172" s="1077" t="e">
        <f>Z170+(Z121-Z171)*$BA$1</f>
        <v>#N/A</v>
      </c>
      <c r="AA172" s="1077" t="e">
        <f>AA170+(AA121-AA171)*$BA$1</f>
        <v>#N/A</v>
      </c>
      <c r="AB172" s="1077"/>
      <c r="AC172" s="1077" t="e">
        <f>AC170+(AC121-AC171)*$BA$1</f>
        <v>#N/A</v>
      </c>
      <c r="AD172" s="1077">
        <f>AD170+(AD121-AD171)*$BA$1</f>
        <v>1210.7113361544355</v>
      </c>
      <c r="AE172" s="1077"/>
      <c r="AF172" s="1077">
        <f>AF170+(AF121-AF171)*$BA$1</f>
        <v>1314.2550386408398</v>
      </c>
      <c r="AG172" s="1078"/>
      <c r="AH172" s="1079"/>
      <c r="AI172" s="1079"/>
      <c r="AJ172" s="1079"/>
      <c r="AK172" s="1079"/>
      <c r="AL172" s="1079"/>
      <c r="AM172" s="1079"/>
      <c r="AN172" s="1079"/>
      <c r="AO172" s="1080"/>
      <c r="AP172" s="1080"/>
      <c r="AQ172" s="1080"/>
      <c r="AR172" s="1080"/>
      <c r="AW172" s="1082"/>
      <c r="BB172" s="1082"/>
      <c r="BE172" s="1082"/>
      <c r="BH172" s="1082"/>
      <c r="BK172" s="1082"/>
      <c r="BN172" s="1082"/>
      <c r="BQ172" s="1082"/>
      <c r="BT172" s="1082"/>
      <c r="BW172" s="1082"/>
      <c r="BZ172" s="1082"/>
      <c r="CC172" s="1082"/>
    </row>
    <row r="173" spans="1:81" s="1081" customFormat="1" hidden="1" x14ac:dyDescent="0.2">
      <c r="A173" s="1077"/>
      <c r="B173" s="1077"/>
      <c r="C173" s="1077"/>
      <c r="D173" s="1077"/>
      <c r="E173" s="1077"/>
      <c r="F173" s="1077"/>
      <c r="G173" s="1077"/>
      <c r="H173" s="1077"/>
      <c r="I173" s="1077"/>
      <c r="J173" s="1077"/>
      <c r="K173" s="1077"/>
      <c r="L173" s="1077"/>
      <c r="M173" s="1077"/>
      <c r="N173" s="1077"/>
      <c r="O173" s="1077"/>
      <c r="P173" s="1077"/>
      <c r="Q173" s="1077"/>
      <c r="R173" s="1077"/>
      <c r="S173" s="1077"/>
      <c r="T173" s="1077"/>
      <c r="U173" s="1077"/>
      <c r="V173" s="1077"/>
      <c r="W173" s="1077"/>
      <c r="X173" s="1077"/>
      <c r="Y173" s="1077"/>
      <c r="Z173" s="1077"/>
      <c r="AA173" s="1077"/>
      <c r="AB173" s="1077"/>
      <c r="AC173" s="1077"/>
      <c r="AD173" s="1077"/>
      <c r="AE173" s="1077"/>
      <c r="AF173" s="1077"/>
      <c r="AG173" s="1078"/>
      <c r="AH173" s="1079"/>
      <c r="AI173" s="1079"/>
      <c r="AJ173" s="1079"/>
      <c r="AK173" s="1079"/>
      <c r="AL173" s="1079"/>
      <c r="AM173" s="1079"/>
      <c r="AN173" s="1079"/>
      <c r="AO173" s="1080"/>
      <c r="AP173" s="1080"/>
      <c r="AQ173" s="1080"/>
      <c r="AR173" s="1080"/>
      <c r="AW173" s="1082"/>
      <c r="BB173" s="1082"/>
      <c r="BE173" s="1082"/>
      <c r="BH173" s="1082"/>
      <c r="BK173" s="1082"/>
      <c r="BN173" s="1082"/>
      <c r="BQ173" s="1082"/>
      <c r="BT173" s="1082"/>
      <c r="BW173" s="1082"/>
      <c r="BZ173" s="1082"/>
      <c r="CC173" s="1082"/>
    </row>
    <row r="174" spans="1:81" s="1065" customFormat="1" x14ac:dyDescent="0.2">
      <c r="A174" s="1083" t="str">
        <f>IF($AL95=1,"Pool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174" s="1083"/>
      <c r="C174" s="1083"/>
      <c r="D174" s="1083"/>
      <c r="E174" s="1083"/>
      <c r="F174" s="1083"/>
      <c r="G174" s="1083"/>
      <c r="H174" s="1083"/>
      <c r="I174" s="1083"/>
      <c r="J174" s="1083"/>
      <c r="K174" s="1083"/>
      <c r="L174" s="1083"/>
      <c r="M174" s="1083"/>
      <c r="N174" s="1083"/>
      <c r="O174" s="1083"/>
      <c r="P174" s="1083"/>
      <c r="Q174" s="1083"/>
      <c r="R174" s="1083"/>
      <c r="S174" s="1083"/>
      <c r="T174" s="1083"/>
      <c r="U174" s="1083"/>
      <c r="V174" s="1083"/>
      <c r="W174" s="1083"/>
      <c r="X174" s="1083"/>
      <c r="Y174" s="1083"/>
      <c r="Z174" s="1083"/>
      <c r="AA174" s="1083"/>
      <c r="AB174" s="1083"/>
      <c r="AC174" s="1083"/>
      <c r="AD174" s="1083"/>
      <c r="AE174" s="1083"/>
      <c r="AF174" s="1083"/>
      <c r="AG174" s="1083"/>
      <c r="AH174" s="1083"/>
      <c r="AI174" s="1083"/>
      <c r="AJ174" s="1083"/>
      <c r="AK174" s="1083"/>
      <c r="AL174" s="1083"/>
      <c r="AM174" s="1083"/>
      <c r="AN174" s="1084"/>
      <c r="AO174" s="1084"/>
      <c r="AP174" s="1084"/>
      <c r="AQ174" s="1084"/>
    </row>
    <row r="175" spans="1:81" s="1065" customFormat="1" x14ac:dyDescent="0.2">
      <c r="A175" s="1085"/>
      <c r="B175" s="1085"/>
      <c r="C175" s="1085"/>
      <c r="D175" s="1085"/>
      <c r="E175" s="1085"/>
      <c r="F175" s="1085"/>
      <c r="G175" s="1085"/>
      <c r="H175" s="1085"/>
      <c r="I175" s="1085"/>
      <c r="J175" s="1085"/>
      <c r="K175" s="1085"/>
      <c r="L175" s="1085"/>
      <c r="M175" s="1085"/>
      <c r="N175" s="1085"/>
      <c r="O175" s="1085"/>
      <c r="P175" s="1085"/>
      <c r="Q175" s="1085"/>
      <c r="R175" s="1085"/>
      <c r="S175" s="1085"/>
      <c r="T175" s="1085"/>
      <c r="U175" s="1085"/>
      <c r="V175" s="1085"/>
      <c r="W175" s="1085"/>
      <c r="X175" s="1085"/>
      <c r="Y175" s="1085"/>
      <c r="Z175" s="1085"/>
      <c r="AA175" s="1085"/>
      <c r="AB175" s="1085"/>
      <c r="AC175" s="1085"/>
      <c r="AD175" s="1085"/>
      <c r="AE175" s="1085"/>
      <c r="AF175" s="1085"/>
      <c r="AG175" s="1085"/>
      <c r="AH175" s="1085"/>
      <c r="AI175" s="1085"/>
      <c r="AJ175" s="1085"/>
      <c r="AK175" s="1085"/>
      <c r="AL175" s="1085"/>
      <c r="AM175" s="1085"/>
      <c r="AN175" s="1085"/>
      <c r="AO175" s="1085"/>
      <c r="AP175" s="1085"/>
      <c r="AQ175" s="1085"/>
      <c r="AR175" s="1085"/>
    </row>
    <row r="176" spans="1:81" ht="21" thickBot="1" x14ac:dyDescent="0.35">
      <c r="A176" s="1089" t="s">
        <v>118</v>
      </c>
      <c r="B176" s="1089"/>
      <c r="C176" s="1089"/>
      <c r="D176" s="1089"/>
      <c r="E176" s="1089"/>
      <c r="F176" s="1089"/>
      <c r="G176" s="1089"/>
      <c r="H176" s="1089"/>
      <c r="I176" s="1089"/>
      <c r="J176" s="1089"/>
      <c r="K176" s="1089"/>
      <c r="L176" s="1089"/>
      <c r="M176" s="1089"/>
      <c r="N176" s="1089"/>
      <c r="O176" s="1089"/>
      <c r="P176" s="1089"/>
      <c r="Q176" s="1089"/>
      <c r="R176" s="1089"/>
      <c r="S176" s="1089"/>
      <c r="T176" s="1089"/>
      <c r="U176" s="1089"/>
      <c r="V176" s="1089"/>
      <c r="W176" s="1089"/>
      <c r="X176" s="1089"/>
      <c r="Y176" s="1089"/>
      <c r="Z176" s="1089"/>
      <c r="AA176" s="1089"/>
      <c r="AB176" s="1089"/>
      <c r="AC176" s="1089"/>
      <c r="AD176" s="1089"/>
      <c r="AE176" s="1089"/>
      <c r="AF176" s="1089"/>
      <c r="AG176" s="1089"/>
      <c r="AH176" s="1089"/>
      <c r="AI176" s="1089"/>
      <c r="AJ176" s="1089"/>
      <c r="AK176" s="1089"/>
      <c r="AL176" s="1089"/>
      <c r="AM176" s="1089"/>
      <c r="AN176" s="1089"/>
      <c r="AO176" s="1089"/>
      <c r="AP176" s="1089"/>
      <c r="AQ176" s="1089"/>
    </row>
    <row r="177" spans="1:53" ht="13.5" thickBot="1" x14ac:dyDescent="0.25">
      <c r="A177" s="1090" t="s">
        <v>119</v>
      </c>
      <c r="B177" s="1091" t="s">
        <v>120</v>
      </c>
      <c r="C177" s="1092"/>
      <c r="D177" s="1092"/>
      <c r="E177" s="1092"/>
      <c r="F177" s="1092"/>
      <c r="G177" s="1092"/>
      <c r="H177" s="1092"/>
      <c r="I177" s="1092"/>
      <c r="J177" s="1092"/>
      <c r="K177" s="1093"/>
      <c r="L177" s="1091" t="s">
        <v>121</v>
      </c>
      <c r="M177" s="1092"/>
      <c r="N177" s="1092"/>
      <c r="O177" s="1092"/>
      <c r="P177" s="1092"/>
      <c r="Q177" s="1092"/>
      <c r="R177" s="1092"/>
      <c r="S177" s="1092"/>
      <c r="T177" s="1092"/>
      <c r="U177" s="1093"/>
      <c r="V177" s="1091" t="s">
        <v>122</v>
      </c>
      <c r="W177" s="1092"/>
      <c r="X177" s="1092"/>
      <c r="Y177" s="1092"/>
      <c r="Z177" s="1092"/>
      <c r="AA177" s="1092"/>
      <c r="AB177" s="1092"/>
      <c r="AC177" s="1092"/>
      <c r="AD177" s="1092"/>
      <c r="AE177" s="1093"/>
      <c r="AF177" s="1091" t="s">
        <v>123</v>
      </c>
      <c r="AG177" s="1092"/>
      <c r="AH177" s="1092"/>
      <c r="AI177" s="1092"/>
      <c r="AJ177" s="1092"/>
      <c r="AK177" s="1092"/>
      <c r="AL177" s="1092"/>
      <c r="AM177" s="1092"/>
      <c r="AN177" s="1092"/>
      <c r="AO177" s="1093"/>
    </row>
    <row r="178" spans="1:53" ht="13.5" thickBot="1" x14ac:dyDescent="0.25">
      <c r="A178" s="1094"/>
      <c r="B178" s="1095" t="s">
        <v>10</v>
      </c>
      <c r="C178" s="1096"/>
      <c r="D178" s="1096"/>
      <c r="E178" s="1096"/>
      <c r="F178" s="1096"/>
      <c r="G178" s="1097"/>
      <c r="H178" s="1095" t="s">
        <v>124</v>
      </c>
      <c r="I178" s="1096"/>
      <c r="J178" s="1096"/>
      <c r="K178" s="1097"/>
      <c r="L178" s="1095" t="s">
        <v>10</v>
      </c>
      <c r="M178" s="1096"/>
      <c r="N178" s="1096"/>
      <c r="O178" s="1096"/>
      <c r="P178" s="1096"/>
      <c r="Q178" s="1097"/>
      <c r="R178" s="1095" t="s">
        <v>124</v>
      </c>
      <c r="S178" s="1096"/>
      <c r="T178" s="1096"/>
      <c r="U178" s="1097"/>
      <c r="V178" s="1095" t="s">
        <v>10</v>
      </c>
      <c r="W178" s="1096"/>
      <c r="X178" s="1096"/>
      <c r="Y178" s="1096"/>
      <c r="Z178" s="1096"/>
      <c r="AA178" s="1097"/>
      <c r="AB178" s="1095" t="s">
        <v>124</v>
      </c>
      <c r="AC178" s="1096"/>
      <c r="AD178" s="1096"/>
      <c r="AE178" s="1097"/>
      <c r="AF178" s="1095" t="s">
        <v>10</v>
      </c>
      <c r="AG178" s="1096"/>
      <c r="AH178" s="1096"/>
      <c r="AI178" s="1096"/>
      <c r="AJ178" s="1096"/>
      <c r="AK178" s="1097"/>
      <c r="AL178" s="1095" t="s">
        <v>124</v>
      </c>
      <c r="AM178" s="1096"/>
      <c r="AN178" s="1096"/>
      <c r="AO178" s="1097"/>
    </row>
    <row r="179" spans="1:53" x14ac:dyDescent="0.2">
      <c r="A179" s="1098" t="s">
        <v>125</v>
      </c>
      <c r="B179" s="1099" t="str">
        <f>IF($AG$8=1,$E$8,IF($AG$10=1,$E$10,IF($AG$12=1,$E$12,IF($AG$14=1,$E$14,IF($AG$16=1,$E$16,"1st Place "&amp;$A179)))))</f>
        <v>C1VB Juniors Royal</v>
      </c>
      <c r="C179" s="1100"/>
      <c r="D179" s="1100"/>
      <c r="E179" s="1100"/>
      <c r="F179" s="1100"/>
      <c r="G179" s="1100"/>
      <c r="H179" s="1101" t="str">
        <f>IF($AG$8=1,$E$9,IF($AG$10=1,$E$11,IF($AG$12=1,$E$13,IF($AG$14=1,$E$15,IF($AG$16=1,$E$17,"1st Place "&amp;$A179)))))</f>
        <v>fj2crone7pm</v>
      </c>
      <c r="I179" s="1101"/>
      <c r="J179" s="1101"/>
      <c r="K179" s="1102"/>
      <c r="L179" s="1099" t="str">
        <f>IF($AG$8=2,$E$8,IF($AG$10=2,$E$10,IF($AG$12=2,$E$12,IF($AG$14=2,$E$14,IF($AG$16=2,$E$16,"2nd Place "&amp;$A179)))))</f>
        <v>Intense kids power col</v>
      </c>
      <c r="M179" s="1100"/>
      <c r="N179" s="1100"/>
      <c r="O179" s="1100"/>
      <c r="P179" s="1100"/>
      <c r="Q179" s="1100"/>
      <c r="R179" s="1101" t="str">
        <f>IF($AG$8=2,$E$9,IF($AG$10=2,$E$11,IF($AG$12=2,$E$13,IF($AG$14=2,$E$15,IF($AG$16=2,$E$17,"2nd Place "&amp;$A179)))))</f>
        <v>fj2inten3pm</v>
      </c>
      <c r="S179" s="1101"/>
      <c r="T179" s="1101"/>
      <c r="U179" s="1102"/>
      <c r="V179" s="1099" t="str">
        <f>IF($AG$8=3,$E$8,IF($AG$10=3,$E$10,IF($AG$12=3,$E$12,IF($AG$14=3,$E$14,IF($AG$16=3,$E$16,"3rd Place "&amp;$A179)))))</f>
        <v>Foothills Vanessa</v>
      </c>
      <c r="W179" s="1100"/>
      <c r="X179" s="1100"/>
      <c r="Y179" s="1100"/>
      <c r="Z179" s="1100"/>
      <c r="AA179" s="1100"/>
      <c r="AB179" s="1101" t="str">
        <f>IF($AG$8=3,$E$9,IF($AG$10=3,$E$11,IF($AG$12=3,$E$13,IF($AG$14=3,$E$15,IF($AG$16=3,$E$17,"3rd Place "&amp;$A179)))))</f>
        <v>fj2footh2pm</v>
      </c>
      <c r="AC179" s="1101"/>
      <c r="AD179" s="1101"/>
      <c r="AE179" s="1102"/>
      <c r="AF179" s="1099" t="str">
        <f>IF($AG$8=4,$E$8,IF($AG$10=4,$E$10,IF($AG$12=4,$E$12,IF($AG$14=4,$E$14,IF($AG$16=4,$E$16,"4th Place "&amp;$A179)))))</f>
        <v>MOTO 12'1</v>
      </c>
      <c r="AG179" s="1100"/>
      <c r="AH179" s="1100"/>
      <c r="AI179" s="1100"/>
      <c r="AJ179" s="1100"/>
      <c r="AK179" s="1100"/>
      <c r="AL179" s="1101" t="str">
        <f>IF($AG$8=4,$E$9,IF($AG$10=4,$E$11,IF($AG$12=4,$E$13,IF($AG$14=4,$E$15,IF($AG$16=4,$E$17,"4th Place "&amp;$A179)))))</f>
        <v>fj1motoj1pm</v>
      </c>
      <c r="AM179" s="1101"/>
      <c r="AN179" s="1101"/>
      <c r="AO179" s="1102"/>
    </row>
    <row r="180" spans="1:53" ht="13.5" thickBot="1" x14ac:dyDescent="0.25">
      <c r="A180" s="1103" t="s">
        <v>126</v>
      </c>
      <c r="B180" s="1104" t="str">
        <f>IF($AG$93=1,$E$93,IF($AG$95=1,$E$95,IF($AG$97=1,$E$97,IF($AG$99=1,$E$99,IF($AG$101=1,$E$101,"1st Place "&amp;$A180)))))</f>
        <v>SC Midlands KP Boys</v>
      </c>
      <c r="C180" s="1105"/>
      <c r="D180" s="1105"/>
      <c r="E180" s="1105"/>
      <c r="F180" s="1105"/>
      <c r="G180" s="1105"/>
      <c r="H180" s="1106" t="str">
        <f>IF($AG$93=1,$E$94,IF($AG$95=1,$E$96,IF($AG$97=1,$E$98,IF($AG$99=1,$E$100,IF($AG$101=1,$E$102,"1st Place "&amp;$A180)))))</f>
        <v>fj2scmid3pm</v>
      </c>
      <c r="I180" s="1106"/>
      <c r="J180" s="1106"/>
      <c r="K180" s="1107"/>
      <c r="L180" s="1104" t="str">
        <f>IF($AG$93=2,$E$93,IF($AG$95=2,$E$95,IF($AG$97=2,$E$97,IF($AG$99=2,$E$99,IF($AG$101=2,$E$101,"2nd Place "&amp;$A180)))))</f>
        <v>SC Midlands KP White</v>
      </c>
      <c r="M180" s="1105"/>
      <c r="N180" s="1105"/>
      <c r="O180" s="1105"/>
      <c r="P180" s="1105"/>
      <c r="Q180" s="1105"/>
      <c r="R180" s="1106" t="str">
        <f>IF($AG$93=2,$E$94,IF($AG$95=2,$E$96,IF($AG$97=2,$E$98,IF($AG$99=2,$E$100,IF($AG$101=2,$E$102,"2nd Place "&amp;$A180)))))</f>
        <v>fj2scmid2pm</v>
      </c>
      <c r="S180" s="1106"/>
      <c r="T180" s="1106"/>
      <c r="U180" s="1107"/>
      <c r="V180" s="1104" t="str">
        <f>IF($AG$93=3,$E$93,IF($AG$95=3,$E$95,IF($AG$97=3,$E$97,IF($AG$99=3,$E$99,IF($AG$101=3,$E$101,"3rd Place "&amp;$A180)))))</f>
        <v>C1VB Juniors Grey</v>
      </c>
      <c r="W180" s="1105"/>
      <c r="X180" s="1105"/>
      <c r="Y180" s="1105"/>
      <c r="Z180" s="1105"/>
      <c r="AA180" s="1105"/>
      <c r="AB180" s="1106" t="str">
        <f>IF($AG$93=3,$E$94,IF($AG$95=3,$E$96,IF($AG$97=3,$E$98,IF($AG$99=3,$E$100,IF($AG$101=3,$E$102,"3rd Place "&amp;$A180)))))</f>
        <v>fj2crone8pm</v>
      </c>
      <c r="AC180" s="1106"/>
      <c r="AD180" s="1106"/>
      <c r="AE180" s="1107"/>
      <c r="AF180" s="1108"/>
      <c r="AG180" s="1109"/>
      <c r="AH180" s="1109"/>
      <c r="AI180" s="1109"/>
      <c r="AJ180" s="1109"/>
      <c r="AK180" s="1109"/>
      <c r="AL180" s="1110"/>
      <c r="AM180" s="1110"/>
      <c r="AN180" s="1110"/>
      <c r="AO180" s="1111"/>
    </row>
    <row r="181" spans="1:53" s="845" customFormat="1" x14ac:dyDescent="0.2">
      <c r="A181" s="1112"/>
      <c r="B181" s="1113"/>
      <c r="C181" s="1113"/>
      <c r="D181" s="1113"/>
      <c r="E181" s="1113"/>
      <c r="F181" s="1113"/>
      <c r="G181" s="1113"/>
      <c r="H181" s="1113"/>
      <c r="I181" s="1113"/>
      <c r="J181" s="1113"/>
      <c r="K181" s="1113"/>
      <c r="L181" s="1113"/>
      <c r="M181" s="1113"/>
      <c r="N181" s="1113"/>
      <c r="O181" s="1113"/>
      <c r="P181" s="1113"/>
      <c r="Q181" s="1113"/>
      <c r="R181" s="1113"/>
      <c r="S181" s="1113"/>
      <c r="T181" s="1113"/>
      <c r="U181" s="1113"/>
      <c r="V181" s="1113"/>
      <c r="W181" s="1113"/>
      <c r="X181" s="1113"/>
      <c r="Y181" s="1113"/>
      <c r="Z181" s="1113"/>
      <c r="AA181" s="1113"/>
      <c r="AB181" s="1113"/>
      <c r="AC181" s="1113"/>
      <c r="AD181" s="1113"/>
      <c r="AE181" s="1113"/>
      <c r="AF181" s="1113"/>
      <c r="AG181" s="1113"/>
      <c r="AH181" s="1113"/>
      <c r="AI181" s="1113"/>
      <c r="AJ181" s="1113"/>
      <c r="AK181" s="1113"/>
      <c r="AL181" s="1113"/>
      <c r="AM181" s="1113"/>
      <c r="AN181" s="1113"/>
      <c r="AO181" s="1113"/>
      <c r="AZ181" s="846"/>
      <c r="BA181" s="846"/>
    </row>
    <row r="182" spans="1:53" ht="15.75" x14ac:dyDescent="0.25">
      <c r="A182" s="1114" t="s">
        <v>127</v>
      </c>
      <c r="B182" s="1114"/>
      <c r="C182" s="1114"/>
      <c r="D182" s="1114"/>
      <c r="E182" s="1114"/>
      <c r="F182" s="1114"/>
      <c r="G182" s="1114"/>
      <c r="H182" s="1114"/>
      <c r="I182" s="1114"/>
      <c r="J182" s="1114"/>
      <c r="K182" s="1114"/>
      <c r="L182" s="1114"/>
      <c r="M182" s="1114"/>
      <c r="N182" s="1114"/>
      <c r="O182" s="1114"/>
      <c r="P182" s="1114"/>
      <c r="Q182" s="1114"/>
      <c r="R182" s="1114"/>
      <c r="S182" s="1114"/>
      <c r="T182" s="1114"/>
      <c r="U182" s="1114"/>
      <c r="V182" s="1114"/>
      <c r="W182" s="1114"/>
      <c r="X182" s="1114"/>
      <c r="Y182" s="1114"/>
      <c r="Z182" s="1114"/>
      <c r="AA182" s="1114"/>
      <c r="AB182" s="1114"/>
      <c r="AC182" s="1114"/>
      <c r="AD182" s="1114"/>
      <c r="AE182" s="1114"/>
      <c r="AF182" s="1114"/>
      <c r="AG182" s="1114"/>
      <c r="AH182" s="1114"/>
      <c r="AI182" s="1114"/>
      <c r="AJ182" s="1114"/>
      <c r="AK182" s="1114"/>
      <c r="AL182" s="1114"/>
      <c r="AM182" s="1114"/>
      <c r="AN182" s="1114"/>
      <c r="AO182" s="1114"/>
      <c r="AP182" s="1114"/>
      <c r="AQ182" s="1114"/>
      <c r="AT182" s="1115"/>
      <c r="AU182" s="1115"/>
    </row>
    <row r="183" spans="1:53" ht="18" x14ac:dyDescent="0.25">
      <c r="A183" s="1116" t="s">
        <v>1130</v>
      </c>
      <c r="B183" s="1116"/>
      <c r="C183" s="1116"/>
      <c r="D183" s="1116"/>
      <c r="E183" s="1116"/>
      <c r="F183" s="1116"/>
      <c r="G183" s="1116"/>
      <c r="H183" s="1116"/>
      <c r="I183" s="1116"/>
      <c r="J183" s="1116"/>
      <c r="K183" s="1116"/>
      <c r="L183" s="1116"/>
      <c r="M183" s="1116"/>
      <c r="N183" s="1116"/>
      <c r="O183" s="1116"/>
      <c r="P183" s="1116"/>
      <c r="Q183" s="1116"/>
      <c r="R183" s="1116"/>
      <c r="S183" s="1116"/>
      <c r="T183" s="1116"/>
      <c r="U183" s="1116"/>
      <c r="V183" s="1116"/>
      <c r="W183" s="1116"/>
      <c r="X183" s="1116"/>
      <c r="Y183" s="1116"/>
      <c r="Z183" s="1116"/>
      <c r="AA183" s="1116"/>
      <c r="AB183" s="1116"/>
      <c r="AC183" s="1116"/>
      <c r="AD183" s="1116"/>
      <c r="AE183" s="1116"/>
      <c r="AF183" s="1116"/>
      <c r="AG183" s="1116"/>
      <c r="AH183" s="1116"/>
      <c r="AI183" s="1116"/>
      <c r="AJ183" s="1116"/>
      <c r="AK183" s="1116"/>
      <c r="AL183" s="1116"/>
      <c r="AM183" s="1116"/>
      <c r="AN183" s="1116"/>
      <c r="AO183" s="1116"/>
      <c r="AP183" s="1116"/>
      <c r="AQ183" s="1116"/>
      <c r="AR183" s="1116"/>
    </row>
    <row r="184" spans="1:53" x14ac:dyDescent="0.2">
      <c r="A184" s="1117"/>
      <c r="B184" s="1117"/>
      <c r="C184" s="1117"/>
      <c r="D184" s="1117"/>
      <c r="E184" s="1117"/>
      <c r="F184" s="1117"/>
      <c r="G184" s="1117"/>
      <c r="H184" s="1117"/>
      <c r="I184" s="1117"/>
      <c r="J184" s="1117"/>
      <c r="K184" s="1117"/>
      <c r="L184" s="1117"/>
      <c r="M184" s="1117"/>
      <c r="N184" s="1117"/>
      <c r="O184" s="1117"/>
      <c r="P184" s="1117"/>
      <c r="Q184" s="1117"/>
      <c r="R184" s="1117"/>
      <c r="S184" s="1117"/>
      <c r="T184" s="1117"/>
      <c r="U184" s="1117"/>
      <c r="V184" s="1117"/>
      <c r="W184" s="1117"/>
      <c r="X184" s="1117"/>
      <c r="Y184" s="1117"/>
      <c r="Z184" s="1117"/>
      <c r="AA184" s="1117"/>
      <c r="AB184" s="1117"/>
      <c r="AC184" s="1117"/>
      <c r="AD184" s="1117"/>
      <c r="AE184" s="1117"/>
      <c r="AF184" s="1117"/>
      <c r="AG184" s="1117"/>
      <c r="AH184" s="1117"/>
      <c r="AI184" s="1117"/>
      <c r="AJ184" s="1117"/>
      <c r="AK184" s="1117"/>
      <c r="AL184" s="1117"/>
      <c r="AM184" s="1117"/>
      <c r="AN184" s="1117"/>
      <c r="AO184" s="1117"/>
      <c r="AP184" s="1117"/>
      <c r="AQ184" s="1117"/>
      <c r="AR184" s="1117"/>
    </row>
    <row r="185" spans="1:53" x14ac:dyDescent="0.2">
      <c r="A185" s="1117"/>
      <c r="B185" s="1117"/>
      <c r="C185" s="1117"/>
      <c r="D185" s="1117"/>
      <c r="E185" s="1117"/>
      <c r="F185" s="1117"/>
      <c r="G185" s="1117"/>
      <c r="H185" s="1117"/>
      <c r="I185" s="1117"/>
      <c r="J185" s="1117"/>
      <c r="K185" s="1117"/>
      <c r="L185" s="1117"/>
      <c r="M185" s="1117"/>
      <c r="N185" s="1117"/>
      <c r="O185" s="1117"/>
      <c r="P185" s="1117"/>
      <c r="Q185" s="1117"/>
      <c r="R185" s="1117"/>
      <c r="S185" s="1117"/>
      <c r="T185" s="1117"/>
      <c r="U185" s="1117"/>
      <c r="V185" s="1117"/>
      <c r="W185" s="1117"/>
      <c r="X185" s="1117"/>
      <c r="Y185" s="1117"/>
      <c r="Z185" s="1117"/>
      <c r="AA185" s="1117"/>
      <c r="AB185" s="1117"/>
      <c r="AC185" s="1117"/>
      <c r="AD185" s="1117"/>
      <c r="AE185" s="1117"/>
      <c r="AF185" s="1117"/>
      <c r="AG185" s="1117"/>
      <c r="AH185" s="1117"/>
      <c r="AI185" s="1117"/>
      <c r="AJ185" s="1117"/>
      <c r="AK185" s="1117"/>
      <c r="AL185" s="1117"/>
      <c r="AM185" s="1117"/>
      <c r="AN185" s="1117"/>
      <c r="AO185" s="1117"/>
      <c r="AP185" s="1117"/>
      <c r="AQ185" s="1117"/>
      <c r="AR185" s="1117"/>
    </row>
    <row r="186" spans="1:53" x14ac:dyDescent="0.2">
      <c r="A186" s="1118" t="s">
        <v>130</v>
      </c>
      <c r="B186" s="1118"/>
      <c r="C186" s="1118"/>
      <c r="D186" s="1118"/>
      <c r="E186" s="1118"/>
      <c r="F186" s="1118"/>
      <c r="G186" s="1118"/>
      <c r="H186" s="1118"/>
      <c r="I186" s="1118"/>
      <c r="J186" s="1118"/>
      <c r="K186" s="1118"/>
      <c r="L186" s="1118"/>
      <c r="M186" s="1119"/>
    </row>
    <row r="187" spans="1:53" x14ac:dyDescent="0.2">
      <c r="C187" s="845"/>
      <c r="D187" s="845"/>
      <c r="E187" s="845"/>
      <c r="M187" s="1119"/>
    </row>
    <row r="188" spans="1:53" x14ac:dyDescent="0.2">
      <c r="A188" s="1084" t="s">
        <v>131</v>
      </c>
      <c r="B188" s="1084"/>
      <c r="C188" s="1084"/>
      <c r="D188" s="1084"/>
      <c r="E188" s="1084"/>
      <c r="F188" s="1084"/>
      <c r="G188" s="1084"/>
      <c r="H188" s="1084"/>
      <c r="I188" s="1084"/>
      <c r="J188" s="1084"/>
      <c r="K188" s="1084"/>
      <c r="L188" s="1084"/>
      <c r="M188" s="1084"/>
      <c r="N188" s="1084"/>
      <c r="O188" s="1084"/>
      <c r="P188" s="1084"/>
      <c r="Q188" s="1066"/>
      <c r="S188" s="1084" t="s">
        <v>132</v>
      </c>
      <c r="T188" s="1084"/>
      <c r="U188" s="1084"/>
      <c r="V188" s="1084"/>
      <c r="W188" s="1084"/>
      <c r="X188" s="1084"/>
      <c r="Y188" s="1084"/>
      <c r="Z188" s="1084"/>
      <c r="AA188" s="1084"/>
      <c r="AB188" s="1084"/>
      <c r="AC188" s="1084"/>
      <c r="AD188" s="1084"/>
      <c r="AE188" s="1084"/>
      <c r="AF188" s="1084"/>
      <c r="AG188" s="1084"/>
    </row>
    <row r="190" spans="1:53" ht="13.5" thickBot="1" x14ac:dyDescent="0.25">
      <c r="A190" s="1120" t="str">
        <f>IF(B218=1,B210,IF(B218=2,B211,IF(B218=3,B212,IF(B218=4,B213,IF(OR(B218="B",B218="b"),"BYE","invalid")))))</f>
        <v>C1VB Juniors Royal</v>
      </c>
      <c r="B190" s="1120"/>
      <c r="C190" s="1120"/>
      <c r="D190" s="1120"/>
      <c r="E190" s="1120"/>
      <c r="F190" s="1121"/>
      <c r="G190" s="1121"/>
      <c r="H190" s="1121"/>
      <c r="I190" s="1121"/>
      <c r="J190" s="1121"/>
      <c r="K190" s="1121"/>
      <c r="L190" s="1121"/>
      <c r="M190" s="1121"/>
      <c r="N190" s="1121"/>
      <c r="O190" s="1121"/>
      <c r="T190" s="1122"/>
      <c r="U190" s="1122"/>
      <c r="V190" s="1120" t="str">
        <f>IF(X218=1,Y210,IF(X218=2,Y211,IF(X218=3,Y212,IF(X218=4,Y213,IF(OR(X218="B",X218="b"),"BYE","invalid")))))</f>
        <v>Foothills Vanessa</v>
      </c>
      <c r="W190" s="1120"/>
      <c r="X190" s="1120"/>
      <c r="Y190" s="1120"/>
      <c r="Z190" s="1120"/>
      <c r="AA190" s="1120"/>
      <c r="AB190" s="1120"/>
      <c r="AC190" s="1121"/>
      <c r="AD190" s="1121"/>
      <c r="AE190" s="1121"/>
      <c r="AF190" s="1121"/>
    </row>
    <row r="191" spans="1:53" x14ac:dyDescent="0.2">
      <c r="A191" s="1123" t="s">
        <v>133</v>
      </c>
      <c r="B191" s="1123"/>
      <c r="C191" s="1123"/>
      <c r="D191" s="1123"/>
      <c r="E191" s="1123"/>
      <c r="F191" s="1124"/>
      <c r="G191" s="1121"/>
      <c r="H191" s="1121"/>
      <c r="I191" s="1121"/>
      <c r="J191" s="1121"/>
      <c r="K191" s="1121"/>
      <c r="L191" s="1121"/>
      <c r="M191" s="1121"/>
      <c r="N191" s="1121"/>
      <c r="O191" s="1121"/>
      <c r="T191" s="1125"/>
      <c r="U191" s="1125"/>
      <c r="V191" s="1126"/>
      <c r="W191" s="1126"/>
      <c r="X191" s="1126"/>
      <c r="Y191" s="1126"/>
      <c r="Z191" s="1126"/>
      <c r="AA191" s="1126"/>
      <c r="AB191" s="1127"/>
      <c r="AC191" s="1121"/>
      <c r="AD191" s="1121"/>
      <c r="AE191" s="1121"/>
      <c r="AF191" s="1121"/>
    </row>
    <row r="192" spans="1:53" x14ac:dyDescent="0.2">
      <c r="A192" s="1121"/>
      <c r="B192" s="1121"/>
      <c r="C192" s="1121"/>
      <c r="D192" s="1121"/>
      <c r="E192" s="1121"/>
      <c r="F192" s="1124"/>
      <c r="G192" s="1121"/>
      <c r="H192" s="1121"/>
      <c r="I192" s="1121"/>
      <c r="J192" s="1121"/>
      <c r="K192" s="1121"/>
      <c r="L192" s="1121"/>
      <c r="M192" s="1121"/>
      <c r="N192" s="1121"/>
      <c r="O192" s="1121"/>
      <c r="S192" s="1121"/>
      <c r="T192" s="1121"/>
      <c r="U192" s="1121"/>
      <c r="V192" s="1121"/>
      <c r="W192" s="1121"/>
      <c r="X192" s="1121"/>
      <c r="Y192" s="1121"/>
      <c r="Z192" s="1121"/>
      <c r="AA192" s="1121"/>
      <c r="AB192" s="1128"/>
      <c r="AC192" s="1121"/>
      <c r="AD192" s="1121"/>
      <c r="AE192" s="1121"/>
      <c r="AF192" s="1121"/>
    </row>
    <row r="193" spans="1:53" ht="13.5" thickBot="1" x14ac:dyDescent="0.25">
      <c r="A193" s="1129" t="str">
        <f>B212&amp;" ref"</f>
        <v>Intense kids power col ref</v>
      </c>
      <c r="B193" s="1129"/>
      <c r="C193" s="1129"/>
      <c r="D193" s="1129"/>
      <c r="E193" s="1130"/>
      <c r="F193" s="1131" t="str">
        <f>IF(H218=1,B210,IF(H218=2,B211,IF(H218=3,B212,IF(H218=4,B213,"Winner Match 1"))))</f>
        <v>Winner Match 1</v>
      </c>
      <c r="G193" s="1132"/>
      <c r="H193" s="1132"/>
      <c r="I193" s="1132"/>
      <c r="J193" s="1132"/>
      <c r="K193" s="1132"/>
      <c r="L193" s="1132"/>
      <c r="M193" s="1132"/>
      <c r="N193" s="1132"/>
      <c r="O193" s="1121"/>
      <c r="Q193" s="1133"/>
      <c r="R193" s="1133"/>
      <c r="S193" s="1133"/>
      <c r="T193" s="1133"/>
      <c r="U193" s="1134"/>
      <c r="V193" s="1134"/>
      <c r="W193" s="1134"/>
      <c r="X193" s="1134"/>
      <c r="Y193" s="1134"/>
      <c r="Z193" s="1134"/>
      <c r="AA193" s="1134"/>
      <c r="AB193" s="1128"/>
      <c r="AC193" s="1131" t="str">
        <f>IF(AD218=1,Y210,IF(AD218=2,Y211,IF(AD218=3,Y212,IF(AD218=4,Y213,"Winner Match 1"))))</f>
        <v>Foothills Vanessa</v>
      </c>
      <c r="AD193" s="1132"/>
      <c r="AE193" s="1132"/>
      <c r="AF193" s="1132"/>
      <c r="AG193" s="1132"/>
      <c r="AH193" s="1132"/>
      <c r="AI193" s="1132"/>
    </row>
    <row r="194" spans="1:53" x14ac:dyDescent="0.2">
      <c r="A194" s="1135" t="s">
        <v>135</v>
      </c>
      <c r="B194" s="1135"/>
      <c r="C194" s="1135"/>
      <c r="D194" s="1135"/>
      <c r="E194" s="1135"/>
      <c r="F194" s="1136"/>
      <c r="G194" s="1137"/>
      <c r="H194" s="1137"/>
      <c r="I194" s="1138"/>
      <c r="J194" s="1139"/>
      <c r="K194" s="1140"/>
      <c r="L194" s="1140"/>
      <c r="M194" s="1140"/>
      <c r="N194" s="1140"/>
      <c r="O194" s="1121"/>
      <c r="P194" s="1121"/>
      <c r="Q194" s="1141"/>
      <c r="R194" s="853"/>
      <c r="S194" s="1142"/>
      <c r="T194" s="1142"/>
      <c r="U194" s="1143"/>
      <c r="V194" s="1143"/>
      <c r="W194" s="1143"/>
      <c r="X194" s="1143"/>
      <c r="Y194" s="1143"/>
      <c r="Z194" s="1143"/>
      <c r="AA194" s="1143"/>
      <c r="AB194" s="1128"/>
      <c r="AC194" s="1136"/>
      <c r="AD194" s="1137"/>
      <c r="AE194" s="1137"/>
      <c r="AF194" s="1138"/>
      <c r="AG194" s="1139"/>
      <c r="AH194" s="1140"/>
      <c r="AI194" s="1140"/>
    </row>
    <row r="195" spans="1:53" ht="13.5" thickBot="1" x14ac:dyDescent="0.25">
      <c r="A195" s="1120" t="str">
        <f>IF(D218=1,B210,IF(D218=2,B211,IF(D218=3,B212,IF(D218=4,B213,IF(OR(D218="B",D218="b"),"BYE","invalid")))))</f>
        <v>SC Midlands KP White</v>
      </c>
      <c r="B195" s="1120"/>
      <c r="C195" s="1120"/>
      <c r="D195" s="1120"/>
      <c r="E195" s="1144"/>
      <c r="F195" s="1124"/>
      <c r="G195" s="1121"/>
      <c r="H195" s="1121"/>
      <c r="I195" s="1121"/>
      <c r="J195" s="1124"/>
      <c r="K195" s="1121"/>
      <c r="L195" s="1121"/>
      <c r="M195" s="1121"/>
      <c r="N195" s="1121"/>
      <c r="O195" s="1121"/>
      <c r="P195" s="1121"/>
      <c r="Q195" s="1121"/>
      <c r="U195" s="1121"/>
      <c r="V195" s="1145" t="str">
        <f>IF(Z218=1,Y210,IF(Z218=2,Y211,IF(Z218=3,Y212,IF(Z218=4,Y213,IF(OR(Z218="B",Z218="b"),"BYE","invalid")))))</f>
        <v>BYE</v>
      </c>
      <c r="W195" s="1145"/>
      <c r="X195" s="1145"/>
      <c r="Y195" s="1145"/>
      <c r="Z195" s="1145"/>
      <c r="AA195" s="1145"/>
      <c r="AB195" s="1146"/>
      <c r="AC195" s="1121"/>
      <c r="AD195" s="1121"/>
      <c r="AE195" s="1121"/>
      <c r="AF195" s="1128"/>
      <c r="AG195" s="1121"/>
      <c r="AH195" s="1121"/>
    </row>
    <row r="196" spans="1:53" x14ac:dyDescent="0.2">
      <c r="A196" s="1123" t="s">
        <v>137</v>
      </c>
      <c r="B196" s="1123"/>
      <c r="C196" s="1123"/>
      <c r="D196" s="1123"/>
      <c r="E196" s="1123"/>
      <c r="F196" s="1121"/>
      <c r="G196" s="1121"/>
      <c r="H196" s="1121"/>
      <c r="I196" s="1121"/>
      <c r="J196" s="1124"/>
      <c r="K196" s="1121"/>
      <c r="L196" s="1121"/>
      <c r="M196" s="1121"/>
      <c r="N196" s="1121"/>
      <c r="O196" s="1121"/>
      <c r="P196" s="1121"/>
      <c r="Q196" s="1121"/>
      <c r="V196" s="1147"/>
      <c r="W196" s="1147"/>
      <c r="X196" s="1147"/>
      <c r="Y196" s="1147"/>
      <c r="Z196" s="1147"/>
      <c r="AA196" s="1147"/>
      <c r="AB196" s="1147"/>
      <c r="AC196" s="1121"/>
      <c r="AD196" s="1121"/>
      <c r="AE196" s="1121"/>
      <c r="AF196" s="1128"/>
      <c r="AG196" s="1121"/>
      <c r="AH196" s="1121"/>
      <c r="AR196" s="1148"/>
      <c r="AS196" s="1148"/>
      <c r="AV196" s="1148"/>
      <c r="AW196" s="1148"/>
      <c r="AX196" s="1148"/>
    </row>
    <row r="197" spans="1:53" x14ac:dyDescent="0.2">
      <c r="A197" s="1121"/>
      <c r="B197" s="1121"/>
      <c r="C197" s="1121"/>
      <c r="D197" s="1121"/>
      <c r="E197" s="1121"/>
      <c r="F197" s="1134" t="s">
        <v>139</v>
      </c>
      <c r="G197" s="1134"/>
      <c r="H197" s="1134"/>
      <c r="I197" s="1149"/>
      <c r="J197" s="1124"/>
      <c r="K197" s="1121"/>
      <c r="L197" s="1121"/>
      <c r="M197" s="1121"/>
      <c r="N197" s="1121"/>
      <c r="O197" s="1121"/>
      <c r="P197" s="1121"/>
      <c r="Q197" s="1121"/>
      <c r="S197" s="1121"/>
      <c r="T197" s="1121"/>
      <c r="U197" s="1121"/>
      <c r="V197" s="1121"/>
      <c r="W197" s="1121"/>
      <c r="X197" s="1133"/>
      <c r="Y197" s="1133"/>
      <c r="Z197" s="1133"/>
      <c r="AB197" s="1133"/>
      <c r="AC197" s="1134" t="s">
        <v>139</v>
      </c>
      <c r="AD197" s="1134"/>
      <c r="AE197" s="1134"/>
      <c r="AF197" s="1149"/>
      <c r="AG197" s="1121"/>
      <c r="AH197" s="1121"/>
    </row>
    <row r="198" spans="1:53" ht="13.5" thickBot="1" x14ac:dyDescent="0.25">
      <c r="A198" s="1121"/>
      <c r="B198" s="1121"/>
      <c r="C198" s="1121"/>
      <c r="D198" s="1121"/>
      <c r="E198" s="1121"/>
      <c r="F198" s="1121"/>
      <c r="G198" s="1121"/>
      <c r="H198" s="1121"/>
      <c r="I198" s="1121"/>
      <c r="J198" s="1150" t="str">
        <f>IF(K223=1,B210,IF(K223=2,B211,IF(K223=3,B212,IF(K223=4,B213,"Division Winner"))))</f>
        <v>Division Winner</v>
      </c>
      <c r="K198" s="1151"/>
      <c r="L198" s="1151"/>
      <c r="M198" s="1151"/>
      <c r="N198" s="1151"/>
      <c r="O198" s="1151"/>
      <c r="P198" s="1151"/>
      <c r="Q198" s="1151"/>
      <c r="R198" s="1122"/>
      <c r="S198" s="1121"/>
      <c r="T198" s="1121"/>
      <c r="U198" s="1121"/>
      <c r="V198" s="1121"/>
      <c r="W198" s="1121"/>
      <c r="X198" s="1121"/>
      <c r="Y198" s="1121"/>
      <c r="Z198" s="1121"/>
      <c r="AA198" s="1121"/>
      <c r="AB198" s="1152"/>
      <c r="AC198" s="1152"/>
      <c r="AD198" s="1152"/>
      <c r="AE198" s="1152"/>
      <c r="AF198" s="1153"/>
      <c r="AG198" s="1151" t="str">
        <f>IF(AG223=1,Y210,IF(AG223=2,Y211,IF(AG223=3,Y212,IF(AG223=4,Y213,"Division Winner"))))</f>
        <v>Division Winner</v>
      </c>
      <c r="AH198" s="1151"/>
      <c r="AI198" s="1151"/>
      <c r="AJ198" s="1151"/>
      <c r="AK198" s="1151"/>
      <c r="AL198" s="1152"/>
    </row>
    <row r="199" spans="1:53" ht="13.5" thickBot="1" x14ac:dyDescent="0.25">
      <c r="A199" s="1120" t="str">
        <f>IF(E218=1,B210,IF(E218=2,B211,IF(E218=3,B212,IF(E218=4,B213,IF(OR(E218="B",E218="b"),"BYE","invalid")))))</f>
        <v>SC Midlands KP Boys</v>
      </c>
      <c r="B199" s="1120"/>
      <c r="C199" s="1120"/>
      <c r="D199" s="1120"/>
      <c r="E199" s="1120"/>
      <c r="F199" s="1135" t="s">
        <v>140</v>
      </c>
      <c r="G199" s="1135"/>
      <c r="H199" s="1135"/>
      <c r="I199" s="1135"/>
      <c r="J199" s="1154" t="s">
        <v>141</v>
      </c>
      <c r="K199" s="1134"/>
      <c r="L199" s="1134"/>
      <c r="M199" s="1134"/>
      <c r="N199" s="1134"/>
      <c r="O199" s="1134"/>
      <c r="P199" s="1134"/>
      <c r="Q199" s="1134"/>
      <c r="S199" s="1152"/>
      <c r="T199" s="1152"/>
      <c r="U199" s="1152"/>
      <c r="V199" s="1120" t="str">
        <f>IF(AA218=1,Y210,IF(AA218=2,Y211,IF(AA218=3,Y212,IF(AA218=4,Y213,IF(OR(AA218="B",AA218="b"),"BYE","invalid")))))</f>
        <v>C1VB Juniors Grey</v>
      </c>
      <c r="W199" s="1120"/>
      <c r="X199" s="1120"/>
      <c r="Y199" s="1120"/>
      <c r="Z199" s="1120"/>
      <c r="AA199" s="1120"/>
      <c r="AB199" s="1120"/>
      <c r="AC199" s="1135" t="s">
        <v>142</v>
      </c>
      <c r="AD199" s="1135"/>
      <c r="AE199" s="1135"/>
      <c r="AF199" s="1155"/>
      <c r="AG199" s="1156" t="s">
        <v>143</v>
      </c>
      <c r="AH199" s="1157"/>
      <c r="AI199" s="1157"/>
      <c r="AJ199" s="1157"/>
      <c r="AK199" s="1157"/>
    </row>
    <row r="200" spans="1:53" x14ac:dyDescent="0.2">
      <c r="A200" s="1123" t="s">
        <v>144</v>
      </c>
      <c r="B200" s="1123"/>
      <c r="C200" s="1123"/>
      <c r="D200" s="1123"/>
      <c r="E200" s="1123"/>
      <c r="F200" s="1124"/>
      <c r="G200" s="1121"/>
      <c r="H200" s="1121"/>
      <c r="I200" s="1121"/>
      <c r="J200" s="1154"/>
      <c r="K200" s="1134"/>
      <c r="L200" s="1134"/>
      <c r="M200" s="1134"/>
      <c r="N200" s="1134"/>
      <c r="O200" s="1134"/>
      <c r="P200" s="1134"/>
      <c r="Q200" s="1134"/>
      <c r="R200" s="1121"/>
      <c r="S200" s="1148"/>
      <c r="T200" s="1148"/>
      <c r="U200" s="1148"/>
      <c r="V200" s="1129" t="s">
        <v>145</v>
      </c>
      <c r="W200" s="1129"/>
      <c r="X200" s="1129"/>
      <c r="Y200" s="1129"/>
      <c r="Z200" s="1129"/>
      <c r="AA200" s="1129"/>
      <c r="AB200" s="1130"/>
      <c r="AC200" s="1121"/>
      <c r="AD200" s="1121"/>
      <c r="AE200" s="1121"/>
      <c r="AF200" s="1128"/>
      <c r="AG200" s="1121"/>
      <c r="AH200" s="1121"/>
    </row>
    <row r="201" spans="1:53" x14ac:dyDescent="0.2">
      <c r="A201" s="1121"/>
      <c r="B201" s="1121"/>
      <c r="C201" s="1121"/>
      <c r="D201" s="1121"/>
      <c r="E201" s="1121"/>
      <c r="F201" s="1124"/>
      <c r="G201" s="1121"/>
      <c r="H201" s="1121"/>
      <c r="I201" s="1121"/>
      <c r="J201" s="1124"/>
      <c r="K201" s="1121"/>
      <c r="L201" s="1121"/>
      <c r="M201" s="1121"/>
      <c r="N201" s="1121"/>
      <c r="O201" s="1121"/>
      <c r="Q201" s="1121"/>
      <c r="R201" s="1121"/>
      <c r="S201" s="1121"/>
      <c r="T201" s="1121"/>
      <c r="U201" s="1121"/>
      <c r="V201" s="1121"/>
      <c r="W201" s="1121"/>
      <c r="X201" s="1121"/>
      <c r="Y201" s="1121"/>
      <c r="Z201" s="1121"/>
      <c r="AA201" s="1121"/>
      <c r="AB201" s="1128"/>
      <c r="AC201" s="1124"/>
      <c r="AD201" s="1121"/>
      <c r="AE201" s="1121"/>
      <c r="AF201" s="1128"/>
      <c r="AG201" s="1121"/>
      <c r="AH201" s="1121"/>
      <c r="AZ201" s="1057"/>
      <c r="BA201" s="1057"/>
    </row>
    <row r="202" spans="1:53" ht="13.5" thickBot="1" x14ac:dyDescent="0.25">
      <c r="A202" s="1134" t="s">
        <v>146</v>
      </c>
      <c r="B202" s="1134"/>
      <c r="C202" s="1134"/>
      <c r="D202" s="1134"/>
      <c r="E202" s="1141"/>
      <c r="F202" s="1158"/>
      <c r="G202" s="1159"/>
      <c r="H202" s="1159"/>
      <c r="I202" s="1160"/>
      <c r="J202" s="1139"/>
      <c r="K202" s="1140"/>
      <c r="L202" s="1140"/>
      <c r="M202" s="1140"/>
      <c r="N202" s="1140"/>
      <c r="O202" s="1121"/>
      <c r="R202" s="1133"/>
      <c r="S202" s="1133"/>
      <c r="T202" s="1133"/>
      <c r="U202" s="1129" t="str">
        <f>Y210&amp;" ref"</f>
        <v>Foothills Vanessa ref</v>
      </c>
      <c r="V202" s="1129"/>
      <c r="W202" s="1129"/>
      <c r="X202" s="1129"/>
      <c r="Y202" s="1129"/>
      <c r="Z202" s="1129"/>
      <c r="AA202" s="1129"/>
      <c r="AB202" s="1130"/>
      <c r="AC202" s="1158"/>
      <c r="AD202" s="1159"/>
      <c r="AE202" s="1159"/>
      <c r="AF202" s="1160"/>
      <c r="AG202" s="1139"/>
      <c r="AH202" s="1140"/>
      <c r="AI202" s="1140"/>
      <c r="AZ202" s="1057"/>
      <c r="BA202" s="1057"/>
    </row>
    <row r="203" spans="1:53" x14ac:dyDescent="0.2">
      <c r="A203" s="1135" t="s">
        <v>135</v>
      </c>
      <c r="B203" s="1135"/>
      <c r="C203" s="1135"/>
      <c r="D203" s="1135"/>
      <c r="E203" s="1155"/>
      <c r="F203" s="1131" t="str">
        <f>IF(J218=1,B210,IF(J218=2,B211,IF(J218=3,B212,IF(J218=4,B213,"Winner Match 2"))))</f>
        <v>Winner Match 2</v>
      </c>
      <c r="G203" s="1132"/>
      <c r="H203" s="1132"/>
      <c r="I203" s="1132"/>
      <c r="J203" s="1132"/>
      <c r="K203" s="1132"/>
      <c r="L203" s="1132"/>
      <c r="M203" s="1132"/>
      <c r="N203" s="1132"/>
      <c r="O203" s="1121"/>
      <c r="Q203" s="1141"/>
      <c r="R203" s="1141"/>
      <c r="T203" s="1142"/>
      <c r="U203" s="1135" t="s">
        <v>136</v>
      </c>
      <c r="V203" s="1135"/>
      <c r="W203" s="1135"/>
      <c r="X203" s="1135"/>
      <c r="Y203" s="1135"/>
      <c r="Z203" s="1135"/>
      <c r="AA203" s="1135"/>
      <c r="AB203" s="1128"/>
      <c r="AC203" s="1131" t="str">
        <f>IF(AF218=1,Y210,IF(AF218=2,Y211,IF(AF218=3,Y212,IF(AF218=4,Y213,"Winner Match 2"))))</f>
        <v>Winner Match 2</v>
      </c>
      <c r="AD203" s="1132"/>
      <c r="AE203" s="1132"/>
      <c r="AF203" s="1132"/>
      <c r="AG203" s="1132"/>
      <c r="AH203" s="1132"/>
      <c r="AI203" s="1132"/>
      <c r="AZ203" s="1057"/>
      <c r="BA203" s="1057"/>
    </row>
    <row r="204" spans="1:53" ht="13.5" thickBot="1" x14ac:dyDescent="0.25">
      <c r="A204" s="1120" t="str">
        <f>IF(G218=1,B210,IF(G218=2,B211,IF(G218=3,B212,IF(G218=4,B213,IF(OR(G218="B",G218="b"),"BYE","invalid")))))</f>
        <v>Intense kids power col</v>
      </c>
      <c r="B204" s="1120"/>
      <c r="C204" s="1120"/>
      <c r="D204" s="1120"/>
      <c r="E204" s="1144"/>
      <c r="F204" s="1124"/>
      <c r="G204" s="1121"/>
      <c r="H204" s="1121"/>
      <c r="I204" s="1121"/>
      <c r="J204" s="1121"/>
      <c r="K204" s="1121"/>
      <c r="L204" s="1121"/>
      <c r="M204" s="1121"/>
      <c r="N204" s="1121"/>
      <c r="O204" s="1121"/>
      <c r="Q204" s="1121"/>
      <c r="R204" s="1121"/>
      <c r="S204" s="1121"/>
      <c r="T204" s="1152"/>
      <c r="U204" s="1152"/>
      <c r="V204" s="1120" t="str">
        <f>IF(AC218=1,Y210,IF(AC218=2,Y211,IF(AC218=3,Y212,IF(AC218=4,Y213,IF(OR(AC218="B",AC218="b"),"BYE","invalid")))))</f>
        <v>MOTO 12'1</v>
      </c>
      <c r="W204" s="1120"/>
      <c r="X204" s="1120"/>
      <c r="Y204" s="1120"/>
      <c r="Z204" s="1120"/>
      <c r="AA204" s="1120"/>
      <c r="AB204" s="1144"/>
      <c r="AC204" s="1121"/>
      <c r="AD204" s="1121"/>
      <c r="AE204" s="1121"/>
      <c r="AF204" s="1121"/>
      <c r="AZ204" s="1057"/>
      <c r="BA204" s="1057"/>
    </row>
    <row r="205" spans="1:53" x14ac:dyDescent="0.2">
      <c r="A205" s="1123" t="s">
        <v>147</v>
      </c>
      <c r="B205" s="1123"/>
      <c r="C205" s="1123"/>
      <c r="D205" s="1123"/>
      <c r="E205" s="1123"/>
      <c r="T205" s="1148"/>
      <c r="U205" s="1148"/>
      <c r="V205" s="1129" t="s">
        <v>148</v>
      </c>
      <c r="W205" s="1129"/>
      <c r="X205" s="1129"/>
      <c r="Y205" s="1129"/>
      <c r="Z205" s="1129"/>
      <c r="AA205" s="1129"/>
      <c r="AB205" s="1129"/>
      <c r="AZ205" s="1057"/>
      <c r="BA205" s="1057"/>
    </row>
    <row r="206" spans="1:53" x14ac:dyDescent="0.2">
      <c r="AT206" s="1057"/>
      <c r="AU206" s="1057"/>
      <c r="AZ206" s="1057"/>
      <c r="BA206" s="1057"/>
    </row>
    <row r="207" spans="1:53" x14ac:dyDescent="0.2">
      <c r="AT207" s="1057"/>
      <c r="AU207" s="1057"/>
      <c r="AZ207" s="1057"/>
      <c r="BA207" s="1057"/>
    </row>
    <row r="208" spans="1:53" ht="16.5" thickBot="1" x14ac:dyDescent="0.3">
      <c r="A208" s="1161" t="s">
        <v>149</v>
      </c>
      <c r="B208" s="1161"/>
      <c r="C208" s="1161"/>
      <c r="D208" s="1161"/>
      <c r="E208" s="1161"/>
      <c r="F208" s="1161"/>
      <c r="G208" s="1161"/>
      <c r="H208" s="1161"/>
      <c r="I208" s="1161"/>
      <c r="J208" s="1161"/>
      <c r="K208" s="1162"/>
      <c r="R208" s="1163"/>
      <c r="S208" s="1163"/>
      <c r="T208" s="1163"/>
      <c r="V208" s="1161" t="s">
        <v>150</v>
      </c>
      <c r="W208" s="1161"/>
      <c r="X208" s="1161"/>
      <c r="Y208" s="1161"/>
      <c r="Z208" s="1161"/>
      <c r="AA208" s="1161"/>
      <c r="AB208" s="1161"/>
      <c r="AC208" s="1161"/>
      <c r="AD208" s="1161"/>
      <c r="AE208" s="1161"/>
      <c r="AF208" s="1161"/>
      <c r="AG208" s="1161"/>
      <c r="AT208" s="1057"/>
      <c r="AU208" s="1057"/>
      <c r="AZ208" s="1057"/>
      <c r="BA208" s="1057"/>
    </row>
    <row r="209" spans="1:53" ht="13.5" thickBot="1" x14ac:dyDescent="0.25">
      <c r="A209" s="1164" t="s">
        <v>151</v>
      </c>
      <c r="B209" s="1165" t="s">
        <v>152</v>
      </c>
      <c r="C209" s="1166"/>
      <c r="D209" s="1166"/>
      <c r="E209" s="1166"/>
      <c r="F209" s="1166"/>
      <c r="G209" s="1166"/>
      <c r="H209" s="1166"/>
      <c r="I209" s="1166"/>
      <c r="J209" s="1167"/>
      <c r="K209" s="1168" t="s">
        <v>153</v>
      </c>
      <c r="L209" s="1169"/>
      <c r="M209" s="1169"/>
      <c r="N209" s="1169"/>
      <c r="O209" s="1169"/>
      <c r="P209" s="1169"/>
      <c r="Q209" s="1170"/>
      <c r="R209" s="1121"/>
      <c r="V209" s="1171" t="s">
        <v>151</v>
      </c>
      <c r="W209" s="1172"/>
      <c r="X209" s="1173"/>
      <c r="Y209" s="1165" t="s">
        <v>152</v>
      </c>
      <c r="Z209" s="1166"/>
      <c r="AA209" s="1166"/>
      <c r="AB209" s="1166"/>
      <c r="AC209" s="1166"/>
      <c r="AD209" s="1166"/>
      <c r="AE209" s="1166"/>
      <c r="AF209" s="1166"/>
      <c r="AG209" s="1167"/>
      <c r="AH209" s="1168" t="s">
        <v>153</v>
      </c>
      <c r="AI209" s="1169"/>
      <c r="AJ209" s="1169"/>
      <c r="AK209" s="1169"/>
      <c r="AL209" s="1169"/>
      <c r="AM209" s="1169"/>
      <c r="AN209" s="1170"/>
      <c r="AT209" s="1057"/>
      <c r="AU209" s="1057"/>
      <c r="AZ209" s="1057"/>
      <c r="BA209" s="1057"/>
    </row>
    <row r="210" spans="1:53" ht="13.5" thickBot="1" x14ac:dyDescent="0.25">
      <c r="A210" s="1164">
        <v>1</v>
      </c>
      <c r="B210" s="1174" t="str">
        <f>B179</f>
        <v>C1VB Juniors Royal</v>
      </c>
      <c r="C210" s="1175"/>
      <c r="D210" s="1175"/>
      <c r="E210" s="1175"/>
      <c r="F210" s="1175"/>
      <c r="G210" s="1175"/>
      <c r="H210" s="1175"/>
      <c r="I210" s="1175"/>
      <c r="J210" s="1176"/>
      <c r="K210" s="1177" t="str">
        <f>H179</f>
        <v>fj2crone7pm</v>
      </c>
      <c r="L210" s="1178"/>
      <c r="M210" s="1178"/>
      <c r="N210" s="1178"/>
      <c r="O210" s="1178"/>
      <c r="P210" s="1178"/>
      <c r="Q210" s="1179"/>
      <c r="R210" s="1121"/>
      <c r="V210" s="1171">
        <v>1</v>
      </c>
      <c r="W210" s="1172"/>
      <c r="X210" s="1173"/>
      <c r="Y210" s="1174" t="str">
        <f>V179</f>
        <v>Foothills Vanessa</v>
      </c>
      <c r="Z210" s="1175"/>
      <c r="AA210" s="1175"/>
      <c r="AB210" s="1175"/>
      <c r="AC210" s="1175"/>
      <c r="AD210" s="1175"/>
      <c r="AE210" s="1175"/>
      <c r="AF210" s="1175"/>
      <c r="AG210" s="1176"/>
      <c r="AH210" s="1177" t="str">
        <f>AB179</f>
        <v>fj2footh2pm</v>
      </c>
      <c r="AI210" s="1178"/>
      <c r="AJ210" s="1178"/>
      <c r="AK210" s="1178"/>
      <c r="AL210" s="1178"/>
      <c r="AM210" s="1178"/>
      <c r="AN210" s="1179"/>
      <c r="AT210" s="1057"/>
      <c r="AU210" s="1057"/>
      <c r="AZ210" s="1057"/>
      <c r="BA210" s="1057"/>
    </row>
    <row r="211" spans="1:53" ht="13.5" thickBot="1" x14ac:dyDescent="0.25">
      <c r="A211" s="1164">
        <v>2</v>
      </c>
      <c r="B211" s="1174" t="str">
        <f>B180</f>
        <v>SC Midlands KP Boys</v>
      </c>
      <c r="C211" s="1175"/>
      <c r="D211" s="1175"/>
      <c r="E211" s="1175"/>
      <c r="F211" s="1175"/>
      <c r="G211" s="1175"/>
      <c r="H211" s="1175"/>
      <c r="I211" s="1175"/>
      <c r="J211" s="1176"/>
      <c r="K211" s="1177" t="str">
        <f>H180</f>
        <v>fj2scmid3pm</v>
      </c>
      <c r="L211" s="1178"/>
      <c r="M211" s="1178"/>
      <c r="N211" s="1178"/>
      <c r="O211" s="1178"/>
      <c r="P211" s="1178"/>
      <c r="Q211" s="1179"/>
      <c r="R211" s="1121"/>
      <c r="V211" s="1171">
        <v>2</v>
      </c>
      <c r="W211" s="1172"/>
      <c r="X211" s="1173"/>
      <c r="Y211" s="1174" t="str">
        <f>V180</f>
        <v>C1VB Juniors Grey</v>
      </c>
      <c r="Z211" s="1175"/>
      <c r="AA211" s="1175"/>
      <c r="AB211" s="1175"/>
      <c r="AC211" s="1175"/>
      <c r="AD211" s="1175"/>
      <c r="AE211" s="1175"/>
      <c r="AF211" s="1175"/>
      <c r="AG211" s="1176"/>
      <c r="AH211" s="1177" t="str">
        <f>AB180</f>
        <v>fj2crone8pm</v>
      </c>
      <c r="AI211" s="1178"/>
      <c r="AJ211" s="1178"/>
      <c r="AK211" s="1178"/>
      <c r="AL211" s="1178"/>
      <c r="AM211" s="1178"/>
      <c r="AN211" s="1179"/>
      <c r="AT211" s="1057"/>
      <c r="AU211" s="1057"/>
      <c r="AZ211" s="1057"/>
      <c r="BA211" s="1057"/>
    </row>
    <row r="212" spans="1:53" ht="13.5" thickBot="1" x14ac:dyDescent="0.25">
      <c r="A212" s="1164">
        <v>3</v>
      </c>
      <c r="B212" s="1174" t="str">
        <f>L179</f>
        <v>Intense kids power col</v>
      </c>
      <c r="C212" s="1175"/>
      <c r="D212" s="1175"/>
      <c r="E212" s="1175"/>
      <c r="F212" s="1175"/>
      <c r="G212" s="1175"/>
      <c r="H212" s="1175"/>
      <c r="I212" s="1175"/>
      <c r="J212" s="1176"/>
      <c r="K212" s="1177" t="str">
        <f>R179</f>
        <v>fj2inten3pm</v>
      </c>
      <c r="L212" s="1178"/>
      <c r="M212" s="1178"/>
      <c r="N212" s="1178"/>
      <c r="O212" s="1178"/>
      <c r="P212" s="1178"/>
      <c r="Q212" s="1179"/>
      <c r="R212" s="1121"/>
      <c r="V212" s="1171">
        <v>3</v>
      </c>
      <c r="W212" s="1172"/>
      <c r="X212" s="1173"/>
      <c r="Y212" s="1174" t="str">
        <f>AF179</f>
        <v>MOTO 12'1</v>
      </c>
      <c r="Z212" s="1175"/>
      <c r="AA212" s="1175"/>
      <c r="AB212" s="1175"/>
      <c r="AC212" s="1175"/>
      <c r="AD212" s="1175"/>
      <c r="AE212" s="1175"/>
      <c r="AF212" s="1175"/>
      <c r="AG212" s="1176"/>
      <c r="AH212" s="1177" t="str">
        <f>AL179</f>
        <v>fj1motoj1pm</v>
      </c>
      <c r="AI212" s="1178"/>
      <c r="AJ212" s="1178"/>
      <c r="AK212" s="1178"/>
      <c r="AL212" s="1178"/>
      <c r="AM212" s="1178"/>
      <c r="AN212" s="1179"/>
      <c r="AT212" s="1057"/>
      <c r="AU212" s="1057"/>
      <c r="AZ212" s="1057"/>
      <c r="BA212" s="1057"/>
    </row>
    <row r="213" spans="1:53" ht="13.5" thickBot="1" x14ac:dyDescent="0.25">
      <c r="A213" s="1164">
        <v>4</v>
      </c>
      <c r="B213" s="1174" t="str">
        <f>L180</f>
        <v>SC Midlands KP White</v>
      </c>
      <c r="C213" s="1175"/>
      <c r="D213" s="1175"/>
      <c r="E213" s="1175"/>
      <c r="F213" s="1175"/>
      <c r="G213" s="1175"/>
      <c r="H213" s="1175"/>
      <c r="I213" s="1175"/>
      <c r="J213" s="1176"/>
      <c r="K213" s="1177" t="str">
        <f>R180</f>
        <v>fj2scmid2pm</v>
      </c>
      <c r="L213" s="1178"/>
      <c r="M213" s="1178"/>
      <c r="N213" s="1178"/>
      <c r="O213" s="1178"/>
      <c r="P213" s="1178"/>
      <c r="Q213" s="1179"/>
      <c r="R213" s="1121"/>
      <c r="V213" s="1171">
        <v>4</v>
      </c>
      <c r="W213" s="1172"/>
      <c r="X213" s="1173"/>
      <c r="Y213" s="1174" t="s">
        <v>1131</v>
      </c>
      <c r="Z213" s="1175"/>
      <c r="AA213" s="1175"/>
      <c r="AB213" s="1175"/>
      <c r="AC213" s="1175"/>
      <c r="AD213" s="1175"/>
      <c r="AE213" s="1175"/>
      <c r="AF213" s="1175"/>
      <c r="AG213" s="1176"/>
      <c r="AH213" s="1177"/>
      <c r="AI213" s="1178"/>
      <c r="AJ213" s="1178"/>
      <c r="AK213" s="1178"/>
      <c r="AL213" s="1178"/>
      <c r="AM213" s="1178"/>
      <c r="AN213" s="1179"/>
      <c r="AT213" s="1057"/>
      <c r="AU213" s="1057"/>
      <c r="AZ213" s="1057"/>
      <c r="BA213" s="1057"/>
    </row>
    <row r="214" spans="1:53" ht="13.5" thickBot="1" x14ac:dyDescent="0.25">
      <c r="AT214" s="1057"/>
      <c r="AU214" s="1057"/>
      <c r="AZ214" s="1057"/>
      <c r="BA214" s="1057"/>
    </row>
    <row r="215" spans="1:53" x14ac:dyDescent="0.2">
      <c r="B215" s="1180" t="s">
        <v>154</v>
      </c>
      <c r="C215" s="1181"/>
      <c r="D215" s="1182"/>
      <c r="E215" s="1183" t="s">
        <v>154</v>
      </c>
      <c r="F215" s="1181"/>
      <c r="G215" s="1182"/>
      <c r="H215" s="1183" t="s">
        <v>14</v>
      </c>
      <c r="I215" s="1181"/>
      <c r="J215" s="1184"/>
      <c r="K215" s="1185"/>
      <c r="L215" s="1186"/>
      <c r="M215" s="1186"/>
      <c r="N215" s="1186"/>
      <c r="S215" s="1187"/>
      <c r="T215" s="1187"/>
      <c r="U215" s="1187"/>
      <c r="V215" s="1187"/>
      <c r="X215" s="1180" t="s">
        <v>154</v>
      </c>
      <c r="Y215" s="1181"/>
      <c r="Z215" s="1182"/>
      <c r="AA215" s="1183" t="s">
        <v>154</v>
      </c>
      <c r="AB215" s="1181"/>
      <c r="AC215" s="1182"/>
      <c r="AD215" s="1183" t="s">
        <v>14</v>
      </c>
      <c r="AE215" s="1181"/>
      <c r="AF215" s="1184"/>
      <c r="AG215" s="1186"/>
      <c r="AH215" s="1186"/>
      <c r="AI215" s="1187"/>
      <c r="AJ215" s="1187"/>
      <c r="AK215" s="1187"/>
      <c r="AZ215" s="1057"/>
      <c r="BA215" s="1057"/>
    </row>
    <row r="216" spans="1:53" x14ac:dyDescent="0.2">
      <c r="A216" s="1028" t="s">
        <v>156</v>
      </c>
      <c r="B216" s="1188">
        <v>3</v>
      </c>
      <c r="C216" s="1189"/>
      <c r="D216" s="1190"/>
      <c r="E216" s="1191" t="s">
        <v>157</v>
      </c>
      <c r="F216" s="1189"/>
      <c r="G216" s="1190"/>
      <c r="H216" s="1191" t="s">
        <v>158</v>
      </c>
      <c r="I216" s="1189"/>
      <c r="J216" s="1192"/>
      <c r="K216" s="1193"/>
      <c r="S216" s="1187"/>
      <c r="T216" s="1187"/>
      <c r="U216" s="1194" t="s">
        <v>156</v>
      </c>
      <c r="V216" s="1194"/>
      <c r="W216" s="1195"/>
      <c r="X216" s="1188"/>
      <c r="Y216" s="1189"/>
      <c r="Z216" s="1190"/>
      <c r="AA216" s="1191">
        <v>1</v>
      </c>
      <c r="AB216" s="1189"/>
      <c r="AC216" s="1190"/>
      <c r="AD216" s="1191" t="s">
        <v>158</v>
      </c>
      <c r="AE216" s="1189"/>
      <c r="AF216" s="1192"/>
      <c r="AI216" s="1187"/>
      <c r="AJ216" s="1187"/>
      <c r="AK216" s="1187"/>
      <c r="AZ216" s="1057"/>
      <c r="BA216" s="1057"/>
    </row>
    <row r="217" spans="1:53" ht="13.5" thickBot="1" x14ac:dyDescent="0.25">
      <c r="A217" s="868"/>
      <c r="B217" s="1196" t="s">
        <v>68</v>
      </c>
      <c r="C217" s="1035"/>
      <c r="D217" s="1036"/>
      <c r="E217" s="1034" t="s">
        <v>159</v>
      </c>
      <c r="F217" s="1035"/>
      <c r="G217" s="1036"/>
      <c r="H217" s="1034" t="s">
        <v>160</v>
      </c>
      <c r="I217" s="1035"/>
      <c r="J217" s="1197"/>
      <c r="K217" s="1198"/>
      <c r="S217" s="1187"/>
      <c r="T217" s="1187"/>
      <c r="U217" s="1199"/>
      <c r="V217" s="1199"/>
      <c r="W217" s="1200"/>
      <c r="X217" s="1196" t="s">
        <v>68</v>
      </c>
      <c r="Y217" s="1035"/>
      <c r="Z217" s="1036"/>
      <c r="AA217" s="1034" t="s">
        <v>159</v>
      </c>
      <c r="AB217" s="1035"/>
      <c r="AC217" s="1036"/>
      <c r="AD217" s="1034" t="s">
        <v>160</v>
      </c>
      <c r="AE217" s="1035"/>
      <c r="AF217" s="1197"/>
      <c r="AI217" s="1187"/>
      <c r="AJ217" s="1187"/>
      <c r="AK217" s="1187"/>
      <c r="AZ217" s="1057"/>
      <c r="BA217" s="1057"/>
    </row>
    <row r="218" spans="1:53" ht="13.5" thickBot="1" x14ac:dyDescent="0.25">
      <c r="A218" s="868"/>
      <c r="B218" s="1201">
        <v>1</v>
      </c>
      <c r="C218" s="1202" t="s">
        <v>76</v>
      </c>
      <c r="D218" s="1203">
        <v>4</v>
      </c>
      <c r="E218" s="1204">
        <v>2</v>
      </c>
      <c r="F218" s="1202" t="s">
        <v>76</v>
      </c>
      <c r="G218" s="1203">
        <v>3</v>
      </c>
      <c r="H218" s="1205" t="str">
        <f>IF(OR(AND(OR(B222&gt;0,D222&gt;0),B222&gt;D222),OR(D218="b",D218="B")),B218,IF(OR(AND(OR(B222&gt;0,D222&gt;0),D222&gt;B222),OR(B218="b",B218="B")),D218,"W1"))</f>
        <v>W1</v>
      </c>
      <c r="I218" s="1206" t="s">
        <v>76</v>
      </c>
      <c r="J218" s="1207" t="str">
        <f>IF(OR(AND(OR(E222&gt;0,G222&gt;0),E222&gt;G222),OR(G218="b",G218="B")),E218,IF(OR(AND(OR(E222&gt;0,G222&gt;0),G222&gt;E222),OR(E218="b",E218="B")),G218,"W2"))</f>
        <v>W2</v>
      </c>
      <c r="K218" s="1208" t="s">
        <v>161</v>
      </c>
      <c r="L218" s="1209"/>
      <c r="M218" s="1209"/>
      <c r="N218" s="1210"/>
      <c r="S218" s="1187"/>
      <c r="T218" s="1187"/>
      <c r="U218" s="1199"/>
      <c r="V218" s="1199"/>
      <c r="W218" s="1200"/>
      <c r="X218" s="1201">
        <v>1</v>
      </c>
      <c r="Y218" s="1202" t="s">
        <v>76</v>
      </c>
      <c r="Z218" s="1203" t="s">
        <v>117</v>
      </c>
      <c r="AA218" s="1204">
        <v>2</v>
      </c>
      <c r="AB218" s="1202" t="s">
        <v>76</v>
      </c>
      <c r="AC218" s="1203">
        <v>3</v>
      </c>
      <c r="AD218" s="1205">
        <f>IF(OR(AND(OR(X222&gt;0,Z222&gt;0),X222&gt;Z222),OR(Z218="b",Z218="B")),X218,IF(OR(AND(OR(X222&gt;0,Z222&gt;0),Z222&gt;X222),OR(X218="b",X218="B")),Z218,"W1"))</f>
        <v>1</v>
      </c>
      <c r="AE218" s="1206" t="s">
        <v>76</v>
      </c>
      <c r="AF218" s="1207" t="str">
        <f>IF(OR(AND(OR(AA222&gt;0,AC222&gt;0),AA222&gt;AC222),OR(AC222="b",AC222="B")),AA218,IF(OR(AND(OR(AA222&gt;0,AC222&gt;0),AC222&gt;AA222),OR(AA222="b",AA222="B")),AC218,"W2"))</f>
        <v>W2</v>
      </c>
      <c r="AG218" s="1208" t="s">
        <v>161</v>
      </c>
      <c r="AH218" s="1210"/>
      <c r="AI218" s="1187"/>
      <c r="AJ218" s="1187"/>
      <c r="AK218" s="1187"/>
      <c r="AZ218" s="1057"/>
      <c r="BA218" s="1057"/>
    </row>
    <row r="219" spans="1:53" ht="13.5" hidden="1" customHeight="1" x14ac:dyDescent="0.25">
      <c r="A219" s="868"/>
      <c r="B219" s="1211">
        <f>IF(B223&gt;D223,1,0)</f>
        <v>0</v>
      </c>
      <c r="C219" s="1212"/>
      <c r="D219" s="1213">
        <f>IF(D223&gt;B223,1,0)</f>
        <v>0</v>
      </c>
      <c r="E219" s="1211">
        <f>IF(E223&gt;G223,1,0)</f>
        <v>0</v>
      </c>
      <c r="F219" s="1212"/>
      <c r="G219" s="1213">
        <f>IF(G223&gt;E223,1,0)</f>
        <v>0</v>
      </c>
      <c r="H219" s="1211">
        <f>IF(H223&gt;J223,1,0)</f>
        <v>0</v>
      </c>
      <c r="I219" s="1212"/>
      <c r="J219" s="1213">
        <f>IF(J223&gt;H223,1,0)</f>
        <v>0</v>
      </c>
      <c r="K219" s="1214"/>
      <c r="L219" s="1215"/>
      <c r="M219" s="1215"/>
      <c r="N219" s="1216"/>
      <c r="S219" s="1187"/>
      <c r="T219" s="1187"/>
      <c r="U219" s="1199"/>
      <c r="V219" s="1199"/>
      <c r="W219" s="1200"/>
      <c r="X219" s="1211">
        <f>IF(X223&gt;Z223,1,0)</f>
        <v>0</v>
      </c>
      <c r="Y219" s="1212"/>
      <c r="Z219" s="1213">
        <f>IF(Z223&gt;X223,1,0)</f>
        <v>0</v>
      </c>
      <c r="AA219" s="1211">
        <f>IF(AA223&gt;AC223,1,0)</f>
        <v>0</v>
      </c>
      <c r="AB219" s="1212"/>
      <c r="AC219" s="1213">
        <f>IF(AC223&gt;AA223,1,0)</f>
        <v>0</v>
      </c>
      <c r="AD219" s="1211">
        <f>IF(AD223&gt;AF223,1,0)</f>
        <v>0</v>
      </c>
      <c r="AE219" s="1212"/>
      <c r="AF219" s="1213">
        <f>IF(AF223&gt;AD223,1,0)</f>
        <v>0</v>
      </c>
      <c r="AG219" s="1217"/>
      <c r="AH219" s="1218"/>
      <c r="AI219" s="1187"/>
      <c r="AJ219" s="1187"/>
      <c r="AK219" s="1187"/>
      <c r="AZ219" s="1057"/>
      <c r="BA219" s="1057"/>
    </row>
    <row r="220" spans="1:53" ht="13.5" hidden="1" customHeight="1" x14ac:dyDescent="0.25">
      <c r="A220" s="868"/>
      <c r="B220" s="1211">
        <f>IF(B224&gt;D224,1,0)</f>
        <v>0</v>
      </c>
      <c r="C220" s="1212"/>
      <c r="D220" s="1213">
        <f>IF(D224&gt;B224,1,0)</f>
        <v>0</v>
      </c>
      <c r="E220" s="1211">
        <f>IF(E224&gt;G224,1,0)</f>
        <v>0</v>
      </c>
      <c r="F220" s="1212"/>
      <c r="G220" s="1213">
        <f>IF(G224&gt;E224,1,0)</f>
        <v>0</v>
      </c>
      <c r="H220" s="1211">
        <f>IF(H224&gt;J224,1,0)</f>
        <v>0</v>
      </c>
      <c r="I220" s="1212"/>
      <c r="J220" s="1213">
        <f>IF(J224&gt;H224,1,0)</f>
        <v>0</v>
      </c>
      <c r="K220" s="1214"/>
      <c r="L220" s="1215"/>
      <c r="M220" s="1215"/>
      <c r="N220" s="1216"/>
      <c r="S220" s="1187"/>
      <c r="T220" s="1187"/>
      <c r="U220" s="1199"/>
      <c r="V220" s="1199"/>
      <c r="W220" s="1200"/>
      <c r="X220" s="1211">
        <f>IF(X224&gt;Z224,1,0)</f>
        <v>0</v>
      </c>
      <c r="Y220" s="1212"/>
      <c r="Z220" s="1213">
        <f>IF(Z224&gt;X224,1,0)</f>
        <v>0</v>
      </c>
      <c r="AA220" s="1211">
        <f>IF(AA224&gt;AC224,1,0)</f>
        <v>0</v>
      </c>
      <c r="AB220" s="1212"/>
      <c r="AC220" s="1213">
        <f>IF(AC224&gt;AA224,1,0)</f>
        <v>0</v>
      </c>
      <c r="AD220" s="1211">
        <f>IF(AD224&gt;AF224,1,0)</f>
        <v>0</v>
      </c>
      <c r="AE220" s="1212"/>
      <c r="AF220" s="1213">
        <f>IF(AF224&gt;AD224,1,0)</f>
        <v>0</v>
      </c>
      <c r="AG220" s="1217"/>
      <c r="AH220" s="1218"/>
      <c r="AI220" s="1187"/>
      <c r="AJ220" s="1187"/>
      <c r="AK220" s="1187"/>
      <c r="AZ220" s="1057"/>
      <c r="BA220" s="1057"/>
    </row>
    <row r="221" spans="1:53" ht="13.5" hidden="1" customHeight="1" x14ac:dyDescent="0.25">
      <c r="A221" s="868"/>
      <c r="B221" s="1211">
        <f>IF(B225&gt;D225,1,0)</f>
        <v>0</v>
      </c>
      <c r="C221" s="1212"/>
      <c r="D221" s="1213">
        <f>IF(D225&gt;B225,1,0)</f>
        <v>0</v>
      </c>
      <c r="E221" s="1211">
        <f>IF(E225&gt;G225,1,0)</f>
        <v>0</v>
      </c>
      <c r="F221" s="1212"/>
      <c r="G221" s="1213">
        <f>IF(G225&gt;E225,1,0)</f>
        <v>0</v>
      </c>
      <c r="H221" s="1211">
        <f>IF(H225&gt;J225,1,0)</f>
        <v>0</v>
      </c>
      <c r="I221" s="1212"/>
      <c r="J221" s="1213">
        <f>IF(J225&gt;H225,1,0)</f>
        <v>0</v>
      </c>
      <c r="K221" s="1214"/>
      <c r="L221" s="1215"/>
      <c r="M221" s="1215"/>
      <c r="N221" s="1216"/>
      <c r="S221" s="1187"/>
      <c r="T221" s="1187"/>
      <c r="U221" s="1199"/>
      <c r="V221" s="1199"/>
      <c r="W221" s="1200"/>
      <c r="X221" s="1211">
        <f>IF(X225&gt;Z225,1,0)</f>
        <v>0</v>
      </c>
      <c r="Y221" s="1212"/>
      <c r="Z221" s="1213">
        <f>IF(Z225&gt;X225,1,0)</f>
        <v>0</v>
      </c>
      <c r="AA221" s="1211">
        <f>IF(AA225&gt;AC225,1,0)</f>
        <v>0</v>
      </c>
      <c r="AB221" s="1212"/>
      <c r="AC221" s="1213">
        <f>IF(AC225&gt;AA225,1,0)</f>
        <v>0</v>
      </c>
      <c r="AD221" s="1211">
        <f>IF(AD225&gt;AF225,1,0)</f>
        <v>0</v>
      </c>
      <c r="AE221" s="1212"/>
      <c r="AF221" s="1213">
        <f>IF(AF225&gt;AD225,1,0)</f>
        <v>0</v>
      </c>
      <c r="AG221" s="1217"/>
      <c r="AH221" s="1218"/>
      <c r="AI221" s="1187"/>
      <c r="AJ221" s="1187"/>
      <c r="AK221" s="1187"/>
      <c r="AZ221" s="1057"/>
      <c r="BA221" s="1057"/>
    </row>
    <row r="222" spans="1:53" ht="13.5" hidden="1" customHeight="1" x14ac:dyDescent="0.25">
      <c r="A222" s="868"/>
      <c r="B222" s="1211">
        <f>SUM(B219:B221)</f>
        <v>0</v>
      </c>
      <c r="C222" s="1212"/>
      <c r="D222" s="1211">
        <f>SUM(D219:D221)</f>
        <v>0</v>
      </c>
      <c r="E222" s="1211">
        <f>SUM(E219:E221)</f>
        <v>0</v>
      </c>
      <c r="F222" s="1212"/>
      <c r="G222" s="1211">
        <f>SUM(G219:G221)</f>
        <v>0</v>
      </c>
      <c r="H222" s="1211">
        <f>SUM(H219:H221)</f>
        <v>0</v>
      </c>
      <c r="I222" s="1212"/>
      <c r="J222" s="1211">
        <f>SUM(J219:J221)</f>
        <v>0</v>
      </c>
      <c r="K222" s="1214"/>
      <c r="L222" s="1215"/>
      <c r="M222" s="1215"/>
      <c r="N222" s="1216"/>
      <c r="S222" s="1187"/>
      <c r="T222" s="1187"/>
      <c r="U222" s="1199"/>
      <c r="V222" s="1199"/>
      <c r="W222" s="1200"/>
      <c r="X222" s="1211">
        <f>SUM(X219:X221)</f>
        <v>0</v>
      </c>
      <c r="Y222" s="1212"/>
      <c r="Z222" s="1211">
        <f>SUM(Z219:Z221)</f>
        <v>0</v>
      </c>
      <c r="AA222" s="1211">
        <f>SUM(AA219:AA221)</f>
        <v>0</v>
      </c>
      <c r="AB222" s="1212"/>
      <c r="AC222" s="1211">
        <f>SUM(AC219:AC221)</f>
        <v>0</v>
      </c>
      <c r="AD222" s="1211">
        <f>SUM(AD219:AD221)</f>
        <v>0</v>
      </c>
      <c r="AE222" s="1212"/>
      <c r="AF222" s="1211">
        <f>SUM(AF219:AF221)</f>
        <v>0</v>
      </c>
      <c r="AG222" s="1217"/>
      <c r="AH222" s="1218"/>
      <c r="AI222" s="1187"/>
      <c r="AJ222" s="1187"/>
      <c r="AK222" s="1187"/>
      <c r="AZ222" s="1057"/>
      <c r="BA222" s="1057"/>
    </row>
    <row r="223" spans="1:53" ht="12.75" customHeight="1" x14ac:dyDescent="0.2">
      <c r="A223" s="852" t="s">
        <v>77</v>
      </c>
      <c r="B223" s="1219"/>
      <c r="C223" s="1052" t="s">
        <v>78</v>
      </c>
      <c r="D223" s="1220"/>
      <c r="E223" s="1221"/>
      <c r="F223" s="1052" t="s">
        <v>78</v>
      </c>
      <c r="G223" s="1220"/>
      <c r="H223" s="1221"/>
      <c r="I223" s="1052" t="s">
        <v>78</v>
      </c>
      <c r="J223" s="1222"/>
      <c r="K223" s="1223" t="str">
        <f>IF(AND(OR(H222&gt;0,J222&gt;0),AND(1&lt;=H218,H218&lt;=4),AND(1&lt;=J218,J218&lt;=4)),IF(H222&gt;J222,H218,IF(J222&gt;H222,J218,"")),"")</f>
        <v/>
      </c>
      <c r="L223" s="1224"/>
      <c r="M223" s="1224"/>
      <c r="N223" s="1225"/>
      <c r="S223" s="1187"/>
      <c r="T223" s="1187"/>
      <c r="U223" s="1226"/>
      <c r="V223" s="1226"/>
      <c r="W223" s="852" t="s">
        <v>77</v>
      </c>
      <c r="X223" s="1219"/>
      <c r="Y223" s="1052" t="s">
        <v>78</v>
      </c>
      <c r="Z223" s="1220"/>
      <c r="AA223" s="1221"/>
      <c r="AB223" s="1052" t="s">
        <v>78</v>
      </c>
      <c r="AC223" s="1220"/>
      <c r="AD223" s="1221"/>
      <c r="AE223" s="1052" t="s">
        <v>78</v>
      </c>
      <c r="AF223" s="1222"/>
      <c r="AG223" s="1223" t="str">
        <f>IF(AND(OR(AD222&gt;0,AF222&gt;0),AND(1&lt;=AD218,AD218&lt;=4),AND(1&lt;=AF218,AF218&lt;=4)),IF(AD222&gt;AF222,AD218,IF(AF222&gt;AD222,AF218,"")),"")</f>
        <v/>
      </c>
      <c r="AH223" s="1225"/>
      <c r="AI223" s="1187"/>
      <c r="AJ223" s="1187"/>
      <c r="AK223" s="1187"/>
      <c r="AZ223" s="1057"/>
      <c r="BA223" s="1057"/>
    </row>
    <row r="224" spans="1:53" ht="12.75" customHeight="1" x14ac:dyDescent="0.2">
      <c r="A224" s="852" t="s">
        <v>162</v>
      </c>
      <c r="B224" s="1219"/>
      <c r="C224" s="1052" t="s">
        <v>78</v>
      </c>
      <c r="D224" s="1220"/>
      <c r="E224" s="1221"/>
      <c r="F224" s="1052" t="s">
        <v>78</v>
      </c>
      <c r="G224" s="1220"/>
      <c r="H224" s="1221"/>
      <c r="I224" s="1052" t="s">
        <v>78</v>
      </c>
      <c r="J224" s="1222"/>
      <c r="K224" s="1227"/>
      <c r="L224" s="1228"/>
      <c r="M224" s="1228"/>
      <c r="N224" s="1229"/>
      <c r="S224" s="1187"/>
      <c r="T224" s="1187"/>
      <c r="U224" s="1226"/>
      <c r="V224" s="1226"/>
      <c r="W224" s="852" t="s">
        <v>162</v>
      </c>
      <c r="X224" s="1219"/>
      <c r="Y224" s="1052" t="s">
        <v>78</v>
      </c>
      <c r="Z224" s="1220"/>
      <c r="AA224" s="1221"/>
      <c r="AB224" s="1052" t="s">
        <v>78</v>
      </c>
      <c r="AC224" s="1220"/>
      <c r="AD224" s="1221"/>
      <c r="AE224" s="1052" t="s">
        <v>78</v>
      </c>
      <c r="AF224" s="1222"/>
      <c r="AG224" s="1227"/>
      <c r="AH224" s="1229"/>
      <c r="AI224" s="1187"/>
      <c r="AJ224" s="1187"/>
      <c r="AK224" s="1187"/>
      <c r="AZ224" s="1057"/>
      <c r="BA224" s="1057"/>
    </row>
    <row r="225" spans="1:80" ht="13.5" customHeight="1" thickBot="1" x14ac:dyDescent="0.25">
      <c r="A225" s="852" t="s">
        <v>163</v>
      </c>
      <c r="B225" s="1230"/>
      <c r="C225" s="1231" t="s">
        <v>78</v>
      </c>
      <c r="D225" s="1232"/>
      <c r="E225" s="1233"/>
      <c r="F225" s="1231" t="s">
        <v>78</v>
      </c>
      <c r="G225" s="1232"/>
      <c r="H225" s="1233"/>
      <c r="I225" s="1231" t="s">
        <v>78</v>
      </c>
      <c r="J225" s="1234"/>
      <c r="K225" s="1235"/>
      <c r="L225" s="1236"/>
      <c r="M225" s="1236"/>
      <c r="N225" s="1237"/>
      <c r="S225" s="1187"/>
      <c r="T225" s="1187"/>
      <c r="U225" s="1226"/>
      <c r="V225" s="1226"/>
      <c r="W225" s="852" t="s">
        <v>163</v>
      </c>
      <c r="X225" s="1230"/>
      <c r="Y225" s="1231" t="s">
        <v>78</v>
      </c>
      <c r="Z225" s="1232"/>
      <c r="AA225" s="1233"/>
      <c r="AB225" s="1231" t="s">
        <v>78</v>
      </c>
      <c r="AC225" s="1232"/>
      <c r="AD225" s="1233"/>
      <c r="AE225" s="1231" t="s">
        <v>78</v>
      </c>
      <c r="AF225" s="1234"/>
      <c r="AG225" s="1235"/>
      <c r="AH225" s="1237"/>
      <c r="AI225" s="1187"/>
      <c r="AJ225" s="1187"/>
      <c r="AK225" s="1187"/>
      <c r="AZ225" s="1057"/>
      <c r="BA225" s="1057"/>
    </row>
    <row r="226" spans="1:80" hidden="1" x14ac:dyDescent="0.2">
      <c r="B226" s="845"/>
      <c r="C226" s="1238" t="s">
        <v>112</v>
      </c>
      <c r="D226" s="845" t="s">
        <v>164</v>
      </c>
      <c r="E226" s="845"/>
      <c r="F226" s="1238"/>
      <c r="G226" s="846" t="s">
        <v>165</v>
      </c>
      <c r="J226" s="846" t="s">
        <v>166</v>
      </c>
      <c r="X226" s="845"/>
      <c r="Y226" s="1238" t="s">
        <v>112</v>
      </c>
      <c r="Z226" s="845" t="s">
        <v>164</v>
      </c>
      <c r="AA226" s="845"/>
      <c r="AB226" s="1238"/>
      <c r="AC226" s="846" t="s">
        <v>165</v>
      </c>
      <c r="AF226" s="846" t="s">
        <v>166</v>
      </c>
      <c r="AT226" s="846" t="str">
        <f>B227</f>
        <v>C1VB Juniors Royal</v>
      </c>
      <c r="AU226" s="846">
        <f>J227</f>
        <v>1255.6934893512482</v>
      </c>
      <c r="AW226" s="1239"/>
      <c r="AX226" s="1057"/>
      <c r="AY226" s="1057"/>
      <c r="AZ226" s="1057"/>
      <c r="BA226" s="1057"/>
      <c r="BB226" s="1239"/>
      <c r="BC226" s="1057"/>
      <c r="BD226" s="1057"/>
      <c r="BE226" s="1239"/>
      <c r="BF226" s="1057"/>
      <c r="BG226" s="1057"/>
      <c r="BH226" s="1239"/>
      <c r="BI226" s="1057"/>
      <c r="BJ226" s="1057"/>
      <c r="BK226" s="1239"/>
      <c r="BL226" s="1057"/>
      <c r="BM226" s="1057"/>
      <c r="BN226" s="1239"/>
      <c r="BO226" s="1057"/>
      <c r="BP226" s="1057"/>
      <c r="BQ226" s="1239"/>
      <c r="BR226" s="1057"/>
      <c r="BS226" s="1057"/>
      <c r="BT226" s="1239"/>
      <c r="BU226" s="1057"/>
      <c r="BV226" s="1057"/>
      <c r="BW226" s="1239"/>
      <c r="BX226" s="1057"/>
      <c r="BY226" s="1057"/>
      <c r="BZ226" s="1239"/>
      <c r="CA226" s="1057"/>
      <c r="CB226" s="1057"/>
    </row>
    <row r="227" spans="1:80" hidden="1" x14ac:dyDescent="0.2">
      <c r="A227" s="846">
        <v>1</v>
      </c>
      <c r="B227" s="846" t="str">
        <f>B210</f>
        <v>C1VB Juniors Royal</v>
      </c>
      <c r="C227" s="846">
        <f>VLOOKUP(B227,AU$2:AY$10,4,FALSE)</f>
        <v>1255.6934893512482</v>
      </c>
      <c r="D227" s="846">
        <f>IF(A227=B218,B233,IF(A227=D218,D233,C227))</f>
        <v>1255.6934893512482</v>
      </c>
      <c r="G227" s="846">
        <f>IF(A227=E218,E233,IF(A227=G218,G233,D227))</f>
        <v>1255.6934893512482</v>
      </c>
      <c r="J227" s="846">
        <f>IF(A227=H218,H233,IF(A227=J218,J233,G227))</f>
        <v>1255.6934893512482</v>
      </c>
      <c r="V227" s="1240"/>
      <c r="W227" s="1240">
        <v>1</v>
      </c>
      <c r="X227" s="846" t="str">
        <f>Y210</f>
        <v>Foothills Vanessa</v>
      </c>
      <c r="Y227" s="846">
        <f>VLOOKUP(X227,AU$2:AY$10,4,FALSE)</f>
        <v>1182.2811686333052</v>
      </c>
      <c r="Z227" s="846">
        <f>IF(AND(W227=X218,ISNUMBER(X218)),X233,IF(AND(W227=Z218,ISNUMBER(Z218)),Z233,Y227))</f>
        <v>1182.2811686333052</v>
      </c>
      <c r="AC227" s="846">
        <f>IF(W227=AA218,AA233,IF(W227=AC218,AC233,Z227))</f>
        <v>1182.2811686333052</v>
      </c>
      <c r="AF227" s="846">
        <f>IF(W227=AD218,AD233,IF(W227=AF218,AF233,AC227))</f>
        <v>1182.2811686333052</v>
      </c>
      <c r="AT227" s="846" t="str">
        <f>B228</f>
        <v>SC Midlands KP Boys</v>
      </c>
      <c r="AU227" s="846">
        <f>J228</f>
        <v>1314.2550386408398</v>
      </c>
      <c r="AW227" s="1239"/>
      <c r="AX227" s="1057"/>
      <c r="AY227" s="1057"/>
      <c r="AZ227" s="1057"/>
      <c r="BA227" s="1057"/>
      <c r="BB227" s="1239"/>
      <c r="BC227" s="1057"/>
      <c r="BD227" s="1057"/>
      <c r="BE227" s="1239"/>
      <c r="BF227" s="1057"/>
      <c r="BG227" s="1057"/>
      <c r="BH227" s="1239"/>
      <c r="BI227" s="1057"/>
      <c r="BJ227" s="1057"/>
      <c r="BK227" s="1239"/>
      <c r="BL227" s="1057"/>
      <c r="BM227" s="1057"/>
      <c r="BN227" s="1239"/>
      <c r="BO227" s="1057"/>
      <c r="BP227" s="1057"/>
      <c r="BQ227" s="1239"/>
      <c r="BR227" s="1057"/>
      <c r="BS227" s="1057"/>
      <c r="BT227" s="1239"/>
      <c r="BU227" s="1057"/>
      <c r="BV227" s="1057"/>
      <c r="BW227" s="1239"/>
      <c r="BX227" s="1057"/>
      <c r="BY227" s="1057"/>
      <c r="BZ227" s="1239"/>
      <c r="CA227" s="1057"/>
      <c r="CB227" s="1057"/>
    </row>
    <row r="228" spans="1:80" hidden="1" x14ac:dyDescent="0.2">
      <c r="A228" s="846">
        <v>2</v>
      </c>
      <c r="B228" s="846" t="str">
        <f>B211</f>
        <v>SC Midlands KP Boys</v>
      </c>
      <c r="C228" s="846">
        <f>VLOOKUP(B228,AU$2:AY$10,4,FALSE)</f>
        <v>1314.2550386408398</v>
      </c>
      <c r="D228" s="846">
        <f>IF(A228=B218,B233,IF(A228=D218,D233,C228))</f>
        <v>1314.2550386408398</v>
      </c>
      <c r="G228" s="846">
        <f>IF(A228=E218,E233,IF(A228=G218,G233,D228))</f>
        <v>1314.2550386408398</v>
      </c>
      <c r="J228" s="846">
        <f>IF(A228=H218,H233,IF(A228=J218,J233,G228))</f>
        <v>1314.2550386408398</v>
      </c>
      <c r="V228" s="1240"/>
      <c r="W228" s="1240">
        <v>2</v>
      </c>
      <c r="X228" s="846" t="str">
        <f>Y211</f>
        <v>C1VB Juniors Grey</v>
      </c>
      <c r="Y228" s="846">
        <f>VLOOKUP(X228,AU$2:AY$10,4,FALSE)</f>
        <v>1116.8090840774478</v>
      </c>
      <c r="Z228" s="846">
        <f>IF(W228=X218,X233,IF(W228=Z218,Z233,Y228))</f>
        <v>1116.8090840774478</v>
      </c>
      <c r="AC228" s="846">
        <f>IF(W228=AA218,AA233,IF(W228=AC218,AC233,Z228))</f>
        <v>1116.8090840774478</v>
      </c>
      <c r="AF228" s="846">
        <f>IF(W228=AD218,AD233,IF(W228=AF218,AF233,AC228))</f>
        <v>1116.8090840774478</v>
      </c>
      <c r="AT228" s="846" t="str">
        <f>B229</f>
        <v>Intense kids power col</v>
      </c>
      <c r="AU228" s="846">
        <f>J229</f>
        <v>1243.8891049954495</v>
      </c>
      <c r="AW228" s="1239"/>
      <c r="AX228" s="1057"/>
      <c r="AY228" s="1057"/>
      <c r="AZ228" s="1057"/>
      <c r="BA228" s="1057"/>
      <c r="BB228" s="1239"/>
      <c r="BC228" s="1057"/>
      <c r="BD228" s="1057"/>
      <c r="BE228" s="1239"/>
      <c r="BF228" s="1057"/>
      <c r="BG228" s="1057"/>
      <c r="BH228" s="1239"/>
      <c r="BI228" s="1057"/>
      <c r="BJ228" s="1057"/>
      <c r="BK228" s="1239"/>
      <c r="BL228" s="1057"/>
      <c r="BM228" s="1057"/>
      <c r="BN228" s="1239"/>
      <c r="BO228" s="1057"/>
      <c r="BP228" s="1057"/>
      <c r="BQ228" s="1239"/>
      <c r="BR228" s="1057"/>
      <c r="BS228" s="1057"/>
      <c r="BT228" s="1239"/>
      <c r="BU228" s="1057"/>
      <c r="BV228" s="1057"/>
      <c r="BW228" s="1239"/>
      <c r="BX228" s="1057"/>
      <c r="BY228" s="1057"/>
      <c r="BZ228" s="1239"/>
      <c r="CA228" s="1057"/>
      <c r="CB228" s="1057"/>
    </row>
    <row r="229" spans="1:80" hidden="1" x14ac:dyDescent="0.2">
      <c r="A229" s="846">
        <v>3</v>
      </c>
      <c r="B229" s="846" t="str">
        <f>B212</f>
        <v>Intense kids power col</v>
      </c>
      <c r="C229" s="846">
        <f>VLOOKUP(B229,AU$2:AY$10,4,FALSE)</f>
        <v>1243.8891049954495</v>
      </c>
      <c r="D229" s="846">
        <f>IF(A229=B218,B233,IF(A229=D218,D233,C229))</f>
        <v>1243.8891049954495</v>
      </c>
      <c r="G229" s="846">
        <f>IF(A229=E218,E233,IF(A229=G218,G233,D229))</f>
        <v>1243.8891049954495</v>
      </c>
      <c r="J229" s="846">
        <f>IF(A229=H218,H233,IF(A229=J218,J233,G229))</f>
        <v>1243.8891049954495</v>
      </c>
      <c r="V229" s="1240"/>
      <c r="W229" s="1240">
        <v>3</v>
      </c>
      <c r="X229" s="846" t="str">
        <f>Y212</f>
        <v>MOTO 12'1</v>
      </c>
      <c r="Y229" s="846">
        <f>VLOOKUP(X229,AU$2:AY$10,4,FALSE)</f>
        <v>1189.7914904865811</v>
      </c>
      <c r="Z229" s="846">
        <f>IF(W229=X218,X233,IF(W229=Z218,Z233,Y229))</f>
        <v>1189.7914904865811</v>
      </c>
      <c r="AC229" s="846">
        <f>IF(W229=AA218,AA233,IF(W229=AC218,AC233,Z229))</f>
        <v>1189.7914904865811</v>
      </c>
      <c r="AF229" s="846">
        <f>IF(W229=AD218,AD233,IF(W229=AF218,AF233,AC229))</f>
        <v>1189.7914904865811</v>
      </c>
      <c r="AT229" s="846" t="str">
        <f>B230</f>
        <v>SC Midlands KP White</v>
      </c>
      <c r="AU229" s="846">
        <f>J230</f>
        <v>1210.7113361544355</v>
      </c>
      <c r="AW229" s="1239"/>
      <c r="AX229" s="1057"/>
      <c r="AY229" s="1057"/>
      <c r="AZ229" s="1057"/>
      <c r="BA229" s="1057"/>
      <c r="BB229" s="1239"/>
      <c r="BC229" s="1057"/>
      <c r="BD229" s="1057"/>
      <c r="BE229" s="1239"/>
      <c r="BF229" s="1057"/>
      <c r="BG229" s="1057"/>
      <c r="BH229" s="1239"/>
      <c r="BI229" s="1057"/>
      <c r="BJ229" s="1057"/>
      <c r="BK229" s="1239"/>
      <c r="BL229" s="1057"/>
      <c r="BM229" s="1057"/>
      <c r="BN229" s="1239"/>
      <c r="BO229" s="1057"/>
      <c r="BP229" s="1057"/>
      <c r="BQ229" s="1239"/>
      <c r="BR229" s="1057"/>
      <c r="BS229" s="1057"/>
      <c r="BT229" s="1239"/>
      <c r="BU229" s="1057"/>
      <c r="BV229" s="1057"/>
      <c r="BW229" s="1239"/>
      <c r="BX229" s="1057"/>
      <c r="BY229" s="1057"/>
      <c r="BZ229" s="1239"/>
      <c r="CA229" s="1057"/>
      <c r="CB229" s="1057"/>
    </row>
    <row r="230" spans="1:80" hidden="1" x14ac:dyDescent="0.2">
      <c r="A230" s="846">
        <v>4</v>
      </c>
      <c r="B230" s="846" t="str">
        <f>B213</f>
        <v>SC Midlands KP White</v>
      </c>
      <c r="C230" s="846">
        <f>VLOOKUP(B230,AU$2:AY$10,4,FALSE)</f>
        <v>1210.7113361544355</v>
      </c>
      <c r="D230" s="846">
        <f>IF(A230=B218,B233,IF(A230=D218,D233,C230))</f>
        <v>1210.7113361544355</v>
      </c>
      <c r="G230" s="846">
        <f>IF(A230=E218,E233,IF(A230=G218,G233,D230))</f>
        <v>1210.7113361544355</v>
      </c>
      <c r="J230" s="846">
        <f>IF(A230=H218,H233,IF(A230=J218,J233,G230))</f>
        <v>1210.7113361544355</v>
      </c>
      <c r="V230" s="1240"/>
      <c r="W230" s="1240">
        <v>4</v>
      </c>
      <c r="X230" s="846" t="str">
        <f>Y213</f>
        <v>BYE</v>
      </c>
      <c r="Y230" s="846" t="e">
        <f>VLOOKUP(X230,AU$2:AY$10,4,FALSE)</f>
        <v>#N/A</v>
      </c>
      <c r="Z230" s="846" t="e">
        <f>IF(W230=X218,X233,IF(W230=Z218,Z233,Y230))</f>
        <v>#N/A</v>
      </c>
      <c r="AC230" s="846" t="e">
        <f>IF(W230=AA218,AA233,IF(W230=AC218,AC233,Z230))</f>
        <v>#N/A</v>
      </c>
      <c r="AF230" s="846" t="e">
        <f>IF(W230=AD218,AD233,IF(W230=AF218,AF233,AC230))</f>
        <v>#N/A</v>
      </c>
      <c r="AT230" s="846" t="str">
        <f>X227</f>
        <v>Foothills Vanessa</v>
      </c>
      <c r="AU230" s="846">
        <f>AF227</f>
        <v>1182.2811686333052</v>
      </c>
      <c r="AW230" s="1239"/>
      <c r="AX230" s="1057"/>
      <c r="AY230" s="1057"/>
      <c r="AZ230" s="1057"/>
      <c r="BA230" s="1057"/>
      <c r="BB230" s="1239"/>
      <c r="BC230" s="1057"/>
      <c r="BD230" s="1057"/>
      <c r="BE230" s="1239"/>
      <c r="BF230" s="1057"/>
      <c r="BG230" s="1057"/>
      <c r="BH230" s="1239"/>
      <c r="BI230" s="1057"/>
      <c r="BJ230" s="1057"/>
      <c r="BK230" s="1239"/>
      <c r="BL230" s="1057"/>
      <c r="BM230" s="1057"/>
      <c r="BN230" s="1239"/>
      <c r="BO230" s="1057"/>
      <c r="BP230" s="1057"/>
      <c r="BQ230" s="1239"/>
      <c r="BR230" s="1057"/>
      <c r="BS230" s="1057"/>
      <c r="BT230" s="1239"/>
      <c r="BU230" s="1057"/>
      <c r="BV230" s="1057"/>
      <c r="BW230" s="1239"/>
      <c r="BX230" s="1057"/>
      <c r="BY230" s="1057"/>
      <c r="BZ230" s="1239"/>
      <c r="CA230" s="1057"/>
      <c r="CB230" s="1057"/>
    </row>
    <row r="231" spans="1:80" hidden="1" x14ac:dyDescent="0.2">
      <c r="A231" s="846" t="s">
        <v>114</v>
      </c>
      <c r="B231" s="846">
        <f>VLOOKUP(B218,$A227:$J230,3,FALSE)</f>
        <v>1255.6934893512482</v>
      </c>
      <c r="D231" s="846">
        <f>VLOOKUP(D218,$A227:$J230,3,FALSE)</f>
        <v>1210.7113361544355</v>
      </c>
      <c r="E231" s="846">
        <f>VLOOKUP(E218,$A227:$J230,4,FALSE)</f>
        <v>1314.2550386408398</v>
      </c>
      <c r="G231" s="846">
        <f>VLOOKUP(G218,$A227:$J230,4,FALSE)</f>
        <v>1243.8891049954495</v>
      </c>
      <c r="H231" s="846" t="e">
        <f>VLOOKUP(H218,$A227:$J230,7,FALSE)</f>
        <v>#N/A</v>
      </c>
      <c r="J231" s="846" t="e">
        <f>VLOOKUP(J218,$A227:$J230,7,FALSE)</f>
        <v>#N/A</v>
      </c>
      <c r="U231" s="1241" t="s">
        <v>114</v>
      </c>
      <c r="V231" s="1241"/>
      <c r="W231" s="1241"/>
      <c r="X231" s="846">
        <f>VLOOKUP(X218,$W227:$AF230,3,FALSE)</f>
        <v>1182.2811686333052</v>
      </c>
      <c r="Z231" s="846" t="e">
        <f>VLOOKUP(Z218,$W227:$AF230,3,FALSE)</f>
        <v>#N/A</v>
      </c>
      <c r="AA231" s="846">
        <f>VLOOKUP(AA218,$W227:$AF230,4,FALSE)</f>
        <v>1116.8090840774478</v>
      </c>
      <c r="AC231" s="846">
        <f>VLOOKUP(AC218,$W227:$AF230,4,FALSE)</f>
        <v>1189.7914904865811</v>
      </c>
      <c r="AD231" s="846">
        <f>VLOOKUP(AD218,$W227:$AF230,7,FALSE)</f>
        <v>1182.2811686333052</v>
      </c>
      <c r="AF231" s="846" t="e">
        <f>VLOOKUP(AF218,$W227:$AF230,7,FALSE)</f>
        <v>#N/A</v>
      </c>
      <c r="AT231" s="846" t="str">
        <f>X228</f>
        <v>C1VB Juniors Grey</v>
      </c>
      <c r="AU231" s="846">
        <f>AF228</f>
        <v>1116.8090840774478</v>
      </c>
      <c r="AW231" s="1239"/>
      <c r="AX231" s="1057"/>
      <c r="AY231" s="1057"/>
      <c r="AZ231" s="1057"/>
      <c r="BA231" s="1057"/>
      <c r="BB231" s="1239"/>
      <c r="BC231" s="1057"/>
      <c r="BD231" s="1057"/>
      <c r="BE231" s="1239"/>
      <c r="BF231" s="1057"/>
      <c r="BG231" s="1057"/>
      <c r="BH231" s="1239"/>
      <c r="BI231" s="1057"/>
      <c r="BJ231" s="1057"/>
      <c r="BK231" s="1239"/>
      <c r="BL231" s="1057"/>
      <c r="BM231" s="1057"/>
      <c r="BN231" s="1239"/>
      <c r="BO231" s="1057"/>
      <c r="BP231" s="1057"/>
      <c r="BQ231" s="1239"/>
      <c r="BR231" s="1057"/>
      <c r="BS231" s="1057"/>
      <c r="BT231" s="1239"/>
      <c r="BU231" s="1057"/>
      <c r="BV231" s="1057"/>
      <c r="BW231" s="1239"/>
      <c r="BX231" s="1057"/>
      <c r="BY231" s="1057"/>
      <c r="BZ231" s="1239"/>
      <c r="CA231" s="1057"/>
      <c r="CB231" s="1057"/>
    </row>
    <row r="232" spans="1:80" hidden="1" x14ac:dyDescent="0.2">
      <c r="A232" s="1072" t="s">
        <v>115</v>
      </c>
      <c r="B232" s="1072">
        <f>IF(OR(B222&gt;0,D222&gt;0),1/(1+(10^-((B231-D231)/400)))*(B222+D222),0)</f>
        <v>0</v>
      </c>
      <c r="C232" s="1072"/>
      <c r="D232" s="1072">
        <f>IF(OR(B222&gt;0,D222&gt;0),1/(1+(10^-((D231-B231)/400)))*(B222+D222),0)</f>
        <v>0</v>
      </c>
      <c r="E232" s="1072">
        <f>IF(OR(E222&gt;0,G222&gt;0),1/(1+(10^-((E231-G231)/400)))*(E222+G222),0)</f>
        <v>0</v>
      </c>
      <c r="F232" s="1072"/>
      <c r="G232" s="1072">
        <f>IF(OR(E222&gt;0,G222&gt;0),1/(1+(10^-((G231-E231)/400)))*(E222+G222),0)</f>
        <v>0</v>
      </c>
      <c r="H232" s="1072">
        <f>IF(OR(H222&gt;0,J222&gt;0),1/(1+(10^-((H231-J231)/400)))*(H222+J222),0)</f>
        <v>0</v>
      </c>
      <c r="I232" s="1072"/>
      <c r="J232" s="1072">
        <f>IF(OR(H222&gt;0,J222&gt;0),1/(1+(10^-((J231-H231)/400)))*(H222+J222),0)</f>
        <v>0</v>
      </c>
      <c r="K232" s="1072"/>
      <c r="U232" s="1242" t="s">
        <v>115</v>
      </c>
      <c r="V232" s="1242"/>
      <c r="W232" s="1242"/>
      <c r="X232" s="1072">
        <f>IF(OR(X222&gt;0,Z222&gt;0),1/(1+(10^-((X231-Z231)/400)))*(X222+Z222),0)</f>
        <v>0</v>
      </c>
      <c r="Y232" s="1072"/>
      <c r="Z232" s="1072">
        <f>IF(OR(X222&gt;0,Z222&gt;0),1/(1+(10^-((Z231-X231)/400)))*(X222+Z222),0)</f>
        <v>0</v>
      </c>
      <c r="AA232" s="1072">
        <f>IF(OR(AA222&gt;0,AC222&gt;0),1/(1+(10^-((AA231-AC231)/400)))*(AA222+AC222),0)</f>
        <v>0</v>
      </c>
      <c r="AB232" s="1072"/>
      <c r="AC232" s="1072">
        <f>IF(OR(AA222&gt;0,AC222&gt;0),1/(1+(10^-((AC231-AA231)/400)))*(AA222+AC222),0)</f>
        <v>0</v>
      </c>
      <c r="AD232" s="1072">
        <f>IF(OR(AD222&gt;0,AF222&gt;0),1/(1+(10^-((AD231-AF231)/400)))*(AD222+AF222),0)</f>
        <v>0</v>
      </c>
      <c r="AE232" s="1072"/>
      <c r="AF232" s="1072">
        <f>IF(OR(AD222&gt;0,AF222&gt;0),1/(1+(10^-((AF231-AD231)/400)))*(AD222+AF222),0)</f>
        <v>0</v>
      </c>
      <c r="AT232" s="846" t="str">
        <f>X229</f>
        <v>MOTO 12'1</v>
      </c>
      <c r="AU232" s="846">
        <f>AF229</f>
        <v>1189.7914904865811</v>
      </c>
      <c r="AW232" s="1239"/>
      <c r="AX232" s="1057"/>
      <c r="AY232" s="1057"/>
      <c r="AZ232" s="1057"/>
      <c r="BA232" s="1057"/>
      <c r="BB232" s="1239"/>
      <c r="BC232" s="1057"/>
      <c r="BD232" s="1057"/>
      <c r="BE232" s="1239"/>
      <c r="BF232" s="1057"/>
      <c r="BG232" s="1057"/>
      <c r="BH232" s="1239"/>
      <c r="BI232" s="1057"/>
      <c r="BJ232" s="1057"/>
      <c r="BK232" s="1239"/>
      <c r="BL232" s="1057"/>
      <c r="BM232" s="1057"/>
      <c r="BN232" s="1239"/>
      <c r="BO232" s="1057"/>
      <c r="BP232" s="1057"/>
      <c r="BQ232" s="1239"/>
      <c r="BR232" s="1057"/>
      <c r="BS232" s="1057"/>
      <c r="BT232" s="1239"/>
      <c r="BU232" s="1057"/>
      <c r="BV232" s="1057"/>
      <c r="BW232" s="1239"/>
      <c r="BX232" s="1057"/>
      <c r="BY232" s="1057"/>
      <c r="BZ232" s="1239"/>
      <c r="CA232" s="1057"/>
      <c r="CB232" s="1057"/>
    </row>
    <row r="233" spans="1:80" hidden="1" x14ac:dyDescent="0.2">
      <c r="A233" s="1078" t="s">
        <v>116</v>
      </c>
      <c r="B233" s="1078">
        <f>B231+(B222-B232)*$BA$2</f>
        <v>1255.6934893512482</v>
      </c>
      <c r="C233" s="1078"/>
      <c r="D233" s="1078">
        <f>D231+(D222-D232)*$BA$2</f>
        <v>1210.7113361544355</v>
      </c>
      <c r="E233" s="1078">
        <f>E231+(E222-E232)*$BA$2</f>
        <v>1314.2550386408398</v>
      </c>
      <c r="G233" s="1078">
        <f>G231+(G222-G232)*$BA$2</f>
        <v>1243.8891049954495</v>
      </c>
      <c r="H233" s="1078" t="e">
        <f>H231+(H222-H232)*$BA$2</f>
        <v>#N/A</v>
      </c>
      <c r="J233" s="1078" t="e">
        <f>J231+(J222-J232)*$BA$2</f>
        <v>#N/A</v>
      </c>
      <c r="K233" s="1078"/>
      <c r="U233" s="1243" t="s">
        <v>116</v>
      </c>
      <c r="V233" s="1243"/>
      <c r="W233" s="1243"/>
      <c r="X233" s="1078">
        <f>X231+(X222-X232)*$BA$2</f>
        <v>1182.2811686333052</v>
      </c>
      <c r="Y233" s="1078"/>
      <c r="Z233" s="1078" t="e">
        <f>Z231+(Z222-Z232)*$BA$2</f>
        <v>#N/A</v>
      </c>
      <c r="AA233" s="1078">
        <f>AA231+(AA222-AA232)*$BA$2</f>
        <v>1116.8090840774478</v>
      </c>
      <c r="AC233" s="1078">
        <f>AC231+(AC222-AC232)*$BA$2</f>
        <v>1189.7914904865811</v>
      </c>
      <c r="AD233" s="1078">
        <f>AD231+(AD222-AD232)*$BA$2</f>
        <v>1182.2811686333052</v>
      </c>
      <c r="AF233" s="1078" t="e">
        <f>AF231+(AF222-AF232)*$BA$2</f>
        <v>#N/A</v>
      </c>
      <c r="AT233" s="846" t="str">
        <f>X230</f>
        <v>BYE</v>
      </c>
      <c r="AU233" s="846" t="e">
        <f>AF230</f>
        <v>#N/A</v>
      </c>
      <c r="AW233" s="1239"/>
      <c r="AX233" s="1057"/>
      <c r="AY233" s="1057"/>
      <c r="AZ233" s="1057"/>
      <c r="BA233" s="1057"/>
      <c r="BB233" s="1239"/>
      <c r="BC233" s="1057"/>
      <c r="BD233" s="1057"/>
      <c r="BE233" s="1239"/>
      <c r="BF233" s="1057"/>
      <c r="BG233" s="1057"/>
      <c r="BH233" s="1239"/>
      <c r="BI233" s="1057"/>
      <c r="BJ233" s="1057"/>
      <c r="BK233" s="1239"/>
      <c r="BL233" s="1057"/>
      <c r="BM233" s="1057"/>
      <c r="BN233" s="1239"/>
      <c r="BO233" s="1057"/>
      <c r="BP233" s="1057"/>
      <c r="BQ233" s="1239"/>
      <c r="BR233" s="1057"/>
      <c r="BS233" s="1057"/>
      <c r="BT233" s="1239"/>
      <c r="BU233" s="1057"/>
      <c r="BV233" s="1057"/>
      <c r="BW233" s="1239"/>
      <c r="BX233" s="1057"/>
      <c r="BY233" s="1057"/>
      <c r="BZ233" s="1239"/>
      <c r="CA233" s="1057"/>
      <c r="CB233" s="1057"/>
    </row>
    <row r="234" spans="1:80" x14ac:dyDescent="0.2">
      <c r="A234" s="1244" t="s">
        <v>167</v>
      </c>
      <c r="B234" s="1244"/>
      <c r="C234" s="1244"/>
      <c r="D234" s="1244"/>
      <c r="E234" s="1244"/>
      <c r="F234" s="1244"/>
      <c r="G234" s="1244"/>
      <c r="H234" s="1244"/>
      <c r="I234" s="1244"/>
      <c r="J234" s="1244"/>
      <c r="K234" s="1244"/>
      <c r="L234" s="1244"/>
      <c r="M234" s="1244"/>
      <c r="N234" s="1244"/>
      <c r="S234" s="1187"/>
      <c r="T234" s="1187"/>
      <c r="U234" s="1226"/>
      <c r="V234" s="1226"/>
      <c r="W234" s="1244" t="s">
        <v>167</v>
      </c>
      <c r="X234" s="1244"/>
      <c r="Y234" s="1244"/>
      <c r="Z234" s="1244"/>
      <c r="AA234" s="1244"/>
      <c r="AB234" s="1244"/>
      <c r="AC234" s="1244"/>
      <c r="AD234" s="1244"/>
      <c r="AE234" s="1244"/>
      <c r="AF234" s="1244"/>
      <c r="AG234" s="1244"/>
      <c r="AH234" s="1244"/>
      <c r="AI234" s="1187"/>
      <c r="AJ234" s="1187"/>
      <c r="AK234" s="1187"/>
      <c r="AZ234" s="1057"/>
      <c r="BA234" s="1057"/>
    </row>
    <row r="235" spans="1:80" x14ac:dyDescent="0.2">
      <c r="AT235" s="1057"/>
      <c r="AU235" s="1057"/>
      <c r="AZ235" s="1057"/>
      <c r="BA235" s="1057"/>
    </row>
    <row r="236" spans="1:80" x14ac:dyDescent="0.2">
      <c r="AT236" s="1057"/>
      <c r="AU236" s="1057"/>
      <c r="AZ236" s="1057"/>
      <c r="BA236" s="1057"/>
    </row>
    <row r="237" spans="1:80" x14ac:dyDescent="0.2">
      <c r="AT237" s="1057"/>
      <c r="AU237" s="1057"/>
      <c r="AZ237" s="1057"/>
      <c r="BA237" s="1057"/>
    </row>
    <row r="238" spans="1:80" x14ac:dyDescent="0.2">
      <c r="AT238" s="1057"/>
      <c r="AU238" s="1057"/>
      <c r="AZ238" s="1057"/>
      <c r="BA238" s="1057"/>
    </row>
    <row r="239" spans="1:80" x14ac:dyDescent="0.2">
      <c r="AT239" s="1057"/>
      <c r="AU239" s="1057"/>
      <c r="AZ239" s="1057"/>
      <c r="BA239" s="1057"/>
    </row>
    <row r="240" spans="1:80" x14ac:dyDescent="0.2">
      <c r="AT240" s="1057"/>
      <c r="AU240" s="1057"/>
      <c r="AZ240" s="1057"/>
      <c r="BA240" s="1057"/>
    </row>
    <row r="241" spans="46:53" x14ac:dyDescent="0.2">
      <c r="AT241" s="1057"/>
      <c r="AU241" s="1057"/>
      <c r="AZ241" s="1057"/>
      <c r="BA241" s="1057"/>
    </row>
    <row r="242" spans="46:53" x14ac:dyDescent="0.2">
      <c r="AT242" s="1057"/>
      <c r="AU242" s="1057"/>
      <c r="AZ242" s="1057"/>
      <c r="BA242" s="1057"/>
    </row>
    <row r="243" spans="46:53" x14ac:dyDescent="0.2">
      <c r="AT243" s="1057"/>
      <c r="AU243" s="1057"/>
      <c r="AZ243" s="1057"/>
      <c r="BA243" s="1057"/>
    </row>
    <row r="244" spans="46:53" x14ac:dyDescent="0.2">
      <c r="AT244" s="1057"/>
      <c r="AU244" s="1057"/>
      <c r="AZ244" s="1057"/>
      <c r="BA244" s="1057"/>
    </row>
    <row r="245" spans="46:53" x14ac:dyDescent="0.2">
      <c r="AT245" s="1057"/>
      <c r="AU245" s="1057"/>
      <c r="AZ245" s="1057"/>
      <c r="BA245" s="1057"/>
    </row>
    <row r="246" spans="46:53" x14ac:dyDescent="0.2">
      <c r="AT246" s="1057"/>
      <c r="AU246" s="1057"/>
      <c r="AZ246" s="1057"/>
      <c r="BA246" s="1057"/>
    </row>
    <row r="247" spans="46:53" x14ac:dyDescent="0.2">
      <c r="AT247" s="1057"/>
      <c r="AU247" s="1057"/>
    </row>
    <row r="248" spans="46:53" x14ac:dyDescent="0.2">
      <c r="AT248" s="1057"/>
      <c r="AU248" s="1057"/>
      <c r="AZ248" s="1065"/>
      <c r="BA248" s="1065"/>
    </row>
    <row r="249" spans="46:53" x14ac:dyDescent="0.2">
      <c r="AT249" s="1057"/>
      <c r="AU249" s="1057"/>
      <c r="AZ249" s="1065"/>
      <c r="BA249" s="1065"/>
    </row>
    <row r="250" spans="46:53" x14ac:dyDescent="0.2">
      <c r="AT250" s="1057"/>
      <c r="AU250" s="1057"/>
      <c r="AZ250" s="1065"/>
      <c r="BA250" s="1065"/>
    </row>
    <row r="251" spans="46:53" x14ac:dyDescent="0.2">
      <c r="AT251" s="1057"/>
      <c r="AU251" s="1057"/>
      <c r="AZ251" s="1065"/>
      <c r="BA251" s="1065"/>
    </row>
    <row r="252" spans="46:53" x14ac:dyDescent="0.2">
      <c r="AT252" s="1057"/>
      <c r="AU252" s="1057"/>
      <c r="AZ252" s="1065"/>
      <c r="BA252" s="1065"/>
    </row>
    <row r="253" spans="46:53" x14ac:dyDescent="0.2">
      <c r="AT253" s="1057"/>
      <c r="AU253" s="1057"/>
      <c r="AZ253" s="1065"/>
      <c r="BA253" s="1065"/>
    </row>
    <row r="254" spans="46:53" x14ac:dyDescent="0.2">
      <c r="AT254" s="1057"/>
      <c r="AU254" s="1057"/>
      <c r="AZ254" s="1065"/>
      <c r="BA254" s="1065"/>
    </row>
    <row r="255" spans="46:53" x14ac:dyDescent="0.2">
      <c r="AT255" s="1057"/>
      <c r="AU255" s="1057"/>
      <c r="AZ255" s="1065"/>
      <c r="BA255" s="1065"/>
    </row>
    <row r="256" spans="46:53" x14ac:dyDescent="0.2">
      <c r="AT256" s="1057"/>
      <c r="AU256" s="1057"/>
      <c r="AZ256" s="1075"/>
      <c r="BA256" s="1075"/>
    </row>
    <row r="257" spans="46:53" x14ac:dyDescent="0.2">
      <c r="AT257" s="1057"/>
      <c r="AU257" s="1057"/>
      <c r="AZ257" s="1081"/>
      <c r="BA257" s="1081"/>
    </row>
    <row r="258" spans="46:53" x14ac:dyDescent="0.2">
      <c r="AT258" s="1057"/>
      <c r="AU258" s="1057"/>
      <c r="AZ258" s="1081"/>
      <c r="BA258" s="1081"/>
    </row>
    <row r="259" spans="46:53" x14ac:dyDescent="0.2">
      <c r="AT259" s="1057"/>
      <c r="AU259" s="1057"/>
      <c r="AZ259" s="1065"/>
      <c r="BA259" s="1065"/>
    </row>
    <row r="260" spans="46:53" x14ac:dyDescent="0.2">
      <c r="AT260" s="1065"/>
      <c r="AU260" s="1065"/>
      <c r="AZ260" s="1065"/>
      <c r="BA260" s="1065"/>
    </row>
    <row r="261" spans="46:53" x14ac:dyDescent="0.2">
      <c r="AT261" s="1065"/>
      <c r="AU261" s="1065"/>
    </row>
    <row r="286" spans="46:53" x14ac:dyDescent="0.2">
      <c r="AT286" s="1057"/>
      <c r="AU286" s="1057"/>
      <c r="AZ286" s="1057"/>
      <c r="BA286" s="1057"/>
    </row>
    <row r="287" spans="46:53" x14ac:dyDescent="0.2">
      <c r="AT287" s="1057"/>
      <c r="AU287" s="1057"/>
      <c r="AZ287" s="1057"/>
      <c r="BA287" s="1057"/>
    </row>
    <row r="288" spans="46:53" x14ac:dyDescent="0.2">
      <c r="AT288" s="1057"/>
      <c r="AU288" s="1057"/>
      <c r="AZ288" s="1057"/>
      <c r="BA288" s="1057"/>
    </row>
    <row r="289" spans="46:53" x14ac:dyDescent="0.2">
      <c r="AT289" s="1057"/>
      <c r="AU289" s="1057"/>
      <c r="AZ289" s="1057"/>
      <c r="BA289" s="1057"/>
    </row>
    <row r="290" spans="46:53" x14ac:dyDescent="0.2">
      <c r="AT290" s="1057"/>
      <c r="AU290" s="1057"/>
      <c r="AZ290" s="1057"/>
      <c r="BA290" s="1057"/>
    </row>
    <row r="291" spans="46:53" x14ac:dyDescent="0.2">
      <c r="AT291" s="1057"/>
      <c r="AU291" s="1057"/>
      <c r="AZ291" s="1057"/>
      <c r="BA291" s="1057"/>
    </row>
    <row r="292" spans="46:53" x14ac:dyDescent="0.2">
      <c r="AT292" s="1057"/>
      <c r="AU292" s="1057"/>
      <c r="AZ292" s="1057"/>
      <c r="BA292" s="1057"/>
    </row>
    <row r="293" spans="46:53" x14ac:dyDescent="0.2">
      <c r="AT293" s="1057"/>
      <c r="AU293" s="1057"/>
      <c r="AZ293" s="1057"/>
      <c r="BA293" s="1057"/>
    </row>
    <row r="294" spans="46:53" x14ac:dyDescent="0.2">
      <c r="AT294" s="1057"/>
      <c r="AU294" s="1057"/>
      <c r="AZ294" s="1057"/>
      <c r="BA294" s="1057"/>
    </row>
    <row r="295" spans="46:53" x14ac:dyDescent="0.2">
      <c r="AT295" s="1057"/>
      <c r="AU295" s="1057"/>
      <c r="AZ295" s="1057"/>
      <c r="BA295" s="1057"/>
    </row>
    <row r="296" spans="46:53" x14ac:dyDescent="0.2">
      <c r="AT296" s="1057"/>
      <c r="AU296" s="1057"/>
      <c r="AZ296" s="1057"/>
      <c r="BA296" s="1057"/>
    </row>
    <row r="297" spans="46:53" x14ac:dyDescent="0.2">
      <c r="AT297" s="1057"/>
      <c r="AU297" s="1057"/>
      <c r="AZ297" s="1057"/>
      <c r="BA297" s="1057"/>
    </row>
    <row r="298" spans="46:53" x14ac:dyDescent="0.2">
      <c r="AT298" s="1057"/>
      <c r="AU298" s="1057"/>
      <c r="AZ298" s="1057"/>
      <c r="BA298" s="1057"/>
    </row>
    <row r="299" spans="46:53" x14ac:dyDescent="0.2">
      <c r="AT299" s="1057"/>
      <c r="AU299" s="1057"/>
      <c r="AZ299" s="1057"/>
      <c r="BA299" s="1057"/>
    </row>
    <row r="300" spans="46:53" x14ac:dyDescent="0.2">
      <c r="AT300" s="1057"/>
      <c r="AU300" s="1057"/>
      <c r="AZ300" s="1057"/>
      <c r="BA300" s="1057"/>
    </row>
    <row r="301" spans="46:53" x14ac:dyDescent="0.2">
      <c r="AT301" s="1057"/>
      <c r="AU301" s="1057"/>
      <c r="AZ301" s="1057"/>
      <c r="BA301" s="1057"/>
    </row>
    <row r="302" spans="46:53" x14ac:dyDescent="0.2">
      <c r="AT302" s="1057"/>
      <c r="AU302" s="1057"/>
      <c r="AZ302" s="1057"/>
      <c r="BA302" s="1057"/>
    </row>
    <row r="303" spans="46:53" x14ac:dyDescent="0.2">
      <c r="AT303" s="1057"/>
      <c r="AU303" s="1057"/>
      <c r="AZ303" s="1057"/>
      <c r="BA303" s="1057"/>
    </row>
    <row r="304" spans="46:53" x14ac:dyDescent="0.2">
      <c r="AT304" s="1057"/>
      <c r="AU304" s="1057"/>
      <c r="AZ304" s="1057"/>
      <c r="BA304" s="1057"/>
    </row>
    <row r="305" spans="46:53" x14ac:dyDescent="0.2">
      <c r="AT305" s="1057"/>
      <c r="AU305" s="1057"/>
      <c r="AZ305" s="1057"/>
      <c r="BA305" s="1057"/>
    </row>
    <row r="306" spans="46:53" x14ac:dyDescent="0.2">
      <c r="AT306" s="1057"/>
      <c r="AU306" s="1057"/>
      <c r="AZ306" s="1057"/>
      <c r="BA306" s="1057"/>
    </row>
    <row r="307" spans="46:53" x14ac:dyDescent="0.2">
      <c r="AT307" s="1057"/>
      <c r="AU307" s="1057"/>
      <c r="AZ307" s="1057"/>
      <c r="BA307" s="1057"/>
    </row>
    <row r="308" spans="46:53" x14ac:dyDescent="0.2">
      <c r="AT308" s="1057"/>
      <c r="AU308" s="1057"/>
      <c r="AZ308" s="1057"/>
      <c r="BA308" s="1057"/>
    </row>
    <row r="309" spans="46:53" x14ac:dyDescent="0.2">
      <c r="AT309" s="1057"/>
      <c r="AU309" s="1057"/>
      <c r="AZ309" s="1057"/>
      <c r="BA309" s="1057"/>
    </row>
    <row r="310" spans="46:53" x14ac:dyDescent="0.2">
      <c r="AT310" s="1057"/>
      <c r="AU310" s="1057"/>
      <c r="AZ310" s="1057"/>
      <c r="BA310" s="1057"/>
    </row>
    <row r="311" spans="46:53" x14ac:dyDescent="0.2">
      <c r="AT311" s="1057"/>
      <c r="AU311" s="1057"/>
      <c r="AZ311" s="1057"/>
      <c r="BA311" s="1057"/>
    </row>
    <row r="312" spans="46:53" x14ac:dyDescent="0.2">
      <c r="AT312" s="1057"/>
      <c r="AU312" s="1057"/>
      <c r="AZ312" s="1057"/>
      <c r="BA312" s="1057"/>
    </row>
    <row r="313" spans="46:53" x14ac:dyDescent="0.2">
      <c r="AT313" s="1057"/>
      <c r="AU313" s="1057"/>
      <c r="AZ313" s="1057"/>
      <c r="BA313" s="1057"/>
    </row>
    <row r="314" spans="46:53" x14ac:dyDescent="0.2">
      <c r="AT314" s="1057"/>
      <c r="AU314" s="1057"/>
      <c r="AZ314" s="1057"/>
      <c r="BA314" s="1057"/>
    </row>
    <row r="315" spans="46:53" x14ac:dyDescent="0.2">
      <c r="AT315" s="1057"/>
      <c r="AU315" s="1057"/>
      <c r="AZ315" s="1057"/>
      <c r="BA315" s="1057"/>
    </row>
    <row r="316" spans="46:53" x14ac:dyDescent="0.2">
      <c r="AT316" s="1057"/>
      <c r="AU316" s="1057"/>
      <c r="AZ316" s="1057"/>
      <c r="BA316" s="1057"/>
    </row>
    <row r="317" spans="46:53" x14ac:dyDescent="0.2">
      <c r="AT317" s="1057"/>
      <c r="AU317" s="1057"/>
      <c r="AZ317" s="1057"/>
      <c r="BA317" s="1057"/>
    </row>
    <row r="318" spans="46:53" x14ac:dyDescent="0.2">
      <c r="AT318" s="1057"/>
      <c r="AU318" s="1057"/>
      <c r="AZ318" s="1057"/>
      <c r="BA318" s="1057"/>
    </row>
    <row r="319" spans="46:53" x14ac:dyDescent="0.2">
      <c r="AT319" s="1057"/>
      <c r="AU319" s="1057"/>
      <c r="AZ319" s="1057"/>
      <c r="BA319" s="1057"/>
    </row>
    <row r="320" spans="46:53" x14ac:dyDescent="0.2">
      <c r="AT320" s="1057"/>
      <c r="AU320" s="1057"/>
      <c r="AZ320" s="1057"/>
      <c r="BA320" s="1057"/>
    </row>
    <row r="321" spans="46:53" x14ac:dyDescent="0.2">
      <c r="AT321" s="1057"/>
      <c r="AU321" s="1057"/>
      <c r="AZ321" s="1057"/>
      <c r="BA321" s="1057"/>
    </row>
    <row r="322" spans="46:53" x14ac:dyDescent="0.2">
      <c r="AT322" s="1057"/>
      <c r="AU322" s="1057"/>
      <c r="AZ322" s="1057"/>
      <c r="BA322" s="1057"/>
    </row>
    <row r="323" spans="46:53" x14ac:dyDescent="0.2">
      <c r="AT323" s="1057"/>
      <c r="AU323" s="1057"/>
      <c r="AZ323" s="1057"/>
      <c r="BA323" s="1057"/>
    </row>
    <row r="324" spans="46:53" x14ac:dyDescent="0.2">
      <c r="AT324" s="1057"/>
      <c r="AU324" s="1057"/>
      <c r="AZ324" s="1057"/>
      <c r="BA324" s="1057"/>
    </row>
    <row r="325" spans="46:53" x14ac:dyDescent="0.2">
      <c r="AT325" s="1057"/>
      <c r="AU325" s="1057"/>
      <c r="AZ325" s="1057"/>
      <c r="BA325" s="1057"/>
    </row>
    <row r="326" spans="46:53" x14ac:dyDescent="0.2">
      <c r="AT326" s="1057"/>
      <c r="AU326" s="1057"/>
      <c r="AZ326" s="1057"/>
      <c r="BA326" s="1057"/>
    </row>
    <row r="327" spans="46:53" x14ac:dyDescent="0.2">
      <c r="AT327" s="1057"/>
      <c r="AU327" s="1057"/>
      <c r="AZ327" s="1057"/>
      <c r="BA327" s="1057"/>
    </row>
    <row r="328" spans="46:53" x14ac:dyDescent="0.2">
      <c r="AT328" s="1057"/>
      <c r="AU328" s="1057"/>
      <c r="AZ328" s="1057"/>
      <c r="BA328" s="1057"/>
    </row>
    <row r="329" spans="46:53" x14ac:dyDescent="0.2">
      <c r="AT329" s="1057"/>
      <c r="AU329" s="1057"/>
      <c r="AZ329" s="1057"/>
      <c r="BA329" s="1057"/>
    </row>
    <row r="330" spans="46:53" x14ac:dyDescent="0.2">
      <c r="AT330" s="1057"/>
      <c r="AU330" s="1057"/>
      <c r="AZ330" s="1057"/>
      <c r="BA330" s="1057"/>
    </row>
    <row r="331" spans="46:53" x14ac:dyDescent="0.2">
      <c r="AT331" s="1057"/>
      <c r="AU331" s="1057"/>
      <c r="AZ331" s="1057"/>
      <c r="BA331" s="1057"/>
    </row>
    <row r="332" spans="46:53" x14ac:dyDescent="0.2">
      <c r="AT332" s="1065"/>
      <c r="AU332" s="1065"/>
    </row>
    <row r="333" spans="46:53" x14ac:dyDescent="0.2">
      <c r="AT333" s="1065"/>
      <c r="AU333" s="1065"/>
      <c r="AZ333" s="1065"/>
      <c r="BA333" s="1065"/>
    </row>
    <row r="334" spans="46:53" x14ac:dyDescent="0.2">
      <c r="AZ334" s="1065"/>
      <c r="BA334" s="1065"/>
    </row>
    <row r="335" spans="46:53" x14ac:dyDescent="0.2">
      <c r="AZ335" s="1065"/>
      <c r="BA335" s="1065"/>
    </row>
    <row r="336" spans="46:53" x14ac:dyDescent="0.2">
      <c r="AZ336" s="1065"/>
      <c r="BA336" s="1065"/>
    </row>
    <row r="337" spans="46:53" x14ac:dyDescent="0.2">
      <c r="AZ337" s="1065"/>
      <c r="BA337" s="1065"/>
    </row>
    <row r="338" spans="46:53" x14ac:dyDescent="0.2">
      <c r="AZ338" s="1065"/>
      <c r="BA338" s="1065"/>
    </row>
    <row r="339" spans="46:53" x14ac:dyDescent="0.2">
      <c r="AZ339" s="1065"/>
      <c r="BA339" s="1065"/>
    </row>
    <row r="340" spans="46:53" x14ac:dyDescent="0.2">
      <c r="AZ340" s="1065"/>
      <c r="BA340" s="1065"/>
    </row>
    <row r="341" spans="46:53" x14ac:dyDescent="0.2">
      <c r="AZ341" s="1075"/>
      <c r="BA341" s="1075"/>
    </row>
    <row r="342" spans="46:53" x14ac:dyDescent="0.2">
      <c r="AZ342" s="1081"/>
      <c r="BA342" s="1081"/>
    </row>
    <row r="343" spans="46:53" x14ac:dyDescent="0.2">
      <c r="AZ343" s="1081"/>
      <c r="BA343" s="1081"/>
    </row>
    <row r="344" spans="46:53" x14ac:dyDescent="0.2">
      <c r="AZ344" s="1065"/>
      <c r="BA344" s="1065"/>
    </row>
    <row r="345" spans="46:53" x14ac:dyDescent="0.2">
      <c r="AZ345" s="1065"/>
      <c r="BA345" s="1065"/>
    </row>
    <row r="348" spans="46:53" x14ac:dyDescent="0.2">
      <c r="AT348" s="1148"/>
    </row>
    <row r="371" spans="46:53" x14ac:dyDescent="0.2">
      <c r="AZ371" s="1057"/>
      <c r="BA371" s="1057"/>
    </row>
    <row r="372" spans="46:53" x14ac:dyDescent="0.2">
      <c r="AZ372" s="1057"/>
      <c r="BA372" s="1057"/>
    </row>
    <row r="373" spans="46:53" x14ac:dyDescent="0.2">
      <c r="AZ373" s="1057"/>
      <c r="BA373" s="1057"/>
    </row>
    <row r="374" spans="46:53" x14ac:dyDescent="0.2">
      <c r="AZ374" s="1057"/>
      <c r="BA374" s="1057"/>
    </row>
    <row r="375" spans="46:53" x14ac:dyDescent="0.2">
      <c r="AZ375" s="1057"/>
      <c r="BA375" s="1057"/>
    </row>
    <row r="376" spans="46:53" x14ac:dyDescent="0.2">
      <c r="AZ376" s="1057"/>
      <c r="BA376" s="1057"/>
    </row>
    <row r="377" spans="46:53" x14ac:dyDescent="0.2">
      <c r="AZ377" s="1057"/>
      <c r="BA377" s="1057"/>
    </row>
    <row r="378" spans="46:53" x14ac:dyDescent="0.2">
      <c r="AZ378" s="1057"/>
      <c r="BA378" s="1057"/>
    </row>
    <row r="379" spans="46:53" x14ac:dyDescent="0.2">
      <c r="AZ379" s="1057"/>
      <c r="BA379" s="1057"/>
    </row>
    <row r="380" spans="46:53" x14ac:dyDescent="0.2">
      <c r="AZ380" s="1057"/>
      <c r="BA380" s="1057"/>
    </row>
    <row r="381" spans="46:53" x14ac:dyDescent="0.2">
      <c r="AZ381" s="1057"/>
      <c r="BA381" s="1057"/>
    </row>
    <row r="382" spans="46:53" x14ac:dyDescent="0.2">
      <c r="AZ382" s="1057"/>
      <c r="BA382" s="1057"/>
    </row>
    <row r="383" spans="46:53" x14ac:dyDescent="0.2">
      <c r="AZ383" s="1057"/>
      <c r="BA383" s="1057"/>
    </row>
    <row r="384" spans="46:53" x14ac:dyDescent="0.2">
      <c r="AT384" s="1148"/>
      <c r="AZ384" s="1057"/>
      <c r="BA384" s="1057"/>
    </row>
    <row r="385" spans="52:53" x14ac:dyDescent="0.2">
      <c r="AZ385" s="1057"/>
      <c r="BA385" s="1057"/>
    </row>
    <row r="386" spans="52:53" x14ac:dyDescent="0.2">
      <c r="AZ386" s="1057"/>
      <c r="BA386" s="1057"/>
    </row>
    <row r="387" spans="52:53" x14ac:dyDescent="0.2">
      <c r="AZ387" s="1057"/>
      <c r="BA387" s="1057"/>
    </row>
    <row r="388" spans="52:53" x14ac:dyDescent="0.2">
      <c r="AZ388" s="1057"/>
      <c r="BA388" s="1057"/>
    </row>
    <row r="389" spans="52:53" x14ac:dyDescent="0.2">
      <c r="AZ389" s="1057"/>
      <c r="BA389" s="1057"/>
    </row>
    <row r="390" spans="52:53" x14ac:dyDescent="0.2">
      <c r="AZ390" s="1057"/>
      <c r="BA390" s="1057"/>
    </row>
    <row r="391" spans="52:53" x14ac:dyDescent="0.2">
      <c r="AZ391" s="1057"/>
      <c r="BA391" s="1057"/>
    </row>
    <row r="392" spans="52:53" x14ac:dyDescent="0.2">
      <c r="AZ392" s="1057"/>
      <c r="BA392" s="1057"/>
    </row>
    <row r="393" spans="52:53" x14ac:dyDescent="0.2">
      <c r="AZ393" s="1057"/>
      <c r="BA393" s="1057"/>
    </row>
    <row r="394" spans="52:53" x14ac:dyDescent="0.2">
      <c r="AZ394" s="1057"/>
      <c r="BA394" s="1057"/>
    </row>
    <row r="395" spans="52:53" x14ac:dyDescent="0.2">
      <c r="AZ395" s="1057"/>
      <c r="BA395" s="1057"/>
    </row>
    <row r="396" spans="52:53" x14ac:dyDescent="0.2">
      <c r="AZ396" s="1057"/>
      <c r="BA396" s="1057"/>
    </row>
    <row r="397" spans="52:53" x14ac:dyDescent="0.2">
      <c r="AZ397" s="1057"/>
      <c r="BA397" s="1057"/>
    </row>
    <row r="398" spans="52:53" x14ac:dyDescent="0.2">
      <c r="AZ398" s="1057"/>
      <c r="BA398" s="1057"/>
    </row>
    <row r="399" spans="52:53" x14ac:dyDescent="0.2">
      <c r="AZ399" s="1057"/>
      <c r="BA399" s="1057"/>
    </row>
    <row r="400" spans="52:53" x14ac:dyDescent="0.2">
      <c r="AZ400" s="1057"/>
      <c r="BA400" s="1057"/>
    </row>
    <row r="401" spans="52:53" x14ac:dyDescent="0.2">
      <c r="AZ401" s="1057"/>
      <c r="BA401" s="1057"/>
    </row>
    <row r="402" spans="52:53" x14ac:dyDescent="0.2">
      <c r="AZ402" s="1057"/>
      <c r="BA402" s="1057"/>
    </row>
    <row r="403" spans="52:53" x14ac:dyDescent="0.2">
      <c r="AZ403" s="1057"/>
      <c r="BA403" s="1057"/>
    </row>
    <row r="404" spans="52:53" x14ac:dyDescent="0.2">
      <c r="AZ404" s="1057"/>
      <c r="BA404" s="1057"/>
    </row>
    <row r="405" spans="52:53" x14ac:dyDescent="0.2">
      <c r="AZ405" s="1057"/>
      <c r="BA405" s="1057"/>
    </row>
    <row r="406" spans="52:53" x14ac:dyDescent="0.2">
      <c r="AZ406" s="1057"/>
      <c r="BA406" s="1057"/>
    </row>
    <row r="407" spans="52:53" x14ac:dyDescent="0.2">
      <c r="AZ407" s="1057"/>
      <c r="BA407" s="1057"/>
    </row>
    <row r="408" spans="52:53" x14ac:dyDescent="0.2">
      <c r="AZ408" s="1057"/>
      <c r="BA408" s="1057"/>
    </row>
    <row r="409" spans="52:53" x14ac:dyDescent="0.2">
      <c r="AZ409" s="1057"/>
      <c r="BA409" s="1057"/>
    </row>
    <row r="410" spans="52:53" x14ac:dyDescent="0.2">
      <c r="AZ410" s="1057"/>
      <c r="BA410" s="1057"/>
    </row>
    <row r="411" spans="52:53" x14ac:dyDescent="0.2">
      <c r="AZ411" s="1057"/>
      <c r="BA411" s="1057"/>
    </row>
    <row r="412" spans="52:53" x14ac:dyDescent="0.2">
      <c r="AZ412" s="1057"/>
      <c r="BA412" s="1057"/>
    </row>
    <row r="413" spans="52:53" x14ac:dyDescent="0.2">
      <c r="AZ413" s="1057"/>
      <c r="BA413" s="1057"/>
    </row>
    <row r="414" spans="52:53" x14ac:dyDescent="0.2">
      <c r="AZ414" s="1057"/>
      <c r="BA414" s="1057"/>
    </row>
    <row r="415" spans="52:53" x14ac:dyDescent="0.2">
      <c r="AZ415" s="1057"/>
      <c r="BA415" s="1057"/>
    </row>
    <row r="416" spans="52:53" x14ac:dyDescent="0.2">
      <c r="AZ416" s="1057"/>
      <c r="BA416" s="1057"/>
    </row>
    <row r="418" spans="52:53" x14ac:dyDescent="0.2">
      <c r="AZ418" s="1065"/>
      <c r="BA418" s="1065"/>
    </row>
    <row r="419" spans="52:53" x14ac:dyDescent="0.2">
      <c r="AZ419" s="1065"/>
      <c r="BA419" s="1065"/>
    </row>
    <row r="420" spans="52:53" x14ac:dyDescent="0.2">
      <c r="AZ420" s="1065"/>
      <c r="BA420" s="1065"/>
    </row>
    <row r="421" spans="52:53" x14ac:dyDescent="0.2">
      <c r="AZ421" s="1065"/>
      <c r="BA421" s="1065"/>
    </row>
    <row r="422" spans="52:53" x14ac:dyDescent="0.2">
      <c r="AZ422" s="1065"/>
      <c r="BA422" s="1065"/>
    </row>
    <row r="423" spans="52:53" x14ac:dyDescent="0.2">
      <c r="AZ423" s="1065"/>
      <c r="BA423" s="1065"/>
    </row>
    <row r="424" spans="52:53" x14ac:dyDescent="0.2">
      <c r="AZ424" s="1065"/>
      <c r="BA424" s="1065"/>
    </row>
    <row r="425" spans="52:53" x14ac:dyDescent="0.2">
      <c r="AZ425" s="1065"/>
      <c r="BA425" s="1065"/>
    </row>
    <row r="426" spans="52:53" x14ac:dyDescent="0.2">
      <c r="AZ426" s="1075"/>
      <c r="BA426" s="1075"/>
    </row>
    <row r="427" spans="52:53" x14ac:dyDescent="0.2">
      <c r="AZ427" s="1081"/>
      <c r="BA427" s="1081"/>
    </row>
    <row r="428" spans="52:53" x14ac:dyDescent="0.2">
      <c r="AZ428" s="1081"/>
      <c r="BA428" s="1081"/>
    </row>
    <row r="429" spans="52:53" x14ac:dyDescent="0.2">
      <c r="AZ429" s="1065"/>
      <c r="BA429" s="1065"/>
    </row>
    <row r="430" spans="52:53" x14ac:dyDescent="0.2">
      <c r="AZ430" s="1065"/>
      <c r="BA430" s="1065"/>
    </row>
  </sheetData>
  <sheetProtection formatCells="0" selectLockedCells="1"/>
  <mergeCells count="431">
    <mergeCell ref="U233:W233"/>
    <mergeCell ref="A234:N234"/>
    <mergeCell ref="W234:AH234"/>
    <mergeCell ref="U221:W221"/>
    <mergeCell ref="U222:W222"/>
    <mergeCell ref="K223:N225"/>
    <mergeCell ref="AG223:AH225"/>
    <mergeCell ref="U231:W231"/>
    <mergeCell ref="U232:W232"/>
    <mergeCell ref="AD217:AF217"/>
    <mergeCell ref="K218:N218"/>
    <mergeCell ref="U218:W218"/>
    <mergeCell ref="AG218:AH218"/>
    <mergeCell ref="U219:W219"/>
    <mergeCell ref="U220:W220"/>
    <mergeCell ref="B217:D217"/>
    <mergeCell ref="E217:G217"/>
    <mergeCell ref="H217:J217"/>
    <mergeCell ref="U217:W217"/>
    <mergeCell ref="X217:Z217"/>
    <mergeCell ref="AA217:AC217"/>
    <mergeCell ref="AA215:AC215"/>
    <mergeCell ref="AD215:AF215"/>
    <mergeCell ref="AG215:AH215"/>
    <mergeCell ref="B216:D216"/>
    <mergeCell ref="E216:G216"/>
    <mergeCell ref="H216:J216"/>
    <mergeCell ref="U216:W216"/>
    <mergeCell ref="X216:Z216"/>
    <mergeCell ref="AA216:AC216"/>
    <mergeCell ref="AD216:AF216"/>
    <mergeCell ref="B213:J213"/>
    <mergeCell ref="K213:Q213"/>
    <mergeCell ref="V213:X213"/>
    <mergeCell ref="Y213:AG213"/>
    <mergeCell ref="AH213:AN213"/>
    <mergeCell ref="B215:D215"/>
    <mergeCell ref="E215:G215"/>
    <mergeCell ref="H215:J215"/>
    <mergeCell ref="L215:N215"/>
    <mergeCell ref="X215:Z215"/>
    <mergeCell ref="B211:J211"/>
    <mergeCell ref="K211:Q211"/>
    <mergeCell ref="V211:X211"/>
    <mergeCell ref="Y211:AG211"/>
    <mergeCell ref="AH211:AN211"/>
    <mergeCell ref="B212:J212"/>
    <mergeCell ref="K212:Q212"/>
    <mergeCell ref="V212:X212"/>
    <mergeCell ref="Y212:AG212"/>
    <mergeCell ref="AH212:AN212"/>
    <mergeCell ref="B209:J209"/>
    <mergeCell ref="K209:Q209"/>
    <mergeCell ref="V209:X209"/>
    <mergeCell ref="Y209:AG209"/>
    <mergeCell ref="AH209:AN209"/>
    <mergeCell ref="B210:J210"/>
    <mergeCell ref="K210:Q210"/>
    <mergeCell ref="V210:X210"/>
    <mergeCell ref="Y210:AG210"/>
    <mergeCell ref="AH210:AN210"/>
    <mergeCell ref="A204:E204"/>
    <mergeCell ref="V204:AB204"/>
    <mergeCell ref="A205:E205"/>
    <mergeCell ref="V205:AB205"/>
    <mergeCell ref="A208:J208"/>
    <mergeCell ref="V208:AG208"/>
    <mergeCell ref="AC202:AF202"/>
    <mergeCell ref="AG202:AI202"/>
    <mergeCell ref="A203:E203"/>
    <mergeCell ref="F203:N203"/>
    <mergeCell ref="U203:AA203"/>
    <mergeCell ref="AC203:AI203"/>
    <mergeCell ref="A200:E200"/>
    <mergeCell ref="J200:Q200"/>
    <mergeCell ref="V200:AB200"/>
    <mergeCell ref="A202:D202"/>
    <mergeCell ref="F202:I202"/>
    <mergeCell ref="J202:N202"/>
    <mergeCell ref="U202:AB202"/>
    <mergeCell ref="J198:Q198"/>
    <mergeCell ref="AG198:AK198"/>
    <mergeCell ref="A199:E199"/>
    <mergeCell ref="F199:I199"/>
    <mergeCell ref="J199:Q199"/>
    <mergeCell ref="V199:AB199"/>
    <mergeCell ref="AC199:AF199"/>
    <mergeCell ref="AG199:AK199"/>
    <mergeCell ref="A195:E195"/>
    <mergeCell ref="V195:AB195"/>
    <mergeCell ref="A196:E196"/>
    <mergeCell ref="V196:AB196"/>
    <mergeCell ref="F197:I197"/>
    <mergeCell ref="AC197:AF197"/>
    <mergeCell ref="A193:E193"/>
    <mergeCell ref="F193:N193"/>
    <mergeCell ref="U193:AA193"/>
    <mergeCell ref="AC193:AI193"/>
    <mergeCell ref="A194:E194"/>
    <mergeCell ref="F194:I194"/>
    <mergeCell ref="J194:N194"/>
    <mergeCell ref="U194:AA194"/>
    <mergeCell ref="AC194:AF194"/>
    <mergeCell ref="AG194:AI194"/>
    <mergeCell ref="A188:P188"/>
    <mergeCell ref="S188:AG188"/>
    <mergeCell ref="A190:E190"/>
    <mergeCell ref="V190:AB190"/>
    <mergeCell ref="A191:E191"/>
    <mergeCell ref="V191:AB191"/>
    <mergeCell ref="AL180:AO180"/>
    <mergeCell ref="A182:AQ182"/>
    <mergeCell ref="A183:AR183"/>
    <mergeCell ref="A184:AR184"/>
    <mergeCell ref="A185:AR185"/>
    <mergeCell ref="A186:L186"/>
    <mergeCell ref="AB179:AE179"/>
    <mergeCell ref="AF179:AK179"/>
    <mergeCell ref="AL179:AO179"/>
    <mergeCell ref="B180:G180"/>
    <mergeCell ref="H180:K180"/>
    <mergeCell ref="L180:Q180"/>
    <mergeCell ref="R180:U180"/>
    <mergeCell ref="V180:AA180"/>
    <mergeCell ref="AB180:AE180"/>
    <mergeCell ref="AF180:AK180"/>
    <mergeCell ref="R178:U178"/>
    <mergeCell ref="V178:AA178"/>
    <mergeCell ref="AB178:AE178"/>
    <mergeCell ref="AF178:AK178"/>
    <mergeCell ref="AL178:AO178"/>
    <mergeCell ref="B179:G179"/>
    <mergeCell ref="H179:K179"/>
    <mergeCell ref="L179:Q179"/>
    <mergeCell ref="R179:U179"/>
    <mergeCell ref="V179:AA179"/>
    <mergeCell ref="A175:AR175"/>
    <mergeCell ref="A176:AQ176"/>
    <mergeCell ref="A177:A178"/>
    <mergeCell ref="B177:K177"/>
    <mergeCell ref="L177:U177"/>
    <mergeCell ref="V177:AE177"/>
    <mergeCell ref="AF177:AO177"/>
    <mergeCell ref="B178:G178"/>
    <mergeCell ref="H178:K178"/>
    <mergeCell ref="L178:Q178"/>
    <mergeCell ref="X108:Z108"/>
    <mergeCell ref="AA108:AC108"/>
    <mergeCell ref="AD108:AF108"/>
    <mergeCell ref="AH142:AL142"/>
    <mergeCell ref="A174:AM174"/>
    <mergeCell ref="AN174:AQ174"/>
    <mergeCell ref="X107:Z107"/>
    <mergeCell ref="AA107:AC107"/>
    <mergeCell ref="AD107:AF107"/>
    <mergeCell ref="B108:D108"/>
    <mergeCell ref="E108:G108"/>
    <mergeCell ref="H108:J108"/>
    <mergeCell ref="L108:N108"/>
    <mergeCell ref="O108:Q108"/>
    <mergeCell ref="R108:T108"/>
    <mergeCell ref="U108:W108"/>
    <mergeCell ref="X106:Z106"/>
    <mergeCell ref="AA106:AC106"/>
    <mergeCell ref="AD106:AF106"/>
    <mergeCell ref="B107:D107"/>
    <mergeCell ref="E107:G107"/>
    <mergeCell ref="H107:J107"/>
    <mergeCell ref="L107:N107"/>
    <mergeCell ref="O107:Q107"/>
    <mergeCell ref="R107:T107"/>
    <mergeCell ref="U107:W107"/>
    <mergeCell ref="X105:Z105"/>
    <mergeCell ref="AA105:AC105"/>
    <mergeCell ref="AD105:AF105"/>
    <mergeCell ref="B106:D106"/>
    <mergeCell ref="E106:G106"/>
    <mergeCell ref="H106:J106"/>
    <mergeCell ref="L106:N106"/>
    <mergeCell ref="O106:Q106"/>
    <mergeCell ref="R106:T106"/>
    <mergeCell ref="U106:W106"/>
    <mergeCell ref="AA104:AC104"/>
    <mergeCell ref="AD104:AF104"/>
    <mergeCell ref="AG104:AR107"/>
    <mergeCell ref="B105:D105"/>
    <mergeCell ref="E105:G105"/>
    <mergeCell ref="H105:J105"/>
    <mergeCell ref="L105:N105"/>
    <mergeCell ref="O105:Q105"/>
    <mergeCell ref="R105:T105"/>
    <mergeCell ref="U105:W105"/>
    <mergeCell ref="B103:AJ103"/>
    <mergeCell ref="B104:D104"/>
    <mergeCell ref="E104:G104"/>
    <mergeCell ref="H104:J104"/>
    <mergeCell ref="K104:K114"/>
    <mergeCell ref="L104:N104"/>
    <mergeCell ref="O104:Q104"/>
    <mergeCell ref="R104:T104"/>
    <mergeCell ref="U104:W104"/>
    <mergeCell ref="X104:Z104"/>
    <mergeCell ref="AA101:AC102"/>
    <mergeCell ref="AD101:AF102"/>
    <mergeCell ref="AG101:AG102"/>
    <mergeCell ref="AH101:AH102"/>
    <mergeCell ref="AI101:AJ102"/>
    <mergeCell ref="B102:D102"/>
    <mergeCell ref="E102:L102"/>
    <mergeCell ref="A101:A102"/>
    <mergeCell ref="B101:D101"/>
    <mergeCell ref="E101:L101"/>
    <mergeCell ref="M101:Q102"/>
    <mergeCell ref="S101:W102"/>
    <mergeCell ref="X101:Z102"/>
    <mergeCell ref="AD99:AF100"/>
    <mergeCell ref="AG99:AG100"/>
    <mergeCell ref="AH99:AH100"/>
    <mergeCell ref="AI99:AJ100"/>
    <mergeCell ref="B100:D100"/>
    <mergeCell ref="E100:L100"/>
    <mergeCell ref="AI97:AJ98"/>
    <mergeCell ref="B98:D98"/>
    <mergeCell ref="E98:L98"/>
    <mergeCell ref="A99:A100"/>
    <mergeCell ref="B99:D99"/>
    <mergeCell ref="E99:L99"/>
    <mergeCell ref="M99:Q100"/>
    <mergeCell ref="S99:W100"/>
    <mergeCell ref="X99:Z100"/>
    <mergeCell ref="AA99:AC100"/>
    <mergeCell ref="S97:W98"/>
    <mergeCell ref="X97:Z98"/>
    <mergeCell ref="AA97:AC98"/>
    <mergeCell ref="AD97:AF98"/>
    <mergeCell ref="AG97:AG98"/>
    <mergeCell ref="AH97:AH98"/>
    <mergeCell ref="B96:D96"/>
    <mergeCell ref="E96:L96"/>
    <mergeCell ref="A97:A98"/>
    <mergeCell ref="B97:D97"/>
    <mergeCell ref="E97:L97"/>
    <mergeCell ref="M97:Q98"/>
    <mergeCell ref="X95:Z96"/>
    <mergeCell ref="AA95:AC96"/>
    <mergeCell ref="AD95:AF96"/>
    <mergeCell ref="AG95:AG96"/>
    <mergeCell ref="AH95:AH96"/>
    <mergeCell ref="AI95:AJ96"/>
    <mergeCell ref="AG93:AG94"/>
    <mergeCell ref="AH93:AH94"/>
    <mergeCell ref="AI93:AJ94"/>
    <mergeCell ref="B94:D94"/>
    <mergeCell ref="E94:L94"/>
    <mergeCell ref="A95:A96"/>
    <mergeCell ref="B95:D95"/>
    <mergeCell ref="E95:L95"/>
    <mergeCell ref="M95:Q96"/>
    <mergeCell ref="S95:W96"/>
    <mergeCell ref="AD92:AF92"/>
    <mergeCell ref="AI92:AJ92"/>
    <mergeCell ref="A93:A94"/>
    <mergeCell ref="B93:D93"/>
    <mergeCell ref="E93:L93"/>
    <mergeCell ref="M93:Q94"/>
    <mergeCell ref="S93:W94"/>
    <mergeCell ref="X93:Z94"/>
    <mergeCell ref="AA93:AC94"/>
    <mergeCell ref="AD93:AF94"/>
    <mergeCell ref="A90:AR90"/>
    <mergeCell ref="C91:H91"/>
    <mergeCell ref="I91:J91"/>
    <mergeCell ref="K91:AJ91"/>
    <mergeCell ref="B92:L92"/>
    <mergeCell ref="M92:Q92"/>
    <mergeCell ref="R92:R102"/>
    <mergeCell ref="S92:W92"/>
    <mergeCell ref="X92:Z92"/>
    <mergeCell ref="AA92:AC92"/>
    <mergeCell ref="X23:Z23"/>
    <mergeCell ref="AA23:AC23"/>
    <mergeCell ref="AD23:AF23"/>
    <mergeCell ref="AH57:AL57"/>
    <mergeCell ref="A89:AM89"/>
    <mergeCell ref="AN89:AQ89"/>
    <mergeCell ref="X22:Z22"/>
    <mergeCell ref="AA22:AC22"/>
    <mergeCell ref="AD22:AF22"/>
    <mergeCell ref="B23:D23"/>
    <mergeCell ref="E23:G23"/>
    <mergeCell ref="H23:J23"/>
    <mergeCell ref="L23:N23"/>
    <mergeCell ref="O23:Q23"/>
    <mergeCell ref="R23:T23"/>
    <mergeCell ref="U23:W23"/>
    <mergeCell ref="X21:Z21"/>
    <mergeCell ref="AA21:AC21"/>
    <mergeCell ref="AD21:AF21"/>
    <mergeCell ref="B22:D22"/>
    <mergeCell ref="E22:G22"/>
    <mergeCell ref="H22:J22"/>
    <mergeCell ref="L22:N22"/>
    <mergeCell ref="O22:Q22"/>
    <mergeCell ref="R22:T22"/>
    <mergeCell ref="U22:W22"/>
    <mergeCell ref="X20:Z20"/>
    <mergeCell ref="AA20:AC20"/>
    <mergeCell ref="AD20:AF20"/>
    <mergeCell ref="B21:D21"/>
    <mergeCell ref="E21:G21"/>
    <mergeCell ref="H21:J21"/>
    <mergeCell ref="L21:N21"/>
    <mergeCell ref="O21:Q21"/>
    <mergeCell ref="R21:T21"/>
    <mergeCell ref="U21:W21"/>
    <mergeCell ref="AA19:AC19"/>
    <mergeCell ref="AD19:AF19"/>
    <mergeCell ref="AG19:AR22"/>
    <mergeCell ref="B20:D20"/>
    <mergeCell ref="E20:G20"/>
    <mergeCell ref="H20:J20"/>
    <mergeCell ref="L20:N20"/>
    <mergeCell ref="O20:Q20"/>
    <mergeCell ref="R20:T20"/>
    <mergeCell ref="U20:W20"/>
    <mergeCell ref="B18:AJ18"/>
    <mergeCell ref="B19:D19"/>
    <mergeCell ref="E19:G19"/>
    <mergeCell ref="H19:J19"/>
    <mergeCell ref="K19:K29"/>
    <mergeCell ref="L19:N19"/>
    <mergeCell ref="O19:Q19"/>
    <mergeCell ref="R19:T19"/>
    <mergeCell ref="U19:W19"/>
    <mergeCell ref="X19:Z19"/>
    <mergeCell ref="AA16:AC17"/>
    <mergeCell ref="AD16:AF17"/>
    <mergeCell ref="AG16:AG17"/>
    <mergeCell ref="AH16:AH17"/>
    <mergeCell ref="AI16:AJ17"/>
    <mergeCell ref="B17:D17"/>
    <mergeCell ref="E17:L17"/>
    <mergeCell ref="AH14:AH15"/>
    <mergeCell ref="AI14:AJ15"/>
    <mergeCell ref="B15:D15"/>
    <mergeCell ref="E15:L15"/>
    <mergeCell ref="A16:A17"/>
    <mergeCell ref="B16:D16"/>
    <mergeCell ref="E16:L16"/>
    <mergeCell ref="M16:Q17"/>
    <mergeCell ref="S16:W17"/>
    <mergeCell ref="X16:Z17"/>
    <mergeCell ref="AT13:AY14"/>
    <mergeCell ref="A14:A15"/>
    <mergeCell ref="B14:D14"/>
    <mergeCell ref="E14:L14"/>
    <mergeCell ref="M14:Q15"/>
    <mergeCell ref="S14:W15"/>
    <mergeCell ref="X14:Z15"/>
    <mergeCell ref="AA14:AC15"/>
    <mergeCell ref="AD14:AF15"/>
    <mergeCell ref="AG14:AG15"/>
    <mergeCell ref="AA12:AC13"/>
    <mergeCell ref="AD12:AF13"/>
    <mergeCell ref="AG12:AG13"/>
    <mergeCell ref="AH12:AH13"/>
    <mergeCell ref="AI12:AJ13"/>
    <mergeCell ref="B13:D13"/>
    <mergeCell ref="E13:L13"/>
    <mergeCell ref="A12:A13"/>
    <mergeCell ref="B12:D12"/>
    <mergeCell ref="E12:L12"/>
    <mergeCell ref="M12:Q13"/>
    <mergeCell ref="S12:W13"/>
    <mergeCell ref="X12:Z13"/>
    <mergeCell ref="AA10:AC11"/>
    <mergeCell ref="AD10:AF11"/>
    <mergeCell ref="AG10:AG11"/>
    <mergeCell ref="AH10:AH11"/>
    <mergeCell ref="AI10:AJ11"/>
    <mergeCell ref="B11:D11"/>
    <mergeCell ref="E11:L11"/>
    <mergeCell ref="AH8:AH9"/>
    <mergeCell ref="AI8:AJ9"/>
    <mergeCell ref="B9:D9"/>
    <mergeCell ref="E9:L9"/>
    <mergeCell ref="A10:A11"/>
    <mergeCell ref="B10:D10"/>
    <mergeCell ref="E10:L10"/>
    <mergeCell ref="M10:Q11"/>
    <mergeCell ref="S10:W11"/>
    <mergeCell ref="X10:Z11"/>
    <mergeCell ref="AI7:AJ7"/>
    <mergeCell ref="A8:A9"/>
    <mergeCell ref="B8:D8"/>
    <mergeCell ref="E8:L8"/>
    <mergeCell ref="M8:Q9"/>
    <mergeCell ref="S8:W9"/>
    <mergeCell ref="X8:Z9"/>
    <mergeCell ref="AA8:AC9"/>
    <mergeCell ref="AD8:AF9"/>
    <mergeCell ref="AG8:AG9"/>
    <mergeCell ref="C6:H6"/>
    <mergeCell ref="I6:J6"/>
    <mergeCell ref="K6:AJ6"/>
    <mergeCell ref="B7:L7"/>
    <mergeCell ref="M7:Q7"/>
    <mergeCell ref="R7:R17"/>
    <mergeCell ref="S7:W7"/>
    <mergeCell ref="X7:Z7"/>
    <mergeCell ref="AA7:AC7"/>
    <mergeCell ref="AD7:AF7"/>
    <mergeCell ref="AE3:AF3"/>
    <mergeCell ref="H4:N4"/>
    <mergeCell ref="O4:U4"/>
    <mergeCell ref="V4:Z4"/>
    <mergeCell ref="AA4:AF4"/>
    <mergeCell ref="B5:J5"/>
    <mergeCell ref="L5:AF5"/>
    <mergeCell ref="B3:C3"/>
    <mergeCell ref="D3:L3"/>
    <mergeCell ref="M3:P3"/>
    <mergeCell ref="Q3:U3"/>
    <mergeCell ref="V3:AA3"/>
    <mergeCell ref="AC3:AD3"/>
    <mergeCell ref="A1:AF1"/>
    <mergeCell ref="AT1:AW1"/>
    <mergeCell ref="AX1:AY1"/>
    <mergeCell ref="J2:U2"/>
    <mergeCell ref="V2:X2"/>
    <mergeCell ref="Y2:AF2"/>
  </mergeCells>
  <conditionalFormatting sqref="A8 A93">
    <cfRule type="expression" dxfId="3377" priority="1" stopIfTrue="1">
      <formula>IF(AL9&gt;0,0,1)</formula>
    </cfRule>
  </conditionalFormatting>
  <conditionalFormatting sqref="A10:A11 A95:A96">
    <cfRule type="expression" dxfId="3376" priority="2" stopIfTrue="1">
      <formula>IF(AL9&gt;1,0,1)</formula>
    </cfRule>
  </conditionalFormatting>
  <conditionalFormatting sqref="A12:A13 A97:A98">
    <cfRule type="expression" dxfId="3375" priority="3" stopIfTrue="1">
      <formula>IF(AL9&gt;2,0,1)</formula>
    </cfRule>
  </conditionalFormatting>
  <conditionalFormatting sqref="A14:A15 A99:A100">
    <cfRule type="expression" dxfId="3374" priority="4" stopIfTrue="1">
      <formula>IF(AL9&gt;3,0,1)</formula>
    </cfRule>
  </conditionalFormatting>
  <conditionalFormatting sqref="A16:A17 A101:A102">
    <cfRule type="expression" dxfId="3373" priority="5" stopIfTrue="1">
      <formula>IF(AL9&gt;4,0,1)</formula>
    </cfRule>
  </conditionalFormatting>
  <conditionalFormatting sqref="B8 B93">
    <cfRule type="expression" dxfId="3372" priority="6" stopIfTrue="1">
      <formula>IF(AL9&gt;0,0,1)</formula>
    </cfRule>
  </conditionalFormatting>
  <conditionalFormatting sqref="B9 B94">
    <cfRule type="expression" dxfId="3371" priority="7" stopIfTrue="1">
      <formula>IF(AL9&gt;0,0,1)</formula>
    </cfRule>
  </conditionalFormatting>
  <conditionalFormatting sqref="B10 B95">
    <cfRule type="expression" dxfId="3370" priority="8" stopIfTrue="1">
      <formula>IF(AL9&gt;1,0,1)</formula>
    </cfRule>
  </conditionalFormatting>
  <conditionalFormatting sqref="B11:D11 B96:D96">
    <cfRule type="expression" dxfId="3369" priority="9" stopIfTrue="1">
      <formula>IF(AL9&gt;1,0,1)</formula>
    </cfRule>
  </conditionalFormatting>
  <conditionalFormatting sqref="B12:D12 B97:D97">
    <cfRule type="expression" dxfId="3368" priority="10" stopIfTrue="1">
      <formula>IF(AL9&gt;2,0,1)</formula>
    </cfRule>
  </conditionalFormatting>
  <conditionalFormatting sqref="B13:D13 B98:D98">
    <cfRule type="expression" dxfId="3367" priority="11" stopIfTrue="1">
      <formula>IF(AL9&gt;2,0,1)</formula>
    </cfRule>
  </conditionalFormatting>
  <conditionalFormatting sqref="B14:D14 B99:D99">
    <cfRule type="expression" dxfId="3366" priority="12" stopIfTrue="1">
      <formula>IF(AL9&gt;3,0,1)</formula>
    </cfRule>
  </conditionalFormatting>
  <conditionalFormatting sqref="B15:D15 B100:D100">
    <cfRule type="expression" dxfId="3365" priority="13" stopIfTrue="1">
      <formula>IF(AL9&gt;3,0,1)</formula>
    </cfRule>
  </conditionalFormatting>
  <conditionalFormatting sqref="B16:D16 B101:D101">
    <cfRule type="expression" dxfId="3364" priority="14" stopIfTrue="1">
      <formula>IF(AL9&gt;4,0,1)</formula>
    </cfRule>
  </conditionalFormatting>
  <conditionalFormatting sqref="B17:D17 B102:D102">
    <cfRule type="expression" dxfId="3363" priority="15" stopIfTrue="1">
      <formula>IF(AL9&gt;4,0,1)</formula>
    </cfRule>
  </conditionalFormatting>
  <conditionalFormatting sqref="E8 E93">
    <cfRule type="expression" dxfId="3362" priority="16" stopIfTrue="1">
      <formula>IF(AL9&gt;0,0,1)</formula>
    </cfRule>
  </conditionalFormatting>
  <conditionalFormatting sqref="E9 E94">
    <cfRule type="expression" dxfId="3361" priority="17" stopIfTrue="1">
      <formula>IF(AL9&gt;0,0,1)</formula>
    </cfRule>
  </conditionalFormatting>
  <conditionalFormatting sqref="E10 E95">
    <cfRule type="expression" dxfId="3360" priority="18" stopIfTrue="1">
      <formula>IF(AL9&gt;1,0,1)</formula>
    </cfRule>
  </conditionalFormatting>
  <conditionalFormatting sqref="E11 E96">
    <cfRule type="expression" dxfId="3359" priority="19" stopIfTrue="1">
      <formula>IF(AL9&gt;1,0,1)</formula>
    </cfRule>
  </conditionalFormatting>
  <conditionalFormatting sqref="E12 E97">
    <cfRule type="expression" dxfId="3358" priority="20" stopIfTrue="1">
      <formula>IF(AL9&gt;2,0,1)</formula>
    </cfRule>
  </conditionalFormatting>
  <conditionalFormatting sqref="E13 E98">
    <cfRule type="expression" dxfId="3357" priority="21" stopIfTrue="1">
      <formula>IF(AL9&gt;2,0,1)</formula>
    </cfRule>
  </conditionalFormatting>
  <conditionalFormatting sqref="E14 E99">
    <cfRule type="expression" dxfId="3356" priority="22" stopIfTrue="1">
      <formula>IF(AL9&gt;3,0,1)</formula>
    </cfRule>
  </conditionalFormatting>
  <conditionalFormatting sqref="E15 E100">
    <cfRule type="expression" dxfId="3355" priority="23" stopIfTrue="1">
      <formula>IF(AL9&gt;3,0,1)</formula>
    </cfRule>
  </conditionalFormatting>
  <conditionalFormatting sqref="E16 E101">
    <cfRule type="expression" dxfId="3354" priority="24" stopIfTrue="1">
      <formula>IF(AL9&gt;4,0,1)</formula>
    </cfRule>
  </conditionalFormatting>
  <conditionalFormatting sqref="E17 E102">
    <cfRule type="expression" dxfId="3353" priority="25" stopIfTrue="1">
      <formula>IF(AL9&gt;4,0,1)</formula>
    </cfRule>
  </conditionalFormatting>
  <conditionalFormatting sqref="AD8 AD93">
    <cfRule type="expression" dxfId="3352" priority="26" stopIfTrue="1">
      <formula>IF(AL11=1,IF(AL9&gt;0,0,1),1)</formula>
    </cfRule>
  </conditionalFormatting>
  <conditionalFormatting sqref="AD10:AF11 AD95:AF96">
    <cfRule type="expression" dxfId="3351" priority="27" stopIfTrue="1">
      <formula>IF(AL11=1,IF(AL9&gt;1,0,1),1)</formula>
    </cfRule>
  </conditionalFormatting>
  <conditionalFormatting sqref="AD12:AF13 AD97:AF98">
    <cfRule type="expression" dxfId="3350" priority="28" stopIfTrue="1">
      <formula>IF(AL11=1,IF(AL9&gt;2,0,1),1)</formula>
    </cfRule>
  </conditionalFormatting>
  <conditionalFormatting sqref="AD14:AF15 AD99:AF100">
    <cfRule type="expression" dxfId="3349" priority="29" stopIfTrue="1">
      <formula>IF(AL11=1,IF(AL9&gt;3,0,1),1)</formula>
    </cfRule>
  </conditionalFormatting>
  <conditionalFormatting sqref="AD16:AF17 AD101:AF102">
    <cfRule type="expression" dxfId="3348" priority="30" stopIfTrue="1">
      <formula>IF(AL11=1,IF(AL9&gt;4,0,1),1)</formula>
    </cfRule>
  </conditionalFormatting>
  <conditionalFormatting sqref="AI8 AI93">
    <cfRule type="expression" dxfId="3347" priority="31" stopIfTrue="1">
      <formula>IF(AL9&gt;0,0,1)</formula>
    </cfRule>
  </conditionalFormatting>
  <conditionalFormatting sqref="AI10:AJ11 AI95:AJ96">
    <cfRule type="expression" dxfId="3346" priority="32" stopIfTrue="1">
      <formula>IF(AL9&gt;1,0,1)</formula>
    </cfRule>
  </conditionalFormatting>
  <conditionalFormatting sqref="AI12:AJ13 AI97:AJ98">
    <cfRule type="expression" dxfId="3345" priority="33" stopIfTrue="1">
      <formula>IF(AL9&gt;2,0,1)</formula>
    </cfRule>
  </conditionalFormatting>
  <conditionalFormatting sqref="AI14:AJ15 AI99:AJ100">
    <cfRule type="expression" dxfId="3344" priority="34" stopIfTrue="1">
      <formula>IF(AL9&gt;3,0,1)</formula>
    </cfRule>
  </conditionalFormatting>
  <conditionalFormatting sqref="AI16:AJ17 AI101:AJ102">
    <cfRule type="expression" dxfId="3343" priority="35" stopIfTrue="1">
      <formula>IF(AL9&gt;4,0,1)</formula>
    </cfRule>
  </conditionalFormatting>
  <conditionalFormatting sqref="B19:D19 B104:D104">
    <cfRule type="expression" dxfId="3342" priority="36" stopIfTrue="1">
      <formula>IF(AL8&gt;0,0,1)</formula>
    </cfRule>
  </conditionalFormatting>
  <conditionalFormatting sqref="E19:G19 E104:G104">
    <cfRule type="expression" dxfId="3341" priority="37" stopIfTrue="1">
      <formula>IF(AL8&gt;1,0,1)</formula>
    </cfRule>
  </conditionalFormatting>
  <conditionalFormatting sqref="H19:J19 H104:J104">
    <cfRule type="expression" dxfId="3340" priority="38" stopIfTrue="1">
      <formula>IF(AL8&gt;2,0,1)</formula>
    </cfRule>
  </conditionalFormatting>
  <conditionalFormatting sqref="L19:N19 L104:N104">
    <cfRule type="expression" dxfId="3339" priority="39" stopIfTrue="1">
      <formula>IF(AL8&gt;3,0,1)</formula>
    </cfRule>
  </conditionalFormatting>
  <conditionalFormatting sqref="O19:Q19 O104:Q104">
    <cfRule type="expression" dxfId="3338" priority="40" stopIfTrue="1">
      <formula>IF(AL8&gt;4,0,1)</formula>
    </cfRule>
  </conditionalFormatting>
  <conditionalFormatting sqref="R19:T19 R104:T104">
    <cfRule type="expression" dxfId="3337" priority="41" stopIfTrue="1">
      <formula>IF(AL8&gt;5,0,1)</formula>
    </cfRule>
  </conditionalFormatting>
  <conditionalFormatting sqref="U19:W19 U104:W104">
    <cfRule type="expression" dxfId="3336" priority="42" stopIfTrue="1">
      <formula>IF(AL8&gt;6,0,1)</formula>
    </cfRule>
  </conditionalFormatting>
  <conditionalFormatting sqref="X19:Z19 X104:Z104">
    <cfRule type="expression" dxfId="3335" priority="43" stopIfTrue="1">
      <formula>IF(AL8&gt;7,0,1)</formula>
    </cfRule>
  </conditionalFormatting>
  <conditionalFormatting sqref="AA19:AC19 AA104:AC104">
    <cfRule type="expression" dxfId="3334" priority="44" stopIfTrue="1">
      <formula>IF(AL8&gt;8,0,1)</formula>
    </cfRule>
  </conditionalFormatting>
  <conditionalFormatting sqref="AD19:AF19 AD104:AF104">
    <cfRule type="expression" dxfId="3333" priority="45" stopIfTrue="1">
      <formula>IF(AL8&gt;9,0,1)</formula>
    </cfRule>
  </conditionalFormatting>
  <conditionalFormatting sqref="B20:D20 B105:D105">
    <cfRule type="expression" dxfId="3332" priority="46" stopIfTrue="1">
      <formula>IF(AL8&gt;0,0,1)</formula>
    </cfRule>
  </conditionalFormatting>
  <conditionalFormatting sqref="E20:G20 E105:G105">
    <cfRule type="expression" dxfId="3331" priority="47" stopIfTrue="1">
      <formula>IF(AL8&gt;1,0,1)</formula>
    </cfRule>
  </conditionalFormatting>
  <conditionalFormatting sqref="H20:J20 H105:J105">
    <cfRule type="expression" dxfId="3330" priority="48" stopIfTrue="1">
      <formula>IF(AL8&gt;2,0,1)</formula>
    </cfRule>
  </conditionalFormatting>
  <conditionalFormatting sqref="L20:N20 L105:N105">
    <cfRule type="expression" dxfId="3329" priority="49" stopIfTrue="1">
      <formula>IF(AL8&gt;3,0,1)</formula>
    </cfRule>
  </conditionalFormatting>
  <conditionalFormatting sqref="O20:Q20 O105:Q105">
    <cfRule type="expression" dxfId="3328" priority="50" stopIfTrue="1">
      <formula>IF(AL8&gt;4,0,1)</formula>
    </cfRule>
  </conditionalFormatting>
  <conditionalFormatting sqref="R20:T20 R105:T105">
    <cfRule type="expression" dxfId="3327" priority="51" stopIfTrue="1">
      <formula>IF(AL8&gt;5,0,1)</formula>
    </cfRule>
  </conditionalFormatting>
  <conditionalFormatting sqref="U20:W20 U105:W105">
    <cfRule type="expression" dxfId="3326" priority="52" stopIfTrue="1">
      <formula>IF(AL8&gt;6,0,1)</formula>
    </cfRule>
  </conditionalFormatting>
  <conditionalFormatting sqref="X20:Z20 X105:Z105">
    <cfRule type="expression" dxfId="3325" priority="53" stopIfTrue="1">
      <formula>IF(AL8&gt;7,0,1)</formula>
    </cfRule>
  </conditionalFormatting>
  <conditionalFormatting sqref="AA20:AC20 AA105:AC105">
    <cfRule type="expression" dxfId="3324" priority="54" stopIfTrue="1">
      <formula>IF(AL8&gt;8,0,1)</formula>
    </cfRule>
  </conditionalFormatting>
  <conditionalFormatting sqref="AD20:AF20 AD105:AF105">
    <cfRule type="expression" dxfId="3323" priority="55" stopIfTrue="1">
      <formula>IF(AL8&gt;9,0,1)</formula>
    </cfRule>
  </conditionalFormatting>
  <conditionalFormatting sqref="E22:G22 E107:G107">
    <cfRule type="expression" dxfId="3322" priority="56" stopIfTrue="1">
      <formula>IF(AL8&gt;1,0,1)</formula>
    </cfRule>
  </conditionalFormatting>
  <conditionalFormatting sqref="H22:J22 H107:J107">
    <cfRule type="expression" dxfId="3321" priority="57" stopIfTrue="1">
      <formula>IF(AL8&gt;2,0,1)</formula>
    </cfRule>
  </conditionalFormatting>
  <conditionalFormatting sqref="L22:N22 L107:N107">
    <cfRule type="expression" dxfId="3320" priority="58" stopIfTrue="1">
      <formula>IF(AL8&gt;3,0,1)</formula>
    </cfRule>
  </conditionalFormatting>
  <conditionalFormatting sqref="O22:Q22 O107:Q107">
    <cfRule type="expression" dxfId="3319" priority="59" stopIfTrue="1">
      <formula>IF(AL8&gt;4,0,1)</formula>
    </cfRule>
  </conditionalFormatting>
  <conditionalFormatting sqref="R22:T22 R107:T107">
    <cfRule type="expression" dxfId="3318" priority="60" stopIfTrue="1">
      <formula>IF(AL8&gt;5,0,1)</formula>
    </cfRule>
  </conditionalFormatting>
  <conditionalFormatting sqref="U22:W22 U107:W107">
    <cfRule type="expression" dxfId="3317" priority="61" stopIfTrue="1">
      <formula>IF(AL8&gt;6,0,1)</formula>
    </cfRule>
  </conditionalFormatting>
  <conditionalFormatting sqref="X22:Z22 X107:Z107">
    <cfRule type="expression" dxfId="3316" priority="62" stopIfTrue="1">
      <formula>IF(AL8&gt;7,0,1)</formula>
    </cfRule>
  </conditionalFormatting>
  <conditionalFormatting sqref="AA22:AC22 AA107:AC107">
    <cfRule type="expression" dxfId="3315" priority="63" stopIfTrue="1">
      <formula>IF(AL8&gt;8,0,1)</formula>
    </cfRule>
  </conditionalFormatting>
  <conditionalFormatting sqref="AD22:AF22 AD107:AF107">
    <cfRule type="expression" dxfId="3314" priority="64" stopIfTrue="1">
      <formula>IF(AL8&gt;9,0,1)</formula>
    </cfRule>
  </conditionalFormatting>
  <conditionalFormatting sqref="B24 B109">
    <cfRule type="expression" dxfId="3313" priority="65" stopIfTrue="1">
      <formula>IF(AL8&gt;0,0,1)</formula>
    </cfRule>
  </conditionalFormatting>
  <conditionalFormatting sqref="C24 C109">
    <cfRule type="expression" dxfId="3312" priority="66" stopIfTrue="1">
      <formula>IF(AL8&gt;0,0,1)</formula>
    </cfRule>
  </conditionalFormatting>
  <conditionalFormatting sqref="D24 D109">
    <cfRule type="expression" dxfId="3311" priority="67" stopIfTrue="1">
      <formula>IF(AL8&gt;0,0,1)</formula>
    </cfRule>
  </conditionalFormatting>
  <conditionalFormatting sqref="E23:G23 E108:G108">
    <cfRule type="expression" dxfId="3310" priority="68" stopIfTrue="1">
      <formula>IF(AL8&gt;1,0,1)</formula>
    </cfRule>
  </conditionalFormatting>
  <conditionalFormatting sqref="F24 F109">
    <cfRule type="expression" dxfId="3309" priority="69" stopIfTrue="1">
      <formula>IF(AL8&gt;1,0,1)</formula>
    </cfRule>
  </conditionalFormatting>
  <conditionalFormatting sqref="G24 G109">
    <cfRule type="expression" dxfId="3308" priority="70" stopIfTrue="1">
      <formula>IF(AL8&gt;1,0,1)</formula>
    </cfRule>
  </conditionalFormatting>
  <conditionalFormatting sqref="H23:J23 H108:J108">
    <cfRule type="expression" dxfId="3307" priority="71" stopIfTrue="1">
      <formula>IF(AL8&gt;2,0,1)</formula>
    </cfRule>
  </conditionalFormatting>
  <conditionalFormatting sqref="I24 I109">
    <cfRule type="expression" dxfId="3306" priority="72" stopIfTrue="1">
      <formula>IF(AL8&gt;2,0,1)</formula>
    </cfRule>
  </conditionalFormatting>
  <conditionalFormatting sqref="J24 J109">
    <cfRule type="expression" dxfId="3305" priority="73" stopIfTrue="1">
      <formula>IF(AL8&gt;2,0,1)</formula>
    </cfRule>
  </conditionalFormatting>
  <conditionalFormatting sqref="L23:N23 L108:N108">
    <cfRule type="expression" dxfId="3304" priority="74" stopIfTrue="1">
      <formula>IF(AL8&gt;3,0,1)</formula>
    </cfRule>
  </conditionalFormatting>
  <conditionalFormatting sqref="M24 M109">
    <cfRule type="expression" dxfId="3303" priority="75" stopIfTrue="1">
      <formula>IF(AL8&gt;3,0,1)</formula>
    </cfRule>
  </conditionalFormatting>
  <conditionalFormatting sqref="N24 N109">
    <cfRule type="expression" dxfId="3302" priority="76" stopIfTrue="1">
      <formula>IF(AL8&gt;3,0,1)</formula>
    </cfRule>
  </conditionalFormatting>
  <conditionalFormatting sqref="O23:Q23 O108:Q108">
    <cfRule type="expression" dxfId="3301" priority="77" stopIfTrue="1">
      <formula>IF(AL8&gt;4,0,1)</formula>
    </cfRule>
  </conditionalFormatting>
  <conditionalFormatting sqref="P24 P109">
    <cfRule type="expression" dxfId="3300" priority="78" stopIfTrue="1">
      <formula>IF(AL8&gt;4,0,1)</formula>
    </cfRule>
  </conditionalFormatting>
  <conditionalFormatting sqref="Q24 Q109">
    <cfRule type="expression" dxfId="3299" priority="79" stopIfTrue="1">
      <formula>IF(AL8&gt;4,0,1)</formula>
    </cfRule>
  </conditionalFormatting>
  <conditionalFormatting sqref="R23:T23 R108:T108">
    <cfRule type="expression" dxfId="3298" priority="80" stopIfTrue="1">
      <formula>IF(AL8&gt;5,0,1)</formula>
    </cfRule>
  </conditionalFormatting>
  <conditionalFormatting sqref="S24 S109">
    <cfRule type="expression" dxfId="3297" priority="81" stopIfTrue="1">
      <formula>IF(AL8&gt;5,0,1)</formula>
    </cfRule>
  </conditionalFormatting>
  <conditionalFormatting sqref="T24 T109">
    <cfRule type="expression" dxfId="3296" priority="82" stopIfTrue="1">
      <formula>IF(AL8&gt;5,0,1)</formula>
    </cfRule>
  </conditionalFormatting>
  <conditionalFormatting sqref="U23:W23 U108:W108">
    <cfRule type="expression" dxfId="3295" priority="83" stopIfTrue="1">
      <formula>IF(AL8&gt;6,0,1)</formula>
    </cfRule>
  </conditionalFormatting>
  <conditionalFormatting sqref="V24 V109">
    <cfRule type="expression" dxfId="3294" priority="84" stopIfTrue="1">
      <formula>IF(AL8&gt;6,0,1)</formula>
    </cfRule>
  </conditionalFormatting>
  <conditionalFormatting sqref="W24 W109">
    <cfRule type="expression" dxfId="3293" priority="85" stopIfTrue="1">
      <formula>IF(AL8&gt;6,0,1)</formula>
    </cfRule>
  </conditionalFormatting>
  <conditionalFormatting sqref="X23:Z23 X108:Z108">
    <cfRule type="expression" dxfId="3292" priority="86" stopIfTrue="1">
      <formula>IF(AL8&gt;7,0,1)</formula>
    </cfRule>
  </conditionalFormatting>
  <conditionalFormatting sqref="Y24 Y109">
    <cfRule type="expression" dxfId="3291" priority="87" stopIfTrue="1">
      <formula>IF(AL8&gt;7,0,1)</formula>
    </cfRule>
  </conditionalFormatting>
  <conditionalFormatting sqref="Z24 Z109">
    <cfRule type="expression" dxfId="3290" priority="88" stopIfTrue="1">
      <formula>IF(AL8&gt;7,0,1)</formula>
    </cfRule>
  </conditionalFormatting>
  <conditionalFormatting sqref="AA23:AC23 AA108:AC108">
    <cfRule type="expression" dxfId="3289" priority="89" stopIfTrue="1">
      <formula>IF(AL8&gt;8,0,1)</formula>
    </cfRule>
  </conditionalFormatting>
  <conditionalFormatting sqref="AB24 AB109">
    <cfRule type="expression" dxfId="3288" priority="90" stopIfTrue="1">
      <formula>IF(AL8&gt;8,0,1)</formula>
    </cfRule>
  </conditionalFormatting>
  <conditionalFormatting sqref="AC24 AC109">
    <cfRule type="expression" dxfId="3287" priority="91" stopIfTrue="1">
      <formula>IF(AL8&gt;8,0,1)</formula>
    </cfRule>
  </conditionalFormatting>
  <conditionalFormatting sqref="AD23:AF23 AD108:AF108">
    <cfRule type="expression" dxfId="3286" priority="92" stopIfTrue="1">
      <formula>IF(AL8&gt;9,0,1)</formula>
    </cfRule>
  </conditionalFormatting>
  <conditionalFormatting sqref="AE24 AE109">
    <cfRule type="expression" dxfId="3285" priority="93" stopIfTrue="1">
      <formula>IF(AL8&gt;9,0,1)</formula>
    </cfRule>
  </conditionalFormatting>
  <conditionalFormatting sqref="AF24 AF109">
    <cfRule type="expression" dxfId="3284" priority="94" stopIfTrue="1">
      <formula>IF(AL8&gt;9,0,1)</formula>
    </cfRule>
  </conditionalFormatting>
  <conditionalFormatting sqref="A26 A111">
    <cfRule type="expression" dxfId="3283" priority="95" stopIfTrue="1">
      <formula>IF(AL7&gt;1,0,1)</formula>
    </cfRule>
  </conditionalFormatting>
  <conditionalFormatting sqref="A27 A112">
    <cfRule type="expression" dxfId="3282" priority="96" stopIfTrue="1">
      <formula>IF(AL7&gt;2,0,1)</formula>
    </cfRule>
  </conditionalFormatting>
  <conditionalFormatting sqref="A28 A113">
    <cfRule type="expression" dxfId="3281" priority="97" stopIfTrue="1">
      <formula>IF(AL7&gt;3,0,1)</formula>
    </cfRule>
  </conditionalFormatting>
  <conditionalFormatting sqref="A29 A114">
    <cfRule type="expression" dxfId="3280" priority="98" stopIfTrue="1">
      <formula>IF(AL7&gt;4,0,1)</formula>
    </cfRule>
  </conditionalFormatting>
  <conditionalFormatting sqref="B25:D25 B110:D110">
    <cfRule type="expression" dxfId="3279" priority="99" stopIfTrue="1">
      <formula>IF($AL8&gt;0,0,1)</formula>
    </cfRule>
  </conditionalFormatting>
  <conditionalFormatting sqref="B26:D26 B111:D111">
    <cfRule type="expression" dxfId="3278" priority="100" stopIfTrue="1">
      <formula>IF($AL8&lt;1,1,IF($AL7&lt;2,1,0))</formula>
    </cfRule>
  </conditionalFormatting>
  <conditionalFormatting sqref="B27:D27 B112:D112">
    <cfRule type="expression" dxfId="3277" priority="101" stopIfTrue="1">
      <formula>IF($AL8&lt;1,1,IF($AL7&lt;3,1,0))</formula>
    </cfRule>
  </conditionalFormatting>
  <conditionalFormatting sqref="B28:D28 B113:D113">
    <cfRule type="expression" dxfId="3276" priority="102" stopIfTrue="1">
      <formula>IF($AL8&lt;1,1,IF($AL7&lt;4,1,0))</formula>
    </cfRule>
  </conditionalFormatting>
  <conditionalFormatting sqref="B29:D29 B114:D114">
    <cfRule type="expression" dxfId="3275" priority="103" stopIfTrue="1">
      <formula>IF($AL8&lt;1,1,IF($AL7&lt;5,1,0))</formula>
    </cfRule>
  </conditionalFormatting>
  <conditionalFormatting sqref="AG26 AG111">
    <cfRule type="expression" dxfId="3274" priority="104" stopIfTrue="1">
      <formula>IF($AL9&gt;2,0,1)</formula>
    </cfRule>
  </conditionalFormatting>
  <conditionalFormatting sqref="AG25 AG110">
    <cfRule type="expression" dxfId="3273" priority="105" stopIfTrue="1">
      <formula>IF($AL9&gt;1,0,1)</formula>
    </cfRule>
  </conditionalFormatting>
  <conditionalFormatting sqref="AG24 AG109">
    <cfRule type="expression" dxfId="3272" priority="106" stopIfTrue="1">
      <formula>IF($AL9&gt;0,0,1)</formula>
    </cfRule>
  </conditionalFormatting>
  <conditionalFormatting sqref="AG27 AG112">
    <cfRule type="expression" dxfId="3271" priority="107" stopIfTrue="1">
      <formula>IF($AL9&gt;3,0,1)</formula>
    </cfRule>
  </conditionalFormatting>
  <conditionalFormatting sqref="AG28 AG113">
    <cfRule type="expression" dxfId="3270" priority="108" stopIfTrue="1">
      <formula>IF($AL9&gt;4,0,1)</formula>
    </cfRule>
  </conditionalFormatting>
  <conditionalFormatting sqref="AH23 AH108">
    <cfRule type="expression" dxfId="3269" priority="109" stopIfTrue="1">
      <formula>IF($AL8&lt;1,1,0)</formula>
    </cfRule>
  </conditionalFormatting>
  <conditionalFormatting sqref="AI23 AI108">
    <cfRule type="expression" dxfId="3268" priority="110" stopIfTrue="1">
      <formula>IF($AL8&lt;2,1,0)</formula>
    </cfRule>
  </conditionalFormatting>
  <conditionalFormatting sqref="AJ23 AJ108">
    <cfRule type="expression" dxfId="3267" priority="111" stopIfTrue="1">
      <formula>IF($AL8&lt;3,1,0)</formula>
    </cfRule>
  </conditionalFormatting>
  <conditionalFormatting sqref="AK23 AK108">
    <cfRule type="expression" dxfId="3266" priority="112" stopIfTrue="1">
      <formula>IF($AL8&lt;4,1,0)</formula>
    </cfRule>
  </conditionalFormatting>
  <conditionalFormatting sqref="AL23 AL108">
    <cfRule type="expression" dxfId="3265" priority="113" stopIfTrue="1">
      <formula>IF($AL8&lt;5,1,0)</formula>
    </cfRule>
  </conditionalFormatting>
  <conditionalFormatting sqref="AM23 AM108">
    <cfRule type="expression" dxfId="3264" priority="114" stopIfTrue="1">
      <formula>IF($AL8&lt;6,1,0)</formula>
    </cfRule>
  </conditionalFormatting>
  <conditionalFormatting sqref="AN23 AN108">
    <cfRule type="expression" dxfId="3263" priority="115" stopIfTrue="1">
      <formula>IF($AL8&lt;7,1,0)</formula>
    </cfRule>
  </conditionalFormatting>
  <conditionalFormatting sqref="AO23 AO108">
    <cfRule type="expression" dxfId="3262" priority="116" stopIfTrue="1">
      <formula>IF($AL8&lt;8,1,0)</formula>
    </cfRule>
  </conditionalFormatting>
  <conditionalFormatting sqref="AP23 AP108">
    <cfRule type="expression" dxfId="3261" priority="117" stopIfTrue="1">
      <formula>IF($AL8&lt;9,1,0)</formula>
    </cfRule>
  </conditionalFormatting>
  <conditionalFormatting sqref="AQ23 AQ108">
    <cfRule type="expression" dxfId="3260" priority="118" stopIfTrue="1">
      <formula>IF($AL8&lt;10,1,0)</formula>
    </cfRule>
  </conditionalFormatting>
  <conditionalFormatting sqref="AR24 AR109">
    <cfRule type="expression" dxfId="3259" priority="119" stopIfTrue="1">
      <formula>IF($AL9&gt;0,0,1)</formula>
    </cfRule>
  </conditionalFormatting>
  <conditionalFormatting sqref="AR25 AR110">
    <cfRule type="expression" dxfId="3258" priority="120" stopIfTrue="1">
      <formula>IF($AL9&gt;1,0,1)</formula>
    </cfRule>
  </conditionalFormatting>
  <conditionalFormatting sqref="AR26 H25:J25 AR111 H110:J110">
    <cfRule type="expression" dxfId="3257" priority="121" stopIfTrue="1">
      <formula>IF($AL8&gt;2,0,1)</formula>
    </cfRule>
  </conditionalFormatting>
  <conditionalFormatting sqref="L25:N25 L110:N110">
    <cfRule type="expression" dxfId="3256" priority="122" stopIfTrue="1">
      <formula>IF($AL8&gt;3,0,1)</formula>
    </cfRule>
  </conditionalFormatting>
  <conditionalFormatting sqref="AR28 AR113">
    <cfRule type="expression" dxfId="3255" priority="123" stopIfTrue="1">
      <formula>IF($AL9&gt;4,0,1)</formula>
    </cfRule>
  </conditionalFormatting>
  <conditionalFormatting sqref="E26:G26 E111:G111">
    <cfRule type="expression" dxfId="3254" priority="124" stopIfTrue="1">
      <formula>IF($AL8&lt;2,1,IF($AL7&lt;2,1,0))</formula>
    </cfRule>
  </conditionalFormatting>
  <conditionalFormatting sqref="E27:G27 E112:G112">
    <cfRule type="expression" dxfId="3253" priority="125" stopIfTrue="1">
      <formula>IF($AL8&lt;2,1,IF($AL7&lt;3,1,0))</formula>
    </cfRule>
  </conditionalFormatting>
  <conditionalFormatting sqref="E28:G28 E113:G113">
    <cfRule type="expression" dxfId="3252" priority="126" stopIfTrue="1">
      <formula>IF($AL8&lt;2,1,IF($AL7&lt;4,1,0))</formula>
    </cfRule>
  </conditionalFormatting>
  <conditionalFormatting sqref="E29:G29 E114:G114">
    <cfRule type="expression" dxfId="3251" priority="127" stopIfTrue="1">
      <formula>IF($AL8&lt;2,1,IF($AL7&lt;5,1,0))</formula>
    </cfRule>
  </conditionalFormatting>
  <conditionalFormatting sqref="O25:Q25 O110:Q110">
    <cfRule type="expression" dxfId="3250" priority="128" stopIfTrue="1">
      <formula>IF($AL8&gt;4,0,1)</formula>
    </cfRule>
  </conditionalFormatting>
  <conditionalFormatting sqref="R25:T25 R110:T110">
    <cfRule type="expression" dxfId="3249" priority="129" stopIfTrue="1">
      <formula>IF($AL8&gt;5,0,1)</formula>
    </cfRule>
  </conditionalFormatting>
  <conditionalFormatting sqref="U25:W25 U110:W110">
    <cfRule type="expression" dxfId="3248" priority="130" stopIfTrue="1">
      <formula>IF($AL8&gt;6,0,1)</formula>
    </cfRule>
  </conditionalFormatting>
  <conditionalFormatting sqref="X25:Z25 X110:Z110">
    <cfRule type="expression" dxfId="3247" priority="131" stopIfTrue="1">
      <formula>IF($AL8&gt;7,0,1)</formula>
    </cfRule>
  </conditionalFormatting>
  <conditionalFormatting sqref="AA25:AC25 AA110:AC110">
    <cfRule type="expression" dxfId="3246" priority="132" stopIfTrue="1">
      <formula>IF($AL8&gt;8,0,1)</formula>
    </cfRule>
  </conditionalFormatting>
  <conditionalFormatting sqref="AD25:AF25 AD110:AF110">
    <cfRule type="expression" dxfId="3245" priority="133" stopIfTrue="1">
      <formula>IF($AL8&gt;9,0,1)</formula>
    </cfRule>
  </conditionalFormatting>
  <conditionalFormatting sqref="H26:J26 H111:J111">
    <cfRule type="expression" dxfId="3244" priority="134" stopIfTrue="1">
      <formula>IF($AL8&lt;3,1,IF($AL7&lt;2,1,0))</formula>
    </cfRule>
  </conditionalFormatting>
  <conditionalFormatting sqref="L26:N26 L111:N111">
    <cfRule type="expression" dxfId="3243" priority="135" stopIfTrue="1">
      <formula>IF($AL8&lt;4,1,IF($AL7&lt;2,1,0))</formula>
    </cfRule>
  </conditionalFormatting>
  <conditionalFormatting sqref="O26:Q26 O111:Q111">
    <cfRule type="expression" dxfId="3242" priority="136" stopIfTrue="1">
      <formula>IF($AL8&lt;5,1,IF($AL7&lt;2,1,0))</formula>
    </cfRule>
  </conditionalFormatting>
  <conditionalFormatting sqref="R26:T26 R111:T111">
    <cfRule type="expression" dxfId="3241" priority="137" stopIfTrue="1">
      <formula>IF($AL8&lt;6,1,IF($AL7&lt;2,1,0))</formula>
    </cfRule>
  </conditionalFormatting>
  <conditionalFormatting sqref="U26:W26 U111:W111">
    <cfRule type="expression" dxfId="3240" priority="138" stopIfTrue="1">
      <formula>IF($AL8&lt;7,1,IF($AL7&lt;2,1,0))</formula>
    </cfRule>
  </conditionalFormatting>
  <conditionalFormatting sqref="X26:Z26 X111:Z111">
    <cfRule type="expression" dxfId="3239" priority="139" stopIfTrue="1">
      <formula>IF($AL8&lt;8,1,IF($AL7&lt;2,1,0))</formula>
    </cfRule>
  </conditionalFormatting>
  <conditionalFormatting sqref="AA26:AC26 AA111:AC111">
    <cfRule type="expression" dxfId="3238" priority="140" stopIfTrue="1">
      <formula>IF($AL8&lt;9,1,IF($AL7&lt;2,1,0))</formula>
    </cfRule>
  </conditionalFormatting>
  <conditionalFormatting sqref="AD26:AF26 AD111:AF111">
    <cfRule type="expression" dxfId="3237" priority="141" stopIfTrue="1">
      <formula>IF($AL8&lt;10,1,IF($AL7&lt;2,1,0))</formula>
    </cfRule>
  </conditionalFormatting>
  <conditionalFormatting sqref="H27:J27 H112:J112">
    <cfRule type="expression" dxfId="3236" priority="142" stopIfTrue="1">
      <formula>IF($AL8&lt;3,1,IF($AL7&lt;3,1,0))</formula>
    </cfRule>
  </conditionalFormatting>
  <conditionalFormatting sqref="L27:N27 L112:N112">
    <cfRule type="expression" dxfId="3235" priority="143" stopIfTrue="1">
      <formula>IF($AL8&lt;4,1,IF($AL7&lt;3,1,0))</formula>
    </cfRule>
  </conditionalFormatting>
  <conditionalFormatting sqref="O27:Q27 O112:Q112">
    <cfRule type="expression" dxfId="3234" priority="144" stopIfTrue="1">
      <formula>IF($AL8&lt;5,1,IF($AL7&lt;3,1,0))</formula>
    </cfRule>
  </conditionalFormatting>
  <conditionalFormatting sqref="R27:T27 R112:T112">
    <cfRule type="expression" dxfId="3233" priority="145" stopIfTrue="1">
      <formula>IF($AL8&lt;6,1,IF($AL7&lt;3,1,0))</formula>
    </cfRule>
  </conditionalFormatting>
  <conditionalFormatting sqref="U27:W27 U112:W112">
    <cfRule type="expression" dxfId="3232" priority="146" stopIfTrue="1">
      <formula>IF($AL8&lt;7,1,IF($AL7&lt;3,1,0))</formula>
    </cfRule>
  </conditionalFormatting>
  <conditionalFormatting sqref="X27:Z27 X112:Z112">
    <cfRule type="expression" dxfId="3231" priority="147" stopIfTrue="1">
      <formula>IF($AL8&lt;8,1,IF($AL7&lt;3,1,0))</formula>
    </cfRule>
  </conditionalFormatting>
  <conditionalFormatting sqref="AA27:AC27 AA112:AC112">
    <cfRule type="expression" dxfId="3230" priority="148" stopIfTrue="1">
      <formula>IF($AL8&lt;9,1,IF($AL7&lt;3,1,0))</formula>
    </cfRule>
  </conditionalFormatting>
  <conditionalFormatting sqref="AD27:AF27 AD112:AF112">
    <cfRule type="expression" dxfId="3229" priority="149" stopIfTrue="1">
      <formula>IF($AL8&lt;10,1,IF($AL7&lt;3,1,0))</formula>
    </cfRule>
  </conditionalFormatting>
  <conditionalFormatting sqref="H28:J28 H113:J113">
    <cfRule type="expression" dxfId="3228" priority="150" stopIfTrue="1">
      <formula>IF($AL8&lt;3,1,IF($AL7&lt;4,1,0))</formula>
    </cfRule>
  </conditionalFormatting>
  <conditionalFormatting sqref="L28:N28 L113:N113">
    <cfRule type="expression" dxfId="3227" priority="151" stopIfTrue="1">
      <formula>IF($AL8&lt;4,1,IF($AL7&lt;4,1,0))</formula>
    </cfRule>
  </conditionalFormatting>
  <conditionalFormatting sqref="O28:Q28 O113:Q113">
    <cfRule type="expression" dxfId="3226" priority="152" stopIfTrue="1">
      <formula>IF($AL8&lt;5,1,IF($AL7&lt;4,1,0))</formula>
    </cfRule>
  </conditionalFormatting>
  <conditionalFormatting sqref="R28:T28 R113:T113">
    <cfRule type="expression" dxfId="3225" priority="153" stopIfTrue="1">
      <formula>IF($AL8&lt;6,1,IF($AL7&lt;4,1,0))</formula>
    </cfRule>
  </conditionalFormatting>
  <conditionalFormatting sqref="U28:W28 U113:W113">
    <cfRule type="expression" dxfId="3224" priority="154" stopIfTrue="1">
      <formula>IF($AL8&lt;7,1,IF($AL7&lt;4,1,0))</formula>
    </cfRule>
  </conditionalFormatting>
  <conditionalFormatting sqref="X28:Z28 X113:Z113">
    <cfRule type="expression" dxfId="3223" priority="155" stopIfTrue="1">
      <formula>IF($AL8&lt;8,1,IF($AL7&lt;4,1,0))</formula>
    </cfRule>
  </conditionalFormatting>
  <conditionalFormatting sqref="AA28:AC28 AA113:AC113">
    <cfRule type="expression" dxfId="3222" priority="156" stopIfTrue="1">
      <formula>IF($AL8&lt;9,1,IF($AL7&lt;4,1,0))</formula>
    </cfRule>
  </conditionalFormatting>
  <conditionalFormatting sqref="AD28:AF28 AD113:AF113">
    <cfRule type="expression" dxfId="3221" priority="157" stopIfTrue="1">
      <formula>IF($AL8&lt;10,1,IF($AL7&lt;4,1,0))</formula>
    </cfRule>
  </conditionalFormatting>
  <conditionalFormatting sqref="H29:J29 H114:J114">
    <cfRule type="expression" dxfId="3220" priority="158" stopIfTrue="1">
      <formula>IF($AL8&lt;3,1,IF($AL7&lt;5,1,0))</formula>
    </cfRule>
  </conditionalFormatting>
  <conditionalFormatting sqref="L29:N29 L114:N114">
    <cfRule type="expression" dxfId="3219" priority="159" stopIfTrue="1">
      <formula>IF($AL8&lt;4,1,IF($AL7&lt;5,1,0))</formula>
    </cfRule>
  </conditionalFormatting>
  <conditionalFormatting sqref="O29:Q29 O114:Q114">
    <cfRule type="expression" dxfId="3218" priority="160" stopIfTrue="1">
      <formula>IF($AL8&lt;5,1,IF($AL7&lt;5,1,0))</formula>
    </cfRule>
  </conditionalFormatting>
  <conditionalFormatting sqref="R29:T29 R114:T114">
    <cfRule type="expression" dxfId="3217" priority="161" stopIfTrue="1">
      <formula>IF($AL8&lt;6,1,IF($AL7&lt;5,1,0))</formula>
    </cfRule>
  </conditionalFormatting>
  <conditionalFormatting sqref="U29:W29 U114:W114">
    <cfRule type="expression" dxfId="3216" priority="162" stopIfTrue="1">
      <formula>IF($AL8&lt;7,1,IF($AL7&lt;5,1,0))</formula>
    </cfRule>
  </conditionalFormatting>
  <conditionalFormatting sqref="X29:Z29 X114:Z114">
    <cfRule type="expression" dxfId="3215" priority="163" stopIfTrue="1">
      <formula>IF($AL8&lt;8,1,IF($AL7&lt;5,1,0))</formula>
    </cfRule>
  </conditionalFormatting>
  <conditionalFormatting sqref="AA29:AC29 AA114:AC114">
    <cfRule type="expression" dxfId="3214" priority="164" stopIfTrue="1">
      <formula>IF($AL8&lt;9,1,IF($AL7&lt;5,1,0))</formula>
    </cfRule>
  </conditionalFormatting>
  <conditionalFormatting sqref="AD29:AF29 AD114:AF114">
    <cfRule type="expression" dxfId="3213" priority="165" stopIfTrue="1">
      <formula>IF($AL8&lt;10,1,IF($AL7&lt;5,1,0))</formula>
    </cfRule>
  </conditionalFormatting>
  <conditionalFormatting sqref="S14:AC15 M14:Q15 S99:AC100 M99:Q100 AG99:AH100 AG14:AH15">
    <cfRule type="expression" dxfId="3212" priority="166" stopIfTrue="1">
      <formula>IF($AL9&gt;3,0,1)</formula>
    </cfRule>
  </conditionalFormatting>
  <conditionalFormatting sqref="S16:AC17 M16:Q17 S101:AC102 M101:Q102 AG101:AH102 AG16:AH17">
    <cfRule type="expression" dxfId="3211" priority="167" stopIfTrue="1">
      <formula>IF($AL9&gt;4,0,1)</formula>
    </cfRule>
  </conditionalFormatting>
  <conditionalFormatting sqref="S8:AC9 M8:Q9 S93:AC94 M93:Q94 AG93:AH94 AG8:AH9">
    <cfRule type="expression" dxfId="3210" priority="168" stopIfTrue="1">
      <formula>IF($AL9&gt;0,0,1)</formula>
    </cfRule>
  </conditionalFormatting>
  <conditionalFormatting sqref="S10:AC11 M10:Q11 S95:AC96 M95:Q96 AG95:AH96 AG10:AH11">
    <cfRule type="expression" dxfId="3209" priority="169" stopIfTrue="1">
      <formula>IF($AL9&gt;1,0,1)</formula>
    </cfRule>
  </conditionalFormatting>
  <conditionalFormatting sqref="S12:AC13 M12:Q13 S97:AC98 M97:Q98 AG97:AH98 AG12:AH13">
    <cfRule type="expression" dxfId="3208" priority="170" stopIfTrue="1">
      <formula>IF($AL9&gt;2,0,1)</formula>
    </cfRule>
  </conditionalFormatting>
  <conditionalFormatting sqref="E24 E109">
    <cfRule type="expression" dxfId="3207" priority="171" stopIfTrue="1">
      <formula>IF(AL8&gt;1,0,1)</formula>
    </cfRule>
  </conditionalFormatting>
  <conditionalFormatting sqref="H24 H109">
    <cfRule type="expression" dxfId="3206" priority="172" stopIfTrue="1">
      <formula>IF(AL8&gt;2,0,1)</formula>
    </cfRule>
  </conditionalFormatting>
  <conditionalFormatting sqref="L24 L109">
    <cfRule type="expression" dxfId="3205" priority="173" stopIfTrue="1">
      <formula>IF(AL8&gt;3,0,1)</formula>
    </cfRule>
  </conditionalFormatting>
  <conditionalFormatting sqref="O24 O109">
    <cfRule type="expression" dxfId="3204" priority="174" stopIfTrue="1">
      <formula>IF(AL8&gt;4,0,1)</formula>
    </cfRule>
  </conditionalFormatting>
  <conditionalFormatting sqref="R24 R109">
    <cfRule type="expression" dxfId="3203" priority="175" stopIfTrue="1">
      <formula>IF(AL8&gt;5,0,1)</formula>
    </cfRule>
  </conditionalFormatting>
  <conditionalFormatting sqref="U24 U109">
    <cfRule type="expression" dxfId="3202" priority="176" stopIfTrue="1">
      <formula>IF(AL8&gt;6,0,1)</formula>
    </cfRule>
  </conditionalFormatting>
  <conditionalFormatting sqref="X24 X109">
    <cfRule type="expression" dxfId="3201" priority="177" stopIfTrue="1">
      <formula>IF(AL8&gt;7,0,1)</formula>
    </cfRule>
  </conditionalFormatting>
  <conditionalFormatting sqref="AA24 AA109">
    <cfRule type="expression" dxfId="3200" priority="178" stopIfTrue="1">
      <formula>IF(AL8&gt;8,0,1)</formula>
    </cfRule>
  </conditionalFormatting>
  <conditionalFormatting sqref="AD24 AD109">
    <cfRule type="expression" dxfId="3199" priority="179" stopIfTrue="1">
      <formula>IF(AL8&gt;9,0,1)</formula>
    </cfRule>
  </conditionalFormatting>
  <conditionalFormatting sqref="AR27 AR112">
    <cfRule type="expression" dxfId="3198" priority="180" stopIfTrue="1">
      <formula>IF($AL9&gt;3,0,1)</formula>
    </cfRule>
  </conditionalFormatting>
  <conditionalFormatting sqref="E25:G25 E110:G110">
    <cfRule type="expression" dxfId="3197" priority="181" stopIfTrue="1">
      <formula>IF($AL8&gt;1,0,1)</formula>
    </cfRule>
  </conditionalFormatting>
  <conditionalFormatting sqref="B21:D21 B106:D106">
    <cfRule type="expression" dxfId="3196" priority="182" stopIfTrue="1">
      <formula>IF(AL8&gt;0,0,1)</formula>
    </cfRule>
  </conditionalFormatting>
  <conditionalFormatting sqref="E21:G21 E106:G106">
    <cfRule type="expression" dxfId="3195" priority="183" stopIfTrue="1">
      <formula>IF(AL8&gt;1,0,1)</formula>
    </cfRule>
  </conditionalFormatting>
  <conditionalFormatting sqref="H21:K21 H106:K106">
    <cfRule type="expression" dxfId="3194" priority="184" stopIfTrue="1">
      <formula>IF(AL8&gt;2,0,1)</formula>
    </cfRule>
  </conditionalFormatting>
  <conditionalFormatting sqref="L21:N21 L106:N106">
    <cfRule type="expression" dxfId="3193" priority="185" stopIfTrue="1">
      <formula>IF(AL8&gt;3,0,1)</formula>
    </cfRule>
  </conditionalFormatting>
  <conditionalFormatting sqref="O21:Q21 O106:Q106">
    <cfRule type="expression" dxfId="3192" priority="186" stopIfTrue="1">
      <formula>IF(AL8&gt;4,0,1)</formula>
    </cfRule>
  </conditionalFormatting>
  <conditionalFormatting sqref="R21:T21 R106:T106">
    <cfRule type="expression" dxfId="3191" priority="187" stopIfTrue="1">
      <formula>IF(AL8&gt;5,0,1)</formula>
    </cfRule>
  </conditionalFormatting>
  <conditionalFormatting sqref="U21:W21 U106:W106">
    <cfRule type="expression" dxfId="3190" priority="188" stopIfTrue="1">
      <formula>IF(AL8&gt;6,0,1)</formula>
    </cfRule>
  </conditionalFormatting>
  <conditionalFormatting sqref="X21:Z21 X106:Z106">
    <cfRule type="expression" dxfId="3189" priority="189" stopIfTrue="1">
      <formula>IF(AL8&gt;7,0,1)</formula>
    </cfRule>
  </conditionalFormatting>
  <conditionalFormatting sqref="AA21:AC21 AA106:AC106">
    <cfRule type="expression" dxfId="3188" priority="190" stopIfTrue="1">
      <formula>IF(AL8&gt;8,0,1)</formula>
    </cfRule>
  </conditionalFormatting>
  <conditionalFormatting sqref="AD21:AF21 AD106:AF106">
    <cfRule type="expression" dxfId="3187" priority="191" stopIfTrue="1">
      <formula>IF(AL8&gt;9,0,1)</formula>
    </cfRule>
  </conditionalFormatting>
  <conditionalFormatting sqref="B215:B216 C215:D215 B218:D223 C224:C225 AE223:AE225 E219:J222 Y224:Y225 X215:X216 Y215:Z215 X218:Z223 AA219:AF222 AB223:AB225 I223:I225 F223:F225">
    <cfRule type="expression" dxfId="3186" priority="192" stopIfTrue="1">
      <formula>IF(#REF!&gt;0,0,1)</formula>
    </cfRule>
  </conditionalFormatting>
  <conditionalFormatting sqref="H223 H215:H218 I215:K215 I218:J218 J223 AD215:AD218 AE215:AF215 AF223 AE218:AF218 AD223">
    <cfRule type="expression" dxfId="3185" priority="193" stopIfTrue="1">
      <formula>IF(#REF!&gt;2,0,1)</formula>
    </cfRule>
  </conditionalFormatting>
  <conditionalFormatting sqref="H224 J224 AD224 AF224">
    <cfRule type="expression" dxfId="3184" priority="194" stopIfTrue="1">
      <formula>IF(#REF!&lt;3,1,IF(#REF!&lt;2,1,0))</formula>
    </cfRule>
  </conditionalFormatting>
  <conditionalFormatting sqref="J225 AD225 AF225 H225">
    <cfRule type="expression" dxfId="3183" priority="195" stopIfTrue="1">
      <formula>IF(#REF!&lt;3,1,IF(#REF!&lt;3,1,0))</formula>
    </cfRule>
  </conditionalFormatting>
  <conditionalFormatting sqref="G223 F218:G218 E223 E215:E218 AB215:AC215 AC223 AB218:AC218 AA223 AA215:AA218 F215:G215">
    <cfRule type="expression" dxfId="3182" priority="196" stopIfTrue="1">
      <formula>IF(#REF!&gt;1,0,1)</formula>
    </cfRule>
  </conditionalFormatting>
  <conditionalFormatting sqref="B224 D224 X224 Z224">
    <cfRule type="expression" dxfId="3181" priority="197" stopIfTrue="1">
      <formula>IF(#REF!&lt;1,1,IF(#REF!&lt;2,1,0))</formula>
    </cfRule>
  </conditionalFormatting>
  <conditionalFormatting sqref="E224 G224 AA224 AC224">
    <cfRule type="expression" dxfId="3180" priority="198" stopIfTrue="1">
      <formula>IF(#REF!&lt;2,1,IF(#REF!&lt;2,1,0))</formula>
    </cfRule>
  </conditionalFormatting>
  <conditionalFormatting sqref="D225 X225 Z225 B225">
    <cfRule type="expression" dxfId="3179" priority="199" stopIfTrue="1">
      <formula>IF(#REF!&lt;1,1,IF(#REF!&lt;3,1,0))</formula>
    </cfRule>
  </conditionalFormatting>
  <conditionalFormatting sqref="G225 AA225 AC225 E225">
    <cfRule type="expression" dxfId="3178" priority="200" stopIfTrue="1">
      <formula>IF(#REF!&lt;2,1,IF(#REF!&lt;3,1,0))</formula>
    </cfRule>
  </conditionalFormatting>
  <conditionalFormatting sqref="AH24:AQ28 AH109:AQ113">
    <cfRule type="cellIs" dxfId="3177" priority="201" stopIfTrue="1" operator="notBetween">
      <formula>-9999</formula>
      <formula>9999</formula>
    </cfRule>
  </conditionalFormatting>
  <conditionalFormatting sqref="B22:D23 B107:D108">
    <cfRule type="cellIs" dxfId="3176" priority="202" stopIfTrue="1" operator="equal">
      <formula>99</formula>
    </cfRule>
  </conditionalFormatting>
  <conditionalFormatting sqref="AD7 AD92">
    <cfRule type="expression" dxfId="3175" priority="203" stopIfTrue="1">
      <formula>IF($AL$11=0,1,0)</formula>
    </cfRule>
  </conditionalFormatting>
  <conditionalFormatting sqref="B18 B103">
    <cfRule type="expression" dxfId="3174" priority="204" stopIfTrue="1">
      <formula>IF($AL$179&gt;0,0,1)</formula>
    </cfRule>
  </conditionalFormatting>
  <conditionalFormatting sqref="C226 F226 Y226 AB226">
    <cfRule type="expression" dxfId="3173" priority="205" stopIfTrue="1">
      <formula>IF(#REF!&gt;0,0,1)</formula>
    </cfRule>
  </conditionalFormatting>
  <pageMargins left="0.25" right="0.25" top="0.25" bottom="0.25" header="0" footer="0"/>
  <pageSetup scale="78" fitToHeight="3" orientation="landscape" r:id="rId1"/>
  <headerFooter alignWithMargins="0"/>
  <rowBreaks count="1" manualBreakCount="1">
    <brk id="90" max="43" man="1"/>
  </rowBreaks>
  <drawing r:id="rId2"/>
  <legacyDrawing r:id="rId3"/>
  <controls>
    <mc:AlternateContent xmlns:mc="http://schemas.openxmlformats.org/markup-compatibility/2006">
      <mc:Choice Requires="x14">
        <control shapeId="14338" r:id="rId4" name="Pool2RecalcFinish">
          <controlPr defaultSize="0" autoLine="0" r:id="rId5">
            <anchor moveWithCells="1" sizeWithCells="1">
              <from>
                <xdr:col>37</xdr:col>
                <xdr:colOff>104775</xdr:colOff>
                <xdr:row>98</xdr:row>
                <xdr:rowOff>9525</xdr:rowOff>
              </from>
              <to>
                <xdr:col>42</xdr:col>
                <xdr:colOff>228600</xdr:colOff>
                <xdr:row>101</xdr:row>
                <xdr:rowOff>104775</xdr:rowOff>
              </to>
            </anchor>
          </controlPr>
        </control>
      </mc:Choice>
      <mc:Fallback>
        <control shapeId="14338" r:id="rId4" name="Pool2RecalcFinish"/>
      </mc:Fallback>
    </mc:AlternateContent>
    <mc:AlternateContent xmlns:mc="http://schemas.openxmlformats.org/markup-compatibility/2006">
      <mc:Choice Requires="x14">
        <control shapeId="14337" r:id="rId6" name="Pool1RecalcFinish">
          <controlPr defaultSize="0" autoLine="0" r:id="rId7">
            <anchor moveWithCells="1" sizeWithCells="1">
              <from>
                <xdr:col>37</xdr:col>
                <xdr:colOff>104775</xdr:colOff>
                <xdr:row>13</xdr:row>
                <xdr:rowOff>9525</xdr:rowOff>
              </from>
              <to>
                <xdr:col>42</xdr:col>
                <xdr:colOff>228600</xdr:colOff>
                <xdr:row>16</xdr:row>
                <xdr:rowOff>104775</xdr:rowOff>
              </to>
            </anchor>
          </controlPr>
        </control>
      </mc:Choice>
      <mc:Fallback>
        <control shapeId="14337" r:id="rId6" name="Pool1RecalcFinish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7">
    <tabColor indexed="11"/>
  </sheetPr>
  <dimension ref="A1:CC430"/>
  <sheetViews>
    <sheetView topLeftCell="AL1" zoomScale="70" zoomScaleNormal="70" workbookViewId="0">
      <selection activeCell="BA2" sqref="BA2"/>
    </sheetView>
  </sheetViews>
  <sheetFormatPr defaultRowHeight="12.75" x14ac:dyDescent="0.2"/>
  <cols>
    <col min="1" max="1" width="9.140625" style="846"/>
    <col min="2" max="2" width="3.7109375" style="846" customWidth="1"/>
    <col min="3" max="3" width="2.28515625" style="846" customWidth="1"/>
    <col min="4" max="5" width="3.7109375" style="846" customWidth="1"/>
    <col min="6" max="6" width="2.28515625" style="846" customWidth="1"/>
    <col min="7" max="8" width="3.7109375" style="846" customWidth="1"/>
    <col min="9" max="9" width="2.28515625" style="846" customWidth="1"/>
    <col min="10" max="12" width="3.7109375" style="846" customWidth="1"/>
    <col min="13" max="13" width="2.28515625" style="846" customWidth="1"/>
    <col min="14" max="15" width="3.7109375" style="846" customWidth="1"/>
    <col min="16" max="16" width="2.28515625" style="846" customWidth="1"/>
    <col min="17" max="18" width="3.7109375" style="846" customWidth="1"/>
    <col min="19" max="19" width="2.28515625" style="846" customWidth="1"/>
    <col min="20" max="21" width="3.7109375" style="846" customWidth="1"/>
    <col min="22" max="22" width="2.28515625" style="846" customWidth="1"/>
    <col min="23" max="24" width="3.7109375" style="846" customWidth="1"/>
    <col min="25" max="25" width="2.28515625" style="846" customWidth="1"/>
    <col min="26" max="27" width="3.7109375" style="846" customWidth="1"/>
    <col min="28" max="28" width="2.28515625" style="846" customWidth="1"/>
    <col min="29" max="30" width="3.7109375" style="846" customWidth="1"/>
    <col min="31" max="31" width="2.28515625" style="846" customWidth="1"/>
    <col min="32" max="32" width="3.7109375" style="846" customWidth="1"/>
    <col min="33" max="33" width="9.7109375" style="846" customWidth="1"/>
    <col min="34" max="43" width="3.7109375" style="846" customWidth="1"/>
    <col min="44" max="44" width="11" style="846" customWidth="1"/>
    <col min="45" max="46" width="9.140625" style="846"/>
    <col min="47" max="47" width="24.42578125" style="846" customWidth="1"/>
    <col min="48" max="48" width="15.85546875" style="846" customWidth="1"/>
    <col min="49" max="49" width="14.28515625" style="846" bestFit="1" customWidth="1"/>
    <col min="50" max="50" width="9.7109375" style="846" bestFit="1" customWidth="1"/>
    <col min="51" max="51" width="10" style="846" customWidth="1"/>
    <col min="52" max="52" width="25" style="846" customWidth="1"/>
    <col min="53" max="53" width="6" style="846" customWidth="1"/>
    <col min="54" max="16384" width="9.140625" style="846"/>
  </cols>
  <sheetData>
    <row r="1" spans="1:53" ht="13.5" thickBot="1" x14ac:dyDescent="0.25">
      <c r="A1" s="842" t="s">
        <v>0</v>
      </c>
      <c r="B1" s="842"/>
      <c r="C1" s="842"/>
      <c r="D1" s="842"/>
      <c r="E1" s="842"/>
      <c r="F1" s="842"/>
      <c r="G1" s="842"/>
      <c r="H1" s="842"/>
      <c r="I1" s="842"/>
      <c r="J1" s="842"/>
      <c r="K1" s="842"/>
      <c r="L1" s="842"/>
      <c r="M1" s="842"/>
      <c r="N1" s="842"/>
      <c r="O1" s="842"/>
      <c r="P1" s="842"/>
      <c r="Q1" s="842"/>
      <c r="R1" s="842"/>
      <c r="S1" s="842"/>
      <c r="T1" s="842"/>
      <c r="U1" s="842"/>
      <c r="V1" s="842"/>
      <c r="W1" s="842"/>
      <c r="X1" s="842"/>
      <c r="Y1" s="842"/>
      <c r="Z1" s="842"/>
      <c r="AA1" s="842"/>
      <c r="AB1" s="842"/>
      <c r="AC1" s="842"/>
      <c r="AD1" s="842"/>
      <c r="AE1" s="842"/>
      <c r="AF1" s="842"/>
      <c r="AG1" s="843"/>
      <c r="AH1" s="843"/>
      <c r="AI1" s="843"/>
      <c r="AJ1" s="843"/>
      <c r="AK1" s="843"/>
      <c r="AL1" s="843"/>
      <c r="AM1" s="843"/>
      <c r="AN1" s="843"/>
      <c r="AO1" s="843"/>
      <c r="AP1" s="843"/>
      <c r="AQ1" s="843"/>
      <c r="AR1" s="844" t="s">
        <v>1127</v>
      </c>
      <c r="AS1" s="845"/>
      <c r="AT1" s="847" t="s">
        <v>2</v>
      </c>
      <c r="AU1" s="848"/>
      <c r="AV1" s="848"/>
      <c r="AW1" s="849"/>
      <c r="AX1" s="850" t="s">
        <v>3</v>
      </c>
      <c r="AY1" s="851"/>
      <c r="AZ1" s="852" t="s">
        <v>4</v>
      </c>
      <c r="BA1" s="853">
        <v>16</v>
      </c>
    </row>
    <row r="2" spans="1:53" ht="18.75" customHeight="1" thickBot="1" x14ac:dyDescent="0.3">
      <c r="A2" s="844"/>
      <c r="B2" s="854" t="s">
        <v>5</v>
      </c>
      <c r="C2" s="855"/>
      <c r="D2" s="855"/>
      <c r="E2" s="856"/>
      <c r="F2" s="856"/>
      <c r="G2" s="857"/>
      <c r="H2" s="856"/>
      <c r="I2" s="858"/>
      <c r="J2" s="859"/>
      <c r="K2" s="860"/>
      <c r="L2" s="860"/>
      <c r="M2" s="860"/>
      <c r="N2" s="860"/>
      <c r="O2" s="860"/>
      <c r="P2" s="860"/>
      <c r="Q2" s="860"/>
      <c r="R2" s="860"/>
      <c r="S2" s="860"/>
      <c r="T2" s="860"/>
      <c r="U2" s="861"/>
      <c r="V2" s="862" t="s">
        <v>7</v>
      </c>
      <c r="W2" s="863"/>
      <c r="X2" s="864"/>
      <c r="Y2" s="865"/>
      <c r="Z2" s="866"/>
      <c r="AA2" s="866"/>
      <c r="AB2" s="866"/>
      <c r="AC2" s="866"/>
      <c r="AD2" s="866"/>
      <c r="AE2" s="866"/>
      <c r="AF2" s="867"/>
      <c r="AG2" s="868"/>
      <c r="AH2" s="868"/>
      <c r="AI2" s="868"/>
      <c r="AJ2" s="868"/>
      <c r="AK2" s="868"/>
      <c r="AL2" s="868"/>
      <c r="AM2" s="868"/>
      <c r="AN2" s="868"/>
      <c r="AO2" s="868"/>
      <c r="AP2" s="868"/>
      <c r="AQ2" s="868"/>
      <c r="AR2" s="868"/>
      <c r="AS2" s="845"/>
      <c r="AT2" s="869" t="s">
        <v>9</v>
      </c>
      <c r="AU2" s="870" t="s">
        <v>10</v>
      </c>
      <c r="AV2" s="871" t="s">
        <v>11</v>
      </c>
      <c r="AW2" s="872" t="s">
        <v>12</v>
      </c>
      <c r="AX2" s="873" t="s">
        <v>13</v>
      </c>
      <c r="AY2" s="872" t="s">
        <v>14</v>
      </c>
      <c r="AZ2" s="852" t="s">
        <v>15</v>
      </c>
      <c r="BA2" s="853">
        <v>16</v>
      </c>
    </row>
    <row r="3" spans="1:53" ht="18.75" customHeight="1" thickBot="1" x14ac:dyDescent="0.3">
      <c r="A3" s="844"/>
      <c r="B3" s="874" t="s">
        <v>16</v>
      </c>
      <c r="C3" s="875"/>
      <c r="D3" s="876"/>
      <c r="E3" s="877"/>
      <c r="F3" s="877"/>
      <c r="G3" s="877"/>
      <c r="H3" s="877"/>
      <c r="I3" s="877"/>
      <c r="J3" s="877"/>
      <c r="K3" s="877"/>
      <c r="L3" s="878"/>
      <c r="M3" s="879" t="s">
        <v>18</v>
      </c>
      <c r="N3" s="880"/>
      <c r="O3" s="881"/>
      <c r="P3" s="882"/>
      <c r="Q3" s="883"/>
      <c r="R3" s="884"/>
      <c r="S3" s="884"/>
      <c r="T3" s="884"/>
      <c r="U3" s="885"/>
      <c r="V3" s="886" t="s">
        <v>19</v>
      </c>
      <c r="W3" s="887"/>
      <c r="X3" s="887"/>
      <c r="Y3" s="887"/>
      <c r="Z3" s="887"/>
      <c r="AA3" s="888"/>
      <c r="AB3" s="889"/>
      <c r="AC3" s="890" t="s">
        <v>20</v>
      </c>
      <c r="AD3" s="890"/>
      <c r="AE3" s="890" t="s">
        <v>21</v>
      </c>
      <c r="AF3" s="891"/>
      <c r="AG3" s="868"/>
      <c r="AH3" s="868"/>
      <c r="AI3" s="868"/>
      <c r="AJ3" s="868"/>
      <c r="AK3" s="868"/>
      <c r="AL3" s="868"/>
      <c r="AM3" s="868"/>
      <c r="AN3" s="868"/>
      <c r="AO3" s="868"/>
      <c r="AP3" s="868"/>
      <c r="AQ3" s="868"/>
      <c r="AR3" s="868"/>
      <c r="AS3" s="845"/>
      <c r="AT3" s="892">
        <v>1</v>
      </c>
      <c r="AU3" s="893" t="str">
        <f>'7tm Kidz PM r1'!B179</f>
        <v>SC Midlands KP Garnet</v>
      </c>
      <c r="AV3" s="894" t="str">
        <f>'7tm Kidz PM r1'!H179</f>
        <v>fj1scmid2pm</v>
      </c>
      <c r="AW3" s="895">
        <f>VLOOKUP(AV3,'7tm Kidz PM r1'!$AV$3:$AX$9,3,FALSE)</f>
        <v>1224.9630571345931</v>
      </c>
      <c r="AX3" s="896">
        <f t="shared" ref="AX3:AX9" si="0">VLOOKUP(AU3,AT$79:AU$180,2,FALSE)</f>
        <v>1233.3466974331975</v>
      </c>
      <c r="AY3" s="897">
        <f t="shared" ref="AY3:AY9" si="1">IF(ISNA(VLOOKUP(AU3,AT$182:AU$243,2,FALSE)),AX3,VLOOKUP(AU3,AT$182:AU$243,2,FALSE))</f>
        <v>1233.3466974331975</v>
      </c>
    </row>
    <row r="4" spans="1:53" ht="24" customHeight="1" thickBot="1" x14ac:dyDescent="0.25">
      <c r="A4" s="844"/>
      <c r="B4" s="898"/>
      <c r="C4" s="898"/>
      <c r="D4" s="899"/>
      <c r="E4" s="900"/>
      <c r="F4" s="901"/>
      <c r="G4" s="901"/>
      <c r="H4" s="902" t="s">
        <v>24</v>
      </c>
      <c r="I4" s="903"/>
      <c r="J4" s="904"/>
      <c r="K4" s="904"/>
      <c r="L4" s="904"/>
      <c r="M4" s="904"/>
      <c r="N4" s="905"/>
      <c r="O4" s="906"/>
      <c r="P4" s="906"/>
      <c r="Q4" s="906"/>
      <c r="R4" s="906"/>
      <c r="S4" s="906"/>
      <c r="T4" s="906"/>
      <c r="U4" s="907"/>
      <c r="V4" s="908" t="s">
        <v>27</v>
      </c>
      <c r="W4" s="909"/>
      <c r="X4" s="909"/>
      <c r="Y4" s="909"/>
      <c r="Z4" s="910"/>
      <c r="AA4" s="911"/>
      <c r="AB4" s="906"/>
      <c r="AC4" s="906"/>
      <c r="AD4" s="906"/>
      <c r="AE4" s="906"/>
      <c r="AF4" s="907"/>
      <c r="AG4" s="868"/>
      <c r="AH4" s="868"/>
      <c r="AI4" s="868"/>
      <c r="AJ4" s="868"/>
      <c r="AK4" s="868"/>
      <c r="AL4" s="868"/>
      <c r="AM4" s="868"/>
      <c r="AN4" s="868"/>
      <c r="AO4" s="868"/>
      <c r="AP4" s="868"/>
      <c r="AQ4" s="868"/>
      <c r="AR4" s="868"/>
      <c r="AS4" s="845"/>
      <c r="AT4" s="912">
        <v>2</v>
      </c>
      <c r="AU4" s="893" t="str">
        <f>'7tm Kidz PM r1'!V179</f>
        <v>SC Midlands KP Silver</v>
      </c>
      <c r="AV4" s="913" t="str">
        <f>'7tm Kidz PM r1'!AB179</f>
        <v>fj1scmid4pm</v>
      </c>
      <c r="AW4" s="895">
        <f>VLOOKUP(AV4,'7tm Kidz PM r1'!$AV$3:$AX$9,3,FALSE)</f>
        <v>1205.8047865865301</v>
      </c>
      <c r="AX4" s="914">
        <f t="shared" si="0"/>
        <v>1230.6391901737691</v>
      </c>
      <c r="AY4" s="897">
        <f t="shared" si="1"/>
        <v>1230.6391901737691</v>
      </c>
    </row>
    <row r="5" spans="1:53" ht="15.75" thickBot="1" x14ac:dyDescent="0.25">
      <c r="A5" s="843" t="s">
        <v>30</v>
      </c>
      <c r="B5" s="915" t="s">
        <v>30</v>
      </c>
      <c r="C5" s="916"/>
      <c r="D5" s="916"/>
      <c r="E5" s="916"/>
      <c r="F5" s="916"/>
      <c r="G5" s="916"/>
      <c r="H5" s="916"/>
      <c r="I5" s="916"/>
      <c r="J5" s="916"/>
      <c r="K5" s="917"/>
      <c r="L5" s="918" t="s">
        <v>30</v>
      </c>
      <c r="M5" s="918"/>
      <c r="N5" s="918"/>
      <c r="O5" s="918"/>
      <c r="P5" s="918"/>
      <c r="Q5" s="918"/>
      <c r="R5" s="918"/>
      <c r="S5" s="918"/>
      <c r="T5" s="918"/>
      <c r="U5" s="918"/>
      <c r="V5" s="918"/>
      <c r="W5" s="918"/>
      <c r="X5" s="918"/>
      <c r="Y5" s="918"/>
      <c r="Z5" s="918"/>
      <c r="AA5" s="918"/>
      <c r="AB5" s="918"/>
      <c r="AC5" s="918"/>
      <c r="AD5" s="918"/>
      <c r="AE5" s="918"/>
      <c r="AF5" s="918"/>
      <c r="AG5" s="843"/>
      <c r="AH5" s="843"/>
      <c r="AI5" s="843"/>
      <c r="AJ5" s="843"/>
      <c r="AK5" s="843"/>
      <c r="AL5" s="843"/>
      <c r="AM5" s="843"/>
      <c r="AN5" s="843"/>
      <c r="AO5" s="843"/>
      <c r="AP5" s="843"/>
      <c r="AQ5" s="843"/>
      <c r="AR5" s="843"/>
      <c r="AS5" s="845"/>
      <c r="AT5" s="912">
        <v>3</v>
      </c>
      <c r="AU5" s="893" t="str">
        <f>'7tm Kidz PM r1'!V180</f>
        <v>Columbia SC Starlings 12</v>
      </c>
      <c r="AV5" s="913" t="str">
        <f>'7tm Kidz PM r1'!AB180</f>
        <v>fj2starl1pm</v>
      </c>
      <c r="AW5" s="895">
        <f>VLOOKUP(AV5,'7tm Kidz PM r1'!$AV$3:$AX$9,3,FALSE)</f>
        <v>1172.8444831041593</v>
      </c>
      <c r="AX5" s="914">
        <f t="shared" si="0"/>
        <v>1141.2104363370433</v>
      </c>
      <c r="AY5" s="897">
        <f t="shared" si="1"/>
        <v>1141.2104363370433</v>
      </c>
    </row>
    <row r="6" spans="1:53" ht="24" customHeight="1" thickBot="1" x14ac:dyDescent="0.25">
      <c r="A6" s="919" t="s">
        <v>33</v>
      </c>
      <c r="B6" s="920" t="s">
        <v>34</v>
      </c>
      <c r="C6" s="921" t="s">
        <v>35</v>
      </c>
      <c r="D6" s="922"/>
      <c r="E6" s="922"/>
      <c r="F6" s="922"/>
      <c r="G6" s="922"/>
      <c r="H6" s="923"/>
      <c r="I6" s="924">
        <v>1</v>
      </c>
      <c r="J6" s="925"/>
      <c r="K6" s="926" t="str">
        <f>"Pool "&amp;B6&amp;" - Round 1 - Court "&amp;I6</f>
        <v>Pool A - Round 1 - Court 1</v>
      </c>
      <c r="L6" s="927"/>
      <c r="M6" s="927"/>
      <c r="N6" s="927"/>
      <c r="O6" s="927"/>
      <c r="P6" s="927"/>
      <c r="Q6" s="927"/>
      <c r="R6" s="927"/>
      <c r="S6" s="927"/>
      <c r="T6" s="927"/>
      <c r="U6" s="927"/>
      <c r="V6" s="927"/>
      <c r="W6" s="927"/>
      <c r="X6" s="927"/>
      <c r="Y6" s="927"/>
      <c r="Z6" s="927"/>
      <c r="AA6" s="927"/>
      <c r="AB6" s="927"/>
      <c r="AC6" s="927"/>
      <c r="AD6" s="927"/>
      <c r="AE6" s="927"/>
      <c r="AF6" s="927"/>
      <c r="AG6" s="927"/>
      <c r="AH6" s="927"/>
      <c r="AI6" s="927"/>
      <c r="AJ6" s="928"/>
      <c r="AK6" s="868"/>
      <c r="AL6" s="868"/>
      <c r="AM6" s="868"/>
      <c r="AN6" s="868"/>
      <c r="AO6" s="868"/>
      <c r="AP6" s="868"/>
      <c r="AQ6" s="868"/>
      <c r="AR6" s="868"/>
      <c r="AT6" s="912">
        <v>4</v>
      </c>
      <c r="AU6" s="929" t="str">
        <f>'7tm Kidz PM r1'!L180</f>
        <v>SC Midlands KP Black</v>
      </c>
      <c r="AV6" s="913" t="str">
        <f>'7tm Kidz PM r1'!R180</f>
        <v>fj1scmid1pm</v>
      </c>
      <c r="AW6" s="895">
        <f>VLOOKUP(AV6,'7tm Kidz PM r1'!$AV$3:$AX$9,3,FALSE)</f>
        <v>1205.1953108001799</v>
      </c>
      <c r="AX6" s="914">
        <f t="shared" si="0"/>
        <v>1199.3436780073632</v>
      </c>
      <c r="AY6" s="897">
        <f t="shared" si="1"/>
        <v>1199.3436780073632</v>
      </c>
    </row>
    <row r="7" spans="1:53" ht="27" customHeight="1" thickBot="1" x14ac:dyDescent="0.25">
      <c r="A7" s="930" t="s">
        <v>38</v>
      </c>
      <c r="B7" s="902" t="s">
        <v>10</v>
      </c>
      <c r="C7" s="931"/>
      <c r="D7" s="931"/>
      <c r="E7" s="931"/>
      <c r="F7" s="931"/>
      <c r="G7" s="931"/>
      <c r="H7" s="931"/>
      <c r="I7" s="931"/>
      <c r="J7" s="931"/>
      <c r="K7" s="931"/>
      <c r="L7" s="931"/>
      <c r="M7" s="902" t="str">
        <f>IF($AL10=0,"Games Won","Matches Won")</f>
        <v>Matches Won</v>
      </c>
      <c r="N7" s="931"/>
      <c r="O7" s="931"/>
      <c r="P7" s="931"/>
      <c r="Q7" s="931"/>
      <c r="R7" s="932"/>
      <c r="S7" s="902" t="str">
        <f>IF($AL10=0,"Games Lost","Matches Lost")</f>
        <v>Matches Lost</v>
      </c>
      <c r="T7" s="933"/>
      <c r="U7" s="933"/>
      <c r="V7" s="933"/>
      <c r="W7" s="934"/>
      <c r="X7" s="935" t="s">
        <v>39</v>
      </c>
      <c r="Y7" s="936"/>
      <c r="Z7" s="937"/>
      <c r="AA7" s="935" t="s">
        <v>40</v>
      </c>
      <c r="AB7" s="936"/>
      <c r="AC7" s="937"/>
      <c r="AD7" s="938" t="s">
        <v>41</v>
      </c>
      <c r="AE7" s="939"/>
      <c r="AF7" s="940"/>
      <c r="AG7" s="941" t="s">
        <v>42</v>
      </c>
      <c r="AH7" s="942" t="s">
        <v>9</v>
      </c>
      <c r="AI7" s="943" t="s">
        <v>43</v>
      </c>
      <c r="AJ7" s="944"/>
      <c r="AK7" s="945"/>
      <c r="AL7" s="946">
        <v>1</v>
      </c>
      <c r="AM7" s="947" t="s">
        <v>44</v>
      </c>
      <c r="AN7" s="947"/>
      <c r="AO7" s="947"/>
      <c r="AP7" s="947"/>
      <c r="AQ7" s="947"/>
      <c r="AR7" s="947"/>
      <c r="AS7" s="948"/>
      <c r="AT7" s="912">
        <v>5</v>
      </c>
      <c r="AU7" s="929" t="str">
        <f>'7tm Kidz PM r1'!B180</f>
        <v>Intense Kids power Gvl</v>
      </c>
      <c r="AV7" s="913" t="str">
        <f>'7tm Kidz PM r1'!H180</f>
        <v>fj2inten2pm</v>
      </c>
      <c r="AW7" s="895">
        <f>VLOOKUP(AV7,'7tm Kidz PM r1'!$AV$3:$AX$9,3,FALSE)</f>
        <v>1274.3440224645769</v>
      </c>
      <c r="AX7" s="914">
        <f t="shared" si="0"/>
        <v>1293.6267294435881</v>
      </c>
      <c r="AY7" s="897">
        <f t="shared" si="1"/>
        <v>1293.6267294435881</v>
      </c>
    </row>
    <row r="8" spans="1:53" ht="18.75" customHeight="1" x14ac:dyDescent="0.2">
      <c r="A8" s="949" t="str">
        <f>IF($AL9&gt;0,"1","")</f>
        <v>1</v>
      </c>
      <c r="B8" s="950" t="s">
        <v>10</v>
      </c>
      <c r="C8" s="951"/>
      <c r="D8" s="952"/>
      <c r="E8" s="953" t="str">
        <f>AU3</f>
        <v>SC Midlands KP Garnet</v>
      </c>
      <c r="F8" s="954"/>
      <c r="G8" s="954"/>
      <c r="H8" s="954"/>
      <c r="I8" s="954"/>
      <c r="J8" s="954"/>
      <c r="K8" s="954"/>
      <c r="L8" s="955"/>
      <c r="M8" s="956">
        <f>IF($AL10=0,AG64,AG46)</f>
        <v>2</v>
      </c>
      <c r="N8" s="957"/>
      <c r="O8" s="957"/>
      <c r="P8" s="957"/>
      <c r="Q8" s="957"/>
      <c r="R8" s="932"/>
      <c r="S8" s="956">
        <f>IF($AL10=0,AH64,AH46)</f>
        <v>1</v>
      </c>
      <c r="T8" s="957"/>
      <c r="U8" s="957"/>
      <c r="V8" s="957"/>
      <c r="W8" s="957"/>
      <c r="X8" s="956">
        <f>AR24</f>
        <v>2</v>
      </c>
      <c r="Y8" s="957"/>
      <c r="Z8" s="957"/>
      <c r="AA8" s="958">
        <f>IF(AG58&gt;0,(AR24/AG58),0)</f>
        <v>2.247191011235955E-2</v>
      </c>
      <c r="AB8" s="959"/>
      <c r="AC8" s="959"/>
      <c r="AD8" s="960">
        <f>IF(AG72=0,0,(AG64/AG72))</f>
        <v>0.66666666666666663</v>
      </c>
      <c r="AE8" s="961"/>
      <c r="AF8" s="962"/>
      <c r="AG8" s="963">
        <v>2</v>
      </c>
      <c r="AH8" s="963">
        <v>1</v>
      </c>
      <c r="AI8" s="964"/>
      <c r="AJ8" s="965"/>
      <c r="AK8" s="945"/>
      <c r="AL8" s="946">
        <v>6</v>
      </c>
      <c r="AM8" s="947" t="s">
        <v>47</v>
      </c>
      <c r="AN8" s="947"/>
      <c r="AO8" s="947"/>
      <c r="AP8" s="947"/>
      <c r="AQ8" s="947"/>
      <c r="AR8" s="947"/>
      <c r="AS8" s="948"/>
      <c r="AT8" s="912">
        <v>6</v>
      </c>
      <c r="AU8" s="929" t="str">
        <f>'7tm Kidz PM r1'!AF179</f>
        <v>Foothills Skylar</v>
      </c>
      <c r="AV8" s="913" t="str">
        <f>'7tm Kidz PM r1'!AL179</f>
        <v>fj2footh3pm</v>
      </c>
      <c r="AW8" s="895">
        <f>VLOOKUP(AV8,'7tm Kidz PM r1'!$AV$3:$AX$9,3,FALSE)</f>
        <v>1114.3349186624</v>
      </c>
      <c r="AX8" s="914">
        <f t="shared" si="0"/>
        <v>1121.134561842277</v>
      </c>
      <c r="AY8" s="897">
        <f t="shared" si="1"/>
        <v>1121.134561842277</v>
      </c>
    </row>
    <row r="9" spans="1:53" ht="18.75" customHeight="1" thickBot="1" x14ac:dyDescent="0.25">
      <c r="A9" s="966"/>
      <c r="B9" s="967" t="s">
        <v>11</v>
      </c>
      <c r="C9" s="968"/>
      <c r="D9" s="969"/>
      <c r="E9" s="970" t="str">
        <f>AV3</f>
        <v>fj1scmid2pm</v>
      </c>
      <c r="F9" s="971"/>
      <c r="G9" s="971"/>
      <c r="H9" s="971"/>
      <c r="I9" s="971"/>
      <c r="J9" s="971"/>
      <c r="K9" s="971"/>
      <c r="L9" s="971"/>
      <c r="M9" s="972"/>
      <c r="N9" s="973"/>
      <c r="O9" s="973"/>
      <c r="P9" s="973"/>
      <c r="Q9" s="973"/>
      <c r="R9" s="932"/>
      <c r="S9" s="972"/>
      <c r="T9" s="973"/>
      <c r="U9" s="973"/>
      <c r="V9" s="973"/>
      <c r="W9" s="973"/>
      <c r="X9" s="972"/>
      <c r="Y9" s="973"/>
      <c r="Z9" s="973"/>
      <c r="AA9" s="974"/>
      <c r="AB9" s="975"/>
      <c r="AC9" s="975"/>
      <c r="AD9" s="976"/>
      <c r="AE9" s="977"/>
      <c r="AF9" s="978"/>
      <c r="AG9" s="979"/>
      <c r="AH9" s="979"/>
      <c r="AI9" s="980"/>
      <c r="AJ9" s="981"/>
      <c r="AK9" s="945"/>
      <c r="AL9" s="946">
        <v>4</v>
      </c>
      <c r="AM9" s="947" t="s">
        <v>50</v>
      </c>
      <c r="AN9" s="945"/>
      <c r="AO9" s="945"/>
      <c r="AP9" s="945"/>
      <c r="AQ9" s="945"/>
      <c r="AR9" s="945"/>
      <c r="AS9" s="845"/>
      <c r="AT9" s="912">
        <v>7</v>
      </c>
      <c r="AU9" s="929" t="str">
        <f>'7tm Kidz PM r1'!L179</f>
        <v>Kershaw Dev 12 Black</v>
      </c>
      <c r="AV9" s="913" t="str">
        <f>'7tm Kidz PM r1'!R179</f>
        <v>fj2kersh4pm</v>
      </c>
      <c r="AW9" s="895">
        <f>VLOOKUP(AV9,'7tm Kidz PM r1'!$AV$3:$AX$9,3,FALSE)</f>
        <v>1212.6846745768064</v>
      </c>
      <c r="AX9" s="914">
        <f t="shared" si="0"/>
        <v>1190.8699600920074</v>
      </c>
      <c r="AY9" s="897">
        <f t="shared" si="1"/>
        <v>1190.8699600920074</v>
      </c>
    </row>
    <row r="10" spans="1:53" ht="18.75" customHeight="1" x14ac:dyDescent="0.2">
      <c r="A10" s="949" t="str">
        <f>IF($AL9&gt;1,"2","")</f>
        <v>2</v>
      </c>
      <c r="B10" s="950" t="s">
        <v>10</v>
      </c>
      <c r="C10" s="951"/>
      <c r="D10" s="952"/>
      <c r="E10" s="953" t="str">
        <f>AU6</f>
        <v>SC Midlands KP Black</v>
      </c>
      <c r="F10" s="954"/>
      <c r="G10" s="954"/>
      <c r="H10" s="954"/>
      <c r="I10" s="954"/>
      <c r="J10" s="954"/>
      <c r="K10" s="954"/>
      <c r="L10" s="955"/>
      <c r="M10" s="956">
        <f>IF($AL10=0,AG65,AG47)</f>
        <v>1</v>
      </c>
      <c r="N10" s="957"/>
      <c r="O10" s="957"/>
      <c r="P10" s="957"/>
      <c r="Q10" s="957"/>
      <c r="R10" s="932"/>
      <c r="S10" s="956">
        <f>IF($AL10=0,AH65,AH47)</f>
        <v>2</v>
      </c>
      <c r="T10" s="957"/>
      <c r="U10" s="957"/>
      <c r="V10" s="957"/>
      <c r="W10" s="957"/>
      <c r="X10" s="956">
        <f>AR25</f>
        <v>4</v>
      </c>
      <c r="Y10" s="957"/>
      <c r="Z10" s="957"/>
      <c r="AA10" s="958">
        <f>IF(AG59&gt;0,(AR25/AG59),0)</f>
        <v>4.3956043956043959E-2</v>
      </c>
      <c r="AB10" s="959"/>
      <c r="AC10" s="959"/>
      <c r="AD10" s="960">
        <f>IF(AG73=0,0,(AG65/AG73))</f>
        <v>0.33333333333333331</v>
      </c>
      <c r="AE10" s="961"/>
      <c r="AF10" s="962"/>
      <c r="AG10" s="963">
        <v>3</v>
      </c>
      <c r="AH10" s="963">
        <v>1</v>
      </c>
      <c r="AI10" s="964"/>
      <c r="AJ10" s="965"/>
      <c r="AK10" s="945"/>
      <c r="AL10" s="946">
        <v>1</v>
      </c>
      <c r="AM10" s="947" t="s">
        <v>53</v>
      </c>
      <c r="AN10" s="947"/>
      <c r="AO10" s="947"/>
      <c r="AP10" s="947"/>
      <c r="AQ10" s="947"/>
      <c r="AR10" s="947"/>
      <c r="AS10" s="948"/>
      <c r="AT10" s="982"/>
      <c r="AU10" s="983"/>
      <c r="AV10" s="984"/>
      <c r="AW10" s="985"/>
      <c r="AX10" s="986"/>
      <c r="AY10" s="987"/>
    </row>
    <row r="11" spans="1:53" ht="18.75" customHeight="1" thickBot="1" x14ac:dyDescent="0.25">
      <c r="A11" s="966"/>
      <c r="B11" s="988" t="s">
        <v>11</v>
      </c>
      <c r="C11" s="989"/>
      <c r="D11" s="989"/>
      <c r="E11" s="970" t="str">
        <f>AV6</f>
        <v>fj1scmid1pm</v>
      </c>
      <c r="F11" s="971"/>
      <c r="G11" s="971"/>
      <c r="H11" s="971"/>
      <c r="I11" s="971"/>
      <c r="J11" s="971"/>
      <c r="K11" s="971"/>
      <c r="L11" s="971"/>
      <c r="M11" s="972"/>
      <c r="N11" s="973"/>
      <c r="O11" s="973"/>
      <c r="P11" s="973"/>
      <c r="Q11" s="973"/>
      <c r="R11" s="932"/>
      <c r="S11" s="972"/>
      <c r="T11" s="973"/>
      <c r="U11" s="973"/>
      <c r="V11" s="973"/>
      <c r="W11" s="973"/>
      <c r="X11" s="972"/>
      <c r="Y11" s="973"/>
      <c r="Z11" s="973"/>
      <c r="AA11" s="974"/>
      <c r="AB11" s="975"/>
      <c r="AC11" s="975"/>
      <c r="AD11" s="976"/>
      <c r="AE11" s="977"/>
      <c r="AF11" s="978"/>
      <c r="AG11" s="979"/>
      <c r="AH11" s="979"/>
      <c r="AI11" s="980"/>
      <c r="AJ11" s="981"/>
      <c r="AK11" s="945"/>
      <c r="AL11" s="946">
        <v>1</v>
      </c>
      <c r="AM11" s="947" t="s">
        <v>56</v>
      </c>
      <c r="AN11" s="945"/>
      <c r="AO11" s="945"/>
      <c r="AP11" s="945"/>
      <c r="AQ11" s="945"/>
      <c r="AR11" s="945"/>
      <c r="AS11" s="845"/>
      <c r="AT11" s="982"/>
      <c r="AU11" s="983"/>
      <c r="AV11" s="984"/>
      <c r="AW11" s="985"/>
      <c r="AX11" s="986"/>
      <c r="AY11" s="987"/>
    </row>
    <row r="12" spans="1:53" ht="18.75" customHeight="1" thickBot="1" x14ac:dyDescent="0.25">
      <c r="A12" s="949" t="str">
        <f>IF($AL9&gt;2,"3","")</f>
        <v>3</v>
      </c>
      <c r="B12" s="990" t="s">
        <v>10</v>
      </c>
      <c r="C12" s="991"/>
      <c r="D12" s="991"/>
      <c r="E12" s="953" t="str">
        <f>AU7</f>
        <v>Intense Kids power Gvl</v>
      </c>
      <c r="F12" s="954"/>
      <c r="G12" s="954"/>
      <c r="H12" s="954"/>
      <c r="I12" s="954"/>
      <c r="J12" s="954"/>
      <c r="K12" s="954"/>
      <c r="L12" s="955"/>
      <c r="M12" s="956">
        <f>IF($AL10=0,AG66,AG48)</f>
        <v>3</v>
      </c>
      <c r="N12" s="957"/>
      <c r="O12" s="957"/>
      <c r="P12" s="957"/>
      <c r="Q12" s="957"/>
      <c r="R12" s="932"/>
      <c r="S12" s="956">
        <f>IF($AL10=0,AH66,AH48)</f>
        <v>0</v>
      </c>
      <c r="T12" s="957"/>
      <c r="U12" s="957"/>
      <c r="V12" s="957"/>
      <c r="W12" s="957"/>
      <c r="X12" s="956">
        <f>AR26</f>
        <v>31</v>
      </c>
      <c r="Y12" s="957"/>
      <c r="Z12" s="957"/>
      <c r="AA12" s="958">
        <f>IF(AG60&gt;0,(AR26/AG60),0)</f>
        <v>0.31</v>
      </c>
      <c r="AB12" s="959"/>
      <c r="AC12" s="959"/>
      <c r="AD12" s="960">
        <f>IF(AG74=0,0,(AG66/AG74))</f>
        <v>1</v>
      </c>
      <c r="AE12" s="961"/>
      <c r="AF12" s="962"/>
      <c r="AG12" s="963">
        <v>1</v>
      </c>
      <c r="AH12" s="963">
        <v>1</v>
      </c>
      <c r="AI12" s="964"/>
      <c r="AJ12" s="965"/>
      <c r="AK12" s="992"/>
      <c r="AL12" s="946">
        <v>3</v>
      </c>
      <c r="AM12" s="993" t="s">
        <v>59</v>
      </c>
      <c r="AN12" s="947"/>
      <c r="AO12" s="947"/>
      <c r="AP12" s="947"/>
      <c r="AQ12" s="947"/>
      <c r="AR12" s="947"/>
      <c r="AS12" s="948"/>
      <c r="AT12" s="994"/>
      <c r="AU12" s="995"/>
      <c r="AV12" s="996"/>
      <c r="AW12" s="997"/>
      <c r="AX12" s="998"/>
      <c r="AY12" s="999"/>
    </row>
    <row r="13" spans="1:53" ht="18.75" customHeight="1" thickBot="1" x14ac:dyDescent="0.25">
      <c r="A13" s="966"/>
      <c r="B13" s="988" t="s">
        <v>11</v>
      </c>
      <c r="C13" s="989"/>
      <c r="D13" s="989"/>
      <c r="E13" s="970" t="str">
        <f>AV7</f>
        <v>fj2inten2pm</v>
      </c>
      <c r="F13" s="971"/>
      <c r="G13" s="971"/>
      <c r="H13" s="971"/>
      <c r="I13" s="971"/>
      <c r="J13" s="971"/>
      <c r="K13" s="971"/>
      <c r="L13" s="971"/>
      <c r="M13" s="972"/>
      <c r="N13" s="973"/>
      <c r="O13" s="973"/>
      <c r="P13" s="973"/>
      <c r="Q13" s="973"/>
      <c r="R13" s="932"/>
      <c r="S13" s="972"/>
      <c r="T13" s="973"/>
      <c r="U13" s="973"/>
      <c r="V13" s="973"/>
      <c r="W13" s="973"/>
      <c r="X13" s="972"/>
      <c r="Y13" s="973"/>
      <c r="Z13" s="973"/>
      <c r="AA13" s="974"/>
      <c r="AB13" s="975"/>
      <c r="AC13" s="975"/>
      <c r="AD13" s="976"/>
      <c r="AE13" s="977"/>
      <c r="AF13" s="978"/>
      <c r="AG13" s="979"/>
      <c r="AH13" s="979"/>
      <c r="AI13" s="980"/>
      <c r="AJ13" s="981"/>
      <c r="AK13" s="992"/>
      <c r="AL13" s="1000"/>
      <c r="AM13" s="1001"/>
      <c r="AN13" s="1001"/>
      <c r="AO13" s="1001"/>
      <c r="AP13" s="1001"/>
      <c r="AQ13" s="1001"/>
      <c r="AR13" s="945"/>
      <c r="AS13" s="845"/>
      <c r="AT13" s="1002" t="s">
        <v>62</v>
      </c>
      <c r="AU13" s="1003"/>
      <c r="AV13" s="1003"/>
      <c r="AW13" s="1003"/>
      <c r="AX13" s="1003"/>
      <c r="AY13" s="1004"/>
    </row>
    <row r="14" spans="1:53" ht="18.75" customHeight="1" thickBot="1" x14ac:dyDescent="0.25">
      <c r="A14" s="949" t="str">
        <f>IF($AL9&gt;3,"4","")</f>
        <v>4</v>
      </c>
      <c r="B14" s="990" t="s">
        <v>10</v>
      </c>
      <c r="C14" s="991"/>
      <c r="D14" s="991"/>
      <c r="E14" s="953" t="str">
        <f>AU9</f>
        <v>Kershaw Dev 12 Black</v>
      </c>
      <c r="F14" s="954"/>
      <c r="G14" s="954"/>
      <c r="H14" s="954"/>
      <c r="I14" s="954"/>
      <c r="J14" s="954"/>
      <c r="K14" s="954"/>
      <c r="L14" s="955"/>
      <c r="M14" s="956">
        <f>IF($AL10=0,AG67,AG49)</f>
        <v>0</v>
      </c>
      <c r="N14" s="957"/>
      <c r="O14" s="957"/>
      <c r="P14" s="957"/>
      <c r="Q14" s="957"/>
      <c r="R14" s="932"/>
      <c r="S14" s="956">
        <f>IF($AL10=0,AH67,AH49)</f>
        <v>3</v>
      </c>
      <c r="T14" s="957"/>
      <c r="U14" s="957"/>
      <c r="V14" s="957"/>
      <c r="W14" s="957"/>
      <c r="X14" s="956">
        <f>AR27</f>
        <v>-37</v>
      </c>
      <c r="Y14" s="957"/>
      <c r="Z14" s="957"/>
      <c r="AA14" s="958">
        <f>IF(AG61&gt;0,(AR27/AG61),0)</f>
        <v>-0.36274509803921567</v>
      </c>
      <c r="AB14" s="959"/>
      <c r="AC14" s="959"/>
      <c r="AD14" s="960">
        <f>IF(AG75=0,0,(AG67/AG75))</f>
        <v>0</v>
      </c>
      <c r="AE14" s="961"/>
      <c r="AF14" s="962"/>
      <c r="AG14" s="963">
        <v>4</v>
      </c>
      <c r="AH14" s="963">
        <v>1</v>
      </c>
      <c r="AI14" s="964"/>
      <c r="AJ14" s="965"/>
      <c r="AK14" s="868"/>
      <c r="AL14" s="1001"/>
      <c r="AM14" s="1001"/>
      <c r="AN14" s="1001"/>
      <c r="AO14" s="1001"/>
      <c r="AP14" s="1001"/>
      <c r="AQ14" s="1001"/>
      <c r="AR14" s="947"/>
      <c r="AS14" s="948"/>
      <c r="AT14" s="1005"/>
      <c r="AU14" s="1006"/>
      <c r="AV14" s="1006"/>
      <c r="AW14" s="1006"/>
      <c r="AX14" s="1006"/>
      <c r="AY14" s="1007"/>
    </row>
    <row r="15" spans="1:53" ht="18.75" customHeight="1" thickBot="1" x14ac:dyDescent="0.25">
      <c r="A15" s="966"/>
      <c r="B15" s="988" t="s">
        <v>11</v>
      </c>
      <c r="C15" s="989"/>
      <c r="D15" s="989"/>
      <c r="E15" s="970" t="str">
        <f>AV9</f>
        <v>fj2kersh4pm</v>
      </c>
      <c r="F15" s="971"/>
      <c r="G15" s="971"/>
      <c r="H15" s="971"/>
      <c r="I15" s="971"/>
      <c r="J15" s="971"/>
      <c r="K15" s="971"/>
      <c r="L15" s="971"/>
      <c r="M15" s="972"/>
      <c r="N15" s="973"/>
      <c r="O15" s="973"/>
      <c r="P15" s="973"/>
      <c r="Q15" s="973"/>
      <c r="R15" s="932"/>
      <c r="S15" s="972"/>
      <c r="T15" s="973"/>
      <c r="U15" s="973"/>
      <c r="V15" s="973"/>
      <c r="W15" s="973"/>
      <c r="X15" s="972"/>
      <c r="Y15" s="973"/>
      <c r="Z15" s="973"/>
      <c r="AA15" s="974"/>
      <c r="AB15" s="975"/>
      <c r="AC15" s="975"/>
      <c r="AD15" s="976"/>
      <c r="AE15" s="977"/>
      <c r="AF15" s="978"/>
      <c r="AG15" s="979"/>
      <c r="AH15" s="979"/>
      <c r="AI15" s="980"/>
      <c r="AJ15" s="981"/>
      <c r="AK15" s="868"/>
      <c r="AL15" s="1001"/>
      <c r="AM15" s="1001"/>
      <c r="AN15" s="1001"/>
      <c r="AO15" s="1001"/>
      <c r="AP15" s="1001"/>
      <c r="AQ15" s="1001"/>
      <c r="AR15" s="868"/>
      <c r="AS15" s="845"/>
    </row>
    <row r="16" spans="1:53" ht="18.75" customHeight="1" x14ac:dyDescent="0.2">
      <c r="A16" s="949" t="str">
        <f>IF($AL9&gt;4,"5","")</f>
        <v/>
      </c>
      <c r="B16" s="990" t="s">
        <v>10</v>
      </c>
      <c r="C16" s="991"/>
      <c r="D16" s="991"/>
      <c r="E16" s="953">
        <f>AU11</f>
        <v>0</v>
      </c>
      <c r="F16" s="954"/>
      <c r="G16" s="954"/>
      <c r="H16" s="954"/>
      <c r="I16" s="954"/>
      <c r="J16" s="954"/>
      <c r="K16" s="954"/>
      <c r="L16" s="955"/>
      <c r="M16" s="956">
        <f>IF($AL10=0,AG68,AG50)</f>
        <v>0</v>
      </c>
      <c r="N16" s="957"/>
      <c r="O16" s="957"/>
      <c r="P16" s="957"/>
      <c r="Q16" s="957"/>
      <c r="R16" s="932"/>
      <c r="S16" s="956">
        <f>IF($AL10=0,AH68,AH50)</f>
        <v>0</v>
      </c>
      <c r="T16" s="957"/>
      <c r="U16" s="957"/>
      <c r="V16" s="957"/>
      <c r="W16" s="957"/>
      <c r="X16" s="956">
        <f>AR28</f>
        <v>0</v>
      </c>
      <c r="Y16" s="957"/>
      <c r="Z16" s="957"/>
      <c r="AA16" s="958">
        <f>IF(AG62&gt;0,(AR28/AG62),0)</f>
        <v>0</v>
      </c>
      <c r="AB16" s="959"/>
      <c r="AC16" s="959"/>
      <c r="AD16" s="960">
        <f>IF(AG76=0,0,(AG68/AG76))</f>
        <v>0</v>
      </c>
      <c r="AE16" s="961"/>
      <c r="AF16" s="962"/>
      <c r="AG16" s="963"/>
      <c r="AH16" s="963"/>
      <c r="AI16" s="964"/>
      <c r="AJ16" s="965"/>
      <c r="AK16" s="868"/>
      <c r="AL16" s="1001"/>
      <c r="AM16" s="1001"/>
      <c r="AN16" s="1001"/>
      <c r="AO16" s="1001"/>
      <c r="AP16" s="1001"/>
      <c r="AQ16" s="1001"/>
      <c r="AR16" s="868"/>
      <c r="AS16" s="845"/>
      <c r="AT16" s="1008"/>
      <c r="AU16" s="1008"/>
    </row>
    <row r="17" spans="1:47" ht="18.75" customHeight="1" thickBot="1" x14ac:dyDescent="0.25">
      <c r="A17" s="966"/>
      <c r="B17" s="1009" t="s">
        <v>11</v>
      </c>
      <c r="C17" s="1010"/>
      <c r="D17" s="1010"/>
      <c r="E17" s="1011">
        <f>AV11</f>
        <v>0</v>
      </c>
      <c r="F17" s="1012"/>
      <c r="G17" s="1012"/>
      <c r="H17" s="1012"/>
      <c r="I17" s="1012"/>
      <c r="J17" s="1012"/>
      <c r="K17" s="1012"/>
      <c r="L17" s="1012"/>
      <c r="M17" s="1013"/>
      <c r="N17" s="1014"/>
      <c r="O17" s="1014"/>
      <c r="P17" s="1014"/>
      <c r="Q17" s="1014"/>
      <c r="R17" s="932"/>
      <c r="S17" s="972"/>
      <c r="T17" s="973"/>
      <c r="U17" s="973"/>
      <c r="V17" s="973"/>
      <c r="W17" s="973"/>
      <c r="X17" s="972"/>
      <c r="Y17" s="973"/>
      <c r="Z17" s="973"/>
      <c r="AA17" s="974"/>
      <c r="AB17" s="975"/>
      <c r="AC17" s="975"/>
      <c r="AD17" s="976"/>
      <c r="AE17" s="977"/>
      <c r="AF17" s="978"/>
      <c r="AG17" s="979"/>
      <c r="AH17" s="1015"/>
      <c r="AI17" s="980"/>
      <c r="AJ17" s="981"/>
      <c r="AK17" s="868"/>
      <c r="AL17" s="1001"/>
      <c r="AM17" s="1001"/>
      <c r="AN17" s="1001"/>
      <c r="AO17" s="1001"/>
      <c r="AP17" s="1001"/>
      <c r="AQ17" s="1001"/>
      <c r="AR17" s="868"/>
      <c r="AS17" s="845"/>
      <c r="AT17" s="1008"/>
      <c r="AU17" s="1008"/>
    </row>
    <row r="18" spans="1:47" ht="21" customHeight="1" thickTop="1" thickBot="1" x14ac:dyDescent="0.25">
      <c r="A18" s="1016"/>
      <c r="B18" s="1017" t="s">
        <v>1128</v>
      </c>
      <c r="C18" s="1018"/>
      <c r="D18" s="1018"/>
      <c r="E18" s="1018"/>
      <c r="F18" s="1018"/>
      <c r="G18" s="1018"/>
      <c r="H18" s="1018"/>
      <c r="I18" s="1018"/>
      <c r="J18" s="1018"/>
      <c r="K18" s="1018"/>
      <c r="L18" s="1018"/>
      <c r="M18" s="1018"/>
      <c r="N18" s="1018"/>
      <c r="O18" s="1018"/>
      <c r="P18" s="1018"/>
      <c r="Q18" s="1018"/>
      <c r="R18" s="1018"/>
      <c r="S18" s="1018"/>
      <c r="T18" s="1018"/>
      <c r="U18" s="1018"/>
      <c r="V18" s="1018"/>
      <c r="W18" s="1018"/>
      <c r="X18" s="1018"/>
      <c r="Y18" s="1018"/>
      <c r="Z18" s="1018"/>
      <c r="AA18" s="1018"/>
      <c r="AB18" s="1018"/>
      <c r="AC18" s="1018"/>
      <c r="AD18" s="1018"/>
      <c r="AE18" s="1018"/>
      <c r="AF18" s="1018"/>
      <c r="AG18" s="1018"/>
      <c r="AH18" s="1018"/>
      <c r="AI18" s="1018"/>
      <c r="AJ18" s="1019"/>
      <c r="AK18" s="868"/>
      <c r="AL18" s="1001"/>
      <c r="AM18" s="1001"/>
      <c r="AN18" s="1001"/>
      <c r="AO18" s="1001"/>
      <c r="AP18" s="1001"/>
      <c r="AQ18" s="1001"/>
      <c r="AR18" s="868"/>
      <c r="AS18" s="845"/>
      <c r="AT18" s="1008"/>
      <c r="AU18" s="1008"/>
    </row>
    <row r="19" spans="1:47" ht="13.5" thickTop="1" x14ac:dyDescent="0.2">
      <c r="A19" s="846" t="s">
        <v>64</v>
      </c>
      <c r="B19" s="1020">
        <v>0.35416666666666669</v>
      </c>
      <c r="C19" s="1021"/>
      <c r="D19" s="1022"/>
      <c r="E19" s="1020">
        <v>0.39583333333333331</v>
      </c>
      <c r="F19" s="1021"/>
      <c r="G19" s="1022"/>
      <c r="H19" s="1020">
        <v>0.4375</v>
      </c>
      <c r="I19" s="1021"/>
      <c r="J19" s="1022"/>
      <c r="K19" s="1023"/>
      <c r="L19" s="1020">
        <v>0.5</v>
      </c>
      <c r="M19" s="1021"/>
      <c r="N19" s="1022"/>
      <c r="O19" s="1020">
        <v>4.1666666666666664E-2</v>
      </c>
      <c r="P19" s="1021"/>
      <c r="Q19" s="1022"/>
      <c r="R19" s="1020">
        <v>8.3333333333333329E-2</v>
      </c>
      <c r="S19" s="1021"/>
      <c r="T19" s="1022"/>
      <c r="U19" s="1020"/>
      <c r="V19" s="1021"/>
      <c r="W19" s="1022"/>
      <c r="X19" s="1020"/>
      <c r="Y19" s="1021"/>
      <c r="Z19" s="1022"/>
      <c r="AA19" s="1020"/>
      <c r="AB19" s="1021"/>
      <c r="AC19" s="1022"/>
      <c r="AD19" s="1020"/>
      <c r="AE19" s="1021"/>
      <c r="AF19" s="1022"/>
      <c r="AG19" s="1024" t="s">
        <v>65</v>
      </c>
      <c r="AH19" s="1025"/>
      <c r="AI19" s="1025"/>
      <c r="AJ19" s="1025"/>
      <c r="AK19" s="1026"/>
      <c r="AL19" s="1026"/>
      <c r="AM19" s="1026"/>
      <c r="AN19" s="1026"/>
      <c r="AO19" s="1026"/>
      <c r="AP19" s="1026"/>
      <c r="AQ19" s="1026"/>
      <c r="AR19" s="1027"/>
      <c r="AT19" s="1008"/>
      <c r="AU19" s="1008"/>
    </row>
    <row r="20" spans="1:47" x14ac:dyDescent="0.2">
      <c r="A20" s="1028" t="s">
        <v>66</v>
      </c>
      <c r="B20" s="1029"/>
      <c r="C20" s="1030"/>
      <c r="D20" s="1031"/>
      <c r="E20" s="1029"/>
      <c r="F20" s="1030"/>
      <c r="G20" s="1031"/>
      <c r="H20" s="1029"/>
      <c r="I20" s="1030"/>
      <c r="J20" s="1031"/>
      <c r="K20" s="1032"/>
      <c r="L20" s="1029"/>
      <c r="M20" s="1030"/>
      <c r="N20" s="1031"/>
      <c r="O20" s="1029"/>
      <c r="P20" s="1030"/>
      <c r="Q20" s="1031"/>
      <c r="R20" s="1029"/>
      <c r="S20" s="1030"/>
      <c r="T20" s="1031"/>
      <c r="U20" s="1029"/>
      <c r="V20" s="1030"/>
      <c r="W20" s="1031"/>
      <c r="X20" s="1029"/>
      <c r="Y20" s="1030"/>
      <c r="Z20" s="1031"/>
      <c r="AA20" s="1029"/>
      <c r="AB20" s="1030"/>
      <c r="AC20" s="1031"/>
      <c r="AD20" s="1029"/>
      <c r="AE20" s="1030"/>
      <c r="AF20" s="1031"/>
      <c r="AG20" s="1024"/>
      <c r="AH20" s="1025"/>
      <c r="AI20" s="1025"/>
      <c r="AJ20" s="1025"/>
      <c r="AK20" s="1025"/>
      <c r="AL20" s="1025"/>
      <c r="AM20" s="1025"/>
      <c r="AN20" s="1025"/>
      <c r="AO20" s="1025"/>
      <c r="AP20" s="1025"/>
      <c r="AQ20" s="1025"/>
      <c r="AR20" s="1033"/>
      <c r="AT20" s="1008"/>
      <c r="AU20" s="1008"/>
    </row>
    <row r="21" spans="1:47" x14ac:dyDescent="0.2">
      <c r="A21" s="1028" t="s">
        <v>67</v>
      </c>
      <c r="B21" s="1029"/>
      <c r="C21" s="1030"/>
      <c r="D21" s="1031"/>
      <c r="E21" s="1029"/>
      <c r="F21" s="1030"/>
      <c r="G21" s="1031"/>
      <c r="H21" s="1029"/>
      <c r="I21" s="1030"/>
      <c r="J21" s="1031"/>
      <c r="K21" s="1032"/>
      <c r="L21" s="1029"/>
      <c r="M21" s="1030"/>
      <c r="N21" s="1031"/>
      <c r="O21" s="1029"/>
      <c r="P21" s="1030"/>
      <c r="Q21" s="1031"/>
      <c r="R21" s="1029"/>
      <c r="S21" s="1030"/>
      <c r="T21" s="1031"/>
      <c r="U21" s="1029"/>
      <c r="V21" s="1030"/>
      <c r="W21" s="1031"/>
      <c r="X21" s="1029"/>
      <c r="Y21" s="1030"/>
      <c r="Z21" s="1031"/>
      <c r="AA21" s="1029"/>
      <c r="AB21" s="1030"/>
      <c r="AC21" s="1031"/>
      <c r="AD21" s="1029"/>
      <c r="AE21" s="1030"/>
      <c r="AF21" s="1031"/>
      <c r="AG21" s="1024"/>
      <c r="AH21" s="1025"/>
      <c r="AI21" s="1025"/>
      <c r="AJ21" s="1025"/>
      <c r="AK21" s="1025"/>
      <c r="AL21" s="1025"/>
      <c r="AM21" s="1025"/>
      <c r="AN21" s="1025"/>
      <c r="AO21" s="1025"/>
      <c r="AP21" s="1025"/>
      <c r="AQ21" s="1025"/>
      <c r="AR21" s="1033"/>
      <c r="AT21" s="853"/>
      <c r="AU21" s="853"/>
    </row>
    <row r="22" spans="1:47" ht="13.5" thickBot="1" x14ac:dyDescent="0.25">
      <c r="A22" s="868"/>
      <c r="B22" s="1034" t="s">
        <v>68</v>
      </c>
      <c r="C22" s="1035"/>
      <c r="D22" s="1036"/>
      <c r="E22" s="1034" t="str">
        <f>IF(AL8&gt;1,"Match 2","")</f>
        <v>Match 2</v>
      </c>
      <c r="F22" s="1035"/>
      <c r="G22" s="1036"/>
      <c r="H22" s="1034" t="str">
        <f>IF(AL8&gt;2,"Match 3","")</f>
        <v>Match 3</v>
      </c>
      <c r="I22" s="1035"/>
      <c r="J22" s="1036"/>
      <c r="K22" s="1032"/>
      <c r="L22" s="1034" t="str">
        <f>IF(AL8&gt;3,"Match 4","")</f>
        <v>Match 4</v>
      </c>
      <c r="M22" s="1035"/>
      <c r="N22" s="1036"/>
      <c r="O22" s="1034" t="str">
        <f>IF(AL8&gt;4,"Match 5","")</f>
        <v>Match 5</v>
      </c>
      <c r="P22" s="1035"/>
      <c r="Q22" s="1036"/>
      <c r="R22" s="1034" t="str">
        <f>IF(AL8&gt;5,"Match 6","")</f>
        <v>Match 6</v>
      </c>
      <c r="S22" s="1035"/>
      <c r="T22" s="1036"/>
      <c r="U22" s="1034" t="str">
        <f>IF(AL8&gt;6,"Match 7","")</f>
        <v/>
      </c>
      <c r="V22" s="1035"/>
      <c r="W22" s="1036"/>
      <c r="X22" s="1034" t="str">
        <f>IF(AL8&gt;7,"Match 8","")</f>
        <v/>
      </c>
      <c r="Y22" s="1035"/>
      <c r="Z22" s="1036"/>
      <c r="AA22" s="1034" t="str">
        <f>IF(AL8&gt;8,"Match 9","")</f>
        <v/>
      </c>
      <c r="AB22" s="1035"/>
      <c r="AC22" s="1036"/>
      <c r="AD22" s="1034" t="str">
        <f>IF(AL8&gt;9,"Match 10","")</f>
        <v/>
      </c>
      <c r="AE22" s="1035"/>
      <c r="AF22" s="1036"/>
      <c r="AG22" s="1037"/>
      <c r="AH22" s="1038"/>
      <c r="AI22" s="1038"/>
      <c r="AJ22" s="1038"/>
      <c r="AK22" s="1038"/>
      <c r="AL22" s="1038"/>
      <c r="AM22" s="1038"/>
      <c r="AN22" s="1038"/>
      <c r="AO22" s="1038"/>
      <c r="AP22" s="1038"/>
      <c r="AQ22" s="1038"/>
      <c r="AR22" s="1039"/>
      <c r="AT22" s="1008"/>
      <c r="AU22" s="1008"/>
    </row>
    <row r="23" spans="1:47" ht="15.75" x14ac:dyDescent="0.25">
      <c r="A23" s="868"/>
      <c r="B23" s="1040" t="s">
        <v>71</v>
      </c>
      <c r="C23" s="1041"/>
      <c r="D23" s="1042"/>
      <c r="E23" s="1040" t="s">
        <v>73</v>
      </c>
      <c r="F23" s="1041"/>
      <c r="G23" s="1042"/>
      <c r="H23" s="1040" t="s">
        <v>70</v>
      </c>
      <c r="I23" s="1041"/>
      <c r="J23" s="1042"/>
      <c r="K23" s="1032"/>
      <c r="L23" s="1040" t="s">
        <v>69</v>
      </c>
      <c r="M23" s="1041"/>
      <c r="N23" s="1042"/>
      <c r="O23" s="1040" t="s">
        <v>73</v>
      </c>
      <c r="P23" s="1041"/>
      <c r="Q23" s="1042"/>
      <c r="R23" s="1040" t="s">
        <v>70</v>
      </c>
      <c r="S23" s="1041"/>
      <c r="T23" s="1042"/>
      <c r="U23" s="1040"/>
      <c r="V23" s="1041"/>
      <c r="W23" s="1042"/>
      <c r="X23" s="1040"/>
      <c r="Y23" s="1041"/>
      <c r="Z23" s="1042"/>
      <c r="AA23" s="1040"/>
      <c r="AB23" s="1041"/>
      <c r="AC23" s="1042"/>
      <c r="AD23" s="1040"/>
      <c r="AE23" s="1041"/>
      <c r="AF23" s="1042"/>
      <c r="AG23" s="1043" t="s">
        <v>74</v>
      </c>
      <c r="AH23" s="1044">
        <v>1</v>
      </c>
      <c r="AI23" s="1044">
        <v>2</v>
      </c>
      <c r="AJ23" s="1044">
        <v>3</v>
      </c>
      <c r="AK23" s="1044">
        <v>4</v>
      </c>
      <c r="AL23" s="1044">
        <v>5</v>
      </c>
      <c r="AM23" s="1044">
        <v>6</v>
      </c>
      <c r="AN23" s="1044">
        <v>7</v>
      </c>
      <c r="AO23" s="1044">
        <v>8</v>
      </c>
      <c r="AP23" s="1044">
        <v>9</v>
      </c>
      <c r="AQ23" s="1044">
        <v>10</v>
      </c>
      <c r="AR23" s="1045" t="s">
        <v>75</v>
      </c>
      <c r="AT23" s="1008"/>
      <c r="AU23" s="1008"/>
    </row>
    <row r="24" spans="1:47" ht="15.75" x14ac:dyDescent="0.25">
      <c r="A24" s="868"/>
      <c r="B24" s="1046">
        <v>2</v>
      </c>
      <c r="C24" s="1047" t="s">
        <v>76</v>
      </c>
      <c r="D24" s="1048">
        <v>3</v>
      </c>
      <c r="E24" s="1046">
        <v>1</v>
      </c>
      <c r="F24" s="1047" t="str">
        <f>IF(AL8&gt;1,"v","")</f>
        <v>v</v>
      </c>
      <c r="G24" s="1048">
        <v>4</v>
      </c>
      <c r="H24" s="1046">
        <v>2</v>
      </c>
      <c r="I24" s="1047" t="str">
        <f>IF(AL8&gt;2,"v","")</f>
        <v>v</v>
      </c>
      <c r="J24" s="1048">
        <v>4</v>
      </c>
      <c r="K24" s="1032"/>
      <c r="L24" s="1046">
        <v>1</v>
      </c>
      <c r="M24" s="1047" t="str">
        <f>IF(AL8&gt;3,"v","")</f>
        <v>v</v>
      </c>
      <c r="N24" s="1048">
        <v>3</v>
      </c>
      <c r="O24" s="1046">
        <v>3</v>
      </c>
      <c r="P24" s="1047" t="str">
        <f>IF(AL8&gt;4,"v","")</f>
        <v>v</v>
      </c>
      <c r="Q24" s="1048">
        <v>4</v>
      </c>
      <c r="R24" s="1046">
        <v>1</v>
      </c>
      <c r="S24" s="1047" t="str">
        <f>IF(AL8&gt;5,"v","")</f>
        <v>v</v>
      </c>
      <c r="T24" s="1048">
        <v>2</v>
      </c>
      <c r="U24" s="1046"/>
      <c r="V24" s="1047" t="str">
        <f>IF(AL8&gt;6,"v","")</f>
        <v/>
      </c>
      <c r="W24" s="1048"/>
      <c r="X24" s="1046"/>
      <c r="Y24" s="1047" t="str">
        <f>IF(AL8&gt;7,"v","")</f>
        <v/>
      </c>
      <c r="Z24" s="1048"/>
      <c r="AA24" s="1046"/>
      <c r="AB24" s="1047" t="str">
        <f>IF(AL8&gt;8,"v","")</f>
        <v/>
      </c>
      <c r="AC24" s="1048"/>
      <c r="AD24" s="1046"/>
      <c r="AE24" s="1047" t="str">
        <f>IF(AL8&gt;9,"v","")</f>
        <v/>
      </c>
      <c r="AF24" s="1048"/>
      <c r="AG24" s="1049" t="str">
        <f>IF(AL9&gt;0,"Team 1","")</f>
        <v>Team 1</v>
      </c>
      <c r="AH24" s="1050" t="str">
        <f>IF(AL9&lt;1,"",IF(AL8&lt;1,"",IF(B24=1,B30-D30,IF(D24=1,D30-B30,""))))</f>
        <v/>
      </c>
      <c r="AI24" s="1050">
        <f>IF(AL9&lt;1,"",IF(AL8&lt;2,"",IF(E24=1,E30-G30,IF(G24=1,G30-E30,""))))</f>
        <v>9</v>
      </c>
      <c r="AJ24" s="1050" t="str">
        <f>IF(AL9&lt;1,"",IF(AL8&lt;3,"",IF(H24=1,H30-J30,IF(J24=1,J30-H30,""))))</f>
        <v/>
      </c>
      <c r="AK24" s="1050">
        <f>IF(AL9&lt;1,"",IF(AL8&lt;4,"",IF(L24=1,L30-N30,IF(N24=1,N30-L30,""))))</f>
        <v>-10</v>
      </c>
      <c r="AL24" s="1050" t="str">
        <f>IF(AL9&lt;1,"",IF(AL8&lt;5,"",IF(O24=1,O30-Q30,IF(Q24=1,Q30-O30,""))))</f>
        <v/>
      </c>
      <c r="AM24" s="1050">
        <f>IF(AL9&lt;1,"",IF(AL8&lt;6,"",IF(R24=1,R30-T30,IF(T24=1,T30-R30,""))))</f>
        <v>3</v>
      </c>
      <c r="AN24" s="1050" t="str">
        <f>IF(AL9&lt;1,"",IF(AL8&lt;7,"",IF(U24=1,U30-W30,IF(W24=1,W30-U30,""))))</f>
        <v/>
      </c>
      <c r="AO24" s="1050" t="str">
        <f>IF(AL9&lt;1,"",IF(AL8&lt;8,"",IF(X24=1,X30-Z30,IF(Z24=1,Z30-X30,""))))</f>
        <v/>
      </c>
      <c r="AP24" s="1050" t="str">
        <f>IF(AL9&lt;1,"",IF(AL8&lt;9,"",IF(AA24=1,AA30-AC30,IF(AC24=1,AC30-AA30,""))))</f>
        <v/>
      </c>
      <c r="AQ24" s="1050" t="str">
        <f>IF(AL9&lt;1,"",IF(AL8&lt;10,"",IF(AD24=1,AD30-AF30,IF(AF24=1,AF30-AD30,""))))</f>
        <v/>
      </c>
      <c r="AR24" s="1045">
        <f>SUM(AH24:AQ24)</f>
        <v>2</v>
      </c>
      <c r="AT24" s="1008"/>
      <c r="AU24" s="1008"/>
    </row>
    <row r="25" spans="1:47" ht="15" x14ac:dyDescent="0.2">
      <c r="A25" s="846" t="s">
        <v>77</v>
      </c>
      <c r="B25" s="1051">
        <v>25</v>
      </c>
      <c r="C25" s="1052" t="s">
        <v>78</v>
      </c>
      <c r="D25" s="1053">
        <v>31</v>
      </c>
      <c r="E25" s="1051">
        <v>31</v>
      </c>
      <c r="F25" s="1052" t="str">
        <f>IF(AL8&gt;1,"/","")</f>
        <v>/</v>
      </c>
      <c r="G25" s="1053">
        <v>22</v>
      </c>
      <c r="H25" s="1051">
        <v>34</v>
      </c>
      <c r="I25" s="1052" t="str">
        <f>IF(AL8&gt;2,"/","")</f>
        <v>/</v>
      </c>
      <c r="J25" s="1053">
        <v>21</v>
      </c>
      <c r="K25" s="1032"/>
      <c r="L25" s="1051">
        <v>22</v>
      </c>
      <c r="M25" s="1052" t="str">
        <f>IF(AL8&gt;3,"/","")</f>
        <v>/</v>
      </c>
      <c r="N25" s="1053">
        <v>32</v>
      </c>
      <c r="O25" s="1051">
        <v>37</v>
      </c>
      <c r="P25" s="1052" t="str">
        <f>IF(AL8&gt;4,"/","")</f>
        <v>/</v>
      </c>
      <c r="Q25" s="1053">
        <v>22</v>
      </c>
      <c r="R25" s="1051">
        <v>26</v>
      </c>
      <c r="S25" s="1052" t="str">
        <f>IF(AL8&gt;5,"/","")</f>
        <v>/</v>
      </c>
      <c r="T25" s="1053">
        <v>23</v>
      </c>
      <c r="U25" s="1051"/>
      <c r="V25" s="1052" t="str">
        <f>IF(AL8&gt;6,"/","")</f>
        <v/>
      </c>
      <c r="W25" s="1053"/>
      <c r="X25" s="1051"/>
      <c r="Y25" s="1052" t="str">
        <f>IF(AL8&gt;7,"/","")</f>
        <v/>
      </c>
      <c r="Z25" s="1053"/>
      <c r="AA25" s="1051"/>
      <c r="AB25" s="1052" t="str">
        <f>IF(AL8&gt;8,"/","")</f>
        <v/>
      </c>
      <c r="AC25" s="1053"/>
      <c r="AD25" s="1051"/>
      <c r="AE25" s="1052" t="str">
        <f>IF(AL8&gt;9,"/","")</f>
        <v/>
      </c>
      <c r="AF25" s="1053"/>
      <c r="AG25" s="1049" t="str">
        <f>IF(AL9&gt;1,"Team 2","")</f>
        <v>Team 2</v>
      </c>
      <c r="AH25" s="1050">
        <f>IF(AL9&lt;2,"",IF(AL8&lt;1,"",IF(B24=2,B30-D30,IF(D24=2,D30-B30,""))))</f>
        <v>-6</v>
      </c>
      <c r="AI25" s="1050" t="str">
        <f>IF(AL9&lt;2,"",IF(AL8&lt;2,"",IF(E24=2,E30-G30,IF(G24=2,G30-E30,""))))</f>
        <v/>
      </c>
      <c r="AJ25" s="1050">
        <f>IF(AL9&lt;2,"",IF(AL8&lt;3,"",IF(H24=2,H30-J30,IF(J24=2,J30-H30,""))))</f>
        <v>13</v>
      </c>
      <c r="AK25" s="1050" t="str">
        <f>IF(AL9&lt;2,"",IF(AL8&lt;4,"",IF(L24=2,L30-N30,IF(N24=2,N30-L30,""))))</f>
        <v/>
      </c>
      <c r="AL25" s="1050" t="str">
        <f>IF(AL9&lt;2,"",IF(AL8&lt;5,"",IF(O24=2,O30-Q30,IF(Q24=2,Q30-O30,""))))</f>
        <v/>
      </c>
      <c r="AM25" s="1050">
        <f>IF(AL9&lt;2,"",IF(AL8&lt;6,"",IF(R24=2,R30-T30,IF(T24=2,T30-R30,""))))</f>
        <v>-3</v>
      </c>
      <c r="AN25" s="1050" t="str">
        <f>IF(AL9&lt;2,"",IF(AL8&lt;7,"",IF(U24=2,U30-W30,IF(W24=2,W30-U30,""))))</f>
        <v/>
      </c>
      <c r="AO25" s="1050" t="str">
        <f>IF(AL9&lt;2,"",IF(AL8&lt;8,"",IF(X24=2,X30-Z30,IF(Z24=2,Z30-X30,""))))</f>
        <v/>
      </c>
      <c r="AP25" s="1050" t="str">
        <f>IF(AL9&lt;2,"",IF(AL8&lt;9,"",IF(AA24=2,AA30-AC30,IF(AC24=2,AC30-AA30,""))))</f>
        <v/>
      </c>
      <c r="AQ25" s="1050" t="str">
        <f>IF(AL9&lt;2,"",IF(AL8&lt;10,"",IF(AD24=2,AD30-AF30,IF(AF24=2,AF30-AD30,""))))</f>
        <v/>
      </c>
      <c r="AR25" s="1045">
        <f>SUM(AH25:AQ25)</f>
        <v>4</v>
      </c>
    </row>
    <row r="26" spans="1:47" ht="15" x14ac:dyDescent="0.2">
      <c r="A26" s="845" t="str">
        <f>IF(AL7&gt;1,"Game 2","")</f>
        <v/>
      </c>
      <c r="B26" s="1051"/>
      <c r="C26" s="1052" t="s">
        <v>78</v>
      </c>
      <c r="D26" s="1053"/>
      <c r="E26" s="1051"/>
      <c r="F26" s="1052" t="str">
        <f>IF(AL8&gt;1,IF(AL7&gt;1,"/",""),"")</f>
        <v/>
      </c>
      <c r="G26" s="1053"/>
      <c r="H26" s="1051"/>
      <c r="I26" s="1052" t="str">
        <f>IF(AL8&gt;2,IF(AL7&gt;1,"/",""),"")</f>
        <v/>
      </c>
      <c r="J26" s="1053"/>
      <c r="K26" s="1032"/>
      <c r="L26" s="1051"/>
      <c r="M26" s="1052" t="str">
        <f>IF(AL8&gt;3,IF(AL7&gt;1,"/",""),"")</f>
        <v/>
      </c>
      <c r="N26" s="1053"/>
      <c r="O26" s="1051"/>
      <c r="P26" s="1052" t="str">
        <f>IF(AL8&gt;4,IF(AL7&gt;1,"/",""),"")</f>
        <v/>
      </c>
      <c r="Q26" s="1053"/>
      <c r="R26" s="1051"/>
      <c r="S26" s="1052" t="str">
        <f>IF(AL8&gt;5,IF(AL7&gt;1,"/",""),"")</f>
        <v/>
      </c>
      <c r="T26" s="1053"/>
      <c r="U26" s="1051"/>
      <c r="V26" s="1052" t="str">
        <f>IF(AL8&gt;6,IF(AL7&gt;1,"/",""),"")</f>
        <v/>
      </c>
      <c r="W26" s="1053"/>
      <c r="X26" s="1051"/>
      <c r="Y26" s="1052" t="str">
        <f>IF(AL8&gt;7,IF(AL7&gt;1,"/",""),"")</f>
        <v/>
      </c>
      <c r="Z26" s="1053"/>
      <c r="AA26" s="1051"/>
      <c r="AB26" s="1052" t="str">
        <f>IF(AL8&gt;8,IF(AL7&gt;1,"/",""),"")</f>
        <v/>
      </c>
      <c r="AC26" s="1053"/>
      <c r="AD26" s="1051"/>
      <c r="AE26" s="1052" t="str">
        <f>IF(AL8&gt;9,IF(AL7&gt;1,"/",""),"")</f>
        <v/>
      </c>
      <c r="AF26" s="1053"/>
      <c r="AG26" s="1049" t="str">
        <f>IF(AL9&gt;2,"Team 3","")</f>
        <v>Team 3</v>
      </c>
      <c r="AH26" s="1050">
        <f>IF(AL9&lt;3,"",IF(AL8&lt;1,"",IF(B24=3,B30-D30,IF(D24=3,D30-B30,""))))</f>
        <v>6</v>
      </c>
      <c r="AI26" s="1050" t="str">
        <f>IF(AL9&lt;3,"",IF(AL8&lt;2,"",IF(E24=3,E30-G30,IF(G24=3,G30-E30,""))))</f>
        <v/>
      </c>
      <c r="AJ26" s="1050" t="str">
        <f>IF(AL9&lt;3,"",IF(AL8&lt;3,"",IF(H24=3,H30-J30,IF(J24=3,J30-H30,""))))</f>
        <v/>
      </c>
      <c r="AK26" s="1050">
        <f>IF(AL9&lt;3,"",IF(AL8&lt;4,"",IF(L24=3,L30-N30,IF(N24=3,N30-L30,""))))</f>
        <v>10</v>
      </c>
      <c r="AL26" s="1050">
        <f>IF(AL9&lt;3,"",IF(AL8&lt;5,"",IF(O24=3,O30-Q30,IF(Q24=3,Q30-O30,""))))</f>
        <v>15</v>
      </c>
      <c r="AM26" s="1050" t="str">
        <f>IF(AL9&lt;3,"",IF(AL8&lt;6,"",IF(R24=3,R30-T30,IF(T24=3,T30-R30,""))))</f>
        <v/>
      </c>
      <c r="AN26" s="1050" t="str">
        <f>IF(AL9&lt;3,"",IF(AL8&lt;7,"",IF(U24=3,U30-W30,IF(W24=3,W30-U30,""))))</f>
        <v/>
      </c>
      <c r="AO26" s="1050" t="str">
        <f>IF(AL9&lt;3,"",IF(AL8&lt;8,"",IF(X24=3,X30-Z30,IF(Z24=3,Z30-X30,""))))</f>
        <v/>
      </c>
      <c r="AP26" s="1050" t="str">
        <f>IF(AL9&lt;3,"",IF(AL8&lt;9,"",IF(AA24=3,AA30-AC30,IF(AC24=3,AC30-AA30,""))))</f>
        <v/>
      </c>
      <c r="AQ26" s="1050" t="str">
        <f>IF(AL9&lt;3,"",IF(AL8&lt;9,"",IF(AD24=3,AD30-AF30,IF(AF24=3,AF30-AD30,""))))</f>
        <v/>
      </c>
      <c r="AR26" s="1045">
        <f>SUM(AH26:AQ26)</f>
        <v>31</v>
      </c>
    </row>
    <row r="27" spans="1:47" ht="15" x14ac:dyDescent="0.2">
      <c r="A27" s="845" t="str">
        <f>IF(AL7&gt;2,"Game 3","")</f>
        <v/>
      </c>
      <c r="B27" s="1051"/>
      <c r="C27" s="1052" t="s">
        <v>78</v>
      </c>
      <c r="D27" s="1053"/>
      <c r="E27" s="1051"/>
      <c r="F27" s="1052" t="str">
        <f>IF(AL8&gt;1,IF(AL7&gt;2,"/",""),"")</f>
        <v/>
      </c>
      <c r="G27" s="1053"/>
      <c r="H27" s="1051"/>
      <c r="I27" s="1052" t="str">
        <f>IF(AL8&gt;2,IF(AL7&gt;2,"/",""),"")</f>
        <v/>
      </c>
      <c r="J27" s="1053"/>
      <c r="K27" s="1032"/>
      <c r="L27" s="1051"/>
      <c r="M27" s="1052" t="str">
        <f>IF(AL8&gt;3,IF(AL7&gt;2,"/",""),"")</f>
        <v/>
      </c>
      <c r="N27" s="1053"/>
      <c r="O27" s="1051"/>
      <c r="P27" s="1052" t="str">
        <f>IF(AL8&gt;4,IF(AL7&gt;2,"/",""),"")</f>
        <v/>
      </c>
      <c r="Q27" s="1053"/>
      <c r="R27" s="1051"/>
      <c r="S27" s="1052" t="str">
        <f>IF(AL8&gt;5,IF(AL7&gt;2,"/",""),"")</f>
        <v/>
      </c>
      <c r="T27" s="1053"/>
      <c r="U27" s="1051"/>
      <c r="V27" s="1052" t="str">
        <f>IF(AL8&gt;6,IF(AL7&gt;2,"/",""),"")</f>
        <v/>
      </c>
      <c r="W27" s="1053"/>
      <c r="X27" s="1051"/>
      <c r="Y27" s="1052" t="str">
        <f>IF(AL8&gt;7,IF(AL7&gt;2,"/",""),"")</f>
        <v/>
      </c>
      <c r="Z27" s="1053"/>
      <c r="AA27" s="1051"/>
      <c r="AB27" s="1052" t="str">
        <f>IF(AL8&gt;8,IF(AL7&gt;2,"/",""),"")</f>
        <v/>
      </c>
      <c r="AC27" s="1053"/>
      <c r="AD27" s="1051"/>
      <c r="AE27" s="1052" t="str">
        <f>IF(AL8&gt;9,IF(AL7&gt;2,"/",""),"")</f>
        <v/>
      </c>
      <c r="AF27" s="1053"/>
      <c r="AG27" s="1049" t="str">
        <f>IF(AL9&gt;3,"Team 4","")</f>
        <v>Team 4</v>
      </c>
      <c r="AH27" s="1050" t="str">
        <f>IF(AL9&lt;4,"",IF(AL8&lt;1,"",IF(B24=4,B30-D30,IF(D24=4,D30-B30,""))))</f>
        <v/>
      </c>
      <c r="AI27" s="1050">
        <f>IF(AL9&lt;4,"",IF(AL8&lt;2,"",IF(E24=4,E30-G30,IF(G24=4,G30-E30,""))))</f>
        <v>-9</v>
      </c>
      <c r="AJ27" s="1050">
        <f>IF(AL9&lt;4,"",IF(AL8&lt;3,"",IF(H24=4,H30-J30,IF(J24=4,J30-H30,""))))</f>
        <v>-13</v>
      </c>
      <c r="AK27" s="1050" t="str">
        <f>IF(AL9&lt;4,"",IF(AL8&lt;4,"",IF(L24=4,L30-N30,IF(N24=4,N30-L30,""))))</f>
        <v/>
      </c>
      <c r="AL27" s="1050">
        <f>IF(AL9&lt;4,"",IF(AL8&lt;5,"",IF(O24=4,O30-Q30,IF(Q24=4,Q30-O30,""))))</f>
        <v>-15</v>
      </c>
      <c r="AM27" s="1050" t="str">
        <f>IF(AL9&lt;4,"",IF(AL8&lt;6,"",IF(R24=4,R30-T30,IF(T24=4,T30-R30,""))))</f>
        <v/>
      </c>
      <c r="AN27" s="1050" t="str">
        <f>IF(AL9&lt;4,"",IF(AL8&lt;7,"",IF(U24=4,U30-W30,IF(W24=4,W30-U30,""))))</f>
        <v/>
      </c>
      <c r="AO27" s="1050" t="str">
        <f>IF(AL9&lt;4,"",IF(AL8&lt;8,"",IF(X24=4,X30-Z30,IF(Z24=4,Z30-X30,""))))</f>
        <v/>
      </c>
      <c r="AP27" s="1050" t="str">
        <f>IF(AL9&lt;4,"",IF(AL8&lt;9,"",IF(AA24=4,AA30-AC30,IF(AC24=4,AC30-AA30,""))))</f>
        <v/>
      </c>
      <c r="AQ27" s="1050" t="str">
        <f>IF(AL9&lt;4,"",IF(AL8&lt;10,"",IF(AD24=4,AD30-AF30,IF(AF24=4,AF30-AD30,""))))</f>
        <v/>
      </c>
      <c r="AR27" s="1045">
        <f>SUM(AH27:AQ27)</f>
        <v>-37</v>
      </c>
    </row>
    <row r="28" spans="1:47" ht="15" x14ac:dyDescent="0.2">
      <c r="A28" s="845" t="str">
        <f>IF(AL7&gt;3,"Game 4","")</f>
        <v/>
      </c>
      <c r="B28" s="1051"/>
      <c r="C28" s="1052" t="s">
        <v>78</v>
      </c>
      <c r="D28" s="1053"/>
      <c r="E28" s="1051"/>
      <c r="F28" s="1052" t="str">
        <f>IF(AL8&gt;1,IF(AL7&gt;3,"/",""),"")</f>
        <v/>
      </c>
      <c r="G28" s="1053"/>
      <c r="H28" s="1051"/>
      <c r="I28" s="1052" t="str">
        <f>IF(AL8&gt;2,IF(AL7&gt;3,"/",""),"")</f>
        <v/>
      </c>
      <c r="J28" s="1053"/>
      <c r="K28" s="1032"/>
      <c r="L28" s="1051"/>
      <c r="M28" s="1052" t="str">
        <f>IF(AL8&gt;3,IF(AL7&gt;3,"/",""),"")</f>
        <v/>
      </c>
      <c r="N28" s="1053"/>
      <c r="O28" s="1051"/>
      <c r="P28" s="1052" t="str">
        <f>IF(AL8&gt;4,IF(AL7&gt;3,"/",""),"")</f>
        <v/>
      </c>
      <c r="Q28" s="1053"/>
      <c r="R28" s="1051"/>
      <c r="S28" s="1052" t="str">
        <f>IF(AL8&gt;5,IF(AL7&gt;3,"/",""),"")</f>
        <v/>
      </c>
      <c r="T28" s="1053"/>
      <c r="U28" s="1051"/>
      <c r="V28" s="1052" t="str">
        <f>IF(AL8&gt;6,IF(AL7&gt;3,"/",""),"")</f>
        <v/>
      </c>
      <c r="W28" s="1053"/>
      <c r="X28" s="1051"/>
      <c r="Y28" s="1052" t="str">
        <f>IF(AL8&gt;7,IF(AL7&gt;3,"/",""),"")</f>
        <v/>
      </c>
      <c r="Z28" s="1053"/>
      <c r="AA28" s="1051"/>
      <c r="AB28" s="1052" t="str">
        <f>IF(AL8&gt;8,IF(AL7&gt;3,"/",""),"")</f>
        <v/>
      </c>
      <c r="AC28" s="1053"/>
      <c r="AD28" s="1051"/>
      <c r="AE28" s="1052" t="str">
        <f>IF(AL8&gt;9,IF(AL7&gt;3,"/",""),"")</f>
        <v/>
      </c>
      <c r="AF28" s="1053"/>
      <c r="AG28" s="1049" t="str">
        <f>IF(AL9&gt;4,"Team 5","")</f>
        <v/>
      </c>
      <c r="AH28" s="1054" t="str">
        <f>IF(AL9&lt;5,"",IF(AL8&lt;1,"",IF(B24=5,B30-D30,IF(D24=5,D30-B30,""))))</f>
        <v/>
      </c>
      <c r="AI28" s="1050" t="str">
        <f>IF(AL9&lt;5,"",IF(AL8&lt;2,"",IF(E24=5,E30-G30,IF(G24=5,G30-E30,""))))</f>
        <v/>
      </c>
      <c r="AJ28" s="1050" t="str">
        <f>IF(AL9&lt;5,"",IF(AL8&lt;3,"",IF(H24=5,H30-J30,IF(J24=5,J30-H30,""))))</f>
        <v/>
      </c>
      <c r="AK28" s="1050" t="str">
        <f>IF(AL9&lt;5,"",IF(AL8&lt;4,"",IF(L24=5,L30-N30,IF(N24=5,N30-L30,""))))</f>
        <v/>
      </c>
      <c r="AL28" s="1050" t="str">
        <f>IF(AL9&lt;5,"",IF(AL8&lt;5,"",IF(O24=5,O30-Q30,IF(Q24=5,Q30-O30,""))))</f>
        <v/>
      </c>
      <c r="AM28" s="1050" t="str">
        <f>IF(AL9&lt;5,"",IF(AL8&lt;6,"",IF(R24=5,R30-T30,IF(T24=5,T30-R30,""))))</f>
        <v/>
      </c>
      <c r="AN28" s="1050" t="str">
        <f>IF(AL9&lt;5,"",IF(AL8&lt;7,"",IF(U24=5,U30-W30,IF(W24=5,W30-U30,""))))</f>
        <v/>
      </c>
      <c r="AO28" s="1050" t="str">
        <f>IF(AL9&lt;5,"",IF(AL8&lt;8,"",IF(X24=5,X30-Z30,IF(Z24=5,Z30-X30,""))))</f>
        <v/>
      </c>
      <c r="AP28" s="1050" t="str">
        <f>IF(AL9&lt;5,"",IF(AL8&lt;9,"",IF(AA24=5,AA30-AC30,IF(AC24=5,AC30-AA30,""))))</f>
        <v/>
      </c>
      <c r="AQ28" s="1050" t="str">
        <f>IF(AL9&lt;5,"",IF(AL8&lt;10,"",IF(AD24=5,AD30-AF30,IF(AF24=5,AF30-AD30,""))))</f>
        <v/>
      </c>
      <c r="AR28" s="1045">
        <f>SUM(AH28:AQ28)</f>
        <v>0</v>
      </c>
    </row>
    <row r="29" spans="1:47" ht="15" x14ac:dyDescent="0.2">
      <c r="A29" s="845" t="str">
        <f>IF(AL7&gt;4,"Game 5","")</f>
        <v/>
      </c>
      <c r="B29" s="1051"/>
      <c r="C29" s="1052" t="s">
        <v>78</v>
      </c>
      <c r="D29" s="1053"/>
      <c r="E29" s="1051"/>
      <c r="F29" s="1052" t="str">
        <f>IF(AL8&gt;1,IF(AL7&gt;4,"/",""),"")</f>
        <v/>
      </c>
      <c r="G29" s="1053"/>
      <c r="H29" s="1051"/>
      <c r="I29" s="1052" t="str">
        <f>IF(AL8&gt;2,IF(AL7&gt;4,"/",""),"")</f>
        <v/>
      </c>
      <c r="J29" s="1053"/>
      <c r="K29" s="1055"/>
      <c r="L29" s="1051"/>
      <c r="M29" s="1052" t="str">
        <f>IF(AL8&gt;3,IF(AL7&gt;4,"/",""),"")</f>
        <v/>
      </c>
      <c r="N29" s="1053"/>
      <c r="O29" s="1051"/>
      <c r="P29" s="1052" t="str">
        <f>IF(AL8&gt;4,IF(AL7&gt;4,"/",""),"")</f>
        <v/>
      </c>
      <c r="Q29" s="1053"/>
      <c r="R29" s="1051"/>
      <c r="S29" s="1052" t="str">
        <f>IF(AL8&gt;5,IF(AL7&gt;4,"/",""),"")</f>
        <v/>
      </c>
      <c r="T29" s="1053"/>
      <c r="U29" s="1051"/>
      <c r="V29" s="1052" t="str">
        <f>IF(AL8&gt;6,IF(AL7&gt;4,"/",""),"")</f>
        <v/>
      </c>
      <c r="W29" s="1053"/>
      <c r="X29" s="1051"/>
      <c r="Y29" s="1052" t="str">
        <f>IF(AL8&gt;7,IF(AL7&gt;4,"/",""),"")</f>
        <v/>
      </c>
      <c r="Z29" s="1053"/>
      <c r="AA29" s="1051"/>
      <c r="AB29" s="1052" t="str">
        <f>IF(AL8&gt;8,IF(AL7&gt;4,"/",""),"")</f>
        <v/>
      </c>
      <c r="AC29" s="1053"/>
      <c r="AD29" s="1051"/>
      <c r="AE29" s="1052" t="str">
        <f>IF(AL8&gt;9,IF(AL7&gt;4,"/",""),"")</f>
        <v/>
      </c>
      <c r="AF29" s="1053"/>
      <c r="AG29" s="868"/>
      <c r="AH29" s="868"/>
      <c r="AI29" s="868"/>
      <c r="AJ29" s="868"/>
      <c r="AK29" s="868"/>
      <c r="AL29" s="868"/>
      <c r="AM29" s="868"/>
      <c r="AN29" s="868"/>
      <c r="AO29" s="868"/>
      <c r="AP29" s="868"/>
      <c r="AQ29" s="868"/>
      <c r="AR29" s="868"/>
    </row>
    <row r="30" spans="1:47" hidden="1" x14ac:dyDescent="0.2">
      <c r="A30" s="1056"/>
      <c r="B30" s="1056">
        <f>IF($AL7=5,SUM(B25:B29),IF($AL7=4,SUM(B25:B28),IF($AL7=3,SUM(B25:B27),IF($AL7=2,SUM(B25:B26),B25))))</f>
        <v>25</v>
      </c>
      <c r="C30" s="1056"/>
      <c r="D30" s="1056">
        <f>IF($AL7=5,SUM(D25:D29),IF($AL7=4,SUM(D25:D28),IF($AL7=3,SUM(D25:D27),IF($AL7=2,SUM(D25:D26),D25))))</f>
        <v>31</v>
      </c>
      <c r="E30" s="1056">
        <f>IF($AL7=5,SUM(E25:E29),IF($AL7=4,SUM(E25:E28),IF($AL7=3,SUM(E25:E27),IF($AL7=2,SUM(E25:E26),E25))))</f>
        <v>31</v>
      </c>
      <c r="F30" s="1056"/>
      <c r="G30" s="1056">
        <f>IF($AL7=5,SUM(G25:G29),IF($AL7=4,SUM(G25:G28),IF($AL7=3,SUM(G25:G27),IF($AL7=2,SUM(G25:G26),G25))))</f>
        <v>22</v>
      </c>
      <c r="H30" s="1056">
        <f>IF($AL7=5,SUM(H25:H29),IF($AL7=4,SUM(H25:H28),IF($AL7=3,SUM(H25:H27),IF($AL7=2,SUM(H25:H26),H25))))</f>
        <v>34</v>
      </c>
      <c r="I30" s="1056"/>
      <c r="J30" s="1056">
        <f>IF($AL7=5,SUM(J25:J29),IF($AL7=4,SUM(J25:J28),IF($AL7=3,SUM(J25:J27),IF($AL7=2,SUM(J25:J26),J25))))</f>
        <v>21</v>
      </c>
      <c r="K30" s="1056"/>
      <c r="L30" s="1056">
        <f>IF($AL7=5,SUM(L25:L29),IF($AL7=4,SUM(L25:L28),IF($AL7=3,SUM(L25:L27),IF($AL7=2,SUM(L25:L26),L25))))</f>
        <v>22</v>
      </c>
      <c r="M30" s="1056"/>
      <c r="N30" s="1056">
        <f>IF($AL7=5,SUM(N25:N29),IF($AL7=4,SUM(N25:N28),IF($AL7=3,SUM(N25:N27),IF($AL7=2,SUM(N25:N26),N25))))</f>
        <v>32</v>
      </c>
      <c r="O30" s="1056">
        <f>IF($AL7=5,SUM(O25:O29),IF($AL7=4,SUM(O25:O28),IF($AL7=3,SUM(O25:O27),IF($AL7=2,SUM(O25:O26),O25))))</f>
        <v>37</v>
      </c>
      <c r="P30" s="1056"/>
      <c r="Q30" s="1056">
        <f>IF($AL7=5,SUM(Q25:Q29),IF($AL7=4,SUM(Q25:Q28),IF($AL7=3,SUM(Q25:Q27),IF($AL7=2,SUM(Q25:Q26),Q25))))</f>
        <v>22</v>
      </c>
      <c r="R30" s="1056">
        <f>IF($AL7=5,SUM(R25:R29),IF($AL7=4,SUM(R25:R28),IF($AL7=3,SUM(R25:R27),IF($AL7=2,SUM(R25:R26),R25))))</f>
        <v>26</v>
      </c>
      <c r="S30" s="1056"/>
      <c r="T30" s="1056">
        <f>IF($AL7=5,SUM(T25:T29),IF($AL7=4,SUM(T25:T28),IF($AL7=3,SUM(T25:T27),IF($AL7=2,SUM(T25:T26),T25))))</f>
        <v>23</v>
      </c>
      <c r="U30" s="1056">
        <f>IF($AL7=5,SUM(U25:U29),IF($AL7=4,SUM(U25:U28),IF($AL7=3,SUM(U25:U27),IF($AL7=2,SUM(U25:U26),U25))))</f>
        <v>0</v>
      </c>
      <c r="V30" s="1056"/>
      <c r="W30" s="1056">
        <f>IF($AL7=5,SUM(W25:W29),IF($AL7=4,SUM(W25:W28),IF($AL7=3,SUM(W25:W27),IF($AL7=2,SUM(W25:W26),W25))))</f>
        <v>0</v>
      </c>
      <c r="X30" s="1056">
        <f>IF($AL7=5,SUM(X25:X29),IF($AL7=4,SUM(X25:X28),IF($AL7=3,SUM(X25:X27),IF($AL7=2,SUM(X25:X26),X25))))</f>
        <v>0</v>
      </c>
      <c r="Y30" s="1056"/>
      <c r="Z30" s="1056">
        <f>IF($AL7=5,SUM(Z25:Z29),IF($AL7=4,SUM(Z25:Z28),IF($AL7=3,SUM(Z25:Z27),IF($AL7=2,SUM(Z25:Z26),Z25))))</f>
        <v>0</v>
      </c>
      <c r="AA30" s="1056">
        <f>IF($AL7=5,SUM(AA25:AA29),IF($AL7=4,SUM(AA25:AA28),IF($AL7=3,SUM(AA25:AA27),IF($AL7=2,SUM(AA25:AA26),AA25))))</f>
        <v>0</v>
      </c>
      <c r="AB30" s="1056"/>
      <c r="AC30" s="1056">
        <f>IF($AL7=5,SUM(AC25:AC29),IF($AL7=4,SUM(AC25:AC28),IF($AL7=3,SUM(AC25:AC27),IF($AL7=2,SUM(AC25:AC26),AC25))))</f>
        <v>0</v>
      </c>
      <c r="AD30" s="1056">
        <f>IF($AL7=5,SUM(AD25:AD29),IF($AL7=4,SUM(AD25:AD28),IF($AL7=3,SUM(AD25:AD27),IF($AL7=2,SUM(AD25:AD26),AD25))))</f>
        <v>0</v>
      </c>
      <c r="AE30" s="1056"/>
      <c r="AF30" s="1056">
        <f>IF($AL7=5,SUM(AF25:AF29),IF($AL7=4,SUM(AF25:AF28),IF($AL7=3,SUM(AF25:AF27),IF($AL7=2,SUM(AF25:AF26),AF25))))</f>
        <v>0</v>
      </c>
      <c r="AG30" s="868"/>
      <c r="AH30" s="868"/>
      <c r="AI30" s="868"/>
      <c r="AJ30" s="868"/>
      <c r="AK30" s="868"/>
      <c r="AL30" s="868"/>
      <c r="AM30" s="868"/>
      <c r="AN30" s="868"/>
      <c r="AO30" s="868"/>
      <c r="AP30" s="868"/>
      <c r="AQ30" s="868"/>
      <c r="AR30" s="868"/>
    </row>
    <row r="31" spans="1:47" s="1057" customFormat="1" ht="12.75" hidden="1" customHeight="1" x14ac:dyDescent="0.2">
      <c r="A31" s="1057" t="s">
        <v>79</v>
      </c>
      <c r="B31" s="1058">
        <f>IF(AND(B25&gt;D25,$AL8&gt;0,ISNUMBER(B25),ISNUMBER(D25)),1,0)</f>
        <v>0</v>
      </c>
      <c r="C31" s="1058"/>
      <c r="D31" s="1059">
        <f>IF(AND(D25&gt;B25,$AL8&gt;0,ISNUMBER(B25),ISNUMBER(D25)),1,0)</f>
        <v>1</v>
      </c>
      <c r="E31" s="1058">
        <f>IF(AND(E25&gt;G25,$AL8&gt;1,ISNUMBER(E25),ISNUMBER(G25)),1,0)</f>
        <v>1</v>
      </c>
      <c r="F31" s="1058"/>
      <c r="G31" s="1059">
        <f>IF(AND(G25&gt;E25,$AL8&gt;1,ISNUMBER(E25),ISNUMBER(G25)),1,0)</f>
        <v>0</v>
      </c>
      <c r="H31" s="1058">
        <f>IF(AND(H25&gt;J25,$AL8&gt;2,ISNUMBER(H25),ISNUMBER(J25)),1,0)</f>
        <v>1</v>
      </c>
      <c r="I31" s="1058"/>
      <c r="J31" s="1059">
        <f>IF(AND(J25&gt;H25,$AL8&gt;2,ISNUMBER(H25),ISNUMBER(J25)),1,0)</f>
        <v>0</v>
      </c>
      <c r="K31" s="1060"/>
      <c r="L31" s="1058">
        <f>IF(AND(L25&gt;N25,$AL8&gt;3,ISNUMBER(L25),ISNUMBER(N25)),1,0)</f>
        <v>0</v>
      </c>
      <c r="M31" s="1058"/>
      <c r="N31" s="1059">
        <f>IF(AND(N25&gt;L25,$AL8&gt;3,ISNUMBER(L25),ISNUMBER(N25)),1,0)</f>
        <v>1</v>
      </c>
      <c r="O31" s="1058">
        <f>IF(AND(O25&gt;Q25,$AL8&gt;4,ISNUMBER(O25),ISNUMBER(Q25)),1,0)</f>
        <v>1</v>
      </c>
      <c r="P31" s="1058"/>
      <c r="Q31" s="1059">
        <f>IF(AND(Q25&gt;O25,$AL8&gt;4,ISNUMBER(O25),ISNUMBER(Q25)),1,0)</f>
        <v>0</v>
      </c>
      <c r="R31" s="1058">
        <f>IF(AND(R25&gt;T25,$AL8&gt;5,ISNUMBER(R25),ISNUMBER(T25)),1,0)</f>
        <v>1</v>
      </c>
      <c r="S31" s="1058"/>
      <c r="T31" s="1059">
        <f>IF(AND(T25&gt;R25,$AL8&gt;5,ISNUMBER(R25),ISNUMBER(T25)),1,0)</f>
        <v>0</v>
      </c>
      <c r="U31" s="1058">
        <f>IF(AND(U25&gt;W25,$AL8&gt;6,ISNUMBER(U25),ISNUMBER(W25)),1,0)</f>
        <v>0</v>
      </c>
      <c r="V31" s="1058"/>
      <c r="W31" s="1059">
        <f>IF(AND(W25&gt;U25,$AL8&gt;6,ISNUMBER(U25),ISNUMBER(W25)),1,0)</f>
        <v>0</v>
      </c>
      <c r="X31" s="1058">
        <f>IF(AND(X25&gt;Z25,$AL8&gt;7,ISNUMBER(X25),ISNUMBER(Z25)),1,0)</f>
        <v>0</v>
      </c>
      <c r="Y31" s="1058"/>
      <c r="Z31" s="1059">
        <f>IF(AND(Z25&gt;X25,$AL8&gt;7,ISNUMBER(X25),ISNUMBER(Z25)),1,0)</f>
        <v>0</v>
      </c>
      <c r="AA31" s="1058">
        <f>IF(AND(AA25&gt;AC25,$AL8&gt;8,ISNUMBER(AA25),ISNUMBER(AC25)),1,0)</f>
        <v>0</v>
      </c>
      <c r="AB31" s="1058"/>
      <c r="AC31" s="1059">
        <f>IF(AND(AC25&gt;AA25,$AL8&gt;8,ISNUMBER(AA25),ISNUMBER(AC25)),1,0)</f>
        <v>0</v>
      </c>
      <c r="AD31" s="1058">
        <f>IF(AND(AD25&gt;AF25,$AL8&gt;9,ISNUMBER(AD25),ISNUMBER(AF25)),1,0)</f>
        <v>0</v>
      </c>
      <c r="AE31" s="1058"/>
      <c r="AF31" s="1059">
        <f>IF(AND(AF25&gt;AD25,$AL8&gt;9,ISNUMBER(AD25),ISNUMBER(AF25)),1,0)</f>
        <v>0</v>
      </c>
    </row>
    <row r="32" spans="1:47" s="1057" customFormat="1" ht="12.75" hidden="1" customHeight="1" x14ac:dyDescent="0.2">
      <c r="A32" s="1057" t="s">
        <v>80</v>
      </c>
      <c r="B32" s="1058">
        <f>IF(AND(B26&gt;D26,$AL8&gt;0,$AL7&gt;1,ISNUMBER(B26),ISNUMBER(D26)),1,0)</f>
        <v>0</v>
      </c>
      <c r="C32" s="1058"/>
      <c r="D32" s="1059">
        <f>IF(AND(D26&gt;B26,$AL8&gt;0,$AL7&gt;1,ISNUMBER(B26),ISNUMBER(D26)),1,0)</f>
        <v>0</v>
      </c>
      <c r="E32" s="1058">
        <f>IF(AND(E26&gt;G26,$AL8&gt;1,$AL7&gt;1,ISNUMBER(E26),ISNUMBER(G26)),1,0)</f>
        <v>0</v>
      </c>
      <c r="F32" s="1058"/>
      <c r="G32" s="1059">
        <f>IF(AND(G26&gt;E26,$AL8&gt;1,$AL7&gt;1,ISNUMBER(E26),ISNUMBER(G26)),1,0)</f>
        <v>0</v>
      </c>
      <c r="H32" s="1058">
        <f>IF(AND(H26&gt;J26,$AL8&gt;2,$AL7&gt;1,ISNUMBER(H26),ISNUMBER(J26)),1,0)</f>
        <v>0</v>
      </c>
      <c r="I32" s="1058"/>
      <c r="J32" s="1059">
        <f>IF(AND(J26&gt;H26,$AL8&gt;2,$AL7&gt;1,ISNUMBER(H26),ISNUMBER(J26)),1,0)</f>
        <v>0</v>
      </c>
      <c r="K32" s="1060"/>
      <c r="L32" s="1058">
        <f>IF(AND(L26&gt;N26,$AL8&gt;3,$AL7&gt;1,ISNUMBER(L26),ISNUMBER(N26)),1,0)</f>
        <v>0</v>
      </c>
      <c r="M32" s="1058"/>
      <c r="N32" s="1059">
        <f>IF(AND(N26&gt;L26,$AL8&gt;3,$AL7&gt;1,ISNUMBER(L26),ISNUMBER(N26)),1,0)</f>
        <v>0</v>
      </c>
      <c r="O32" s="1058">
        <f>IF(AND(O26&gt;Q26,$AL8&gt;4,$AL7&gt;1,ISNUMBER(O26),ISNUMBER(Q26)),1,0)</f>
        <v>0</v>
      </c>
      <c r="P32" s="1058"/>
      <c r="Q32" s="1059">
        <f>IF(AND(Q26&gt;O26,$AL8&gt;4,$AL7&gt;1,ISNUMBER(O26),ISNUMBER(Q26)),1,0)</f>
        <v>0</v>
      </c>
      <c r="R32" s="1058">
        <f>IF(AND(R26&gt;T26,$AL8&gt;5,$AL7&gt;1,ISNUMBER(R26),ISNUMBER(T26)),1,0)</f>
        <v>0</v>
      </c>
      <c r="S32" s="1058"/>
      <c r="T32" s="1059">
        <f>IF(AND(T26&gt;R26,$AL8&gt;5,$AL7&gt;1,ISNUMBER(R26),ISNUMBER(T26)),1,0)</f>
        <v>0</v>
      </c>
      <c r="U32" s="1058">
        <f>IF(AND(U26&gt;W26,$AL8&gt;6,$AL7&gt;1,ISNUMBER(U26),ISNUMBER(W26)),1,0)</f>
        <v>0</v>
      </c>
      <c r="V32" s="1058"/>
      <c r="W32" s="1059">
        <f>IF(AND(W26&gt;U26,$AL8&gt;6,$AL7&gt;1,ISNUMBER(U26),ISNUMBER(W26)),1,0)</f>
        <v>0</v>
      </c>
      <c r="X32" s="1058">
        <f>IF(AND(X26&gt;Z26,$AL8&gt;7,$AL7&gt;1,ISNUMBER(X26),ISNUMBER(Z26)),1,0)</f>
        <v>0</v>
      </c>
      <c r="Y32" s="1058"/>
      <c r="Z32" s="1059">
        <f>IF(AND(Z26&gt;X26,$AL8&gt;7,$AL7&gt;1,ISNUMBER(X26),ISNUMBER(Z26)),1,0)</f>
        <v>0</v>
      </c>
      <c r="AA32" s="1058">
        <f>IF(AND(AA26&gt;AC26,$AL8&gt;8,$AL7&gt;1,ISNUMBER(AA26),ISNUMBER(AC26)),1,0)</f>
        <v>0</v>
      </c>
      <c r="AB32" s="1058"/>
      <c r="AC32" s="1059">
        <f>IF(AND(AC26&gt;AA26,$AL8&gt;8,$AL7&gt;1,ISNUMBER(AA26),ISNUMBER(AC26)),1,0)</f>
        <v>0</v>
      </c>
      <c r="AD32" s="1058">
        <f>IF(AND(AD26&gt;AF26,$AL8&gt;9,$AL7&gt;1,ISNUMBER(AD26),ISNUMBER(AF26)),1,0)</f>
        <v>0</v>
      </c>
      <c r="AE32" s="1058"/>
      <c r="AF32" s="1059">
        <f>IF(AND(AF26&gt;AD26,$AL8&gt;9,$AL7&gt;1,ISNUMBER(AD26),ISNUMBER(AF26)),1,0)</f>
        <v>0</v>
      </c>
    </row>
    <row r="33" spans="1:34" s="1057" customFormat="1" ht="12.75" hidden="1" customHeight="1" x14ac:dyDescent="0.2">
      <c r="A33" s="1057" t="s">
        <v>81</v>
      </c>
      <c r="B33" s="1058">
        <f>IF(AND(B27&gt;D27,$AL8&gt;0,$AL7&gt;2,ISNUMBER(B27),ISNUMBER(D27)),1,0)</f>
        <v>0</v>
      </c>
      <c r="C33" s="1058"/>
      <c r="D33" s="1059">
        <f>IF(AND(D27&gt;B27,$AL8&gt;0,$AL7&gt;2,ISNUMBER(B27),ISNUMBER(D27)),1,0)</f>
        <v>0</v>
      </c>
      <c r="E33" s="1058">
        <f>IF(AND(E27&gt;G27,$AL8&gt;1,$AL7&gt;2,ISNUMBER(E27),ISNUMBER(G27)),1,0)</f>
        <v>0</v>
      </c>
      <c r="F33" s="1058"/>
      <c r="G33" s="1059">
        <f>IF(AND(G27&gt;E27,$AL8&gt;1,$AL7&gt;2,ISNUMBER(E27),ISNUMBER(G27)),1,0)</f>
        <v>0</v>
      </c>
      <c r="H33" s="1058">
        <f>IF(AND(H27&gt;J27,$AL8&gt;2,$AL7&gt;2,ISNUMBER(H27),ISNUMBER(J27)),1,0)</f>
        <v>0</v>
      </c>
      <c r="I33" s="1058"/>
      <c r="J33" s="1059">
        <f>IF(AND(J27&gt;H27,$AL8&gt;2,$AL7&gt;2,ISNUMBER(H27),ISNUMBER(J27)),1,0)</f>
        <v>0</v>
      </c>
      <c r="K33" s="1060"/>
      <c r="L33" s="1058">
        <f>IF(AND(L27&gt;N27,$AL8&gt;3,$AL7&gt;2,ISNUMBER(L27),ISNUMBER(N27)),1,0)</f>
        <v>0</v>
      </c>
      <c r="M33" s="1058"/>
      <c r="N33" s="1059">
        <f>IF(AND(N27&gt;L27,$AL8&gt;3,$AL7&gt;2,ISNUMBER(L27),ISNUMBER(N27)),1,0)</f>
        <v>0</v>
      </c>
      <c r="O33" s="1058">
        <f>IF(AND(O27&gt;Q27,$AL8&gt;4,$AL7&gt;2,ISNUMBER(O27),ISNUMBER(Q27)),1,0)</f>
        <v>0</v>
      </c>
      <c r="P33" s="1058"/>
      <c r="Q33" s="1059">
        <f>IF(AND(Q27&gt;O27,$AL8&gt;4,$AL7&gt;2,ISNUMBER(O27),ISNUMBER(Q27)),1,0)</f>
        <v>0</v>
      </c>
      <c r="R33" s="1058">
        <f>IF(AND(R27&gt;T27,$AL8&gt;5,$AL7&gt;2,ISNUMBER(R27),ISNUMBER(T27)),1,0)</f>
        <v>0</v>
      </c>
      <c r="S33" s="1058"/>
      <c r="T33" s="1059">
        <f>IF(AND(T27&gt;R27,$AL8&gt;5,$AL7&gt;2,ISNUMBER(R27),ISNUMBER(T27)),1,0)</f>
        <v>0</v>
      </c>
      <c r="U33" s="1058">
        <f>IF(AND(U27&gt;W27,$AL8&gt;6,$AL7&gt;2,ISNUMBER(U27),ISNUMBER(W27)),1,0)</f>
        <v>0</v>
      </c>
      <c r="V33" s="1058"/>
      <c r="W33" s="1059">
        <f>IF(AND(W27&gt;U27,$AL8&gt;6,$AL7&gt;2,ISNUMBER(U27),ISNUMBER(W27)),1,0)</f>
        <v>0</v>
      </c>
      <c r="X33" s="1058">
        <f>IF(AND(X27&gt;Z27,$AL8&gt;7,$AL7&gt;2,ISNUMBER(X27),ISNUMBER(Z27)),1,0)</f>
        <v>0</v>
      </c>
      <c r="Y33" s="1058"/>
      <c r="Z33" s="1059">
        <f>IF(AND(Z27&gt;X27,$AL8&gt;7,$AL7&gt;2,ISNUMBER(X27),ISNUMBER(Z27)),1,0)</f>
        <v>0</v>
      </c>
      <c r="AA33" s="1058">
        <f>IF(AND(AA27&gt;AC27,$AL8&gt;8,$AL7&gt;2,ISNUMBER(AA27),ISNUMBER(AC27)),1,0)</f>
        <v>0</v>
      </c>
      <c r="AB33" s="1058"/>
      <c r="AC33" s="1059">
        <f>IF(AND(AC27&gt;AA27,$AL8&gt;8,$AL7&gt;2,ISNUMBER(AA27),ISNUMBER(AC27)),1,0)</f>
        <v>0</v>
      </c>
      <c r="AD33" s="1058">
        <f>IF(AND(AD27&gt;AF27,$AL8&gt;9,$AL7&gt;2,ISNUMBER(AD27),ISNUMBER(AF27)),1,0)</f>
        <v>0</v>
      </c>
      <c r="AE33" s="1058"/>
      <c r="AF33" s="1059">
        <f>IF(AND(AF27&gt;AD27,$AL8&gt;9,$AL7&gt;2,ISNUMBER(AD27),ISNUMBER(AF27)),1,0)</f>
        <v>0</v>
      </c>
    </row>
    <row r="34" spans="1:34" s="1057" customFormat="1" ht="12.75" hidden="1" customHeight="1" x14ac:dyDescent="0.2">
      <c r="A34" s="1057" t="s">
        <v>82</v>
      </c>
      <c r="B34" s="1058">
        <f>IF(AND(B28&gt;D28,$AL8&gt;0,$AL7&gt;3,ISNUMBER(B28),ISNUMBER(D28)),1,0)</f>
        <v>0</v>
      </c>
      <c r="C34" s="1058"/>
      <c r="D34" s="1059">
        <f>IF(AND(D28&gt;B28,$AL8&gt;0,$AL7&gt;3,ISNUMBER(B28),ISNUMBER(D28)),1,0)</f>
        <v>0</v>
      </c>
      <c r="E34" s="1058">
        <f>IF(AND(E28&gt;G28,$AL8&gt;1,$AL7&gt;3,ISNUMBER(E28),ISNUMBER(G28)),1,0)</f>
        <v>0</v>
      </c>
      <c r="F34" s="1058"/>
      <c r="G34" s="1059">
        <f>IF(AND(G28&gt;E28,$AL8&gt;1,$AL7&gt;3,ISNUMBER(E28),ISNUMBER(G28)),1,0)</f>
        <v>0</v>
      </c>
      <c r="H34" s="1058">
        <f>IF(AND(H28&gt;J28,$AL8&gt;2,$AL7&gt;3,ISNUMBER(H28),ISNUMBER(J28)),1,0)</f>
        <v>0</v>
      </c>
      <c r="I34" s="1058"/>
      <c r="J34" s="1059">
        <f>IF(AND(J28&gt;H28,$AL8&gt;2,$AL7&gt;3,ISNUMBER(H28),ISNUMBER(J28)),1,0)</f>
        <v>0</v>
      </c>
      <c r="K34" s="1060"/>
      <c r="L34" s="1058">
        <f>IF(AND(L28&gt;N28,$AL8&gt;3,$AL7&gt;3,ISNUMBER(L28),ISNUMBER(N28)),1,0)</f>
        <v>0</v>
      </c>
      <c r="M34" s="1058"/>
      <c r="N34" s="1059">
        <f>IF(AND(N28&gt;L28,$AL8&gt;3,$AL7&gt;3,ISNUMBER(L28),ISNUMBER(N28)),1,0)</f>
        <v>0</v>
      </c>
      <c r="O34" s="1058">
        <f>IF(AND(O28&gt;Q28,$AL8&gt;4,$AL7&gt;3,ISNUMBER(O28),ISNUMBER(Q28)),1,0)</f>
        <v>0</v>
      </c>
      <c r="P34" s="1058"/>
      <c r="Q34" s="1059">
        <f>IF(AND(Q28&gt;O28,$AL8&gt;4,$AL7&gt;3,ISNUMBER(O28),ISNUMBER(Q28)),1,0)</f>
        <v>0</v>
      </c>
      <c r="R34" s="1058">
        <f>IF(AND(R28&gt;T28,$AL8&gt;5,$AL7&gt;3,ISNUMBER(R28),ISNUMBER(T28)),1,0)</f>
        <v>0</v>
      </c>
      <c r="S34" s="1058"/>
      <c r="T34" s="1059">
        <f>IF(AND(T28&gt;R28,$AL8&gt;5,$AL7&gt;3,ISNUMBER(R28),ISNUMBER(T28)),1,0)</f>
        <v>0</v>
      </c>
      <c r="U34" s="1058">
        <f>IF(AND(U28&gt;W28,$AL8&gt;6,$AL7&gt;3,ISNUMBER(U28),ISNUMBER(W28)),1,0)</f>
        <v>0</v>
      </c>
      <c r="V34" s="1058"/>
      <c r="W34" s="1059">
        <f>IF(AND(W28&gt;U28,$AL8&gt;6,$AL7&gt;3,ISNUMBER(U28),ISNUMBER(W28)),1,0)</f>
        <v>0</v>
      </c>
      <c r="X34" s="1058">
        <f>IF(AND(X28&gt;Z28,$AL8&gt;7,$AL7&gt;3,ISNUMBER(X28),ISNUMBER(Z28)),1,0)</f>
        <v>0</v>
      </c>
      <c r="Y34" s="1058"/>
      <c r="Z34" s="1059">
        <f>IF(AND(Z28&gt;X28,$AL8&gt;7,$AL7&gt;3,ISNUMBER(X28),ISNUMBER(Z28)),1,0)</f>
        <v>0</v>
      </c>
      <c r="AA34" s="1058">
        <f>IF(AND(AA28&gt;AC28,$AL8&gt;8,$AL7&gt;3,ISNUMBER(AA28),ISNUMBER(AC28)),1,0)</f>
        <v>0</v>
      </c>
      <c r="AB34" s="1058"/>
      <c r="AC34" s="1059">
        <f>IF(AND(AC28&gt;AA28,$AL8&gt;8,$AL7&gt;3,ISNUMBER(AA28),ISNUMBER(AC28)),1,0)</f>
        <v>0</v>
      </c>
      <c r="AD34" s="1058">
        <f>IF(AND(AD28&gt;AF28,$AL8&gt;9,$AL7&gt;3,ISNUMBER(AD28),ISNUMBER(AF28)),1,0)</f>
        <v>0</v>
      </c>
      <c r="AE34" s="1058"/>
      <c r="AF34" s="1059">
        <f>IF(AND(AF28&gt;AD28,$AL8&gt;9,$AL7&gt;3,ISNUMBER(AD28),ISNUMBER(AF28)),1,0)</f>
        <v>0</v>
      </c>
    </row>
    <row r="35" spans="1:34" s="1057" customFormat="1" ht="12.75" hidden="1" customHeight="1" x14ac:dyDescent="0.2">
      <c r="A35" s="1057" t="s">
        <v>83</v>
      </c>
      <c r="B35" s="1058">
        <f>IF(AND(B29&gt;D29,$AL8&gt;0,$AL7&gt;4,ISNUMBER(B29),ISNUMBER(D29)),1,0)</f>
        <v>0</v>
      </c>
      <c r="C35" s="1058"/>
      <c r="D35" s="1059">
        <f>IF(AND(D29&gt;B29,$AL8&gt;0,$AL7&gt;4,ISNUMBER(B29),ISNUMBER(D29)),1,0)</f>
        <v>0</v>
      </c>
      <c r="E35" s="1058">
        <f>IF(AND(E29&gt;G29,$AL8&gt;1,$AL7&gt;4,ISNUMBER(E29),ISNUMBER(G29)),1,0)</f>
        <v>0</v>
      </c>
      <c r="F35" s="1058"/>
      <c r="G35" s="1059">
        <f>IF(AND(G29&gt;E29,$AL8&gt;1,$AL7&gt;4,ISNUMBER(E29),ISNUMBER(G29)),1,0)</f>
        <v>0</v>
      </c>
      <c r="H35" s="1058">
        <f>IF(AND(H29&gt;J29,$AL8&gt;2,$AL7&gt;4,ISNUMBER(H29),ISNUMBER(J29)),1,0)</f>
        <v>0</v>
      </c>
      <c r="I35" s="1058"/>
      <c r="J35" s="1059">
        <f>IF(AND(J29&gt;H29,$AL8&gt;2,$AL7&gt;4,ISNUMBER(H29),ISNUMBER(J29)),1,0)</f>
        <v>0</v>
      </c>
      <c r="K35" s="1060"/>
      <c r="L35" s="1058">
        <f>IF(AND(L29&gt;N29,$AL8&gt;3,$AL7&gt;4,ISNUMBER(L29),ISNUMBER(N29)),1,0)</f>
        <v>0</v>
      </c>
      <c r="M35" s="1058"/>
      <c r="N35" s="1059">
        <f>IF(AND(N29&gt;L29,$AL8&gt;3,$AL7&gt;4,ISNUMBER(L29),ISNUMBER(N29)),1,0)</f>
        <v>0</v>
      </c>
      <c r="O35" s="1058">
        <f>IF(AND(O29&gt;Q29,$AL8&gt;4,$AL7&gt;4,ISNUMBER(O29),ISNUMBER(Q29)),1,0)</f>
        <v>0</v>
      </c>
      <c r="P35" s="1058"/>
      <c r="Q35" s="1059">
        <f>IF(AND(Q29&gt;O29,$AL8&gt;4,$AL7&gt;4,ISNUMBER(O29),ISNUMBER(Q29)),1,0)</f>
        <v>0</v>
      </c>
      <c r="R35" s="1058">
        <f>IF(AND(R29&gt;T29,$AL8&gt;5,$AL7&gt;4,ISNUMBER(R29),ISNUMBER(T29)),1,0)</f>
        <v>0</v>
      </c>
      <c r="S35" s="1058"/>
      <c r="T35" s="1059">
        <f>IF(AND(T29&gt;R29,$AL8&gt;5,$AL7&gt;4,ISNUMBER(R29),ISNUMBER(T29)),1,0)</f>
        <v>0</v>
      </c>
      <c r="U35" s="1058">
        <f>IF(AND(U29&gt;W29,$AL8&gt;6,$AL7&gt;4,ISNUMBER(U29),ISNUMBER(W29)),1,0)</f>
        <v>0</v>
      </c>
      <c r="V35" s="1058"/>
      <c r="W35" s="1059">
        <f>IF(AND(W29&gt;U29,$AL8&gt;6,$AL7&gt;4,ISNUMBER(U29),ISNUMBER(W29)),1,0)</f>
        <v>0</v>
      </c>
      <c r="X35" s="1058">
        <f>IF(AND(X29&gt;Z29,$AL8&gt;7,$AL7&gt;4,ISNUMBER(X29),ISNUMBER(Z29)),1,0)</f>
        <v>0</v>
      </c>
      <c r="Y35" s="1058"/>
      <c r="Z35" s="1059">
        <f>IF(AND(Z29&gt;X29,$AL8&gt;7,$AL7&gt;4,ISNUMBER(X29),ISNUMBER(Z29)),1,0)</f>
        <v>0</v>
      </c>
      <c r="AA35" s="1058">
        <f>IF(AND(AA29&gt;AC29,$AL8&gt;8,$AL7&gt;4,ISNUMBER(AA29),ISNUMBER(AC29)),1,0)</f>
        <v>0</v>
      </c>
      <c r="AB35" s="1058"/>
      <c r="AC35" s="1059">
        <f>IF(AND(AC29&gt;AA29,$AL8&gt;8,$AL7&gt;4,ISNUMBER(AA29),ISNUMBER(AC29)),1,0)</f>
        <v>0</v>
      </c>
      <c r="AD35" s="1058">
        <f>IF(AND(AD29&gt;AF29,$AL8&gt;9,$AL7&gt;4,ISNUMBER(AD29),ISNUMBER(AF29)),1,0)</f>
        <v>0</v>
      </c>
      <c r="AE35" s="1058"/>
      <c r="AF35" s="1059">
        <f>IF(AND(AF29&gt;AD29,$AL8&gt;9,$AL7&gt;4,ISNUMBER(AD29),ISNUMBER(AF29)),1,0)</f>
        <v>0</v>
      </c>
    </row>
    <row r="36" spans="1:34" s="1057" customFormat="1" ht="38.25" hidden="1" customHeight="1" x14ac:dyDescent="0.2">
      <c r="A36" s="1061" t="s">
        <v>84</v>
      </c>
      <c r="B36" s="1057">
        <f>SUM(B31:B35)</f>
        <v>0</v>
      </c>
      <c r="D36" s="1060">
        <f>SUM(D31:D35)</f>
        <v>1</v>
      </c>
      <c r="E36" s="1057">
        <f>SUM(E31:E35)</f>
        <v>1</v>
      </c>
      <c r="G36" s="1060">
        <f>SUM(G31:G35)</f>
        <v>0</v>
      </c>
      <c r="H36" s="1057">
        <f>SUM(H31:H35)</f>
        <v>1</v>
      </c>
      <c r="J36" s="1060">
        <f>SUM(J31:J35)</f>
        <v>0</v>
      </c>
      <c r="K36" s="1060"/>
      <c r="L36" s="1057">
        <f>SUM(L31:L35)</f>
        <v>0</v>
      </c>
      <c r="N36" s="1060">
        <f>SUM(N31:N35)</f>
        <v>1</v>
      </c>
      <c r="O36" s="1057">
        <f>SUM(O31:O35)</f>
        <v>1</v>
      </c>
      <c r="Q36" s="1060">
        <f>SUM(Q31:Q35)</f>
        <v>0</v>
      </c>
      <c r="R36" s="1057">
        <f>SUM(R31:R35)</f>
        <v>1</v>
      </c>
      <c r="T36" s="1060">
        <f>SUM(T31:T35)</f>
        <v>0</v>
      </c>
      <c r="U36" s="1057">
        <f>SUM(U31:U35)</f>
        <v>0</v>
      </c>
      <c r="W36" s="1060">
        <f>SUM(W31:W35)</f>
        <v>0</v>
      </c>
      <c r="X36" s="1057">
        <f>SUM(X31:X35)</f>
        <v>0</v>
      </c>
      <c r="Z36" s="1060">
        <f>SUM(Z31:Z35)</f>
        <v>0</v>
      </c>
      <c r="AA36" s="1057">
        <f>SUM(AA31:AA35)</f>
        <v>0</v>
      </c>
      <c r="AC36" s="1060">
        <f>SUM(AC31:AC35)</f>
        <v>0</v>
      </c>
      <c r="AD36" s="1057">
        <f>SUM(AD31:AD35)</f>
        <v>0</v>
      </c>
      <c r="AF36" s="1060">
        <f>SUM(AF31:AF35)</f>
        <v>0</v>
      </c>
    </row>
    <row r="37" spans="1:34" s="1057" customFormat="1" ht="25.5" hidden="1" customHeight="1" x14ac:dyDescent="0.2">
      <c r="A37" s="1061" t="s">
        <v>85</v>
      </c>
      <c r="B37" s="1057">
        <f>IF(B36&gt;D36,IF(C71=AL7,1,IF(C71=AL7-1,1,0)),0)</f>
        <v>0</v>
      </c>
      <c r="C37" s="1057">
        <f>B37+D37</f>
        <v>1</v>
      </c>
      <c r="D37" s="1060">
        <f>IF(D36&gt;B36,IF(C71=AL7,1,IF(C71=AL7-1,1,0)),0)</f>
        <v>1</v>
      </c>
      <c r="E37" s="1057">
        <f>IF(E36&gt;G36,IF(F71=AL7,1,IF(F71=AL7-1,1,0)),0)</f>
        <v>1</v>
      </c>
      <c r="F37" s="1057">
        <f>E37+G37</f>
        <v>1</v>
      </c>
      <c r="G37" s="1060">
        <f>IF(G36&gt;E36,IF(F71=AL7,1,IF(F71=AL7-1,1,0)),0)</f>
        <v>0</v>
      </c>
      <c r="H37" s="1057">
        <f>IF(H36&gt;J36,IF(I71=AL7,1,IF(I71=AL7-1,1,0)),0)</f>
        <v>1</v>
      </c>
      <c r="I37" s="1057">
        <f>H37+J37</f>
        <v>1</v>
      </c>
      <c r="J37" s="1060">
        <f>IF(J36&gt;H36,IF(I71=AL7,1,IF(I71=AL7-1,1,0)),0)</f>
        <v>0</v>
      </c>
      <c r="K37" s="1060"/>
      <c r="L37" s="1057">
        <f>IF(L36&gt;N36,IF(M71=AL7,1,IF(M71=AL7-1,1,0)),0)</f>
        <v>0</v>
      </c>
      <c r="M37" s="1057">
        <f>L37+N37</f>
        <v>1</v>
      </c>
      <c r="N37" s="1060">
        <f>IF(N36&gt;L36,IF(M71=AL7,1,IF(M71=AL7-1,1,0)),0)</f>
        <v>1</v>
      </c>
      <c r="O37" s="1057">
        <f>IF(O36&gt;Q36,IF(P71=AL7,1,IF(P71=AL7-1,1,0)),0)</f>
        <v>1</v>
      </c>
      <c r="P37" s="1057">
        <f>O37+Q37</f>
        <v>1</v>
      </c>
      <c r="Q37" s="1060">
        <f>IF(Q36&gt;O36,IF(P71=AL7,1,IF(P71=AL7-1,1,0)),0)</f>
        <v>0</v>
      </c>
      <c r="R37" s="1057">
        <f>IF(R36&gt;T36,IF(S71=AL7,1,IF(S71=AL7-1,1,0)),0)</f>
        <v>1</v>
      </c>
      <c r="S37" s="1057">
        <f>R37+T37</f>
        <v>1</v>
      </c>
      <c r="T37" s="1060">
        <f>IF(T36&gt;R36,IF(S71=AL7,1,IF(S71=AL7-1,1,0)),0)</f>
        <v>0</v>
      </c>
      <c r="U37" s="1057">
        <f>IF(U36&gt;W36,IF(V71=AL7,1,IF(V71=AL7-1,1,0)),0)</f>
        <v>0</v>
      </c>
      <c r="V37" s="1057">
        <f>U37+W37</f>
        <v>0</v>
      </c>
      <c r="W37" s="1060">
        <f>IF(W36&gt;U36,IF(V71=AL7,1,IF(V71=AL7-1,1,0)),0)</f>
        <v>0</v>
      </c>
      <c r="X37" s="1057">
        <f>IF(X36&gt;Z36,IF(Y71=AL7,1,IF(Y71=AL7-1,1,0)),0)</f>
        <v>0</v>
      </c>
      <c r="Y37" s="1057">
        <f>X37+Z37</f>
        <v>0</v>
      </c>
      <c r="Z37" s="1060">
        <f>IF(Z36&gt;X36,IF(Y71=AL7,1,IF(Y71=AL7-1,1,0)),0)</f>
        <v>0</v>
      </c>
      <c r="AA37" s="1057">
        <f>IF(AA36&gt;AC36,IF(AB71=AL7,1,IF(AB71=AL7-1,1,0)),0)</f>
        <v>0</v>
      </c>
      <c r="AB37" s="1057">
        <f>AA37+AC37</f>
        <v>0</v>
      </c>
      <c r="AC37" s="1060">
        <f>IF(AC36&gt;AA36,IF(AB71=AL7,1,IF(AB71=AL7-1,1,0)),0)</f>
        <v>0</v>
      </c>
      <c r="AD37" s="1057">
        <f>IF(AD36&gt;AF36,IF(AE71=AL7,1,IF(AE71=AL7-1,1,0)),0)</f>
        <v>0</v>
      </c>
      <c r="AE37" s="1057">
        <f>AD37+AF37</f>
        <v>0</v>
      </c>
      <c r="AF37" s="1060">
        <f>IF(AF36&gt;AD36,IF(AE71=AL7,1,IF(AE71=AL7-1,1,0)),0)</f>
        <v>0</v>
      </c>
    </row>
    <row r="38" spans="1:34" s="1057" customFormat="1" ht="25.5" hidden="1" customHeight="1" x14ac:dyDescent="0.2">
      <c r="A38" s="1061"/>
      <c r="D38" s="1060"/>
      <c r="G38" s="1060"/>
      <c r="J38" s="1060"/>
      <c r="K38" s="1060"/>
      <c r="N38" s="1060"/>
      <c r="Q38" s="1060"/>
      <c r="T38" s="1060"/>
      <c r="W38" s="1060"/>
      <c r="Z38" s="1060"/>
      <c r="AC38" s="1060"/>
      <c r="AF38" s="1060"/>
    </row>
    <row r="39" spans="1:34" s="1057" customFormat="1" ht="12.75" hidden="1" customHeight="1" x14ac:dyDescent="0.2">
      <c r="A39" s="1057" t="s">
        <v>86</v>
      </c>
      <c r="B39" s="1057">
        <f>IF(B31=1,B25,0)</f>
        <v>0</v>
      </c>
      <c r="D39" s="1060">
        <f t="shared" ref="D39:E43" si="2">IF(D31=1,D25,0)</f>
        <v>31</v>
      </c>
      <c r="E39" s="1057">
        <f t="shared" si="2"/>
        <v>31</v>
      </c>
      <c r="G39" s="1060">
        <f t="shared" ref="G39:H43" si="3">IF(G31=1,G25,0)</f>
        <v>0</v>
      </c>
      <c r="H39" s="1057">
        <f t="shared" si="3"/>
        <v>34</v>
      </c>
      <c r="J39" s="1060">
        <f>IF(J31=1,J25,0)</f>
        <v>0</v>
      </c>
      <c r="K39" s="1060"/>
      <c r="L39" s="1057">
        <f>IF(L31=1,L25,0)</f>
        <v>0</v>
      </c>
      <c r="N39" s="1060">
        <f t="shared" ref="N39:O43" si="4">IF(N31=1,N25,0)</f>
        <v>32</v>
      </c>
      <c r="O39" s="1057">
        <f t="shared" si="4"/>
        <v>37</v>
      </c>
      <c r="Q39" s="1060">
        <f t="shared" ref="Q39:R43" si="5">IF(Q31=1,Q25,0)</f>
        <v>0</v>
      </c>
      <c r="R39" s="1057">
        <f t="shared" si="5"/>
        <v>26</v>
      </c>
      <c r="T39" s="1060">
        <f t="shared" ref="T39:U43" si="6">IF(T31=1,T25,0)</f>
        <v>0</v>
      </c>
      <c r="U39" s="1057">
        <f t="shared" si="6"/>
        <v>0</v>
      </c>
      <c r="W39" s="1060">
        <f t="shared" ref="W39:X43" si="7">IF(W31=1,W25,0)</f>
        <v>0</v>
      </c>
      <c r="X39" s="1057">
        <f t="shared" si="7"/>
        <v>0</v>
      </c>
      <c r="Z39" s="1060">
        <f t="shared" ref="Z39:AA43" si="8">IF(Z31=1,Z25,0)</f>
        <v>0</v>
      </c>
      <c r="AA39" s="1057">
        <f t="shared" si="8"/>
        <v>0</v>
      </c>
      <c r="AC39" s="1060">
        <f t="shared" ref="AC39:AD43" si="9">IF(AC31=1,AC25,0)</f>
        <v>0</v>
      </c>
      <c r="AD39" s="1057">
        <f t="shared" si="9"/>
        <v>0</v>
      </c>
      <c r="AF39" s="1060">
        <f>IF(AF31=1,AF25,0)</f>
        <v>0</v>
      </c>
    </row>
    <row r="40" spans="1:34" s="1057" customFormat="1" ht="12.75" hidden="1" customHeight="1" x14ac:dyDescent="0.2">
      <c r="A40" s="1057" t="s">
        <v>87</v>
      </c>
      <c r="B40" s="1057">
        <f>IF(B32=1,B26,0)</f>
        <v>0</v>
      </c>
      <c r="D40" s="1060">
        <f t="shared" si="2"/>
        <v>0</v>
      </c>
      <c r="E40" s="1057">
        <f t="shared" si="2"/>
        <v>0</v>
      </c>
      <c r="G40" s="1060">
        <f t="shared" si="3"/>
        <v>0</v>
      </c>
      <c r="H40" s="1057">
        <f t="shared" si="3"/>
        <v>0</v>
      </c>
      <c r="J40" s="1060">
        <f>IF(J32=1,J26,0)</f>
        <v>0</v>
      </c>
      <c r="K40" s="1060"/>
      <c r="L40" s="1057">
        <f>IF(L32=1,L26,0)</f>
        <v>0</v>
      </c>
      <c r="N40" s="1060">
        <f t="shared" si="4"/>
        <v>0</v>
      </c>
      <c r="O40" s="1057">
        <f t="shared" si="4"/>
        <v>0</v>
      </c>
      <c r="Q40" s="1060">
        <f t="shared" si="5"/>
        <v>0</v>
      </c>
      <c r="R40" s="1057">
        <f t="shared" si="5"/>
        <v>0</v>
      </c>
      <c r="T40" s="1060">
        <f t="shared" si="6"/>
        <v>0</v>
      </c>
      <c r="U40" s="1057">
        <f t="shared" si="6"/>
        <v>0</v>
      </c>
      <c r="W40" s="1060">
        <f t="shared" si="7"/>
        <v>0</v>
      </c>
      <c r="X40" s="1057">
        <f t="shared" si="7"/>
        <v>0</v>
      </c>
      <c r="Z40" s="1060">
        <f t="shared" si="8"/>
        <v>0</v>
      </c>
      <c r="AA40" s="1057">
        <f t="shared" si="8"/>
        <v>0</v>
      </c>
      <c r="AC40" s="1060">
        <f t="shared" si="9"/>
        <v>0</v>
      </c>
      <c r="AD40" s="1057">
        <f t="shared" si="9"/>
        <v>0</v>
      </c>
      <c r="AF40" s="1060">
        <f>IF(AF32=1,AF26,0)</f>
        <v>0</v>
      </c>
    </row>
    <row r="41" spans="1:34" s="1057" customFormat="1" ht="12.75" hidden="1" customHeight="1" x14ac:dyDescent="0.2">
      <c r="A41" s="1057" t="s">
        <v>88</v>
      </c>
      <c r="B41" s="1057">
        <f>IF(B33=1,B27,0)</f>
        <v>0</v>
      </c>
      <c r="D41" s="1060">
        <f t="shared" si="2"/>
        <v>0</v>
      </c>
      <c r="E41" s="1057">
        <f t="shared" si="2"/>
        <v>0</v>
      </c>
      <c r="G41" s="1060">
        <f t="shared" si="3"/>
        <v>0</v>
      </c>
      <c r="H41" s="1057">
        <f t="shared" si="3"/>
        <v>0</v>
      </c>
      <c r="J41" s="1060">
        <f>IF(J33=1,J27,0)</f>
        <v>0</v>
      </c>
      <c r="K41" s="1060"/>
      <c r="L41" s="1057">
        <f>IF(L33=1,L27,0)</f>
        <v>0</v>
      </c>
      <c r="N41" s="1060">
        <f t="shared" si="4"/>
        <v>0</v>
      </c>
      <c r="O41" s="1057">
        <f t="shared" si="4"/>
        <v>0</v>
      </c>
      <c r="Q41" s="1060">
        <f t="shared" si="5"/>
        <v>0</v>
      </c>
      <c r="R41" s="1057">
        <f t="shared" si="5"/>
        <v>0</v>
      </c>
      <c r="T41" s="1060">
        <f t="shared" si="6"/>
        <v>0</v>
      </c>
      <c r="U41" s="1057">
        <f t="shared" si="6"/>
        <v>0</v>
      </c>
      <c r="W41" s="1060">
        <f t="shared" si="7"/>
        <v>0</v>
      </c>
      <c r="X41" s="1057">
        <f t="shared" si="7"/>
        <v>0</v>
      </c>
      <c r="Z41" s="1060">
        <f t="shared" si="8"/>
        <v>0</v>
      </c>
      <c r="AA41" s="1057">
        <f t="shared" si="8"/>
        <v>0</v>
      </c>
      <c r="AC41" s="1060">
        <f t="shared" si="9"/>
        <v>0</v>
      </c>
      <c r="AD41" s="1057">
        <f t="shared" si="9"/>
        <v>0</v>
      </c>
      <c r="AF41" s="1060">
        <f>IF(AF33=1,AF27,0)</f>
        <v>0</v>
      </c>
    </row>
    <row r="42" spans="1:34" s="1057" customFormat="1" ht="12.75" hidden="1" customHeight="1" x14ac:dyDescent="0.2">
      <c r="A42" s="1057" t="s">
        <v>89</v>
      </c>
      <c r="B42" s="1057">
        <f>IF(B34=1,B28,0)</f>
        <v>0</v>
      </c>
      <c r="D42" s="1060">
        <f t="shared" si="2"/>
        <v>0</v>
      </c>
      <c r="E42" s="1057">
        <f t="shared" si="2"/>
        <v>0</v>
      </c>
      <c r="G42" s="1060">
        <f t="shared" si="3"/>
        <v>0</v>
      </c>
      <c r="H42" s="1057">
        <f t="shared" si="3"/>
        <v>0</v>
      </c>
      <c r="J42" s="1060">
        <f>IF(J34=1,J28,0)</f>
        <v>0</v>
      </c>
      <c r="K42" s="1060"/>
      <c r="L42" s="1057">
        <f>IF(L34=1,L28,0)</f>
        <v>0</v>
      </c>
      <c r="N42" s="1060">
        <f t="shared" si="4"/>
        <v>0</v>
      </c>
      <c r="O42" s="1057">
        <f t="shared" si="4"/>
        <v>0</v>
      </c>
      <c r="Q42" s="1060">
        <f t="shared" si="5"/>
        <v>0</v>
      </c>
      <c r="R42" s="1057">
        <f t="shared" si="5"/>
        <v>0</v>
      </c>
      <c r="T42" s="1060">
        <f t="shared" si="6"/>
        <v>0</v>
      </c>
      <c r="U42" s="1057">
        <f t="shared" si="6"/>
        <v>0</v>
      </c>
      <c r="W42" s="1060">
        <f t="shared" si="7"/>
        <v>0</v>
      </c>
      <c r="X42" s="1057">
        <f t="shared" si="7"/>
        <v>0</v>
      </c>
      <c r="Z42" s="1060">
        <f t="shared" si="8"/>
        <v>0</v>
      </c>
      <c r="AA42" s="1057">
        <f t="shared" si="8"/>
        <v>0</v>
      </c>
      <c r="AC42" s="1060">
        <f t="shared" si="9"/>
        <v>0</v>
      </c>
      <c r="AD42" s="1057">
        <f t="shared" si="9"/>
        <v>0</v>
      </c>
      <c r="AF42" s="1060">
        <f>IF(AF34=1,AF28,0)</f>
        <v>0</v>
      </c>
    </row>
    <row r="43" spans="1:34" s="1057" customFormat="1" ht="12.75" hidden="1" customHeight="1" x14ac:dyDescent="0.2">
      <c r="A43" s="1057" t="s">
        <v>90</v>
      </c>
      <c r="B43" s="1057">
        <f>IF(B35=1,B29,0)</f>
        <v>0</v>
      </c>
      <c r="D43" s="1060">
        <f t="shared" si="2"/>
        <v>0</v>
      </c>
      <c r="E43" s="1057">
        <f t="shared" si="2"/>
        <v>0</v>
      </c>
      <c r="G43" s="1060">
        <f t="shared" si="3"/>
        <v>0</v>
      </c>
      <c r="H43" s="1057">
        <f t="shared" si="3"/>
        <v>0</v>
      </c>
      <c r="J43" s="1060">
        <f>IF(J35=1,J29,0)</f>
        <v>0</v>
      </c>
      <c r="K43" s="1060"/>
      <c r="L43" s="1057">
        <f>IF(L35=1,L29,0)</f>
        <v>0</v>
      </c>
      <c r="N43" s="1060">
        <f t="shared" si="4"/>
        <v>0</v>
      </c>
      <c r="O43" s="1057">
        <f t="shared" si="4"/>
        <v>0</v>
      </c>
      <c r="Q43" s="1060">
        <f t="shared" si="5"/>
        <v>0</v>
      </c>
      <c r="R43" s="1057">
        <f t="shared" si="5"/>
        <v>0</v>
      </c>
      <c r="T43" s="1060">
        <f t="shared" si="6"/>
        <v>0</v>
      </c>
      <c r="U43" s="1057">
        <f t="shared" si="6"/>
        <v>0</v>
      </c>
      <c r="W43" s="1060">
        <f t="shared" si="7"/>
        <v>0</v>
      </c>
      <c r="X43" s="1057">
        <f t="shared" si="7"/>
        <v>0</v>
      </c>
      <c r="Z43" s="1060">
        <f t="shared" si="8"/>
        <v>0</v>
      </c>
      <c r="AA43" s="1057">
        <f t="shared" si="8"/>
        <v>0</v>
      </c>
      <c r="AC43" s="1060">
        <f t="shared" si="9"/>
        <v>0</v>
      </c>
      <c r="AD43" s="1057">
        <f t="shared" si="9"/>
        <v>0</v>
      </c>
      <c r="AF43" s="1060">
        <f>IF(AF35=1,AF29,0)</f>
        <v>0</v>
      </c>
    </row>
    <row r="44" spans="1:34" s="1057" customFormat="1" ht="38.25" hidden="1" customHeight="1" x14ac:dyDescent="0.2">
      <c r="A44" s="1061" t="s">
        <v>91</v>
      </c>
      <c r="B44" s="1057">
        <f>SUM(B39:D43)</f>
        <v>31</v>
      </c>
      <c r="D44" s="1060"/>
      <c r="E44" s="1057">
        <f>SUM(E39:G43)</f>
        <v>31</v>
      </c>
      <c r="G44" s="1060"/>
      <c r="H44" s="1057">
        <f>SUM(H39:J43)</f>
        <v>34</v>
      </c>
      <c r="J44" s="1060"/>
      <c r="K44" s="1060"/>
      <c r="L44" s="1057">
        <f>SUM(L39:N43)</f>
        <v>32</v>
      </c>
      <c r="N44" s="1060"/>
      <c r="O44" s="1057">
        <f>SUM(O39:Q43)</f>
        <v>37</v>
      </c>
      <c r="Q44" s="1060"/>
      <c r="R44" s="1057">
        <f>SUM(R39:T43)</f>
        <v>26</v>
      </c>
      <c r="T44" s="1060"/>
      <c r="U44" s="1057">
        <f>SUM(U39:W43)</f>
        <v>0</v>
      </c>
      <c r="W44" s="1060"/>
      <c r="X44" s="1057">
        <f>SUM(X39:Z43)</f>
        <v>0</v>
      </c>
      <c r="Z44" s="1060"/>
      <c r="AA44" s="1057">
        <f>SUM(AA39:AC43)</f>
        <v>0</v>
      </c>
      <c r="AC44" s="1060"/>
      <c r="AD44" s="1057">
        <f>SUM(AD39:AF43)</f>
        <v>0</v>
      </c>
      <c r="AF44" s="1060"/>
    </row>
    <row r="45" spans="1:34" s="1057" customFormat="1" ht="38.25" hidden="1" customHeight="1" x14ac:dyDescent="0.2">
      <c r="A45" s="1057" t="s">
        <v>92</v>
      </c>
      <c r="D45" s="1060"/>
      <c r="G45" s="1060"/>
      <c r="J45" s="1060"/>
      <c r="K45" s="1060"/>
      <c r="N45" s="1060"/>
      <c r="Q45" s="1060"/>
      <c r="T45" s="1060"/>
      <c r="W45" s="1060"/>
      <c r="Z45" s="1060"/>
      <c r="AC45" s="1060"/>
      <c r="AF45" s="1060"/>
      <c r="AG45" s="1061" t="s">
        <v>93</v>
      </c>
      <c r="AH45" s="1057" t="s">
        <v>94</v>
      </c>
    </row>
    <row r="46" spans="1:34" s="1057" customFormat="1" ht="12.75" hidden="1" customHeight="1" x14ac:dyDescent="0.2">
      <c r="A46" s="1057" t="s">
        <v>95</v>
      </c>
      <c r="B46" s="1057">
        <f>IF(B24=1,IF(B37=1,1,0),0)</f>
        <v>0</v>
      </c>
      <c r="D46" s="1060">
        <f>IF(D24=1,IF(D37=1,1,0),0)</f>
        <v>0</v>
      </c>
      <c r="E46" s="1057">
        <f>IF(E24=1,IF(E37=1,1,0),0)</f>
        <v>1</v>
      </c>
      <c r="G46" s="1060">
        <f>IF(G24=1,IF(G37=1,1,0),0)</f>
        <v>0</v>
      </c>
      <c r="H46" s="1057">
        <f>IF(H24=1,IF(H37=1,1,0),0)</f>
        <v>0</v>
      </c>
      <c r="J46" s="1060">
        <f>IF(J24=1,IF(J37=1,1,0),0)</f>
        <v>0</v>
      </c>
      <c r="K46" s="1060"/>
      <c r="L46" s="1057">
        <f>IF(L24=1,IF(L37=1,1,0),0)</f>
        <v>0</v>
      </c>
      <c r="N46" s="1060">
        <f>IF(N24=1,IF(N37=1,1,0),0)</f>
        <v>0</v>
      </c>
      <c r="O46" s="1057">
        <f>IF(O24=1,IF(O37=1,1,0),0)</f>
        <v>0</v>
      </c>
      <c r="Q46" s="1060">
        <f>IF(Q24=1,IF(Q37=1,1,0),0)</f>
        <v>0</v>
      </c>
      <c r="R46" s="1057">
        <f>IF(R24=1,IF(R37=1,1,0),0)</f>
        <v>1</v>
      </c>
      <c r="T46" s="1060">
        <f>IF(T24=1,IF(T37=1,1,0),0)</f>
        <v>0</v>
      </c>
      <c r="U46" s="1057">
        <f>IF(U24=1,IF(U37=1,1,0),0)</f>
        <v>0</v>
      </c>
      <c r="W46" s="1060">
        <f>IF(W24=1,IF(W37=1,1,0),0)</f>
        <v>0</v>
      </c>
      <c r="X46" s="1057">
        <f>IF(X24=1,IF(X37=1,1,0),0)</f>
        <v>0</v>
      </c>
      <c r="Z46" s="1060">
        <f>IF(Z24=1,IF(Z37=1,1,0),0)</f>
        <v>0</v>
      </c>
      <c r="AA46" s="1057">
        <f>IF(AA24=1,IF(AA37=1,1,0),0)</f>
        <v>0</v>
      </c>
      <c r="AC46" s="1060">
        <f>IF(AC24=1,IF(AC37=1,1,0),0)</f>
        <v>0</v>
      </c>
      <c r="AD46" s="1057">
        <f>IF(AD24=1,IF(AD37=1,1,0),0)</f>
        <v>0</v>
      </c>
      <c r="AF46" s="1060">
        <f>IF(AF24=1,IF(AF37=1,1,0),0)</f>
        <v>0</v>
      </c>
      <c r="AG46" s="1057">
        <f>SUM(B46:AF46)</f>
        <v>2</v>
      </c>
      <c r="AH46" s="1057">
        <f>AG52-AG46</f>
        <v>1</v>
      </c>
    </row>
    <row r="47" spans="1:34" s="1057" customFormat="1" ht="12.75" hidden="1" customHeight="1" x14ac:dyDescent="0.2">
      <c r="A47" s="1057" t="s">
        <v>96</v>
      </c>
      <c r="B47" s="1057">
        <f>IF(B24=2,IF(B37=1,1,0),0)</f>
        <v>0</v>
      </c>
      <c r="D47" s="1060">
        <f>IF(D24=2,IF(D37=1,1,0),0)</f>
        <v>0</v>
      </c>
      <c r="E47" s="1057">
        <f>IF(E24=2,IF(E37=1,1,0),0)</f>
        <v>0</v>
      </c>
      <c r="G47" s="1060">
        <f>IF(G24=2,IF(G37=1,1,0),0)</f>
        <v>0</v>
      </c>
      <c r="H47" s="1057">
        <f>IF(H24=2,IF(H37=1,1,0),0)</f>
        <v>1</v>
      </c>
      <c r="J47" s="1060">
        <f>IF(J24=2,IF(J37=1,1,0),0)</f>
        <v>0</v>
      </c>
      <c r="K47" s="1060"/>
      <c r="L47" s="1057">
        <f>IF(L24=2,IF(L37=1,1,0),0)</f>
        <v>0</v>
      </c>
      <c r="N47" s="1060">
        <f>IF(N24=2,IF(N37=1,1,0),0)</f>
        <v>0</v>
      </c>
      <c r="O47" s="1057">
        <f>IF(O24=2,IF(O37=1,1,0),0)</f>
        <v>0</v>
      </c>
      <c r="Q47" s="1060">
        <f>IF(Q24=2,IF(Q37=1,1,0),0)</f>
        <v>0</v>
      </c>
      <c r="R47" s="1057">
        <f>IF(R24=2,IF(R37=1,1,0),0)</f>
        <v>0</v>
      </c>
      <c r="T47" s="1060">
        <f>IF(T24=2,IF(T37=1,1,0),0)</f>
        <v>0</v>
      </c>
      <c r="U47" s="1057">
        <f>IF(U24=2,IF(U37=1,1,0),0)</f>
        <v>0</v>
      </c>
      <c r="W47" s="1060">
        <f>IF(W24=2,IF(W37=1,1,0),0)</f>
        <v>0</v>
      </c>
      <c r="X47" s="1057">
        <f>IF(X24=2,IF(X37=1,1,0),0)</f>
        <v>0</v>
      </c>
      <c r="Z47" s="1060">
        <f>IF(Z24=2,IF(Z37=1,1,0),0)</f>
        <v>0</v>
      </c>
      <c r="AA47" s="1057">
        <f>IF(AA24=2,IF(AA37=1,1,0),0)</f>
        <v>0</v>
      </c>
      <c r="AC47" s="1060">
        <f>IF(AC24=2,IF(AC37=1,1,0),0)</f>
        <v>0</v>
      </c>
      <c r="AD47" s="1057">
        <f>IF(AD24=2,IF(AD37=1,1,0),0)</f>
        <v>0</v>
      </c>
      <c r="AF47" s="1060">
        <f>IF(AF24=2,IF(AF37=1,1,0),0)</f>
        <v>0</v>
      </c>
      <c r="AG47" s="1057">
        <f>SUM(B47:AF47)</f>
        <v>1</v>
      </c>
      <c r="AH47" s="1057">
        <f>AG53-AG47</f>
        <v>2</v>
      </c>
    </row>
    <row r="48" spans="1:34" s="1057" customFormat="1" ht="12.75" hidden="1" customHeight="1" x14ac:dyDescent="0.2">
      <c r="A48" s="1057" t="s">
        <v>97</v>
      </c>
      <c r="B48" s="1057">
        <f>IF(B24=3,IF(B37=1,1,0),0)</f>
        <v>0</v>
      </c>
      <c r="D48" s="1060">
        <f>IF(D24=3,IF(D37=1,1,0),0)</f>
        <v>1</v>
      </c>
      <c r="E48" s="1057">
        <f>IF(E24=3,IF(E37=1,1,0),0)</f>
        <v>0</v>
      </c>
      <c r="G48" s="1060">
        <f>IF(G24=3,IF(G37=1,1,0),0)</f>
        <v>0</v>
      </c>
      <c r="H48" s="1057">
        <f>IF(H24=3,IF(H37=1,1,0),0)</f>
        <v>0</v>
      </c>
      <c r="J48" s="1060">
        <f>IF(J24=3,IF(J37=1,1,0),0)</f>
        <v>0</v>
      </c>
      <c r="K48" s="1060"/>
      <c r="L48" s="1057">
        <f>IF(L24=3,IF(L37=1,1,0),0)</f>
        <v>0</v>
      </c>
      <c r="N48" s="1060">
        <f>IF(N24=3,IF(N37=1,1,0),0)</f>
        <v>1</v>
      </c>
      <c r="O48" s="1057">
        <f>IF(O24=3,IF(O37=1,1,0),0)</f>
        <v>1</v>
      </c>
      <c r="Q48" s="1060">
        <f>IF(Q24=3,IF(Q37=1,1,0),0)</f>
        <v>0</v>
      </c>
      <c r="R48" s="1057">
        <f>IF(R24=3,IF(R37=1,1,0),0)</f>
        <v>0</v>
      </c>
      <c r="T48" s="1060">
        <f>IF(T24=3,IF(T37=1,1,0),0)</f>
        <v>0</v>
      </c>
      <c r="U48" s="1057">
        <f>IF(U24=3,IF(U37=1,1,0),0)</f>
        <v>0</v>
      </c>
      <c r="W48" s="1060">
        <f>IF(W24=3,IF(W37=1,1,0),0)</f>
        <v>0</v>
      </c>
      <c r="X48" s="1057">
        <f>IF(X24=3,IF(X37=1,1,0),0)</f>
        <v>0</v>
      </c>
      <c r="Z48" s="1060">
        <f>IF(Z24=3,IF(Z37=1,1,0),0)</f>
        <v>0</v>
      </c>
      <c r="AA48" s="1057">
        <f>IF(AA24=3,IF(AA37=1,1,0),0)</f>
        <v>0</v>
      </c>
      <c r="AC48" s="1060">
        <f>IF(AC24=3,IF(AC37=1,1,0),0)</f>
        <v>0</v>
      </c>
      <c r="AD48" s="1057">
        <f>IF(AD24=3,IF(AD37=1,1,0),0)</f>
        <v>0</v>
      </c>
      <c r="AF48" s="1060">
        <f>IF(AF24=3,IF(AF37=1,1,0),0)</f>
        <v>0</v>
      </c>
      <c r="AG48" s="1057">
        <f>SUM(B48:AF48)</f>
        <v>3</v>
      </c>
      <c r="AH48" s="1057">
        <f>AG54-AG48</f>
        <v>0</v>
      </c>
    </row>
    <row r="49" spans="1:38" s="1057" customFormat="1" ht="12.75" hidden="1" customHeight="1" x14ac:dyDescent="0.2">
      <c r="A49" s="1057" t="s">
        <v>98</v>
      </c>
      <c r="B49" s="1057">
        <f>IF(B24=4,IF(B37=1,1,0),0)</f>
        <v>0</v>
      </c>
      <c r="D49" s="1060">
        <f>IF(D24=4,IF(D37=1,1,0),0)</f>
        <v>0</v>
      </c>
      <c r="E49" s="1057">
        <f>IF(E24=4,IF(E37=1,1,0),0)</f>
        <v>0</v>
      </c>
      <c r="G49" s="1060">
        <f>IF(G24=4,IF(G37=1,1,0),0)</f>
        <v>0</v>
      </c>
      <c r="H49" s="1057">
        <f>IF(H24=4,IF(H37=1,1,0),0)</f>
        <v>0</v>
      </c>
      <c r="J49" s="1060">
        <f>IF(J24=4,IF(J37=1,1,0),0)</f>
        <v>0</v>
      </c>
      <c r="K49" s="1060"/>
      <c r="L49" s="1057">
        <f>IF(L24=4,IF(L37=1,1,0),0)</f>
        <v>0</v>
      </c>
      <c r="N49" s="1060">
        <f>IF(N24=4,IF(N37=1,1,0),0)</f>
        <v>0</v>
      </c>
      <c r="O49" s="1057">
        <f>IF(O24=4,IF(O37=1,1,0),0)</f>
        <v>0</v>
      </c>
      <c r="Q49" s="1060">
        <f>IF(Q24=4,IF(Q37=1,1,0),0)</f>
        <v>0</v>
      </c>
      <c r="R49" s="1057">
        <f>IF(R24=4,IF(R37=1,1,0),0)</f>
        <v>0</v>
      </c>
      <c r="T49" s="1060">
        <f>IF(T24=4,IF(T37=1,1,0),0)</f>
        <v>0</v>
      </c>
      <c r="U49" s="1057">
        <f>IF(U24=4,IF(U37=1,1,0),0)</f>
        <v>0</v>
      </c>
      <c r="W49" s="1060">
        <f>IF(W24=4,IF(W37=1,1,0),0)</f>
        <v>0</v>
      </c>
      <c r="X49" s="1057">
        <f>IF(X24=4,IF(X37=1,1,0),0)</f>
        <v>0</v>
      </c>
      <c r="Z49" s="1060">
        <f>IF(Z24=4,IF(Z37=1,1,0),0)</f>
        <v>0</v>
      </c>
      <c r="AA49" s="1057">
        <f>IF(AA24=4,IF(AA37=1,1,0),0)</f>
        <v>0</v>
      </c>
      <c r="AC49" s="1060">
        <f>IF(AC24=4,IF(AC37=1,1,0),0)</f>
        <v>0</v>
      </c>
      <c r="AD49" s="1057">
        <f>IF(AD24=4,IF(AD37=1,1,0),0)</f>
        <v>0</v>
      </c>
      <c r="AF49" s="1060">
        <f>IF(AF24=4,IF(AF37=1,1,0),0)</f>
        <v>0</v>
      </c>
      <c r="AG49" s="1057">
        <f>SUM(B49:AF49)</f>
        <v>0</v>
      </c>
      <c r="AH49" s="1057">
        <f>AG55-AG49</f>
        <v>3</v>
      </c>
    </row>
    <row r="50" spans="1:38" s="1057" customFormat="1" ht="12.75" hidden="1" customHeight="1" x14ac:dyDescent="0.2">
      <c r="A50" s="1057" t="s">
        <v>99</v>
      </c>
      <c r="B50" s="1057">
        <f>IF(B24=5,IF(B37=1,1,0),0)</f>
        <v>0</v>
      </c>
      <c r="D50" s="1060">
        <f>IF(D24=5,IF(D37=1,1,0),0)</f>
        <v>0</v>
      </c>
      <c r="E50" s="1057">
        <f>IF(E24=5,IF(E37=1,1,0),0)</f>
        <v>0</v>
      </c>
      <c r="G50" s="1060">
        <f>IF(G24=5,IF(G37=1,1,0),0)</f>
        <v>0</v>
      </c>
      <c r="H50" s="1057">
        <f>IF(H24=5,IF(H37=1,1,0),0)</f>
        <v>0</v>
      </c>
      <c r="J50" s="1060">
        <f>IF(J24=5,IF(J37=1,1,0),0)</f>
        <v>0</v>
      </c>
      <c r="K50" s="1060"/>
      <c r="L50" s="1057">
        <f>IF(L24=5,IF(L37=1,1,0),0)</f>
        <v>0</v>
      </c>
      <c r="N50" s="1060">
        <f>IF(N24=5,IF(N37=1,1,0),0)</f>
        <v>0</v>
      </c>
      <c r="O50" s="1057">
        <f>IF(O24=5,IF(O37=1,1,0),0)</f>
        <v>0</v>
      </c>
      <c r="Q50" s="1060">
        <f>IF(Q24=5,IF(Q37=1,1,0),0)</f>
        <v>0</v>
      </c>
      <c r="R50" s="1057">
        <f>IF(R24=5,IF(R37=1,1,0),0)</f>
        <v>0</v>
      </c>
      <c r="T50" s="1060">
        <f>IF(T24=5,IF(T37=1,1,0),0)</f>
        <v>0</v>
      </c>
      <c r="U50" s="1057">
        <f>IF(U24=5,IF(U37=1,1,0),0)</f>
        <v>0</v>
      </c>
      <c r="W50" s="1060">
        <f>IF(W24=5,IF(W37=1,1,0),0)</f>
        <v>0</v>
      </c>
      <c r="X50" s="1057">
        <f>IF(X24=5,IF(X37=1,1,0),0)</f>
        <v>0</v>
      </c>
      <c r="Z50" s="1060">
        <f>IF(Z24=5,IF(Z37=1,1,0),0)</f>
        <v>0</v>
      </c>
      <c r="AA50" s="1057">
        <f>IF(AA24=5,IF(AA37=1,1,0),0)</f>
        <v>0</v>
      </c>
      <c r="AC50" s="1060">
        <f>IF(AC24=5,IF(AC37=1,1,0),0)</f>
        <v>0</v>
      </c>
      <c r="AD50" s="1057">
        <f>IF(AD24=5,IF(AD37=1,1,0),0)</f>
        <v>0</v>
      </c>
      <c r="AF50" s="1060">
        <f>IF(AF24=5,IF(AF37=1,1,0),0)</f>
        <v>0</v>
      </c>
      <c r="AG50" s="1057">
        <f>SUM(B50:AF50)</f>
        <v>0</v>
      </c>
      <c r="AH50" s="1057">
        <f>AG56-AG50</f>
        <v>0</v>
      </c>
    </row>
    <row r="51" spans="1:38" s="1057" customFormat="1" ht="38.25" hidden="1" customHeight="1" x14ac:dyDescent="0.2">
      <c r="A51" s="1061"/>
      <c r="D51" s="1060"/>
      <c r="G51" s="1060"/>
      <c r="J51" s="1060"/>
      <c r="K51" s="1060"/>
      <c r="N51" s="1060"/>
      <c r="Q51" s="1060"/>
      <c r="T51" s="1060"/>
      <c r="W51" s="1060"/>
      <c r="Z51" s="1060"/>
      <c r="AC51" s="1060"/>
      <c r="AF51" s="1060"/>
      <c r="AG51" s="1061" t="s">
        <v>100</v>
      </c>
    </row>
    <row r="52" spans="1:38" s="1057" customFormat="1" ht="12.75" hidden="1" customHeight="1" x14ac:dyDescent="0.2">
      <c r="A52" s="1057" t="s">
        <v>101</v>
      </c>
      <c r="B52" s="1057">
        <f>IF(B24=1,IF(C37=1,1,0),0)</f>
        <v>0</v>
      </c>
      <c r="D52" s="1060">
        <f>IF(D24=1,IF(C37=1,1,0),0)</f>
        <v>0</v>
      </c>
      <c r="E52" s="1057">
        <f>IF(E24=1,IF(F37=1,1,0),0)</f>
        <v>1</v>
      </c>
      <c r="G52" s="1060">
        <f>IF(G24=1,IF(F37=1,1,0),0)</f>
        <v>0</v>
      </c>
      <c r="H52" s="1057">
        <f>IF(H24=1,IF(I37=1,1,0),0)</f>
        <v>0</v>
      </c>
      <c r="J52" s="1060">
        <f>IF(J24=1,IF(I37=1,1,0),0)</f>
        <v>0</v>
      </c>
      <c r="K52" s="1060"/>
      <c r="L52" s="1057">
        <f>IF(L24=1,IF(M37=1,1,0),0)</f>
        <v>1</v>
      </c>
      <c r="N52" s="1060">
        <f>IF(N24=1,IF(M37=1,1,0),0)</f>
        <v>0</v>
      </c>
      <c r="O52" s="1057">
        <f>IF(O24=1,IF(P37=1,1,0),0)</f>
        <v>0</v>
      </c>
      <c r="Q52" s="1060">
        <f>IF(Q24=1,IF(P37=1,1,0),0)</f>
        <v>0</v>
      </c>
      <c r="R52" s="1057">
        <f>IF(R24=1,IF(S37=1,1,0),0)</f>
        <v>1</v>
      </c>
      <c r="T52" s="1060">
        <f>IF(T24=1,IF(S37=1,1,0),0)</f>
        <v>0</v>
      </c>
      <c r="U52" s="1057">
        <f>IF(U24=1,IF(V37=1,1,0),0)</f>
        <v>0</v>
      </c>
      <c r="W52" s="1060">
        <f>IF(W24=1,IF(V37=1,1,0),0)</f>
        <v>0</v>
      </c>
      <c r="X52" s="1057">
        <f>IF(X24=1,IF(Y37=1,1,0),0)</f>
        <v>0</v>
      </c>
      <c r="Z52" s="1060">
        <f>IF(Z24=1,IF(Y37=1,1,0),0)</f>
        <v>0</v>
      </c>
      <c r="AA52" s="1057">
        <f>IF(AA24=1,IF(AB37=1,1,0),0)</f>
        <v>0</v>
      </c>
      <c r="AC52" s="1060">
        <f>IF(AC24=1,IF(AB37=1,1,0),0)</f>
        <v>0</v>
      </c>
      <c r="AD52" s="1057">
        <f>IF(AD24=1,IF(AE37=1,1,0),0)</f>
        <v>0</v>
      </c>
      <c r="AF52" s="1060">
        <f>IF(AF24=1,IF(AE37=1,1,0),0)</f>
        <v>0</v>
      </c>
      <c r="AG52" s="1057">
        <f>SUM(B52:AF52)</f>
        <v>3</v>
      </c>
    </row>
    <row r="53" spans="1:38" s="1057" customFormat="1" ht="12.75" hidden="1" customHeight="1" x14ac:dyDescent="0.2">
      <c r="A53" s="1057" t="s">
        <v>102</v>
      </c>
      <c r="B53" s="1057">
        <f>IF(B24=2,IF(C37=1,1,0),0)</f>
        <v>1</v>
      </c>
      <c r="D53" s="1060">
        <f>IF(D24=2,IF(C37=1,1,0),0)</f>
        <v>0</v>
      </c>
      <c r="E53" s="1057">
        <f>IF(E24=2,IF(F37=1,1,0),0)</f>
        <v>0</v>
      </c>
      <c r="G53" s="1060">
        <f>IF(G24=2,IF(F37=1,1,0),0)</f>
        <v>0</v>
      </c>
      <c r="H53" s="1057">
        <f>IF(H24=2,IF(I37=1,1,0),0)</f>
        <v>1</v>
      </c>
      <c r="J53" s="1060">
        <f>IF(J24=2,IF(I37=1,1,0),0)</f>
        <v>0</v>
      </c>
      <c r="K53" s="1060"/>
      <c r="L53" s="1057">
        <f>IF(L24=2,IF(M37=1,1,0),0)</f>
        <v>0</v>
      </c>
      <c r="N53" s="1060">
        <f>IF(N24=2,IF(M37=1,1,0),0)</f>
        <v>0</v>
      </c>
      <c r="O53" s="1057">
        <f>IF(O24=2,IF(P37=1,1,0),0)</f>
        <v>0</v>
      </c>
      <c r="Q53" s="1060">
        <f>IF(Q24=2,IF(P37=1,1,0),0)</f>
        <v>0</v>
      </c>
      <c r="R53" s="1057">
        <f>IF(R24=2,IF(S37=1,1,0),0)</f>
        <v>0</v>
      </c>
      <c r="T53" s="1060">
        <f>IF(T24=2,IF(S37=1,1,0),0)</f>
        <v>1</v>
      </c>
      <c r="U53" s="1057">
        <f>IF(U24=2,IF(V37=1,1,0),0)</f>
        <v>0</v>
      </c>
      <c r="W53" s="1060">
        <f>IF(W24=2,IF(V37=1,1,0),0)</f>
        <v>0</v>
      </c>
      <c r="X53" s="1057">
        <f>IF(X24=2,IF(Y37=1,1,0),0)</f>
        <v>0</v>
      </c>
      <c r="Z53" s="1060">
        <f>IF(Z24=2,IF(Y37=1,1,0),0)</f>
        <v>0</v>
      </c>
      <c r="AA53" s="1057">
        <f>IF(AA24=2,IF(AB37=1,1,0),0)</f>
        <v>0</v>
      </c>
      <c r="AC53" s="1060">
        <f>IF(AC24=2,IF(AB37=1,1,0),0)</f>
        <v>0</v>
      </c>
      <c r="AD53" s="1057">
        <f>IF(AD24=2,IF(AE37=1,1,0),0)</f>
        <v>0</v>
      </c>
      <c r="AF53" s="1060">
        <f>IF(AF24=2,IF(AE37=1,1,0),0)</f>
        <v>0</v>
      </c>
      <c r="AG53" s="1057">
        <f>SUM(B53:AF53)</f>
        <v>3</v>
      </c>
    </row>
    <row r="54" spans="1:38" s="1057" customFormat="1" ht="12.75" hidden="1" customHeight="1" x14ac:dyDescent="0.2">
      <c r="A54" s="1057" t="s">
        <v>103</v>
      </c>
      <c r="B54" s="1057">
        <f>IF(B24=3,IF(C37=1,1,0),0)</f>
        <v>0</v>
      </c>
      <c r="D54" s="1060">
        <f>IF(D24=3,IF(C37=1,1,0),0)</f>
        <v>1</v>
      </c>
      <c r="E54" s="1057">
        <f>IF(E24=3,IF(F37=1,1,0),0)</f>
        <v>0</v>
      </c>
      <c r="G54" s="1060">
        <f>IF(G24=3,IF(F37=1,1,0),0)</f>
        <v>0</v>
      </c>
      <c r="H54" s="1057">
        <f>IF(H24=3,IF(I37=1,1,0),0)</f>
        <v>0</v>
      </c>
      <c r="J54" s="1060">
        <f>IF(J24=3,IF(I37=1,1,0),0)</f>
        <v>0</v>
      </c>
      <c r="K54" s="1060"/>
      <c r="L54" s="1057">
        <f>IF(L24=3,IF(M37=1,1,0),0)</f>
        <v>0</v>
      </c>
      <c r="N54" s="1060">
        <f>IF(N24=3,IF(M37=1,1,0),0)</f>
        <v>1</v>
      </c>
      <c r="O54" s="1057">
        <f>IF(O24=3,IF(P37=1,1,0),0)</f>
        <v>1</v>
      </c>
      <c r="Q54" s="1060">
        <f>IF(Q24=3,IF(P37=1,1,0),0)</f>
        <v>0</v>
      </c>
      <c r="R54" s="1057">
        <f>IF(R24=3,IF(S37=1,1,0),0)</f>
        <v>0</v>
      </c>
      <c r="T54" s="1060">
        <f>IF(T24=3,IF(S37=1,1,0),0)</f>
        <v>0</v>
      </c>
      <c r="U54" s="1057">
        <f>IF(U24=3,IF(V37=1,1,0),0)</f>
        <v>0</v>
      </c>
      <c r="W54" s="1060">
        <f>IF(W24=3,IF(V37=1,1,0),0)</f>
        <v>0</v>
      </c>
      <c r="X54" s="1057">
        <f>IF(X24=3,IF(Y37=1,1,0),0)</f>
        <v>0</v>
      </c>
      <c r="Z54" s="1060">
        <f>IF(Z24=3,IF(Y37=1,1,0),0)</f>
        <v>0</v>
      </c>
      <c r="AA54" s="1057">
        <f>IF(AA24=3,IF(AB37=1,1,0),0)</f>
        <v>0</v>
      </c>
      <c r="AC54" s="1060">
        <f>IF(AC24=3,IF(AB37=1,1,0),0)</f>
        <v>0</v>
      </c>
      <c r="AD54" s="1057">
        <f>IF(AD24=3,IF(AE37=1,1,0),0)</f>
        <v>0</v>
      </c>
      <c r="AF54" s="1060">
        <f>IF(AF24=3,IF(AE37=1,1,0),0)</f>
        <v>0</v>
      </c>
      <c r="AG54" s="1057">
        <f>SUM(B54:AF54)</f>
        <v>3</v>
      </c>
    </row>
    <row r="55" spans="1:38" s="1057" customFormat="1" ht="12.75" hidden="1" customHeight="1" x14ac:dyDescent="0.2">
      <c r="A55" s="1057" t="s">
        <v>104</v>
      </c>
      <c r="B55" s="1057">
        <f>IF(B24=4,IF(C37=1,1,0),0)</f>
        <v>0</v>
      </c>
      <c r="D55" s="1060">
        <f>IF(D24=4,IF(C37=1,1,0),0)</f>
        <v>0</v>
      </c>
      <c r="E55" s="1057">
        <f>IF(E24=4,IF(F37=1,1,0),0)</f>
        <v>0</v>
      </c>
      <c r="G55" s="1060">
        <f>IF(G24=4,IF(F37=1,1,0),0)</f>
        <v>1</v>
      </c>
      <c r="H55" s="1057">
        <f>IF(H24=4,IF(I37=1,1,0),0)</f>
        <v>0</v>
      </c>
      <c r="J55" s="1060">
        <f>IF(J24=4,IF(I37=1,1,0),0)</f>
        <v>1</v>
      </c>
      <c r="K55" s="1060"/>
      <c r="L55" s="1057">
        <f>IF(L24=4,IF(M37=1,1,0),0)</f>
        <v>0</v>
      </c>
      <c r="N55" s="1060">
        <f>IF(N24=4,IF(M37=1,1,0),0)</f>
        <v>0</v>
      </c>
      <c r="O55" s="1057">
        <f>IF(O24=4,IF(P37=1,1,0),0)</f>
        <v>0</v>
      </c>
      <c r="Q55" s="1060">
        <f>IF(Q24=4,IF(P37=1,1,0),0)</f>
        <v>1</v>
      </c>
      <c r="R55" s="1057">
        <f>IF(R24=4,IF(S37=1,1,0),0)</f>
        <v>0</v>
      </c>
      <c r="T55" s="1060">
        <f>IF(T24=4,IF(S37=1,1,0),0)</f>
        <v>0</v>
      </c>
      <c r="U55" s="1057">
        <f>IF(U24=4,IF(V37=1,1,0),0)</f>
        <v>0</v>
      </c>
      <c r="W55" s="1060">
        <f>IF(W24=4,IF(V37=1,1,0),0)</f>
        <v>0</v>
      </c>
      <c r="X55" s="1057">
        <f>IF(X24=4,IF(Y37=1,1,0),0)</f>
        <v>0</v>
      </c>
      <c r="Z55" s="1060">
        <f>IF(Z24=4,IF(Y37=1,1,0),0)</f>
        <v>0</v>
      </c>
      <c r="AA55" s="1057">
        <f>IF(AA24=4,IF(AB37=1,1,0),0)</f>
        <v>0</v>
      </c>
      <c r="AC55" s="1060">
        <f>IF(AC24=4,IF(AB37=1,1,0),0)</f>
        <v>0</v>
      </c>
      <c r="AD55" s="1057">
        <f>IF(AD24=4,IF(AE37=1,1,0),0)</f>
        <v>0</v>
      </c>
      <c r="AF55" s="1060">
        <f>IF(AF24=4,IF(AE37=1,1,0),0)</f>
        <v>0</v>
      </c>
      <c r="AG55" s="1057">
        <f>SUM(B55:AF55)</f>
        <v>3</v>
      </c>
    </row>
    <row r="56" spans="1:38" s="1057" customFormat="1" ht="12.75" hidden="1" customHeight="1" x14ac:dyDescent="0.2">
      <c r="A56" s="1057" t="s">
        <v>105</v>
      </c>
      <c r="B56" s="1057">
        <f>IF(B24=5,IF(C37=1,1,0),0)</f>
        <v>0</v>
      </c>
      <c r="D56" s="1060">
        <f>IF(D24=5,IF(C37=1,1,0),0)</f>
        <v>0</v>
      </c>
      <c r="E56" s="1057">
        <f>IF(E24=5,IF(F37=1,1,0),0)</f>
        <v>0</v>
      </c>
      <c r="G56" s="1060">
        <f>IF(G24=5,IF(F37=1,1,0),0)</f>
        <v>0</v>
      </c>
      <c r="H56" s="1057">
        <f>IF(H24=5,IF(I37=1,1,0),0)</f>
        <v>0</v>
      </c>
      <c r="J56" s="1060">
        <f>IF(J24=5,IF(I37=1,1,0),0)</f>
        <v>0</v>
      </c>
      <c r="K56" s="1060"/>
      <c r="L56" s="1057">
        <f>IF(L24=5,IF(M37=1,1,0),0)</f>
        <v>0</v>
      </c>
      <c r="N56" s="1060">
        <f>IF(N24=5,IF(M37=1,1,0),0)</f>
        <v>0</v>
      </c>
      <c r="O56" s="1057">
        <f>IF(O24=5,IF(P37=1,1,0),0)</f>
        <v>0</v>
      </c>
      <c r="Q56" s="1060">
        <f>IF(Q24=5,IF(P37=1,1,0),0)</f>
        <v>0</v>
      </c>
      <c r="R56" s="1057">
        <f>IF(R24=5,IF(S37=1,1,0),0)</f>
        <v>0</v>
      </c>
      <c r="T56" s="1060">
        <f>IF(T24=5,IF(S37=1,1,0),0)</f>
        <v>0</v>
      </c>
      <c r="U56" s="1057">
        <f>IF(U24=5,IF(V37=1,1,0),0)</f>
        <v>0</v>
      </c>
      <c r="W56" s="1060">
        <f>IF(W24=5,IF(V37=1,1,0),0)</f>
        <v>0</v>
      </c>
      <c r="X56" s="1057">
        <f>IF(X24=5,IF(Y37=1,1,0),0)</f>
        <v>0</v>
      </c>
      <c r="Z56" s="1060">
        <f>IF(Z24=5,IF(Y37=1,1,0),0)</f>
        <v>0</v>
      </c>
      <c r="AA56" s="1057">
        <f>IF(AA24=5,IF(AB37=1,1,0),0)</f>
        <v>0</v>
      </c>
      <c r="AC56" s="1060">
        <f>IF(AC24=5,IF(AB37=1,1,0),0)</f>
        <v>0</v>
      </c>
      <c r="AD56" s="1057">
        <f>IF(AD24=5,IF(AE37=1,1,0),0)</f>
        <v>0</v>
      </c>
      <c r="AF56" s="1060">
        <f>IF(AF24=5,IF(AE37=1,1,0),0)</f>
        <v>0</v>
      </c>
      <c r="AG56" s="1057">
        <f>SUM(B56:AF56)</f>
        <v>0</v>
      </c>
    </row>
    <row r="57" spans="1:38" s="1057" customFormat="1" ht="38.25" hidden="1" customHeight="1" x14ac:dyDescent="0.2">
      <c r="A57" s="1061"/>
      <c r="D57" s="1060"/>
      <c r="G57" s="1060"/>
      <c r="J57" s="1060"/>
      <c r="K57" s="1060"/>
      <c r="N57" s="1060"/>
      <c r="Q57" s="1060"/>
      <c r="T57" s="1060"/>
      <c r="W57" s="1060"/>
      <c r="Z57" s="1060"/>
      <c r="AC57" s="1060"/>
      <c r="AF57" s="1060"/>
      <c r="AG57" s="1061" t="s">
        <v>106</v>
      </c>
      <c r="AH57" s="1062"/>
      <c r="AI57" s="1062"/>
      <c r="AJ57" s="1062"/>
      <c r="AK57" s="1062"/>
      <c r="AL57" s="1062"/>
    </row>
    <row r="58" spans="1:38" s="1057" customFormat="1" ht="12.75" hidden="1" customHeight="1" x14ac:dyDescent="0.2">
      <c r="A58" s="1057" t="s">
        <v>101</v>
      </c>
      <c r="B58" s="1057">
        <f>IF(B24=1,B44,0)</f>
        <v>0</v>
      </c>
      <c r="D58" s="1060">
        <f>IF(D24=1,B44,0)</f>
        <v>0</v>
      </c>
      <c r="E58" s="1057">
        <f>IF(E24=1,E44,0)</f>
        <v>31</v>
      </c>
      <c r="G58" s="1060">
        <f>IF(G24=1,E44,0)</f>
        <v>0</v>
      </c>
      <c r="H58" s="1057">
        <f>IF(H24=1,H44,0)</f>
        <v>0</v>
      </c>
      <c r="J58" s="1060">
        <f>IF(J24=1,H44,0)</f>
        <v>0</v>
      </c>
      <c r="K58" s="1060"/>
      <c r="L58" s="1057">
        <f>IF(L24=1,L44,0)</f>
        <v>32</v>
      </c>
      <c r="N58" s="1060">
        <f>IF(N24=1,L44,0)</f>
        <v>0</v>
      </c>
      <c r="O58" s="1057">
        <f>IF(O24=1,O44,0)</f>
        <v>0</v>
      </c>
      <c r="Q58" s="1060">
        <f>IF(Q24=1,O44,0)</f>
        <v>0</v>
      </c>
      <c r="R58" s="1057">
        <f>IF(R24=1,R44,0)</f>
        <v>26</v>
      </c>
      <c r="T58" s="1060">
        <f>IF(T24=1,R44,0)</f>
        <v>0</v>
      </c>
      <c r="U58" s="1057">
        <f>IF(U24=1,U44,0)</f>
        <v>0</v>
      </c>
      <c r="W58" s="1060">
        <f>IF(W24=1,U44,0)</f>
        <v>0</v>
      </c>
      <c r="X58" s="1057">
        <f>IF(X24=1,X44,0)</f>
        <v>0</v>
      </c>
      <c r="Z58" s="1060">
        <f>IF(Z24=1,X44,0)</f>
        <v>0</v>
      </c>
      <c r="AA58" s="1057">
        <f>IF(AA24=1,AA44,0)</f>
        <v>0</v>
      </c>
      <c r="AC58" s="1060">
        <f>IF(AC24=1,AA44,0)</f>
        <v>0</v>
      </c>
      <c r="AD58" s="1057">
        <f>IF(AD24=1,AD44,0)</f>
        <v>0</v>
      </c>
      <c r="AF58" s="1060">
        <f>IF(AF24=1,AD44,0)</f>
        <v>0</v>
      </c>
      <c r="AG58" s="1057">
        <f>SUM(B58:AF58)</f>
        <v>89</v>
      </c>
    </row>
    <row r="59" spans="1:38" s="1057" customFormat="1" ht="12.75" hidden="1" customHeight="1" x14ac:dyDescent="0.2">
      <c r="A59" s="1057" t="s">
        <v>102</v>
      </c>
      <c r="B59" s="1057">
        <f>IF(B24=2,B44,0)</f>
        <v>31</v>
      </c>
      <c r="D59" s="1060">
        <f>IF(D24=2,B44,0)</f>
        <v>0</v>
      </c>
      <c r="E59" s="1057">
        <f>IF(E24=2,E44,0)</f>
        <v>0</v>
      </c>
      <c r="G59" s="1060">
        <f>IF(G24=2,E44,0)</f>
        <v>0</v>
      </c>
      <c r="H59" s="1057">
        <f>IF(H24=2,H44,0)</f>
        <v>34</v>
      </c>
      <c r="J59" s="1060">
        <f>IF(J24=2,H44,0)</f>
        <v>0</v>
      </c>
      <c r="K59" s="1060"/>
      <c r="L59" s="1057">
        <f>IF(L24=2,L44,0)</f>
        <v>0</v>
      </c>
      <c r="N59" s="1060">
        <f>IF(N24=2,L44,0)</f>
        <v>0</v>
      </c>
      <c r="O59" s="1057">
        <f>IF(O24=2,O44,0)</f>
        <v>0</v>
      </c>
      <c r="Q59" s="1060">
        <f>IF(Q24=2,O44,0)</f>
        <v>0</v>
      </c>
      <c r="R59" s="1057">
        <f>IF(R24=2,R44,0)</f>
        <v>0</v>
      </c>
      <c r="T59" s="1060">
        <f>IF(T24=2,R44,0)</f>
        <v>26</v>
      </c>
      <c r="U59" s="1057">
        <f>IF(U24=2,U44,0)</f>
        <v>0</v>
      </c>
      <c r="W59" s="1060">
        <f>IF(W24=2,U44,0)</f>
        <v>0</v>
      </c>
      <c r="X59" s="1057">
        <f>IF(X24=2,X44,0)</f>
        <v>0</v>
      </c>
      <c r="Z59" s="1060">
        <f>IF(Z24=2,X44,0)</f>
        <v>0</v>
      </c>
      <c r="AA59" s="1057">
        <f>IF(AA24=2,AA44,0)</f>
        <v>0</v>
      </c>
      <c r="AC59" s="1060">
        <f>IF(AC24=2,AA44,0)</f>
        <v>0</v>
      </c>
      <c r="AD59" s="1057">
        <f>IF(AD24=2,AD44,0)</f>
        <v>0</v>
      </c>
      <c r="AF59" s="1060">
        <f>IF(AF24=2,AD44,0)</f>
        <v>0</v>
      </c>
      <c r="AG59" s="1057">
        <f>SUM(B59:AF59)</f>
        <v>91</v>
      </c>
    </row>
    <row r="60" spans="1:38" s="1057" customFormat="1" ht="12.75" hidden="1" customHeight="1" x14ac:dyDescent="0.2">
      <c r="A60" s="1057" t="s">
        <v>103</v>
      </c>
      <c r="B60" s="1057">
        <f>IF(B24=3,B44,0)</f>
        <v>0</v>
      </c>
      <c r="D60" s="1060">
        <f>IF(D24=3,B44,0)</f>
        <v>31</v>
      </c>
      <c r="E60" s="1057">
        <f>IF(E24=3,E44,0)</f>
        <v>0</v>
      </c>
      <c r="G60" s="1060">
        <f>IF(G24=3,E44,0)</f>
        <v>0</v>
      </c>
      <c r="H60" s="1057">
        <f>IF(H24=3,H44,0)</f>
        <v>0</v>
      </c>
      <c r="J60" s="1060">
        <f>IF(J24=3,H44,0)</f>
        <v>0</v>
      </c>
      <c r="K60" s="1060"/>
      <c r="L60" s="1057">
        <f>IF(L24=3,L44,0)</f>
        <v>0</v>
      </c>
      <c r="N60" s="1060">
        <f>IF(N24=3,L44,0)</f>
        <v>32</v>
      </c>
      <c r="O60" s="1057">
        <f>IF(O24=3,O44,0)</f>
        <v>37</v>
      </c>
      <c r="Q60" s="1060">
        <f>IF(Q24=3,O44,0)</f>
        <v>0</v>
      </c>
      <c r="R60" s="1057">
        <f>IF(R24=3,R44,0)</f>
        <v>0</v>
      </c>
      <c r="T60" s="1060">
        <f>IF(T24=3,R44,0)</f>
        <v>0</v>
      </c>
      <c r="U60" s="1057">
        <f>IF(U24=3,U44,0)</f>
        <v>0</v>
      </c>
      <c r="W60" s="1060">
        <f>IF(W24=3,U44,0)</f>
        <v>0</v>
      </c>
      <c r="X60" s="1057">
        <f>IF(X24=3,X44,0)</f>
        <v>0</v>
      </c>
      <c r="Z60" s="1060">
        <f>IF(Z24=3,X44,0)</f>
        <v>0</v>
      </c>
      <c r="AA60" s="1057">
        <f>IF(AA24=3,AA44,0)</f>
        <v>0</v>
      </c>
      <c r="AC60" s="1060">
        <f>IF(AC24=3,AA44,0)</f>
        <v>0</v>
      </c>
      <c r="AD60" s="1057">
        <f>IF(AD24=3,AD44,0)</f>
        <v>0</v>
      </c>
      <c r="AF60" s="1060">
        <f>IF(AF24=3,AD44,0)</f>
        <v>0</v>
      </c>
      <c r="AG60" s="1057">
        <f>SUM(B60:AF60)</f>
        <v>100</v>
      </c>
    </row>
    <row r="61" spans="1:38" s="1057" customFormat="1" ht="12.75" hidden="1" customHeight="1" x14ac:dyDescent="0.2">
      <c r="A61" s="1057" t="s">
        <v>104</v>
      </c>
      <c r="B61" s="1057">
        <f>IF(B24=4,B44,0)</f>
        <v>0</v>
      </c>
      <c r="D61" s="1060">
        <f>IF(D24=4,B44,0)</f>
        <v>0</v>
      </c>
      <c r="E61" s="1057">
        <f>IF(E24=4,E44,0)</f>
        <v>0</v>
      </c>
      <c r="G61" s="1060">
        <f>IF(G24=4,E44,0)</f>
        <v>31</v>
      </c>
      <c r="H61" s="1057">
        <f>IF(H24=4,H44,0)</f>
        <v>0</v>
      </c>
      <c r="J61" s="1060">
        <f>IF(J24=4,H44,0)</f>
        <v>34</v>
      </c>
      <c r="K61" s="1060"/>
      <c r="L61" s="1057">
        <f>IF(L24=4,L44,0)</f>
        <v>0</v>
      </c>
      <c r="N61" s="1060">
        <f>IF(N24=4,L44,0)</f>
        <v>0</v>
      </c>
      <c r="O61" s="1057">
        <f>IF(O24=4,O44,0)</f>
        <v>0</v>
      </c>
      <c r="Q61" s="1060">
        <f>IF(Q24=4,O44,0)</f>
        <v>37</v>
      </c>
      <c r="R61" s="1057">
        <f>IF(R24=4,R44,0)</f>
        <v>0</v>
      </c>
      <c r="T61" s="1060">
        <f>IF(T24=4,R44,0)</f>
        <v>0</v>
      </c>
      <c r="U61" s="1057">
        <f>IF(U24=4,U44,0)</f>
        <v>0</v>
      </c>
      <c r="W61" s="1060">
        <f>IF(W24=4,U44,0)</f>
        <v>0</v>
      </c>
      <c r="X61" s="1057">
        <f>IF(X24=4,X44,0)</f>
        <v>0</v>
      </c>
      <c r="Z61" s="1060">
        <f>IF(Z24=4,X44,0)</f>
        <v>0</v>
      </c>
      <c r="AA61" s="1057">
        <f>IF(AA24=4,AA44,0)</f>
        <v>0</v>
      </c>
      <c r="AC61" s="1060">
        <f>IF(AC24=4,AA44,0)</f>
        <v>0</v>
      </c>
      <c r="AD61" s="1057">
        <f>IF(AD24=4,AD44,0)</f>
        <v>0</v>
      </c>
      <c r="AF61" s="1060">
        <f>IF(AF24=4,AD44,0)</f>
        <v>0</v>
      </c>
      <c r="AG61" s="1057">
        <f>SUM(B61:AF61)</f>
        <v>102</v>
      </c>
    </row>
    <row r="62" spans="1:38" s="1057" customFormat="1" ht="12.75" hidden="1" customHeight="1" x14ac:dyDescent="0.2">
      <c r="A62" s="1057" t="s">
        <v>105</v>
      </c>
      <c r="B62" s="1057">
        <f>IF(B24=5,B44,0)</f>
        <v>0</v>
      </c>
      <c r="D62" s="1060">
        <f>IF(D24=5,B44,0)</f>
        <v>0</v>
      </c>
      <c r="E62" s="1057">
        <f>IF(E24=5,E44,0)</f>
        <v>0</v>
      </c>
      <c r="G62" s="1060">
        <f>IF(G24=5,E44,0)</f>
        <v>0</v>
      </c>
      <c r="H62" s="1057">
        <f>IF(H24=5,H44,0)</f>
        <v>0</v>
      </c>
      <c r="J62" s="1060">
        <f>IF(J24=5,H44,0)</f>
        <v>0</v>
      </c>
      <c r="K62" s="1060"/>
      <c r="L62" s="1057">
        <f>IF(L24=5,L44,0)</f>
        <v>0</v>
      </c>
      <c r="N62" s="1060">
        <f>IF(N24=5,L44,0)</f>
        <v>0</v>
      </c>
      <c r="O62" s="1057">
        <f>IF(O24=5,O44,0)</f>
        <v>0</v>
      </c>
      <c r="Q62" s="1060">
        <f>IF(Q24=5,O44,0)</f>
        <v>0</v>
      </c>
      <c r="R62" s="1057">
        <f>IF(R24=5,R44,0)</f>
        <v>0</v>
      </c>
      <c r="T62" s="1060">
        <f>IF(T24=5,R44,0)</f>
        <v>0</v>
      </c>
      <c r="U62" s="1057">
        <f>IF(U24=5,U44,0)</f>
        <v>0</v>
      </c>
      <c r="W62" s="1060">
        <f>IF(W24=5,U44,0)</f>
        <v>0</v>
      </c>
      <c r="X62" s="1057">
        <f>IF(X24=5,X44,0)</f>
        <v>0</v>
      </c>
      <c r="Z62" s="1060">
        <f>IF(Z24=5,X44,0)</f>
        <v>0</v>
      </c>
      <c r="AA62" s="1057">
        <f>IF(AA24=5,AA44,0)</f>
        <v>0</v>
      </c>
      <c r="AC62" s="1060">
        <f>IF(AC24=5,AA44,0)</f>
        <v>0</v>
      </c>
      <c r="AD62" s="1057">
        <f>IF(AD24=5,AD44,0)</f>
        <v>0</v>
      </c>
      <c r="AF62" s="1060">
        <f>IF(AF24=5,AD44,0)</f>
        <v>0</v>
      </c>
      <c r="AG62" s="1057">
        <f>SUM(B62:AF62)</f>
        <v>0</v>
      </c>
    </row>
    <row r="63" spans="1:38" s="1057" customFormat="1" ht="38.25" hidden="1" customHeight="1" x14ac:dyDescent="0.2">
      <c r="A63" s="1057" t="s">
        <v>107</v>
      </c>
      <c r="D63" s="1060"/>
      <c r="G63" s="1060"/>
      <c r="J63" s="1060"/>
      <c r="K63" s="1060"/>
      <c r="N63" s="1060"/>
      <c r="Q63" s="1060"/>
      <c r="T63" s="1060"/>
      <c r="W63" s="1060"/>
      <c r="Z63" s="1060"/>
      <c r="AC63" s="1060"/>
      <c r="AF63" s="1060"/>
      <c r="AG63" s="1061" t="s">
        <v>108</v>
      </c>
      <c r="AH63" s="1057" t="s">
        <v>109</v>
      </c>
    </row>
    <row r="64" spans="1:38" s="1057" customFormat="1" ht="12.75" hidden="1" customHeight="1" x14ac:dyDescent="0.2">
      <c r="A64" s="1057" t="s">
        <v>95</v>
      </c>
      <c r="B64" s="1057">
        <f>IF(B24=1,SUMIF(B31:B35,"&gt;0"),0)</f>
        <v>0</v>
      </c>
      <c r="D64" s="1060">
        <f>IF(D24=1,SUMIF(D31:D35,"&gt;0"),0)</f>
        <v>0</v>
      </c>
      <c r="E64" s="1057">
        <f>IF(E24=1,SUMIF(E31:E35,"&gt;0"),0)</f>
        <v>1</v>
      </c>
      <c r="G64" s="1060">
        <f>IF(G24=1,SUMIF(G31:G35,"&gt;0"),0)</f>
        <v>0</v>
      </c>
      <c r="H64" s="1057">
        <f>IF(H24=1,SUMIF(H31:H35,"&gt;0"),0)</f>
        <v>0</v>
      </c>
      <c r="J64" s="1060">
        <f>IF(J24=1,SUMIF(J31:J35,"&gt;0"),0)</f>
        <v>0</v>
      </c>
      <c r="K64" s="1060"/>
      <c r="L64" s="1057">
        <f>IF(L24=1,SUMIF(L31:L35,"&gt;0"),0)</f>
        <v>0</v>
      </c>
      <c r="N64" s="1060">
        <f>IF(N24=1,SUMIF(N31:N35,"&gt;0"),0)</f>
        <v>0</v>
      </c>
      <c r="O64" s="1057">
        <f>IF(O24=1,SUMIF(O31:O35,"&gt;0"),0)</f>
        <v>0</v>
      </c>
      <c r="Q64" s="1060">
        <f>IF(Q24=1,SUMIF(Q31:Q35,"&gt;0"),0)</f>
        <v>0</v>
      </c>
      <c r="R64" s="1057">
        <f>IF(R24=1,SUMIF(R31:R35,"&gt;0"),0)</f>
        <v>1</v>
      </c>
      <c r="T64" s="1060">
        <f>IF(T24=1,SUMIF(T31:T35,"&gt;0"),0)</f>
        <v>0</v>
      </c>
      <c r="U64" s="1057">
        <f>IF(U24=1,SUMIF(U31:U35,"&gt;0"),0)</f>
        <v>0</v>
      </c>
      <c r="W64" s="1060">
        <f>IF(W24=1,SUMIF(W31:W35,"&gt;0"),0)</f>
        <v>0</v>
      </c>
      <c r="X64" s="1057">
        <f>IF(X24=1,SUMIF(X31:X35,"&gt;0"),0)</f>
        <v>0</v>
      </c>
      <c r="Z64" s="1060">
        <f>IF(Z24=1,SUMIF(Z31:Z35,"&gt;0"),0)</f>
        <v>0</v>
      </c>
      <c r="AA64" s="1057">
        <f>IF(AA24=1,SUMIF(AA31:AA35,"&gt;0"),0)</f>
        <v>0</v>
      </c>
      <c r="AC64" s="1060">
        <f>IF(AC24=1,SUMIF(AC31:AC35,"&gt;0"),0)</f>
        <v>0</v>
      </c>
      <c r="AD64" s="1057">
        <f>IF(AD24=1,SUMIF(AD31:AD35,"&gt;0"),0)</f>
        <v>0</v>
      </c>
      <c r="AF64" s="1060">
        <f>IF(AF24=1,SUMIF(AF31:AF35,"&gt;0"),0)</f>
        <v>0</v>
      </c>
      <c r="AG64" s="1057">
        <f>SUM(B64:AF64)</f>
        <v>2</v>
      </c>
      <c r="AH64" s="1057">
        <f>AG72-AG64</f>
        <v>1</v>
      </c>
    </row>
    <row r="65" spans="1:81" s="1057" customFormat="1" ht="12.75" hidden="1" customHeight="1" x14ac:dyDescent="0.2">
      <c r="A65" s="1057" t="s">
        <v>96</v>
      </c>
      <c r="B65" s="1057">
        <f>IF(B24=2,SUMIF(B31:B35,"&gt;0"),0)</f>
        <v>0</v>
      </c>
      <c r="D65" s="1060">
        <f>IF(D24=2,SUMIF(D31:D35,"&gt;0"),0)</f>
        <v>0</v>
      </c>
      <c r="E65" s="1057">
        <f>IF(E24=2,SUMIF(E31:E35,"&gt;0"),0)</f>
        <v>0</v>
      </c>
      <c r="G65" s="1060">
        <f>IF(G24=2,SUMIF(G31:G35,"&gt;0"),0)</f>
        <v>0</v>
      </c>
      <c r="H65" s="1057">
        <f>IF(H24=2,SUMIF(H31:H35,"&gt;0"),0)</f>
        <v>1</v>
      </c>
      <c r="J65" s="1060">
        <f>IF(J24=2,SUMIF(J31:J35,"&gt;0"),0)</f>
        <v>0</v>
      </c>
      <c r="K65" s="1060"/>
      <c r="L65" s="1057">
        <f>IF(L24=2,SUMIF(L31:L35,"&gt;0"),0)</f>
        <v>0</v>
      </c>
      <c r="N65" s="1060">
        <f>IF(N24=2,SUMIF(N31:N35,"&gt;0"),0)</f>
        <v>0</v>
      </c>
      <c r="O65" s="1057">
        <f>IF(O24=2,SUMIF(O31:O35,"&gt;0"),0)</f>
        <v>0</v>
      </c>
      <c r="Q65" s="1060">
        <f>IF(Q24=2,SUMIF(Q31:Q35,"&gt;0"),0)</f>
        <v>0</v>
      </c>
      <c r="R65" s="1057">
        <f>IF(R24=2,SUMIF(R31:R35,"&gt;0"),0)</f>
        <v>0</v>
      </c>
      <c r="T65" s="1060">
        <f>IF(T24=2,SUMIF(T31:T35,"&gt;0"),0)</f>
        <v>0</v>
      </c>
      <c r="U65" s="1057">
        <f>IF(U24=2,SUMIF(U31:U35,"&gt;0"),0)</f>
        <v>0</v>
      </c>
      <c r="W65" s="1060">
        <f>IF(W24=2,SUMIF(W31:W35,"&gt;0"),0)</f>
        <v>0</v>
      </c>
      <c r="X65" s="1057">
        <f>IF(X24=2,SUMIF(X31:X35,"&gt;0"),0)</f>
        <v>0</v>
      </c>
      <c r="Z65" s="1060">
        <f>IF(Z24=2,SUMIF(Z31:Z35,"&gt;0"),0)</f>
        <v>0</v>
      </c>
      <c r="AA65" s="1057">
        <f>IF(AA24=2,SUMIF(AA31:AA35,"&gt;0"),0)</f>
        <v>0</v>
      </c>
      <c r="AC65" s="1060">
        <f>IF(AC24=2,SUMIF(AC31:AC35,"&gt;0"),0)</f>
        <v>0</v>
      </c>
      <c r="AD65" s="1057">
        <f>IF(AD24=2,SUMIF(AD31:AD35,"&gt;0"),0)</f>
        <v>0</v>
      </c>
      <c r="AF65" s="1060">
        <f>IF(AF24=2,SUMIF(AF31:AF35,"&gt;0"),0)</f>
        <v>0</v>
      </c>
      <c r="AG65" s="1057">
        <f>SUM(B65:AF65)</f>
        <v>1</v>
      </c>
      <c r="AH65" s="1057">
        <f>AG73-AG65</f>
        <v>2</v>
      </c>
    </row>
    <row r="66" spans="1:81" s="1057" customFormat="1" ht="12.75" hidden="1" customHeight="1" x14ac:dyDescent="0.2">
      <c r="A66" s="1057" t="s">
        <v>97</v>
      </c>
      <c r="B66" s="1057">
        <f>IF(B24=3,SUMIF(B31:B35,"&gt;0"),0)</f>
        <v>0</v>
      </c>
      <c r="D66" s="1060">
        <f>IF(D24=3,SUMIF(D31:D35,"&gt;0"),0)</f>
        <v>1</v>
      </c>
      <c r="E66" s="1057">
        <f>IF(E24=3,SUMIF(E31:E35,"&gt;0"),0)</f>
        <v>0</v>
      </c>
      <c r="G66" s="1060">
        <f>IF(G24=3,SUMIF(G31:G35,"&gt;0"),0)</f>
        <v>0</v>
      </c>
      <c r="H66" s="1057">
        <f>IF(H24=3,SUMIF(H31:H35,"&gt;0"),0)</f>
        <v>0</v>
      </c>
      <c r="J66" s="1060">
        <f>IF(J24=3,SUMIF(J31:J35,"&gt;0"),0)</f>
        <v>0</v>
      </c>
      <c r="K66" s="1060"/>
      <c r="L66" s="1057">
        <f>IF(L24=3,SUMIF(L31:L35,"&gt;0"),0)</f>
        <v>0</v>
      </c>
      <c r="N66" s="1060">
        <f>IF(N24=3,SUMIF(N31:N35,"&gt;0"),0)</f>
        <v>1</v>
      </c>
      <c r="O66" s="1057">
        <f>IF(O24=3,SUMIF(O31:O35,"&gt;0"),0)</f>
        <v>1</v>
      </c>
      <c r="Q66" s="1060">
        <f>IF(Q24=3,SUMIF(Q31:Q35,"&gt;0"),0)</f>
        <v>0</v>
      </c>
      <c r="R66" s="1057">
        <f>IF(R24=3,SUMIF(R31:R35,"&gt;0"),0)</f>
        <v>0</v>
      </c>
      <c r="T66" s="1060">
        <f>IF(T24=3,SUMIF(T31:T35,"&gt;0"),0)</f>
        <v>0</v>
      </c>
      <c r="U66" s="1057">
        <f>IF(U24=3,SUMIF(U31:U35,"&gt;0"),0)</f>
        <v>0</v>
      </c>
      <c r="W66" s="1060">
        <f>IF(W24=3,SUMIF(W31:W35,"&gt;0"),0)</f>
        <v>0</v>
      </c>
      <c r="X66" s="1057">
        <f>IF(X24=3,SUMIF(X31:X35,"&gt;0"),0)</f>
        <v>0</v>
      </c>
      <c r="Z66" s="1060">
        <f>IF(Z24=3,SUMIF(Z31:Z35,"&gt;0"),0)</f>
        <v>0</v>
      </c>
      <c r="AA66" s="1057">
        <f>IF(AA24=3,SUMIF(AA31:AA35,"&gt;0"),0)</f>
        <v>0</v>
      </c>
      <c r="AC66" s="1060">
        <f>IF(AC24=3,SUMIF(AC31:AC35,"&gt;0"),0)</f>
        <v>0</v>
      </c>
      <c r="AD66" s="1057">
        <f>IF(AD24=3,SUMIF(AD31:AD35,"&gt;0"),0)</f>
        <v>0</v>
      </c>
      <c r="AF66" s="1060">
        <f>IF(AF24=3,SUMIF(AF31:AF35,"&gt;0"),0)</f>
        <v>0</v>
      </c>
      <c r="AG66" s="1057">
        <f>SUM(B66:AF66)</f>
        <v>3</v>
      </c>
      <c r="AH66" s="1057">
        <f>AG74-AG66</f>
        <v>0</v>
      </c>
    </row>
    <row r="67" spans="1:81" s="1057" customFormat="1" ht="12.75" hidden="1" customHeight="1" x14ac:dyDescent="0.2">
      <c r="A67" s="1057" t="s">
        <v>98</v>
      </c>
      <c r="B67" s="1057">
        <f>IF(B24=4,SUMIF(B31:B35,"&gt;0"),0)</f>
        <v>0</v>
      </c>
      <c r="D67" s="1060">
        <f>IF(D24=4,SUMIF(D31:D35,"&gt;0"),0)</f>
        <v>0</v>
      </c>
      <c r="E67" s="1057">
        <f>IF(E24=4,SUMIF(E31:E35,"&gt;0"),0)</f>
        <v>0</v>
      </c>
      <c r="G67" s="1060">
        <f>IF(G24=4,SUMIF(G31:G35,"&gt;0"),0)</f>
        <v>0</v>
      </c>
      <c r="H67" s="1057">
        <f>IF(H24=4,SUMIF(H31:H35,"&gt;0"),0)</f>
        <v>0</v>
      </c>
      <c r="J67" s="1060">
        <f>IF(J24=4,SUMIF(J31:J35,"&gt;0"),0)</f>
        <v>0</v>
      </c>
      <c r="K67" s="1060"/>
      <c r="L67" s="1057">
        <f>IF(L24=4,SUMIF(L31:L35,"&gt;0"),0)</f>
        <v>0</v>
      </c>
      <c r="N67" s="1060">
        <f>IF(N24=4,SUMIF(N31:N35,"&gt;0"),0)</f>
        <v>0</v>
      </c>
      <c r="O67" s="1057">
        <f>IF(O24=4,SUMIF(O31:O35,"&gt;0"),0)</f>
        <v>0</v>
      </c>
      <c r="Q67" s="1060">
        <f>IF(Q24=4,SUMIF(Q31:Q35,"&gt;0"),0)</f>
        <v>0</v>
      </c>
      <c r="R67" s="1057">
        <f>IF(R24=4,SUMIF(R31:R35,"&gt;0"),0)</f>
        <v>0</v>
      </c>
      <c r="T67" s="1060">
        <f>IF(T24=4,SUMIF(T31:T35,"&gt;0"),0)</f>
        <v>0</v>
      </c>
      <c r="U67" s="1057">
        <f>IF(U24=4,SUMIF(U31:U35,"&gt;0"),0)</f>
        <v>0</v>
      </c>
      <c r="W67" s="1060">
        <f>IF(W24=4,SUMIF(W31:W35,"&gt;0"),0)</f>
        <v>0</v>
      </c>
      <c r="X67" s="1057">
        <f>IF(X24=4,SUMIF(X31:X35,"&gt;0"),0)</f>
        <v>0</v>
      </c>
      <c r="Z67" s="1060">
        <f>IF(Z24=4,SUMIF(Z31:Z35,"&gt;0"),0)</f>
        <v>0</v>
      </c>
      <c r="AA67" s="1057">
        <f>IF(AA24=4,SUMIF(AA31:AA35,"&gt;0"),0)</f>
        <v>0</v>
      </c>
      <c r="AC67" s="1060">
        <f>IF(AC24=4,SUMIF(AC31:AC35,"&gt;0"),0)</f>
        <v>0</v>
      </c>
      <c r="AD67" s="1057">
        <f>IF(AD24=4,SUMIF(AD31:AD35,"&gt;0"),0)</f>
        <v>0</v>
      </c>
      <c r="AF67" s="1060">
        <f>IF(AF24=4,SUMIF(AF31:AF35,"&gt;0"),0)</f>
        <v>0</v>
      </c>
      <c r="AG67" s="1057">
        <f>SUM(B67:AF67)</f>
        <v>0</v>
      </c>
      <c r="AH67" s="1057">
        <f>AG75-AG67</f>
        <v>3</v>
      </c>
    </row>
    <row r="68" spans="1:81" s="1057" customFormat="1" ht="12.75" hidden="1" customHeight="1" x14ac:dyDescent="0.2">
      <c r="A68" s="1057" t="s">
        <v>99</v>
      </c>
      <c r="B68" s="1057">
        <f>IF(B24=5,SUMIF(B31:B35,"&gt;0"),0)</f>
        <v>0</v>
      </c>
      <c r="D68" s="1060">
        <f>IF(D24=5,SUMIF(D31:D35,"&gt;0"),0)</f>
        <v>0</v>
      </c>
      <c r="E68" s="1057">
        <f>IF(E24=5,SUMIF(E31:E35,"&gt;0"),0)</f>
        <v>0</v>
      </c>
      <c r="G68" s="1060">
        <f>IF(G24=5,SUMIF(G31:G35,"&gt;0"),0)</f>
        <v>0</v>
      </c>
      <c r="H68" s="1057">
        <f>IF(H24=5,SUMIF(H31:H35,"&gt;0"),0)</f>
        <v>0</v>
      </c>
      <c r="J68" s="1060">
        <f>IF(J24=5,SUMIF(J31:J35,"&gt;0"),0)</f>
        <v>0</v>
      </c>
      <c r="K68" s="1060"/>
      <c r="L68" s="1057">
        <f>IF(L24=5,SUMIF(L31:L35,"&gt;0"),0)</f>
        <v>0</v>
      </c>
      <c r="N68" s="1060">
        <f>IF(N24=5,SUMIF(N31:N35,"&gt;0"),0)</f>
        <v>0</v>
      </c>
      <c r="O68" s="1057">
        <f>IF(O24=5,SUMIF(O31:O35,"&gt;0"),0)</f>
        <v>0</v>
      </c>
      <c r="Q68" s="1060">
        <f>IF(Q24=5,SUMIF(Q31:Q35,"&gt;0"),0)</f>
        <v>0</v>
      </c>
      <c r="R68" s="1057">
        <f>IF(R24=5,SUMIF(R31:R35,"&gt;0"),0)</f>
        <v>0</v>
      </c>
      <c r="T68" s="1060">
        <f>IF(T24=5,SUMIF(T31:T35,"&gt;0"),0)</f>
        <v>0</v>
      </c>
      <c r="U68" s="1057">
        <f>IF(U24=5,SUMIF(U31:U35,"&gt;0"),0)</f>
        <v>0</v>
      </c>
      <c r="W68" s="1060">
        <f>IF(W24=5,SUMIF(W31:W35,"&gt;0"),0)</f>
        <v>0</v>
      </c>
      <c r="X68" s="1057">
        <f>IF(X24=5,SUMIF(X31:X35,"&gt;0"),0)</f>
        <v>0</v>
      </c>
      <c r="Z68" s="1060">
        <f>IF(Z24=5,SUMIF(Z31:Z35,"&gt;0"),0)</f>
        <v>0</v>
      </c>
      <c r="AA68" s="1057">
        <f>IF(AA24=5,SUMIF(AA31:AA35,"&gt;0"),0)</f>
        <v>0</v>
      </c>
      <c r="AC68" s="1060">
        <f>IF(AC24=5,SUMIF(AC31:AC35,"&gt;0"),0)</f>
        <v>0</v>
      </c>
      <c r="AD68" s="1057">
        <f>IF(AD24=5,SUMIF(AD31:AD35,"&gt;0"),0)</f>
        <v>0</v>
      </c>
      <c r="AF68" s="1060">
        <f>IF(AF24=5,SUMIF(AF31:AF35,"&gt;0"),0)</f>
        <v>0</v>
      </c>
      <c r="AG68" s="1057">
        <f>SUM(B68:AF68)</f>
        <v>0</v>
      </c>
      <c r="AH68" s="1057">
        <f>AG76-AG68</f>
        <v>0</v>
      </c>
    </row>
    <row r="69" spans="1:81" s="1057" customFormat="1" ht="12.75" hidden="1" customHeight="1" x14ac:dyDescent="0.2">
      <c r="D69" s="1060"/>
      <c r="G69" s="1060"/>
      <c r="J69" s="1060"/>
      <c r="K69" s="1060"/>
      <c r="N69" s="1060"/>
      <c r="Q69" s="1060"/>
      <c r="T69" s="1060"/>
      <c r="W69" s="1060"/>
      <c r="Z69" s="1060"/>
      <c r="AC69" s="1060"/>
      <c r="AF69" s="1060"/>
    </row>
    <row r="70" spans="1:81" s="1057" customFormat="1" ht="12.75" hidden="1" customHeight="1" x14ac:dyDescent="0.2">
      <c r="D70" s="1060"/>
      <c r="G70" s="1060"/>
      <c r="J70" s="1060"/>
      <c r="K70" s="1060"/>
      <c r="N70" s="1060"/>
      <c r="Q70" s="1060"/>
      <c r="T70" s="1060"/>
      <c r="W70" s="1060"/>
      <c r="Z70" s="1060"/>
      <c r="AC70" s="1060"/>
      <c r="AF70" s="1060"/>
    </row>
    <row r="71" spans="1:81" s="1057" customFormat="1" ht="51" hidden="1" customHeight="1" x14ac:dyDescent="0.2">
      <c r="A71" s="1061" t="s">
        <v>110</v>
      </c>
      <c r="C71" s="1057">
        <f>SUMIF(B64:D68,"&gt;0")</f>
        <v>1</v>
      </c>
      <c r="D71" s="1060"/>
      <c r="F71" s="1057">
        <f>SUMIF(E64:G68,"&gt;0")</f>
        <v>1</v>
      </c>
      <c r="G71" s="1060"/>
      <c r="I71" s="1057">
        <f>SUMIF(H64:J68,"&gt;0")</f>
        <v>1</v>
      </c>
      <c r="J71" s="1060"/>
      <c r="K71" s="1060"/>
      <c r="M71" s="1057">
        <f>SUMIF(L64:N68,"&gt;0")</f>
        <v>1</v>
      </c>
      <c r="N71" s="1060"/>
      <c r="P71" s="1057">
        <f>SUMIF(O64:Q68,"&gt;0")</f>
        <v>1</v>
      </c>
      <c r="Q71" s="1060"/>
      <c r="S71" s="1057">
        <f>SUMIF(R64:T68,"&gt;0")</f>
        <v>1</v>
      </c>
      <c r="T71" s="1060"/>
      <c r="V71" s="1057">
        <f>SUMIF(U64:W68,"&gt;0")</f>
        <v>0</v>
      </c>
      <c r="W71" s="1060"/>
      <c r="Y71" s="1057">
        <f>SUMIF(X64:Z68,"&gt;0")</f>
        <v>0</v>
      </c>
      <c r="Z71" s="1060"/>
      <c r="AB71" s="1057">
        <f>SUMIF(AA64:AC68,"&gt;0")</f>
        <v>0</v>
      </c>
      <c r="AC71" s="1060"/>
      <c r="AE71" s="1057">
        <f>SUMIF(AD64:AF68,"&gt;0")</f>
        <v>0</v>
      </c>
      <c r="AF71" s="1060"/>
      <c r="AG71" s="1061" t="s">
        <v>111</v>
      </c>
    </row>
    <row r="72" spans="1:81" s="1057" customFormat="1" ht="12.75" hidden="1" customHeight="1" x14ac:dyDescent="0.2">
      <c r="A72" s="1057" t="s">
        <v>101</v>
      </c>
      <c r="B72" s="1057">
        <f>IF(B24=1,C71,0)</f>
        <v>0</v>
      </c>
      <c r="D72" s="1060">
        <f>IF(D24=1,C71,0)</f>
        <v>0</v>
      </c>
      <c r="E72" s="1057">
        <f>IF(E24=1,F71,0)</f>
        <v>1</v>
      </c>
      <c r="G72" s="1060">
        <f>IF(G24=1,F71,0)</f>
        <v>0</v>
      </c>
      <c r="H72" s="1057">
        <f>IF(H24=1,I71,0)</f>
        <v>0</v>
      </c>
      <c r="J72" s="1060">
        <f>IF(J24=1,I71,0)</f>
        <v>0</v>
      </c>
      <c r="K72" s="1060"/>
      <c r="L72" s="1057">
        <f>IF(L24=1,M71,0)</f>
        <v>1</v>
      </c>
      <c r="N72" s="1060">
        <f>IF(N24=1,M71,0)</f>
        <v>0</v>
      </c>
      <c r="O72" s="1057">
        <f>IF(O24=1,P71,0)</f>
        <v>0</v>
      </c>
      <c r="Q72" s="1060">
        <f>IF(Q24=1,P71,0)</f>
        <v>0</v>
      </c>
      <c r="R72" s="1057">
        <f>IF(R24=1,S71,0)</f>
        <v>1</v>
      </c>
      <c r="T72" s="1060">
        <f>IF(T24=1,S71,0)</f>
        <v>0</v>
      </c>
      <c r="U72" s="1057">
        <f>IF(U24=1,V71,0)</f>
        <v>0</v>
      </c>
      <c r="W72" s="1060">
        <f>IF(W24=1,V71,0)</f>
        <v>0</v>
      </c>
      <c r="X72" s="1057">
        <f>IF(X24=1,Y71,0)</f>
        <v>0</v>
      </c>
      <c r="Z72" s="1060">
        <f>IF(Z24=1,Y71,0)</f>
        <v>0</v>
      </c>
      <c r="AA72" s="1057">
        <f>IF(AA24=1,AB71,0)</f>
        <v>0</v>
      </c>
      <c r="AC72" s="1060">
        <f>IF(AC24=1,AB71,0)</f>
        <v>0</v>
      </c>
      <c r="AD72" s="1057">
        <f>IF(AD24=1,AE71,0)</f>
        <v>0</v>
      </c>
      <c r="AF72" s="1060">
        <f>IF(AF24=1,AE71,0)</f>
        <v>0</v>
      </c>
      <c r="AG72" s="1057">
        <f>SUM(B72:AF72)</f>
        <v>3</v>
      </c>
    </row>
    <row r="73" spans="1:81" s="1057" customFormat="1" ht="12.75" hidden="1" customHeight="1" x14ac:dyDescent="0.2">
      <c r="A73" s="1057" t="s">
        <v>102</v>
      </c>
      <c r="B73" s="1057">
        <f>IF(B24=2,C71,0)</f>
        <v>1</v>
      </c>
      <c r="D73" s="1060">
        <f>IF(D24=2,C71,0)</f>
        <v>0</v>
      </c>
      <c r="E73" s="1057">
        <f>IF(E24=2,F71,0)</f>
        <v>0</v>
      </c>
      <c r="G73" s="1060">
        <f>IF(G24=2,F71,0)</f>
        <v>0</v>
      </c>
      <c r="H73" s="1057">
        <f>IF(H24=2,I71,0)</f>
        <v>1</v>
      </c>
      <c r="J73" s="1060">
        <f>IF(J24=2,I71,0)</f>
        <v>0</v>
      </c>
      <c r="K73" s="1060"/>
      <c r="L73" s="1057">
        <f>IF(L24=2,M71,0)</f>
        <v>0</v>
      </c>
      <c r="N73" s="1060">
        <f>IF(N24=2,M71,0)</f>
        <v>0</v>
      </c>
      <c r="O73" s="1057">
        <f>IF(O24=2,P71,0)</f>
        <v>0</v>
      </c>
      <c r="Q73" s="1060">
        <f>IF(Q24=2,P71,0)</f>
        <v>0</v>
      </c>
      <c r="R73" s="1057">
        <f>IF(R24=2,S71,0)</f>
        <v>0</v>
      </c>
      <c r="T73" s="1060">
        <f>IF(T24=2,S71,0)</f>
        <v>1</v>
      </c>
      <c r="U73" s="1057">
        <f>IF(U24=2,V71,0)</f>
        <v>0</v>
      </c>
      <c r="W73" s="1060">
        <f>IF(W24=2,V71,0)</f>
        <v>0</v>
      </c>
      <c r="X73" s="1057">
        <f>IF(X24=2,Y71,0)</f>
        <v>0</v>
      </c>
      <c r="Z73" s="1060">
        <f>IF(Z24=2,Y71,0)</f>
        <v>0</v>
      </c>
      <c r="AA73" s="1057">
        <f>IF(AA24=2,AB71,0)</f>
        <v>0</v>
      </c>
      <c r="AC73" s="1060">
        <f>IF(AC24=2,AB71,0)</f>
        <v>0</v>
      </c>
      <c r="AD73" s="1057">
        <f>IF(AD24=2,AE71,0)</f>
        <v>0</v>
      </c>
      <c r="AF73" s="1060">
        <f>IF(AF24=2,AE71,0)</f>
        <v>0</v>
      </c>
      <c r="AG73" s="1057">
        <f>SUM(B73:AF73)</f>
        <v>3</v>
      </c>
    </row>
    <row r="74" spans="1:81" s="1057" customFormat="1" ht="12.75" hidden="1" customHeight="1" x14ac:dyDescent="0.2">
      <c r="A74" s="1057" t="s">
        <v>103</v>
      </c>
      <c r="B74" s="1057">
        <f>IF(B24=3,C71,0)</f>
        <v>0</v>
      </c>
      <c r="D74" s="1060">
        <f>IF(D24=3,C71,0)</f>
        <v>1</v>
      </c>
      <c r="E74" s="1057">
        <f>IF(E24=3,F71,0)</f>
        <v>0</v>
      </c>
      <c r="G74" s="1060">
        <f>IF(G24=3,F71,0)</f>
        <v>0</v>
      </c>
      <c r="H74" s="1057">
        <f>IF(H24=3,I71,0)</f>
        <v>0</v>
      </c>
      <c r="J74" s="1060">
        <f>IF(J24=3,I71,0)</f>
        <v>0</v>
      </c>
      <c r="K74" s="1060"/>
      <c r="L74" s="1057">
        <f>IF(L24=3,M71,0)</f>
        <v>0</v>
      </c>
      <c r="N74" s="1060">
        <f>IF(N24=3,M71,0)</f>
        <v>1</v>
      </c>
      <c r="O74" s="1057">
        <f>IF(O24=3,P71,0)</f>
        <v>1</v>
      </c>
      <c r="Q74" s="1060">
        <f>IF(Q24=3,P71,0)</f>
        <v>0</v>
      </c>
      <c r="R74" s="1057">
        <f>IF(R24=3,S71,0)</f>
        <v>0</v>
      </c>
      <c r="T74" s="1060">
        <f>IF(T24=3,S71,0)</f>
        <v>0</v>
      </c>
      <c r="U74" s="1057">
        <f>IF(U24=3,V71,0)</f>
        <v>0</v>
      </c>
      <c r="W74" s="1060">
        <f>IF(W24=3,V71,0)</f>
        <v>0</v>
      </c>
      <c r="X74" s="1057">
        <f>IF(X24=3,Y71,0)</f>
        <v>0</v>
      </c>
      <c r="Z74" s="1060">
        <f>IF(Z24=3,Y71,0)</f>
        <v>0</v>
      </c>
      <c r="AA74" s="1057">
        <f>IF(AA24=3,AB71,0)</f>
        <v>0</v>
      </c>
      <c r="AC74" s="1060">
        <f>IF(AC24=3,AB71,0)</f>
        <v>0</v>
      </c>
      <c r="AD74" s="1057">
        <f>IF(AD24=3,AE71,0)</f>
        <v>0</v>
      </c>
      <c r="AF74" s="1060">
        <f>IF(AF24=3,AE71,0)</f>
        <v>0</v>
      </c>
      <c r="AG74" s="1057">
        <f>SUM(B74:AF74)</f>
        <v>3</v>
      </c>
    </row>
    <row r="75" spans="1:81" s="1057" customFormat="1" ht="12.75" hidden="1" customHeight="1" x14ac:dyDescent="0.2">
      <c r="A75" s="1057" t="s">
        <v>104</v>
      </c>
      <c r="B75" s="1057">
        <f>IF(B24=4,C71,0)</f>
        <v>0</v>
      </c>
      <c r="D75" s="1060">
        <f>IF(D24=4,C71,0)</f>
        <v>0</v>
      </c>
      <c r="E75" s="1057">
        <f>IF(E24=4,F71,0)</f>
        <v>0</v>
      </c>
      <c r="G75" s="1060">
        <f>IF(G24=4,F71,0)</f>
        <v>1</v>
      </c>
      <c r="H75" s="1057">
        <f>IF(H24=4,I71,0)</f>
        <v>0</v>
      </c>
      <c r="J75" s="1060">
        <f>IF(J24=4,I71,0)</f>
        <v>1</v>
      </c>
      <c r="K75" s="1060"/>
      <c r="L75" s="1057">
        <f>IF(L24=4,M71,0)</f>
        <v>0</v>
      </c>
      <c r="N75" s="1060">
        <f>IF(N24=4,M71,0)</f>
        <v>0</v>
      </c>
      <c r="O75" s="1057">
        <f>IF(O24=4,P71,0)</f>
        <v>0</v>
      </c>
      <c r="Q75" s="1060">
        <f>IF(Q24=4,P71,0)</f>
        <v>1</v>
      </c>
      <c r="R75" s="1057">
        <f>IF(R24=4,S71,0)</f>
        <v>0</v>
      </c>
      <c r="T75" s="1060">
        <f>IF(T24=4,S71,0)</f>
        <v>0</v>
      </c>
      <c r="U75" s="1057">
        <f>IF(U24=4,V71,0)</f>
        <v>0</v>
      </c>
      <c r="W75" s="1060">
        <f>IF(W24=4,V71,0)</f>
        <v>0</v>
      </c>
      <c r="X75" s="1057">
        <f>IF(X24=4,Y71,0)</f>
        <v>0</v>
      </c>
      <c r="Z75" s="1060">
        <f>IF(Z24=4,Y71,0)</f>
        <v>0</v>
      </c>
      <c r="AA75" s="1057">
        <f>IF(AA24=4,AB71,0)</f>
        <v>0</v>
      </c>
      <c r="AC75" s="1060">
        <f>IF(AC24=4,AB71,0)</f>
        <v>0</v>
      </c>
      <c r="AD75" s="1057">
        <f>IF(AD24=4,AE71,0)</f>
        <v>0</v>
      </c>
      <c r="AF75" s="1060">
        <f>IF(AF24=4,AE71,0)</f>
        <v>0</v>
      </c>
      <c r="AG75" s="1057">
        <f>SUM(B75:AF75)</f>
        <v>3</v>
      </c>
    </row>
    <row r="76" spans="1:81" s="1057" customFormat="1" ht="12.75" hidden="1" customHeight="1" x14ac:dyDescent="0.2">
      <c r="A76" s="1057" t="s">
        <v>105</v>
      </c>
      <c r="B76" s="1057">
        <f>IF(B24=5,C71,0)</f>
        <v>0</v>
      </c>
      <c r="D76" s="1060">
        <f>IF(D24=5,C71,0)</f>
        <v>0</v>
      </c>
      <c r="E76" s="1057">
        <f>IF(E24=5,F71,0)</f>
        <v>0</v>
      </c>
      <c r="G76" s="1060">
        <f>IF(G24=5,F71,0)</f>
        <v>0</v>
      </c>
      <c r="H76" s="1057">
        <f>IF(H24=5,I71,0)</f>
        <v>0</v>
      </c>
      <c r="J76" s="1060">
        <f>IF(J24=5,I71,0)</f>
        <v>0</v>
      </c>
      <c r="K76" s="1060"/>
      <c r="L76" s="1057">
        <f>IF(L24=5,M71,0)</f>
        <v>0</v>
      </c>
      <c r="N76" s="1060">
        <f>IF(N24=5,M71,0)</f>
        <v>0</v>
      </c>
      <c r="O76" s="1057">
        <f>IF(O24=5,P71,0)</f>
        <v>0</v>
      </c>
      <c r="Q76" s="1060">
        <f>IF(Q24=5,P71,0)</f>
        <v>0</v>
      </c>
      <c r="R76" s="1057">
        <f>IF(R24=5,S71,0)</f>
        <v>0</v>
      </c>
      <c r="T76" s="1060">
        <f>IF(T24=5,S71,0)</f>
        <v>0</v>
      </c>
      <c r="U76" s="1057">
        <f>IF(U24=5,V71,0)</f>
        <v>0</v>
      </c>
      <c r="W76" s="1060">
        <f>IF(W24=5,V71,0)</f>
        <v>0</v>
      </c>
      <c r="X76" s="1057">
        <f>IF(X24=5,Y71,0)</f>
        <v>0</v>
      </c>
      <c r="Z76" s="1060">
        <f>IF(Z24=5,Y71,0)</f>
        <v>0</v>
      </c>
      <c r="AA76" s="1057">
        <f>IF(AA24=5,AB71,0)</f>
        <v>0</v>
      </c>
      <c r="AC76" s="1060">
        <f>IF(AC24=5,AB71,0)</f>
        <v>0</v>
      </c>
      <c r="AD76" s="1057">
        <f>IF(AD24=5,AE71,0)</f>
        <v>0</v>
      </c>
      <c r="AF76" s="1060">
        <f>IF(AF24=5,AE71,0)</f>
        <v>0</v>
      </c>
      <c r="AG76" s="1057">
        <f>SUM(B76:AF76)</f>
        <v>0</v>
      </c>
    </row>
    <row r="77" spans="1:81" hidden="1" x14ac:dyDescent="0.2">
      <c r="A77" s="1063"/>
      <c r="B77" s="1063"/>
      <c r="C77" s="1063"/>
      <c r="D77" s="1063"/>
      <c r="E77" s="1063"/>
      <c r="F77" s="1063"/>
      <c r="G77" s="1063"/>
      <c r="H77" s="1063"/>
      <c r="I77" s="1063"/>
      <c r="J77" s="1063"/>
      <c r="K77" s="1063"/>
      <c r="L77" s="1063"/>
      <c r="M77" s="1063"/>
      <c r="N77" s="1063"/>
      <c r="O77" s="1063"/>
      <c r="P77" s="1063"/>
      <c r="Q77" s="1063"/>
      <c r="R77" s="1063"/>
      <c r="S77" s="1063"/>
      <c r="T77" s="1063"/>
      <c r="U77" s="1063"/>
      <c r="V77" s="1063"/>
      <c r="W77" s="1063"/>
      <c r="X77" s="1063"/>
      <c r="Y77" s="1063"/>
      <c r="Z77" s="1063"/>
      <c r="AA77" s="1063"/>
      <c r="AB77" s="1063"/>
      <c r="AC77" s="1063"/>
      <c r="AD77" s="1063"/>
      <c r="AE77" s="1063"/>
      <c r="AF77" s="1063"/>
      <c r="AG77" s="1063"/>
      <c r="AH77" s="1063"/>
      <c r="AI77" s="1063"/>
      <c r="AJ77" s="1063"/>
      <c r="AK77" s="1063"/>
      <c r="AL77" s="1063"/>
      <c r="AM77" s="1063"/>
      <c r="AN77" s="1063"/>
      <c r="AO77" s="1064"/>
      <c r="AP77" s="1064"/>
      <c r="AQ77" s="1064"/>
      <c r="AR77" s="1064"/>
      <c r="AS77" s="1065"/>
      <c r="AT77" s="1065"/>
      <c r="AU77" s="1065"/>
      <c r="AV77" s="1065"/>
      <c r="AW77" s="1066"/>
      <c r="BB77" s="1066"/>
      <c r="BE77" s="1066"/>
      <c r="BH77" s="1066"/>
      <c r="BK77" s="1066"/>
      <c r="BN77" s="1066"/>
      <c r="BQ77" s="1066"/>
      <c r="BT77" s="1066"/>
      <c r="BW77" s="1066"/>
      <c r="BZ77" s="1066"/>
      <c r="CC77" s="1066"/>
    </row>
    <row r="78" spans="1:81" s="1065" customFormat="1" hidden="1" x14ac:dyDescent="0.2">
      <c r="A78" s="1067"/>
      <c r="B78" s="1067"/>
      <c r="C78" s="1067" t="s">
        <v>112</v>
      </c>
      <c r="D78" s="1067">
        <v>1</v>
      </c>
      <c r="E78" s="1067"/>
      <c r="F78" s="1067"/>
      <c r="G78" s="1067">
        <v>2</v>
      </c>
      <c r="H78" s="1067"/>
      <c r="I78" s="1067"/>
      <c r="J78" s="1067">
        <v>3</v>
      </c>
      <c r="K78" s="1067"/>
      <c r="L78" s="1067"/>
      <c r="M78" s="1067"/>
      <c r="N78" s="1067">
        <v>4</v>
      </c>
      <c r="O78" s="1067"/>
      <c r="P78" s="1067"/>
      <c r="Q78" s="1067">
        <v>5</v>
      </c>
      <c r="R78" s="1067"/>
      <c r="S78" s="1067"/>
      <c r="T78" s="1067">
        <v>6</v>
      </c>
      <c r="U78" s="1067"/>
      <c r="V78" s="1067"/>
      <c r="W78" s="1067">
        <v>7</v>
      </c>
      <c r="X78" s="1067"/>
      <c r="Y78" s="1067"/>
      <c r="Z78" s="1067">
        <v>8</v>
      </c>
      <c r="AA78" s="1067"/>
      <c r="AB78" s="1067"/>
      <c r="AC78" s="1067">
        <v>9</v>
      </c>
      <c r="AD78" s="1067"/>
      <c r="AE78" s="1067"/>
      <c r="AF78" s="1067">
        <v>10</v>
      </c>
      <c r="AG78" s="846"/>
      <c r="AH78" s="1067"/>
      <c r="AJ78" s="1068"/>
      <c r="AK78" s="846"/>
      <c r="AL78" s="846"/>
      <c r="AM78" s="846"/>
      <c r="AN78" s="846"/>
      <c r="AO78" s="846"/>
      <c r="AP78" s="846"/>
      <c r="AT78" s="1068" t="s">
        <v>113</v>
      </c>
      <c r="AW78" s="1069"/>
      <c r="BB78" s="1069"/>
      <c r="BE78" s="1069"/>
      <c r="BH78" s="1069"/>
      <c r="BK78" s="1069"/>
      <c r="BN78" s="1069"/>
      <c r="BQ78" s="1069"/>
      <c r="BT78" s="1069"/>
      <c r="BW78" s="1069"/>
      <c r="BZ78" s="1069"/>
      <c r="CC78" s="1069"/>
    </row>
    <row r="79" spans="1:81" s="1065" customFormat="1" hidden="1" x14ac:dyDescent="0.2">
      <c r="A79" s="1070">
        <v>1</v>
      </c>
      <c r="B79" s="1070" t="str">
        <f>E8</f>
        <v>SC Midlands KP Garnet</v>
      </c>
      <c r="C79" s="1070">
        <f>VLOOKUP(B79,AU$3:AY$33,3,FALSE)</f>
        <v>1224.9630571345931</v>
      </c>
      <c r="D79" s="1070">
        <f>IF(B72,B87,IF(D72,D87,C79))</f>
        <v>1224.9630571345931</v>
      </c>
      <c r="E79" s="1070"/>
      <c r="F79" s="1070"/>
      <c r="G79" s="1070">
        <f>IF(E72,E87,IF(G72,G87,D79))</f>
        <v>1232.6804545674524</v>
      </c>
      <c r="H79" s="1070"/>
      <c r="I79" s="1070"/>
      <c r="J79" s="1070">
        <f>IF(H72,H87,IF(J72,J87,G79))</f>
        <v>1232.6804545674524</v>
      </c>
      <c r="K79" s="1070"/>
      <c r="L79" s="1070"/>
      <c r="M79" s="1070"/>
      <c r="N79" s="1070">
        <f>IF(L72,L87,IF(N72,N87,J79))</f>
        <v>1225.7807964651438</v>
      </c>
      <c r="O79" s="1070"/>
      <c r="P79" s="1070"/>
      <c r="Q79" s="1070">
        <f>IF(O72,O87,IF(Q72,Q87,N79))</f>
        <v>1225.7807964651438</v>
      </c>
      <c r="R79" s="1070"/>
      <c r="S79" s="1070"/>
      <c r="T79" s="1070">
        <f>IF(R72,R87,IF(T72,T87,Q79))</f>
        <v>1233.3466974331975</v>
      </c>
      <c r="U79" s="1070"/>
      <c r="V79" s="1070"/>
      <c r="W79" s="1070">
        <f>IF(U72,U87,IF(W72,W87,T79))</f>
        <v>1233.3466974331975</v>
      </c>
      <c r="X79" s="1070"/>
      <c r="Y79" s="1070"/>
      <c r="Z79" s="1070">
        <f>IF(X72,X87,IF(Z72,Z87,W79))</f>
        <v>1233.3466974331975</v>
      </c>
      <c r="AA79" s="1070"/>
      <c r="AB79" s="1070"/>
      <c r="AC79" s="1070">
        <f>IF(AA72,AA87,IF(AC72,AC87,Z79))</f>
        <v>1233.3466974331975</v>
      </c>
      <c r="AD79" s="1070"/>
      <c r="AE79" s="1070"/>
      <c r="AF79" s="1070">
        <f>IF(AD72,AD87,IF(AF72,AF87,AC79))</f>
        <v>1233.3466974331975</v>
      </c>
      <c r="AG79" s="846"/>
      <c r="AH79" s="846"/>
      <c r="AK79" s="846"/>
      <c r="AL79" s="846"/>
      <c r="AM79" s="846"/>
      <c r="AN79" s="846"/>
      <c r="AO79" s="846"/>
      <c r="AP79" s="846"/>
      <c r="AT79" s="1065" t="str">
        <f>B79</f>
        <v>SC Midlands KP Garnet</v>
      </c>
      <c r="AU79" s="1065">
        <f>AF79</f>
        <v>1233.3466974331975</v>
      </c>
      <c r="AW79" s="1069"/>
      <c r="BB79" s="1069"/>
      <c r="BE79" s="1069"/>
      <c r="BH79" s="1069"/>
      <c r="BK79" s="1069"/>
      <c r="BN79" s="1069"/>
      <c r="BQ79" s="1069"/>
      <c r="BT79" s="1069"/>
      <c r="BW79" s="1069"/>
      <c r="BZ79" s="1069"/>
      <c r="CC79" s="1069"/>
    </row>
    <row r="80" spans="1:81" s="1065" customFormat="1" hidden="1" x14ac:dyDescent="0.2">
      <c r="A80" s="1070">
        <v>2</v>
      </c>
      <c r="B80" s="1070" t="str">
        <f>E10</f>
        <v>SC Midlands KP Black</v>
      </c>
      <c r="C80" s="1070">
        <f>VLOOKUP(B80,AU$3:AY$33,3,FALSE)</f>
        <v>1205.1953108001799</v>
      </c>
      <c r="D80" s="1070">
        <f>IF(B73,B87,IF(D73,D87,C80))</f>
        <v>1198.7668234071496</v>
      </c>
      <c r="E80" s="1070"/>
      <c r="F80" s="1070"/>
      <c r="G80" s="1070">
        <f>IF(E73,E87,IF(G73,G87,D80))</f>
        <v>1198.7668234071496</v>
      </c>
      <c r="H80" s="1070"/>
      <c r="I80" s="1070"/>
      <c r="J80" s="1070">
        <f>IF(H73,H87,IF(J73,J87,G80))</f>
        <v>1206.9095789754169</v>
      </c>
      <c r="K80" s="1070"/>
      <c r="L80" s="1070"/>
      <c r="M80" s="1070"/>
      <c r="N80" s="1070">
        <f>IF(L73,L87,IF(N73,N87,J80))</f>
        <v>1206.9095789754169</v>
      </c>
      <c r="O80" s="1070"/>
      <c r="P80" s="1070"/>
      <c r="Q80" s="1070">
        <f>IF(O73,O87,IF(Q73,Q87,N80))</f>
        <v>1206.9095789754169</v>
      </c>
      <c r="R80" s="1070"/>
      <c r="S80" s="1070"/>
      <c r="T80" s="1070">
        <f>IF(R73,R87,IF(T73,T87,Q80))</f>
        <v>1199.3436780073632</v>
      </c>
      <c r="U80" s="1070"/>
      <c r="V80" s="1070"/>
      <c r="W80" s="1070">
        <f>IF(U73,U87,IF(W73,W87,T80))</f>
        <v>1199.3436780073632</v>
      </c>
      <c r="X80" s="1070"/>
      <c r="Y80" s="1070"/>
      <c r="Z80" s="1070">
        <f>IF(X73,X87,IF(Z73,Z87,W80))</f>
        <v>1199.3436780073632</v>
      </c>
      <c r="AA80" s="1070"/>
      <c r="AB80" s="1070"/>
      <c r="AC80" s="1070">
        <f>IF(AA73,AA87,IF(AC73,AC87,Z80))</f>
        <v>1199.3436780073632</v>
      </c>
      <c r="AD80" s="1070"/>
      <c r="AE80" s="1070"/>
      <c r="AF80" s="1070">
        <f>IF(AD73,AD87,IF(AF73,AF87,AC80))</f>
        <v>1199.3436780073632</v>
      </c>
      <c r="AG80" s="846"/>
      <c r="AH80" s="846"/>
      <c r="AK80" s="846"/>
      <c r="AM80" s="846"/>
      <c r="AN80" s="846"/>
      <c r="AO80" s="846"/>
      <c r="AP80" s="846"/>
      <c r="AT80" s="1065" t="str">
        <f>B80</f>
        <v>SC Midlands KP Black</v>
      </c>
      <c r="AU80" s="1065">
        <f>AF80</f>
        <v>1199.3436780073632</v>
      </c>
      <c r="AW80" s="1069"/>
      <c r="BB80" s="1069"/>
      <c r="BE80" s="1069"/>
      <c r="BH80" s="1069"/>
      <c r="BK80" s="1069"/>
      <c r="BN80" s="1069"/>
      <c r="BQ80" s="1069"/>
      <c r="BT80" s="1069"/>
      <c r="BW80" s="1069"/>
      <c r="BZ80" s="1069"/>
      <c r="CC80" s="1069"/>
    </row>
    <row r="81" spans="1:81" s="1065" customFormat="1" hidden="1" x14ac:dyDescent="0.2">
      <c r="A81" s="1070">
        <v>3</v>
      </c>
      <c r="B81" s="1070" t="str">
        <f>E12</f>
        <v>Intense Kids power Gvl</v>
      </c>
      <c r="C81" s="1070">
        <f>VLOOKUP(B81,AU$3:AY$33,3,FALSE)</f>
        <v>1274.3440224645769</v>
      </c>
      <c r="D81" s="1070">
        <f>IF(B74,B87,IF(D74,D87,C81))</f>
        <v>1280.7725098576072</v>
      </c>
      <c r="E81" s="1070"/>
      <c r="F81" s="1070"/>
      <c r="G81" s="1070">
        <f>IF(E74,E87,IF(G74,G87,D81))</f>
        <v>1280.7725098576072</v>
      </c>
      <c r="H81" s="1070"/>
      <c r="I81" s="1070"/>
      <c r="J81" s="1070">
        <f>IF(H74,H87,IF(J74,J87,G81))</f>
        <v>1280.7725098576072</v>
      </c>
      <c r="K81" s="1070"/>
      <c r="L81" s="1070"/>
      <c r="M81" s="1070"/>
      <c r="N81" s="1070">
        <f>IF(L74,L87,IF(N74,N87,J81))</f>
        <v>1287.6721679599159</v>
      </c>
      <c r="O81" s="1070"/>
      <c r="P81" s="1070"/>
      <c r="Q81" s="1070">
        <f>IF(O74,O87,IF(Q74,Q87,N81))</f>
        <v>1293.6267294435881</v>
      </c>
      <c r="R81" s="1070"/>
      <c r="S81" s="1070"/>
      <c r="T81" s="1070">
        <f>IF(R74,R87,IF(T74,T87,Q81))</f>
        <v>1293.6267294435881</v>
      </c>
      <c r="U81" s="1070"/>
      <c r="V81" s="1070"/>
      <c r="W81" s="1070">
        <f>IF(U74,U87,IF(W74,W87,T81))</f>
        <v>1293.6267294435881</v>
      </c>
      <c r="X81" s="1070"/>
      <c r="Y81" s="1070"/>
      <c r="Z81" s="1070">
        <f>IF(X74,X87,IF(Z74,Z87,W81))</f>
        <v>1293.6267294435881</v>
      </c>
      <c r="AA81" s="1070"/>
      <c r="AB81" s="1070"/>
      <c r="AC81" s="1070">
        <f>IF(AA74,AA87,IF(AC74,AC87,Z81))</f>
        <v>1293.6267294435881</v>
      </c>
      <c r="AD81" s="1070"/>
      <c r="AE81" s="1070"/>
      <c r="AF81" s="1070">
        <f>IF(AD74,AD87,IF(AF74,AF87,AC81))</f>
        <v>1293.6267294435881</v>
      </c>
      <c r="AG81" s="846"/>
      <c r="AH81" s="846"/>
      <c r="AK81" s="846"/>
      <c r="AM81" s="846"/>
      <c r="AN81" s="846"/>
      <c r="AO81" s="846"/>
      <c r="AP81" s="846"/>
      <c r="AT81" s="1065" t="str">
        <f>B81</f>
        <v>Intense Kids power Gvl</v>
      </c>
      <c r="AU81" s="1065">
        <f>AF81</f>
        <v>1293.6267294435881</v>
      </c>
      <c r="AW81" s="1069"/>
      <c r="BB81" s="1069"/>
      <c r="BE81" s="1069"/>
      <c r="BH81" s="1069"/>
      <c r="BK81" s="1069"/>
      <c r="BN81" s="1069"/>
      <c r="BQ81" s="1069"/>
      <c r="BT81" s="1069"/>
      <c r="BW81" s="1069"/>
      <c r="BZ81" s="1069"/>
      <c r="CC81" s="1069"/>
    </row>
    <row r="82" spans="1:81" s="1065" customFormat="1" hidden="1" x14ac:dyDescent="0.2">
      <c r="A82" s="1070">
        <v>4</v>
      </c>
      <c r="B82" s="1070" t="str">
        <f>E14</f>
        <v>Kershaw Dev 12 Black</v>
      </c>
      <c r="C82" s="1070">
        <f>VLOOKUP(B82,AU$3:AY$33,3,FALSE)</f>
        <v>1212.6846745768064</v>
      </c>
      <c r="D82" s="1070">
        <f>IF(B75,B87,IF(D75,D87,C82))</f>
        <v>1212.6846745768064</v>
      </c>
      <c r="E82" s="1070"/>
      <c r="F82" s="1070"/>
      <c r="G82" s="1070">
        <f>IF(E75,E87,IF(G75,G87,D82))</f>
        <v>1204.9672771439471</v>
      </c>
      <c r="H82" s="1070"/>
      <c r="I82" s="1070"/>
      <c r="J82" s="1070">
        <f>IF(H75,H87,IF(J75,J87,G82))</f>
        <v>1196.8245215756797</v>
      </c>
      <c r="K82" s="1070"/>
      <c r="L82" s="1070"/>
      <c r="M82" s="1070"/>
      <c r="N82" s="1070">
        <f>IF(L75,L87,IF(N75,N87,J82))</f>
        <v>1196.8245215756797</v>
      </c>
      <c r="O82" s="1070"/>
      <c r="P82" s="1070"/>
      <c r="Q82" s="1070">
        <f>IF(O75,O87,IF(Q75,Q87,N82))</f>
        <v>1190.8699600920074</v>
      </c>
      <c r="R82" s="1070"/>
      <c r="S82" s="1070"/>
      <c r="T82" s="1070">
        <f>IF(R75,R87,IF(T75,T87,Q82))</f>
        <v>1190.8699600920074</v>
      </c>
      <c r="U82" s="1070"/>
      <c r="V82" s="1070"/>
      <c r="W82" s="1070">
        <f>IF(U75,U87,IF(W75,W87,T82))</f>
        <v>1190.8699600920074</v>
      </c>
      <c r="X82" s="1070"/>
      <c r="Y82" s="1070"/>
      <c r="Z82" s="1070">
        <f>IF(X75,X87,IF(Z75,Z87,W82))</f>
        <v>1190.8699600920074</v>
      </c>
      <c r="AA82" s="1070"/>
      <c r="AB82" s="1070"/>
      <c r="AC82" s="1070">
        <f>IF(AA75,AA87,IF(AC75,AC87,Z82))</f>
        <v>1190.8699600920074</v>
      </c>
      <c r="AD82" s="1070"/>
      <c r="AE82" s="1070"/>
      <c r="AF82" s="1070">
        <f>IF(AD75,AD87,IF(AF75,AF87,AC82))</f>
        <v>1190.8699600920074</v>
      </c>
      <c r="AG82" s="846"/>
      <c r="AH82" s="846"/>
      <c r="AK82" s="846"/>
      <c r="AM82" s="846"/>
      <c r="AN82" s="846"/>
      <c r="AO82" s="846"/>
      <c r="AP82" s="846"/>
      <c r="AT82" s="1065" t="str">
        <f>B82</f>
        <v>Kershaw Dev 12 Black</v>
      </c>
      <c r="AU82" s="1065">
        <f>AF82</f>
        <v>1190.8699600920074</v>
      </c>
      <c r="AW82" s="1069"/>
      <c r="BB82" s="1069"/>
      <c r="BE82" s="1069"/>
      <c r="BH82" s="1069"/>
      <c r="BK82" s="1069"/>
      <c r="BN82" s="1069"/>
      <c r="BQ82" s="1069"/>
      <c r="BT82" s="1069"/>
      <c r="BW82" s="1069"/>
      <c r="BZ82" s="1069"/>
      <c r="CC82" s="1069"/>
    </row>
    <row r="83" spans="1:81" s="1065" customFormat="1" hidden="1" x14ac:dyDescent="0.2">
      <c r="A83" s="1070">
        <v>5</v>
      </c>
      <c r="B83" s="1070">
        <f>E16</f>
        <v>0</v>
      </c>
      <c r="C83" s="1070" t="e">
        <f>VLOOKUP(B83,AU$3:AY$33,3,FALSE)</f>
        <v>#N/A</v>
      </c>
      <c r="D83" s="1070" t="e">
        <f>IF(B76,B87,IF(D76,D87,C83))</f>
        <v>#N/A</v>
      </c>
      <c r="E83" s="1070"/>
      <c r="F83" s="1070"/>
      <c r="G83" s="1070" t="e">
        <f>IF(E76,E87,IF(G76,G87,D83))</f>
        <v>#N/A</v>
      </c>
      <c r="H83" s="1070"/>
      <c r="I83" s="1070"/>
      <c r="J83" s="1070" t="e">
        <f>IF(H76,H87,IF(J76,J87,G83))</f>
        <v>#N/A</v>
      </c>
      <c r="K83" s="1070"/>
      <c r="L83" s="1070"/>
      <c r="M83" s="1070"/>
      <c r="N83" s="1070" t="e">
        <f>IF(L76,L87,IF(N76,N87,J83))</f>
        <v>#N/A</v>
      </c>
      <c r="O83" s="1070"/>
      <c r="P83" s="1070"/>
      <c r="Q83" s="1070" t="e">
        <f>IF(O76,O87,IF(Q76,Q87,N83))</f>
        <v>#N/A</v>
      </c>
      <c r="R83" s="1070"/>
      <c r="S83" s="1070"/>
      <c r="T83" s="1070" t="e">
        <f>IF(R76,R87,IF(T76,T87,Q83))</f>
        <v>#N/A</v>
      </c>
      <c r="U83" s="1070"/>
      <c r="V83" s="1070"/>
      <c r="W83" s="1070" t="e">
        <f>IF(U76,U87,IF(W76,W87,T83))</f>
        <v>#N/A</v>
      </c>
      <c r="X83" s="1070"/>
      <c r="Y83" s="1070"/>
      <c r="Z83" s="1070" t="e">
        <f>IF(X76,X87,IF(Z76,Z87,W83))</f>
        <v>#N/A</v>
      </c>
      <c r="AA83" s="1070"/>
      <c r="AB83" s="1070"/>
      <c r="AC83" s="1070" t="e">
        <f>IF(AA76,AA87,IF(AC76,AC87,Z83))</f>
        <v>#N/A</v>
      </c>
      <c r="AD83" s="1070"/>
      <c r="AE83" s="1070"/>
      <c r="AF83" s="1070" t="e">
        <f>IF(AD76,AD87,IF(AF76,AF87,AC83))</f>
        <v>#N/A</v>
      </c>
      <c r="AG83" s="846"/>
      <c r="AH83" s="846"/>
      <c r="AK83" s="846"/>
      <c r="AM83" s="846"/>
      <c r="AN83" s="846"/>
      <c r="AO83" s="846"/>
      <c r="AP83" s="846"/>
      <c r="AT83" s="1065">
        <f>B83</f>
        <v>0</v>
      </c>
      <c r="AU83" s="1065" t="e">
        <f>AF83</f>
        <v>#N/A</v>
      </c>
      <c r="AW83" s="1069"/>
      <c r="BB83" s="1069"/>
      <c r="BE83" s="1069"/>
      <c r="BH83" s="1069"/>
      <c r="BK83" s="1069"/>
      <c r="BN83" s="1069"/>
      <c r="BQ83" s="1069"/>
      <c r="BT83" s="1069"/>
      <c r="BW83" s="1069"/>
      <c r="BZ83" s="1069"/>
      <c r="CC83" s="1069"/>
    </row>
    <row r="84" spans="1:81" s="1065" customFormat="1" hidden="1" x14ac:dyDescent="0.2">
      <c r="A84" s="1070"/>
      <c r="B84" s="1070"/>
      <c r="C84" s="1070"/>
      <c r="D84" s="1070"/>
      <c r="E84" s="1070"/>
      <c r="F84" s="1070"/>
      <c r="G84" s="1070"/>
      <c r="H84" s="1070"/>
      <c r="I84" s="1070"/>
      <c r="J84" s="1070"/>
      <c r="K84" s="1070"/>
      <c r="L84" s="1070"/>
      <c r="M84" s="1070"/>
      <c r="N84" s="1070"/>
      <c r="O84" s="1070"/>
      <c r="P84" s="1070"/>
      <c r="Q84" s="1070"/>
      <c r="R84" s="1070"/>
      <c r="S84" s="1070"/>
      <c r="T84" s="1070"/>
      <c r="U84" s="1070"/>
      <c r="V84" s="1070"/>
      <c r="W84" s="1070"/>
      <c r="X84" s="1070"/>
      <c r="Y84" s="1070"/>
      <c r="Z84" s="1070"/>
      <c r="AA84" s="1070"/>
      <c r="AB84" s="1070"/>
      <c r="AC84" s="1070"/>
      <c r="AD84" s="1070"/>
      <c r="AE84" s="1070"/>
      <c r="AF84" s="1070"/>
      <c r="AG84" s="846"/>
      <c r="AH84" s="846"/>
      <c r="AK84" s="846"/>
      <c r="AM84" s="846"/>
      <c r="AN84" s="846"/>
      <c r="AO84" s="846"/>
      <c r="AP84" s="846"/>
      <c r="AW84" s="1069"/>
      <c r="BB84" s="1069"/>
      <c r="BE84" s="1069"/>
      <c r="BH84" s="1069"/>
      <c r="BK84" s="1069"/>
      <c r="BN84" s="1069"/>
      <c r="BQ84" s="1069"/>
      <c r="BT84" s="1069"/>
      <c r="BW84" s="1069"/>
      <c r="BZ84" s="1069"/>
      <c r="CC84" s="1069"/>
    </row>
    <row r="85" spans="1:81" s="1065" customFormat="1" hidden="1" x14ac:dyDescent="0.2">
      <c r="A85" s="1070" t="s">
        <v>114</v>
      </c>
      <c r="B85" s="1070">
        <f>VLOOKUP(B24,$A79:$AF83,3,FALSE)</f>
        <v>1205.1953108001799</v>
      </c>
      <c r="C85" s="1070">
        <v>1</v>
      </c>
      <c r="D85" s="1070">
        <f>VLOOKUP(D24,$A79:$AF83,3,FALSE)</f>
        <v>1274.3440224645769</v>
      </c>
      <c r="E85" s="1070">
        <f>VLOOKUP(E24,$A79:$AF83,4,FALSE)</f>
        <v>1224.9630571345931</v>
      </c>
      <c r="F85" s="1070">
        <v>2</v>
      </c>
      <c r="G85" s="1070">
        <f>VLOOKUP(G24,$A79:$AF83,4,FALSE)</f>
        <v>1212.6846745768064</v>
      </c>
      <c r="H85" s="1070">
        <f>VLOOKUP(H24,$A79:$AF83,7,FALSE)</f>
        <v>1198.7668234071496</v>
      </c>
      <c r="I85" s="1070">
        <v>3</v>
      </c>
      <c r="J85" s="1070">
        <f>VLOOKUP(J24,$A79:$AF83,7,FALSE)</f>
        <v>1204.9672771439471</v>
      </c>
      <c r="K85" s="1070"/>
      <c r="L85" s="1070">
        <f>VLOOKUP(L24,$A79:$AF83,10,FALSE)</f>
        <v>1232.6804545674524</v>
      </c>
      <c r="M85" s="1070">
        <v>4</v>
      </c>
      <c r="N85" s="1070">
        <f>VLOOKUP(N24,$A79:$AF83,10,FALSE)</f>
        <v>1280.7725098576072</v>
      </c>
      <c r="O85" s="1070">
        <f>VLOOKUP(O24,$A79:$AF83,14,FALSE)</f>
        <v>1287.6721679599159</v>
      </c>
      <c r="P85" s="1070">
        <v>5</v>
      </c>
      <c r="Q85" s="1070">
        <f>VLOOKUP(Q24,$A79:$AF83,14,FALSE)</f>
        <v>1196.8245215756797</v>
      </c>
      <c r="R85" s="1070">
        <f>VLOOKUP(R24,$A79:$AF83,17,FALSE)</f>
        <v>1225.7807964651438</v>
      </c>
      <c r="S85" s="1070">
        <v>6</v>
      </c>
      <c r="T85" s="1070">
        <f>VLOOKUP(T24,$A79:$AF83,17,FALSE)</f>
        <v>1206.9095789754169</v>
      </c>
      <c r="U85" s="1070" t="e">
        <f>VLOOKUP(U24,$A79:$AF83,20,FALSE)</f>
        <v>#N/A</v>
      </c>
      <c r="V85" s="1070">
        <v>7</v>
      </c>
      <c r="W85" s="1070" t="e">
        <f>VLOOKUP(W24,$A79:$AF83,20,FALSE)</f>
        <v>#N/A</v>
      </c>
      <c r="X85" s="1070" t="e">
        <f>VLOOKUP(X24,$A79:$AF83,23,FALSE)</f>
        <v>#N/A</v>
      </c>
      <c r="Y85" s="1070">
        <v>8</v>
      </c>
      <c r="Z85" s="1070" t="e">
        <f>VLOOKUP(Z24,$A79:$AF83,23,FALSE)</f>
        <v>#N/A</v>
      </c>
      <c r="AA85" s="1070" t="e">
        <f>VLOOKUP(AA24,$A79:$AF83,26,FALSE)</f>
        <v>#N/A</v>
      </c>
      <c r="AB85" s="1070">
        <v>9</v>
      </c>
      <c r="AC85" s="1070" t="e">
        <f>VLOOKUP(AC24,$A79:$AF83,26,FALSE)</f>
        <v>#N/A</v>
      </c>
      <c r="AD85" s="1070" t="e">
        <f>VLOOKUP(AD24,$A79:$AF83,29,FALSE)</f>
        <v>#N/A</v>
      </c>
      <c r="AE85" s="1070">
        <v>10</v>
      </c>
      <c r="AF85" s="1070" t="e">
        <f>VLOOKUP(AF24,$A79:$AF83,29,FALSE)</f>
        <v>#N/A</v>
      </c>
      <c r="AG85" s="846"/>
      <c r="AH85" s="1063"/>
      <c r="AI85" s="1063"/>
      <c r="AJ85" s="1063"/>
      <c r="AK85" s="1063"/>
      <c r="AL85" s="1063"/>
      <c r="AM85" s="1063"/>
      <c r="AN85" s="1063"/>
      <c r="AO85" s="1064"/>
      <c r="AP85" s="1064"/>
      <c r="AQ85" s="1064"/>
      <c r="AR85" s="1064"/>
      <c r="AW85" s="1069"/>
      <c r="BB85" s="1069"/>
      <c r="BE85" s="1069"/>
      <c r="BH85" s="1069"/>
      <c r="BK85" s="1069"/>
      <c r="BN85" s="1069"/>
      <c r="BQ85" s="1069"/>
      <c r="BT85" s="1069"/>
      <c r="BW85" s="1069"/>
      <c r="BZ85" s="1069"/>
      <c r="CC85" s="1069"/>
    </row>
    <row r="86" spans="1:81" s="1075" customFormat="1" hidden="1" x14ac:dyDescent="0.2">
      <c r="A86" s="1071" t="s">
        <v>115</v>
      </c>
      <c r="B86" s="1071">
        <f>1/(1+(10^-((B85-D85)/400)))*(B36+D36)</f>
        <v>0.40178046206440027</v>
      </c>
      <c r="C86" s="1071"/>
      <c r="D86" s="1071">
        <f>1/(1+(10^-((D85-B85)/400)))*(B36+D36)</f>
        <v>0.59821953793559979</v>
      </c>
      <c r="E86" s="1071">
        <f>1/(1+(10^-((E85-G85)/400)))*(E36+G36)</f>
        <v>0.51766266044629805</v>
      </c>
      <c r="F86" s="1071"/>
      <c r="G86" s="1071">
        <f>1/(1+(10^-((G85-E85)/400)))*(E36+G36)</f>
        <v>0.48233733955370195</v>
      </c>
      <c r="H86" s="1071">
        <f>1/(1+(10^-((H85-J85)/400)))*(H36+J36)</f>
        <v>0.49107777698328342</v>
      </c>
      <c r="I86" s="1071"/>
      <c r="J86" s="1071">
        <f>1/(1+(10^-((J85-H85)/400)))*(H36+J36)</f>
        <v>0.50892222301671663</v>
      </c>
      <c r="K86" s="1071"/>
      <c r="L86" s="1071">
        <f>1/(1+(10^-((L85-N85)/400)))*(L36+N36)</f>
        <v>0.43122863139429246</v>
      </c>
      <c r="M86" s="1071"/>
      <c r="N86" s="1071">
        <f>1/(1+(10^-((N85-L85)/400)))*(L36+N36)</f>
        <v>0.56877136860570754</v>
      </c>
      <c r="O86" s="1071">
        <f>1/(1+(10^-((O85-Q85)/400)))*(O36+Q36)</f>
        <v>0.62783990727048311</v>
      </c>
      <c r="P86" s="1071"/>
      <c r="Q86" s="1071">
        <f>1/(1+(10^-((Q85-O85)/400)))*(O36+Q36)</f>
        <v>0.37216009272951672</v>
      </c>
      <c r="R86" s="1071">
        <f>1/(1+(10^-((R85-T85)/400)))*(R36+T36)</f>
        <v>0.5271311894966495</v>
      </c>
      <c r="S86" s="1071"/>
      <c r="T86" s="1071">
        <f>1/(1+(10^-((T85-R85)/400)))*(R36+T36)</f>
        <v>0.47286881050335039</v>
      </c>
      <c r="U86" s="1071" t="e">
        <f>1/(1+(10^-((U85-W85)/400)))*(U36+W36)</f>
        <v>#N/A</v>
      </c>
      <c r="V86" s="1071"/>
      <c r="W86" s="1071" t="e">
        <f>1/(1+(10^-((W85-U85)/400)))*(U36+W36)</f>
        <v>#N/A</v>
      </c>
      <c r="X86" s="1071" t="e">
        <f>1/(1+(10^-((X85-Z85)/400)))*(X36+Z36)</f>
        <v>#N/A</v>
      </c>
      <c r="Y86" s="1071"/>
      <c r="Z86" s="1071" t="e">
        <f>1/(1+(10^-((Z85-X85)/400)))*(X36+Z36)</f>
        <v>#N/A</v>
      </c>
      <c r="AA86" s="1071" t="e">
        <f>1/(1+(10^-((AA85-AC85)/400)))*(AA36+AC36)</f>
        <v>#N/A</v>
      </c>
      <c r="AB86" s="1071"/>
      <c r="AC86" s="1071" t="e">
        <f>1/(1+(10^-((AC85-AA85)/400)))*(AA36+AC36)</f>
        <v>#N/A</v>
      </c>
      <c r="AD86" s="1071" t="e">
        <f>1/(1+(10^-((AD85-AF85)/400)))*(AD36+AF36)</f>
        <v>#N/A</v>
      </c>
      <c r="AE86" s="1071"/>
      <c r="AF86" s="1071" t="e">
        <f>1/(1+(10^-((AF85-AD85)/400)))*(AD36+AF36)</f>
        <v>#N/A</v>
      </c>
      <c r="AG86" s="1072"/>
      <c r="AH86" s="1073"/>
      <c r="AI86" s="1073"/>
      <c r="AJ86" s="1073"/>
      <c r="AK86" s="1073"/>
      <c r="AL86" s="1073"/>
      <c r="AM86" s="1073"/>
      <c r="AN86" s="1073"/>
      <c r="AO86" s="1074"/>
      <c r="AP86" s="1074"/>
      <c r="AQ86" s="1074"/>
      <c r="AR86" s="1074"/>
      <c r="AW86" s="1076"/>
      <c r="BB86" s="1076"/>
      <c r="BE86" s="1076"/>
      <c r="BH86" s="1076"/>
      <c r="BK86" s="1076"/>
      <c r="BN86" s="1076"/>
      <c r="BQ86" s="1076"/>
      <c r="BT86" s="1076"/>
      <c r="BW86" s="1076"/>
      <c r="BZ86" s="1076"/>
      <c r="CC86" s="1076"/>
    </row>
    <row r="87" spans="1:81" s="1081" customFormat="1" hidden="1" x14ac:dyDescent="0.2">
      <c r="A87" s="1077" t="s">
        <v>116</v>
      </c>
      <c r="B87" s="1077">
        <f>B85+(B36-B86)*$BA$1</f>
        <v>1198.7668234071496</v>
      </c>
      <c r="C87" s="1077"/>
      <c r="D87" s="1077">
        <f>D85+(D36-D86)*$BA$1</f>
        <v>1280.7725098576072</v>
      </c>
      <c r="E87" s="1077">
        <f>E85+(E36-E86)*$BA$1</f>
        <v>1232.6804545674524</v>
      </c>
      <c r="F87" s="1077"/>
      <c r="G87" s="1077">
        <f>G85+(G36-G86)*$BA$1</f>
        <v>1204.9672771439471</v>
      </c>
      <c r="H87" s="1077">
        <f>H85+(H36-H86)*$BA$1</f>
        <v>1206.9095789754169</v>
      </c>
      <c r="I87" s="1077"/>
      <c r="J87" s="1077">
        <f>J85+(J36-J86)*$BA$1</f>
        <v>1196.8245215756797</v>
      </c>
      <c r="K87" s="1077"/>
      <c r="L87" s="1077">
        <f>L85+(L36-L86)*$BA$1</f>
        <v>1225.7807964651438</v>
      </c>
      <c r="M87" s="1077"/>
      <c r="N87" s="1077">
        <f>N85+(N36-N86)*$BA$1</f>
        <v>1287.6721679599159</v>
      </c>
      <c r="O87" s="1077">
        <f>O85+(O36-O86)*$BA$1</f>
        <v>1293.6267294435881</v>
      </c>
      <c r="P87" s="1077"/>
      <c r="Q87" s="1077">
        <f>Q85+(Q36-Q86)*$BA$1</f>
        <v>1190.8699600920074</v>
      </c>
      <c r="R87" s="1077">
        <f>R85+(R36-R86)*$BA$1</f>
        <v>1233.3466974331975</v>
      </c>
      <c r="S87" s="1077"/>
      <c r="T87" s="1077">
        <f>T85+(T36-T86)*$BA$1</f>
        <v>1199.3436780073632</v>
      </c>
      <c r="U87" s="1077" t="e">
        <f>U85+(U36-U86)*$BA$1</f>
        <v>#N/A</v>
      </c>
      <c r="V87" s="1077"/>
      <c r="W87" s="1077" t="e">
        <f>W85+(W36-W86)*$BA$1</f>
        <v>#N/A</v>
      </c>
      <c r="X87" s="1077" t="e">
        <f>X85+(X36-X86)*$BA$1</f>
        <v>#N/A</v>
      </c>
      <c r="Y87" s="1077"/>
      <c r="Z87" s="1077" t="e">
        <f>Z85+(Z36-Z86)*$BA$1</f>
        <v>#N/A</v>
      </c>
      <c r="AA87" s="1077" t="e">
        <f>AA85+(AA36-AA86)*$BA$1</f>
        <v>#N/A</v>
      </c>
      <c r="AB87" s="1077"/>
      <c r="AC87" s="1077" t="e">
        <f>AC85+(AC36-AC86)*$BA$1</f>
        <v>#N/A</v>
      </c>
      <c r="AD87" s="1077" t="e">
        <f>AD85+(AD36-AD86)*$BA$1</f>
        <v>#N/A</v>
      </c>
      <c r="AE87" s="1077"/>
      <c r="AF87" s="1077" t="e">
        <f>AF85+(AF36-AF86)*$BA$1</f>
        <v>#N/A</v>
      </c>
      <c r="AG87" s="1078"/>
      <c r="AH87" s="1079"/>
      <c r="AI87" s="1079"/>
      <c r="AJ87" s="1079"/>
      <c r="AK87" s="1079"/>
      <c r="AL87" s="1079"/>
      <c r="AM87" s="1079"/>
      <c r="AN87" s="1079"/>
      <c r="AO87" s="1080"/>
      <c r="AP87" s="1080"/>
      <c r="AQ87" s="1080"/>
      <c r="AR87" s="1080"/>
      <c r="AW87" s="1082"/>
      <c r="BB87" s="1082"/>
      <c r="BE87" s="1082"/>
      <c r="BH87" s="1082"/>
      <c r="BK87" s="1082"/>
      <c r="BN87" s="1082"/>
      <c r="BQ87" s="1082"/>
      <c r="BT87" s="1082"/>
      <c r="BW87" s="1082"/>
      <c r="BZ87" s="1082"/>
      <c r="CC87" s="1082"/>
    </row>
    <row r="88" spans="1:81" s="1081" customFormat="1" hidden="1" x14ac:dyDescent="0.2">
      <c r="A88" s="1077"/>
      <c r="B88" s="1077"/>
      <c r="C88" s="1077"/>
      <c r="D88" s="1077"/>
      <c r="E88" s="1077"/>
      <c r="F88" s="1077"/>
      <c r="G88" s="1077"/>
      <c r="H88" s="1077"/>
      <c r="I88" s="1077"/>
      <c r="J88" s="1077"/>
      <c r="K88" s="1077"/>
      <c r="L88" s="1077"/>
      <c r="M88" s="1077"/>
      <c r="N88" s="1077"/>
      <c r="O88" s="1077"/>
      <c r="P88" s="1077"/>
      <c r="Q88" s="1077"/>
      <c r="R88" s="1077"/>
      <c r="S88" s="1077"/>
      <c r="T88" s="1077"/>
      <c r="U88" s="1077"/>
      <c r="V88" s="1077"/>
      <c r="W88" s="1077"/>
      <c r="X88" s="1077"/>
      <c r="Y88" s="1077"/>
      <c r="Z88" s="1077"/>
      <c r="AA88" s="1077"/>
      <c r="AB88" s="1077"/>
      <c r="AC88" s="1077"/>
      <c r="AD88" s="1077"/>
      <c r="AE88" s="1077"/>
      <c r="AF88" s="1077"/>
      <c r="AG88" s="1078"/>
      <c r="AH88" s="1079"/>
      <c r="AI88" s="1079"/>
      <c r="AJ88" s="1079"/>
      <c r="AK88" s="1079"/>
      <c r="AL88" s="1079"/>
      <c r="AM88" s="1079"/>
      <c r="AN88" s="1079"/>
      <c r="AO88" s="1080"/>
      <c r="AP88" s="1080"/>
      <c r="AQ88" s="1080"/>
      <c r="AR88" s="1080"/>
      <c r="AW88" s="1082"/>
      <c r="BB88" s="1082"/>
      <c r="BE88" s="1082"/>
      <c r="BH88" s="1082"/>
      <c r="BK88" s="1082"/>
      <c r="BN88" s="1082"/>
      <c r="BQ88" s="1082"/>
      <c r="BT88" s="1082"/>
      <c r="BW88" s="1082"/>
      <c r="BZ88" s="1082"/>
      <c r="CC88" s="1082"/>
    </row>
    <row r="89" spans="1:81" s="1065" customFormat="1" x14ac:dyDescent="0.2">
      <c r="A89" s="1083" t="str">
        <f>IF($AL10=1,"Pool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89" s="1083"/>
      <c r="C89" s="1083"/>
      <c r="D89" s="1083"/>
      <c r="E89" s="1083"/>
      <c r="F89" s="1083"/>
      <c r="G89" s="1083"/>
      <c r="H89" s="1083"/>
      <c r="I89" s="1083"/>
      <c r="J89" s="1083"/>
      <c r="K89" s="1083"/>
      <c r="L89" s="1083"/>
      <c r="M89" s="1083"/>
      <c r="N89" s="1083"/>
      <c r="O89" s="1083"/>
      <c r="P89" s="1083"/>
      <c r="Q89" s="1083"/>
      <c r="R89" s="1083"/>
      <c r="S89" s="1083"/>
      <c r="T89" s="1083"/>
      <c r="U89" s="1083"/>
      <c r="V89" s="1083"/>
      <c r="W89" s="1083"/>
      <c r="X89" s="1083"/>
      <c r="Y89" s="1083"/>
      <c r="Z89" s="1083"/>
      <c r="AA89" s="1083"/>
      <c r="AB89" s="1083"/>
      <c r="AC89" s="1083"/>
      <c r="AD89" s="1083"/>
      <c r="AE89" s="1083"/>
      <c r="AF89" s="1083"/>
      <c r="AG89" s="1083"/>
      <c r="AH89" s="1083"/>
      <c r="AI89" s="1083"/>
      <c r="AJ89" s="1083"/>
      <c r="AK89" s="1083"/>
      <c r="AL89" s="1083"/>
      <c r="AM89" s="1083"/>
      <c r="AN89" s="1084"/>
      <c r="AO89" s="1084"/>
      <c r="AP89" s="1084"/>
      <c r="AQ89" s="1084"/>
    </row>
    <row r="90" spans="1:81" s="1065" customFormat="1" ht="13.5" thickBot="1" x14ac:dyDescent="0.25">
      <c r="A90" s="1085"/>
      <c r="B90" s="1085"/>
      <c r="C90" s="1085"/>
      <c r="D90" s="1085"/>
      <c r="E90" s="1085"/>
      <c r="F90" s="1085"/>
      <c r="G90" s="1085"/>
      <c r="H90" s="1085"/>
      <c r="I90" s="1085"/>
      <c r="J90" s="1085"/>
      <c r="K90" s="1085"/>
      <c r="L90" s="1085"/>
      <c r="M90" s="1085"/>
      <c r="N90" s="1085"/>
      <c r="O90" s="1085"/>
      <c r="P90" s="1085"/>
      <c r="Q90" s="1085"/>
      <c r="R90" s="1085"/>
      <c r="S90" s="1085"/>
      <c r="T90" s="1085"/>
      <c r="U90" s="1085"/>
      <c r="V90" s="1085"/>
      <c r="W90" s="1085"/>
      <c r="X90" s="1085"/>
      <c r="Y90" s="1085"/>
      <c r="Z90" s="1085"/>
      <c r="AA90" s="1085"/>
      <c r="AB90" s="1085"/>
      <c r="AC90" s="1085"/>
      <c r="AD90" s="1085"/>
      <c r="AE90" s="1085"/>
      <c r="AF90" s="1085"/>
      <c r="AG90" s="1085"/>
      <c r="AH90" s="1085"/>
      <c r="AI90" s="1085"/>
      <c r="AJ90" s="1085"/>
      <c r="AK90" s="1085"/>
      <c r="AL90" s="1085"/>
      <c r="AM90" s="1085"/>
      <c r="AN90" s="1085"/>
      <c r="AO90" s="1085"/>
      <c r="AP90" s="1085"/>
      <c r="AQ90" s="1085"/>
      <c r="AR90" s="1085"/>
    </row>
    <row r="91" spans="1:81" ht="24" customHeight="1" thickBot="1" x14ac:dyDescent="0.25">
      <c r="A91" s="919" t="s">
        <v>33</v>
      </c>
      <c r="B91" s="920" t="s">
        <v>117</v>
      </c>
      <c r="C91" s="921" t="s">
        <v>35</v>
      </c>
      <c r="D91" s="922"/>
      <c r="E91" s="922"/>
      <c r="F91" s="922"/>
      <c r="G91" s="922"/>
      <c r="H91" s="923"/>
      <c r="I91" s="924">
        <v>2</v>
      </c>
      <c r="J91" s="925"/>
      <c r="K91" s="926" t="str">
        <f>"Pool "&amp;B91&amp;" - Round 1 - Court "&amp;I91</f>
        <v>Pool B - Round 1 - Court 2</v>
      </c>
      <c r="L91" s="927"/>
      <c r="M91" s="927"/>
      <c r="N91" s="927"/>
      <c r="O91" s="927"/>
      <c r="P91" s="927"/>
      <c r="Q91" s="927"/>
      <c r="R91" s="927"/>
      <c r="S91" s="927"/>
      <c r="T91" s="927"/>
      <c r="U91" s="927"/>
      <c r="V91" s="927"/>
      <c r="W91" s="927"/>
      <c r="X91" s="927"/>
      <c r="Y91" s="927"/>
      <c r="Z91" s="927"/>
      <c r="AA91" s="927"/>
      <c r="AB91" s="927"/>
      <c r="AC91" s="927"/>
      <c r="AD91" s="927"/>
      <c r="AE91" s="927"/>
      <c r="AF91" s="927"/>
      <c r="AG91" s="927"/>
      <c r="AH91" s="927"/>
      <c r="AI91" s="927"/>
      <c r="AJ91" s="928"/>
      <c r="AK91" s="868"/>
      <c r="AL91" s="868"/>
      <c r="AM91" s="868"/>
      <c r="AN91" s="868"/>
      <c r="AO91" s="868"/>
      <c r="AP91" s="868"/>
      <c r="AQ91" s="868"/>
      <c r="AR91" s="868"/>
    </row>
    <row r="92" spans="1:81" ht="27" customHeight="1" thickBot="1" x14ac:dyDescent="0.25">
      <c r="A92" s="930" t="s">
        <v>38</v>
      </c>
      <c r="B92" s="902" t="s">
        <v>10</v>
      </c>
      <c r="C92" s="931"/>
      <c r="D92" s="931"/>
      <c r="E92" s="931"/>
      <c r="F92" s="931"/>
      <c r="G92" s="931"/>
      <c r="H92" s="931"/>
      <c r="I92" s="931"/>
      <c r="J92" s="931"/>
      <c r="K92" s="931"/>
      <c r="L92" s="931"/>
      <c r="M92" s="902" t="str">
        <f>IF($AL95=0,"Games Won","Matches Won")</f>
        <v>Matches Won</v>
      </c>
      <c r="N92" s="931"/>
      <c r="O92" s="931"/>
      <c r="P92" s="931"/>
      <c r="Q92" s="931"/>
      <c r="R92" s="932"/>
      <c r="S92" s="902" t="str">
        <f>IF($AL95=0,"Games Lost","Matches Lost")</f>
        <v>Matches Lost</v>
      </c>
      <c r="T92" s="933"/>
      <c r="U92" s="933"/>
      <c r="V92" s="933"/>
      <c r="W92" s="934"/>
      <c r="X92" s="935" t="s">
        <v>39</v>
      </c>
      <c r="Y92" s="936"/>
      <c r="Z92" s="937"/>
      <c r="AA92" s="935" t="s">
        <v>40</v>
      </c>
      <c r="AB92" s="936"/>
      <c r="AC92" s="937"/>
      <c r="AD92" s="938" t="s">
        <v>41</v>
      </c>
      <c r="AE92" s="939"/>
      <c r="AF92" s="940"/>
      <c r="AG92" s="941" t="s">
        <v>42</v>
      </c>
      <c r="AH92" s="942" t="s">
        <v>9</v>
      </c>
      <c r="AI92" s="943" t="s">
        <v>43</v>
      </c>
      <c r="AJ92" s="944"/>
      <c r="AK92" s="945"/>
      <c r="AL92" s="946">
        <v>1</v>
      </c>
      <c r="AM92" s="947" t="s">
        <v>44</v>
      </c>
      <c r="AN92" s="947"/>
      <c r="AO92" s="947"/>
      <c r="AP92" s="947"/>
      <c r="AQ92" s="947"/>
      <c r="AR92" s="947"/>
      <c r="AS92" s="948"/>
    </row>
    <row r="93" spans="1:81" ht="18.75" customHeight="1" x14ac:dyDescent="0.2">
      <c r="A93" s="949" t="str">
        <f>IF($AL94&gt;0,"1","")</f>
        <v>1</v>
      </c>
      <c r="B93" s="950" t="s">
        <v>10</v>
      </c>
      <c r="C93" s="951"/>
      <c r="D93" s="952"/>
      <c r="E93" s="953" t="str">
        <f>AU4</f>
        <v>SC Midlands KP Silver</v>
      </c>
      <c r="F93" s="954"/>
      <c r="G93" s="954"/>
      <c r="H93" s="954"/>
      <c r="I93" s="954"/>
      <c r="J93" s="954"/>
      <c r="K93" s="954"/>
      <c r="L93" s="955"/>
      <c r="M93" s="956">
        <f>IF($AL95=0,AG149,AG131)</f>
        <v>4</v>
      </c>
      <c r="N93" s="957"/>
      <c r="O93" s="957"/>
      <c r="P93" s="957"/>
      <c r="Q93" s="957"/>
      <c r="R93" s="932"/>
      <c r="S93" s="956">
        <f>IF($AL95=0,AH149,AH131)</f>
        <v>0</v>
      </c>
      <c r="T93" s="957"/>
      <c r="U93" s="957"/>
      <c r="V93" s="957"/>
      <c r="W93" s="957"/>
      <c r="X93" s="956">
        <f>AR109</f>
        <v>46</v>
      </c>
      <c r="Y93" s="957"/>
      <c r="Z93" s="957"/>
      <c r="AA93" s="958">
        <f>IF(AG143&gt;0,(AR109/AG143),0)</f>
        <v>0.36220472440944884</v>
      </c>
      <c r="AB93" s="959"/>
      <c r="AC93" s="959"/>
      <c r="AD93" s="960">
        <f>IF(AG157=0,0,(AG149/AG157))</f>
        <v>1</v>
      </c>
      <c r="AE93" s="961"/>
      <c r="AF93" s="962"/>
      <c r="AG93" s="963">
        <v>1</v>
      </c>
      <c r="AH93" s="963">
        <v>1</v>
      </c>
      <c r="AI93" s="964"/>
      <c r="AJ93" s="965"/>
      <c r="AK93" s="945"/>
      <c r="AL93" s="946">
        <v>6</v>
      </c>
      <c r="AM93" s="947" t="s">
        <v>47</v>
      </c>
      <c r="AN93" s="947"/>
      <c r="AO93" s="947"/>
      <c r="AP93" s="947"/>
      <c r="AQ93" s="947"/>
      <c r="AR93" s="947"/>
      <c r="AS93" s="948"/>
    </row>
    <row r="94" spans="1:81" ht="18.75" customHeight="1" thickBot="1" x14ac:dyDescent="0.25">
      <c r="A94" s="966"/>
      <c r="B94" s="967" t="s">
        <v>11</v>
      </c>
      <c r="C94" s="968"/>
      <c r="D94" s="969"/>
      <c r="E94" s="970" t="str">
        <f>AV4</f>
        <v>fj1scmid4pm</v>
      </c>
      <c r="F94" s="971"/>
      <c r="G94" s="971"/>
      <c r="H94" s="971"/>
      <c r="I94" s="971"/>
      <c r="J94" s="971"/>
      <c r="K94" s="971"/>
      <c r="L94" s="971"/>
      <c r="M94" s="972"/>
      <c r="N94" s="973"/>
      <c r="O94" s="973"/>
      <c r="P94" s="973"/>
      <c r="Q94" s="973"/>
      <c r="R94" s="932"/>
      <c r="S94" s="972"/>
      <c r="T94" s="973"/>
      <c r="U94" s="973"/>
      <c r="V94" s="973"/>
      <c r="W94" s="973"/>
      <c r="X94" s="972"/>
      <c r="Y94" s="973"/>
      <c r="Z94" s="973"/>
      <c r="AA94" s="974"/>
      <c r="AB94" s="975"/>
      <c r="AC94" s="975"/>
      <c r="AD94" s="976"/>
      <c r="AE94" s="977"/>
      <c r="AF94" s="978"/>
      <c r="AG94" s="979"/>
      <c r="AH94" s="979"/>
      <c r="AI94" s="980"/>
      <c r="AJ94" s="981"/>
      <c r="AK94" s="945"/>
      <c r="AL94" s="946">
        <v>3</v>
      </c>
      <c r="AM94" s="947" t="s">
        <v>50</v>
      </c>
      <c r="AN94" s="945"/>
      <c r="AO94" s="945"/>
      <c r="AP94" s="945"/>
      <c r="AQ94" s="945"/>
      <c r="AR94" s="945"/>
      <c r="AS94" s="845"/>
    </row>
    <row r="95" spans="1:81" ht="18.75" customHeight="1" x14ac:dyDescent="0.2">
      <c r="A95" s="949" t="str">
        <f>IF($AL94&gt;1,"2","")</f>
        <v>2</v>
      </c>
      <c r="B95" s="950" t="s">
        <v>10</v>
      </c>
      <c r="C95" s="951"/>
      <c r="D95" s="952"/>
      <c r="E95" s="953" t="str">
        <f>AU5</f>
        <v>Columbia SC Starlings 12</v>
      </c>
      <c r="F95" s="954"/>
      <c r="G95" s="954"/>
      <c r="H95" s="954"/>
      <c r="I95" s="954"/>
      <c r="J95" s="954"/>
      <c r="K95" s="954"/>
      <c r="L95" s="955"/>
      <c r="M95" s="956">
        <f>IF($AL95=0,AG150,AG132)</f>
        <v>0</v>
      </c>
      <c r="N95" s="957"/>
      <c r="O95" s="957"/>
      <c r="P95" s="957"/>
      <c r="Q95" s="957"/>
      <c r="R95" s="932"/>
      <c r="S95" s="956">
        <f>IF($AL95=0,AH150,AH132)</f>
        <v>4</v>
      </c>
      <c r="T95" s="957"/>
      <c r="U95" s="957"/>
      <c r="V95" s="957"/>
      <c r="W95" s="957"/>
      <c r="X95" s="956">
        <f>AR110</f>
        <v>-47</v>
      </c>
      <c r="Y95" s="957"/>
      <c r="Z95" s="957"/>
      <c r="AA95" s="958">
        <f>IF(AG144&gt;0,(AR110/AG144),0)</f>
        <v>-0.39166666666666666</v>
      </c>
      <c r="AB95" s="959"/>
      <c r="AC95" s="959"/>
      <c r="AD95" s="960">
        <f>IF(AG158=0,0,(AG150/AG158))</f>
        <v>0</v>
      </c>
      <c r="AE95" s="961"/>
      <c r="AF95" s="962"/>
      <c r="AG95" s="963">
        <v>3</v>
      </c>
      <c r="AH95" s="963">
        <v>1</v>
      </c>
      <c r="AI95" s="964"/>
      <c r="AJ95" s="965"/>
      <c r="AK95" s="945"/>
      <c r="AL95" s="946">
        <v>1</v>
      </c>
      <c r="AM95" s="947" t="s">
        <v>53</v>
      </c>
      <c r="AN95" s="947"/>
      <c r="AO95" s="947"/>
      <c r="AP95" s="947"/>
      <c r="AQ95" s="947"/>
      <c r="AR95" s="947"/>
      <c r="AS95" s="948"/>
    </row>
    <row r="96" spans="1:81" ht="18.75" customHeight="1" thickBot="1" x14ac:dyDescent="0.25">
      <c r="A96" s="966"/>
      <c r="B96" s="988" t="s">
        <v>11</v>
      </c>
      <c r="C96" s="989"/>
      <c r="D96" s="989"/>
      <c r="E96" s="970" t="str">
        <f>AV5</f>
        <v>fj2starl1pm</v>
      </c>
      <c r="F96" s="971"/>
      <c r="G96" s="971"/>
      <c r="H96" s="971"/>
      <c r="I96" s="971"/>
      <c r="J96" s="971"/>
      <c r="K96" s="971"/>
      <c r="L96" s="971"/>
      <c r="M96" s="972"/>
      <c r="N96" s="973"/>
      <c r="O96" s="973"/>
      <c r="P96" s="973"/>
      <c r="Q96" s="973"/>
      <c r="R96" s="932"/>
      <c r="S96" s="972"/>
      <c r="T96" s="973"/>
      <c r="U96" s="973"/>
      <c r="V96" s="973"/>
      <c r="W96" s="973"/>
      <c r="X96" s="972"/>
      <c r="Y96" s="973"/>
      <c r="Z96" s="973"/>
      <c r="AA96" s="974"/>
      <c r="AB96" s="975"/>
      <c r="AC96" s="975"/>
      <c r="AD96" s="976"/>
      <c r="AE96" s="977"/>
      <c r="AF96" s="978"/>
      <c r="AG96" s="979"/>
      <c r="AH96" s="979"/>
      <c r="AI96" s="980"/>
      <c r="AJ96" s="981"/>
      <c r="AK96" s="945"/>
      <c r="AL96" s="946">
        <v>1</v>
      </c>
      <c r="AM96" s="947" t="s">
        <v>56</v>
      </c>
      <c r="AN96" s="945"/>
      <c r="AO96" s="945"/>
      <c r="AP96" s="945"/>
      <c r="AQ96" s="945"/>
      <c r="AR96" s="945"/>
      <c r="AS96" s="845"/>
    </row>
    <row r="97" spans="1:45" ht="18.75" customHeight="1" x14ac:dyDescent="0.2">
      <c r="A97" s="949" t="str">
        <f>IF($AL94&gt;2,"3","")</f>
        <v>3</v>
      </c>
      <c r="B97" s="990" t="s">
        <v>10</v>
      </c>
      <c r="C97" s="991"/>
      <c r="D97" s="991"/>
      <c r="E97" s="953" t="str">
        <f>AU8</f>
        <v>Foothills Skylar</v>
      </c>
      <c r="F97" s="954"/>
      <c r="G97" s="954"/>
      <c r="H97" s="954"/>
      <c r="I97" s="954"/>
      <c r="J97" s="954"/>
      <c r="K97" s="954"/>
      <c r="L97" s="955"/>
      <c r="M97" s="956">
        <f>IF($AL95=0,AG151,AG133)</f>
        <v>2</v>
      </c>
      <c r="N97" s="957"/>
      <c r="O97" s="957"/>
      <c r="P97" s="957"/>
      <c r="Q97" s="957"/>
      <c r="R97" s="932"/>
      <c r="S97" s="956">
        <f>IF($AL95=0,AH151,AH133)</f>
        <v>2</v>
      </c>
      <c r="T97" s="957"/>
      <c r="U97" s="957"/>
      <c r="V97" s="957"/>
      <c r="W97" s="957"/>
      <c r="X97" s="956">
        <f>AR111</f>
        <v>1</v>
      </c>
      <c r="Y97" s="957"/>
      <c r="Z97" s="957"/>
      <c r="AA97" s="958">
        <f>IF(AG145&gt;0,(AR111/AG145),0)</f>
        <v>7.874015748031496E-3</v>
      </c>
      <c r="AB97" s="959"/>
      <c r="AC97" s="959"/>
      <c r="AD97" s="960">
        <f>IF(AG159=0,0,(AG151/AG159))</f>
        <v>0.5</v>
      </c>
      <c r="AE97" s="961"/>
      <c r="AF97" s="962"/>
      <c r="AG97" s="963">
        <v>2</v>
      </c>
      <c r="AH97" s="963">
        <v>1</v>
      </c>
      <c r="AI97" s="964"/>
      <c r="AJ97" s="965"/>
      <c r="AK97" s="992"/>
      <c r="AL97" s="946">
        <v>4</v>
      </c>
      <c r="AM97" s="993" t="s">
        <v>59</v>
      </c>
      <c r="AN97" s="947"/>
      <c r="AO97" s="947"/>
      <c r="AP97" s="947"/>
      <c r="AQ97" s="947"/>
      <c r="AR97" s="947"/>
      <c r="AS97" s="948"/>
    </row>
    <row r="98" spans="1:45" ht="18.75" customHeight="1" thickBot="1" x14ac:dyDescent="0.25">
      <c r="A98" s="966"/>
      <c r="B98" s="988" t="s">
        <v>11</v>
      </c>
      <c r="C98" s="989"/>
      <c r="D98" s="989"/>
      <c r="E98" s="970" t="str">
        <f>AV8</f>
        <v>fj2footh3pm</v>
      </c>
      <c r="F98" s="971"/>
      <c r="G98" s="971"/>
      <c r="H98" s="971"/>
      <c r="I98" s="971"/>
      <c r="J98" s="971"/>
      <c r="K98" s="971"/>
      <c r="L98" s="971"/>
      <c r="M98" s="972"/>
      <c r="N98" s="973"/>
      <c r="O98" s="973"/>
      <c r="P98" s="973"/>
      <c r="Q98" s="973"/>
      <c r="R98" s="932"/>
      <c r="S98" s="972"/>
      <c r="T98" s="973"/>
      <c r="U98" s="973"/>
      <c r="V98" s="973"/>
      <c r="W98" s="973"/>
      <c r="X98" s="972"/>
      <c r="Y98" s="973"/>
      <c r="Z98" s="973"/>
      <c r="AA98" s="974"/>
      <c r="AB98" s="975"/>
      <c r="AC98" s="975"/>
      <c r="AD98" s="976"/>
      <c r="AE98" s="977"/>
      <c r="AF98" s="978"/>
      <c r="AG98" s="979"/>
      <c r="AH98" s="979"/>
      <c r="AI98" s="980"/>
      <c r="AJ98" s="981"/>
      <c r="AK98" s="992"/>
      <c r="AL98" s="1000"/>
      <c r="AM98" s="1001"/>
      <c r="AN98" s="1001"/>
      <c r="AO98" s="1001"/>
      <c r="AP98" s="1001"/>
      <c r="AQ98" s="1001"/>
      <c r="AR98" s="945"/>
      <c r="AS98" s="845"/>
    </row>
    <row r="99" spans="1:45" ht="18.75" customHeight="1" x14ac:dyDescent="0.2">
      <c r="A99" s="949" t="str">
        <f>IF($AL94&gt;3,"4","")</f>
        <v/>
      </c>
      <c r="B99" s="990" t="s">
        <v>10</v>
      </c>
      <c r="C99" s="991"/>
      <c r="D99" s="991"/>
      <c r="E99" s="953">
        <f>AU10</f>
        <v>0</v>
      </c>
      <c r="F99" s="954"/>
      <c r="G99" s="954"/>
      <c r="H99" s="954"/>
      <c r="I99" s="954"/>
      <c r="J99" s="954"/>
      <c r="K99" s="954"/>
      <c r="L99" s="955"/>
      <c r="M99" s="956">
        <f>IF($AL95=0,AG152,AG134)</f>
        <v>0</v>
      </c>
      <c r="N99" s="957"/>
      <c r="O99" s="957"/>
      <c r="P99" s="957"/>
      <c r="Q99" s="957"/>
      <c r="R99" s="932"/>
      <c r="S99" s="956">
        <f>IF($AL95=0,AH152,AH134)</f>
        <v>0</v>
      </c>
      <c r="T99" s="957"/>
      <c r="U99" s="957"/>
      <c r="V99" s="957"/>
      <c r="W99" s="957"/>
      <c r="X99" s="956">
        <f>AR112</f>
        <v>0</v>
      </c>
      <c r="Y99" s="957"/>
      <c r="Z99" s="957"/>
      <c r="AA99" s="958">
        <f>IF(AG146&gt;0,(AR112/AG146),0)</f>
        <v>0</v>
      </c>
      <c r="AB99" s="959"/>
      <c r="AC99" s="959"/>
      <c r="AD99" s="960">
        <f>IF(AG160=0,0,(AG152/AG160))</f>
        <v>0</v>
      </c>
      <c r="AE99" s="961"/>
      <c r="AF99" s="962"/>
      <c r="AG99" s="963"/>
      <c r="AH99" s="963"/>
      <c r="AI99" s="964"/>
      <c r="AJ99" s="965"/>
      <c r="AK99" s="868"/>
      <c r="AL99" s="1001"/>
      <c r="AM99" s="1001"/>
      <c r="AN99" s="1001"/>
      <c r="AO99" s="1001"/>
      <c r="AP99" s="1001"/>
      <c r="AQ99" s="1001"/>
      <c r="AR99" s="947"/>
      <c r="AS99" s="948"/>
    </row>
    <row r="100" spans="1:45" ht="18.75" customHeight="1" thickBot="1" x14ac:dyDescent="0.25">
      <c r="A100" s="966"/>
      <c r="B100" s="988" t="s">
        <v>11</v>
      </c>
      <c r="C100" s="989"/>
      <c r="D100" s="989"/>
      <c r="E100" s="970">
        <f>AV10</f>
        <v>0</v>
      </c>
      <c r="F100" s="971"/>
      <c r="G100" s="971"/>
      <c r="H100" s="971"/>
      <c r="I100" s="971"/>
      <c r="J100" s="971"/>
      <c r="K100" s="971"/>
      <c r="L100" s="971"/>
      <c r="M100" s="972"/>
      <c r="N100" s="973"/>
      <c r="O100" s="973"/>
      <c r="P100" s="973"/>
      <c r="Q100" s="973"/>
      <c r="R100" s="932"/>
      <c r="S100" s="972"/>
      <c r="T100" s="973"/>
      <c r="U100" s="973"/>
      <c r="V100" s="973"/>
      <c r="W100" s="973"/>
      <c r="X100" s="972"/>
      <c r="Y100" s="973"/>
      <c r="Z100" s="973"/>
      <c r="AA100" s="974"/>
      <c r="AB100" s="975"/>
      <c r="AC100" s="975"/>
      <c r="AD100" s="976"/>
      <c r="AE100" s="977"/>
      <c r="AF100" s="978"/>
      <c r="AG100" s="979"/>
      <c r="AH100" s="979"/>
      <c r="AI100" s="980"/>
      <c r="AJ100" s="981"/>
      <c r="AK100" s="868"/>
      <c r="AL100" s="1001"/>
      <c r="AM100" s="1001"/>
      <c r="AN100" s="1001"/>
      <c r="AO100" s="1001"/>
      <c r="AP100" s="1001"/>
      <c r="AQ100" s="1001"/>
      <c r="AR100" s="868"/>
      <c r="AS100" s="845"/>
    </row>
    <row r="101" spans="1:45" ht="18.75" customHeight="1" x14ac:dyDescent="0.2">
      <c r="A101" s="949" t="str">
        <f>IF($AL94&gt;4,"5","")</f>
        <v/>
      </c>
      <c r="B101" s="990" t="s">
        <v>10</v>
      </c>
      <c r="C101" s="991"/>
      <c r="D101" s="991"/>
      <c r="E101" s="953">
        <f>AU12</f>
        <v>0</v>
      </c>
      <c r="F101" s="954"/>
      <c r="G101" s="954"/>
      <c r="H101" s="954"/>
      <c r="I101" s="954"/>
      <c r="J101" s="954"/>
      <c r="K101" s="954"/>
      <c r="L101" s="955"/>
      <c r="M101" s="956">
        <f>IF($AL95=0,AG153,AG135)</f>
        <v>0</v>
      </c>
      <c r="N101" s="957"/>
      <c r="O101" s="957"/>
      <c r="P101" s="957"/>
      <c r="Q101" s="957"/>
      <c r="R101" s="932"/>
      <c r="S101" s="956">
        <f>IF($AL95=0,AH153,AH135)</f>
        <v>0</v>
      </c>
      <c r="T101" s="957"/>
      <c r="U101" s="957"/>
      <c r="V101" s="957"/>
      <c r="W101" s="957"/>
      <c r="X101" s="956">
        <f>AR113</f>
        <v>0</v>
      </c>
      <c r="Y101" s="957"/>
      <c r="Z101" s="957"/>
      <c r="AA101" s="958">
        <f>IF(AG147&gt;0,(AR113/AG147),0)</f>
        <v>0</v>
      </c>
      <c r="AB101" s="959"/>
      <c r="AC101" s="959"/>
      <c r="AD101" s="960">
        <f>IF(AG161=0,0,(AG153/AG161))</f>
        <v>0</v>
      </c>
      <c r="AE101" s="961"/>
      <c r="AF101" s="962"/>
      <c r="AG101" s="963"/>
      <c r="AH101" s="963"/>
      <c r="AI101" s="964"/>
      <c r="AJ101" s="965"/>
      <c r="AK101" s="868"/>
      <c r="AL101" s="1001"/>
      <c r="AM101" s="1001"/>
      <c r="AN101" s="1001"/>
      <c r="AO101" s="1001"/>
      <c r="AP101" s="1001"/>
      <c r="AQ101" s="1001"/>
      <c r="AR101" s="868"/>
      <c r="AS101" s="845"/>
    </row>
    <row r="102" spans="1:45" ht="18.75" customHeight="1" thickBot="1" x14ac:dyDescent="0.25">
      <c r="A102" s="966"/>
      <c r="B102" s="1009" t="s">
        <v>11</v>
      </c>
      <c r="C102" s="1010"/>
      <c r="D102" s="1010"/>
      <c r="E102" s="1011">
        <f>AV12</f>
        <v>0</v>
      </c>
      <c r="F102" s="1012"/>
      <c r="G102" s="1012"/>
      <c r="H102" s="1012"/>
      <c r="I102" s="1012"/>
      <c r="J102" s="1012"/>
      <c r="K102" s="1012"/>
      <c r="L102" s="1012"/>
      <c r="M102" s="1013"/>
      <c r="N102" s="1014"/>
      <c r="O102" s="1014"/>
      <c r="P102" s="1014"/>
      <c r="Q102" s="1014"/>
      <c r="R102" s="932"/>
      <c r="S102" s="972"/>
      <c r="T102" s="973"/>
      <c r="U102" s="973"/>
      <c r="V102" s="973"/>
      <c r="W102" s="973"/>
      <c r="X102" s="972"/>
      <c r="Y102" s="973"/>
      <c r="Z102" s="973"/>
      <c r="AA102" s="974"/>
      <c r="AB102" s="975"/>
      <c r="AC102" s="975"/>
      <c r="AD102" s="976"/>
      <c r="AE102" s="977"/>
      <c r="AF102" s="978"/>
      <c r="AG102" s="979"/>
      <c r="AH102" s="1015"/>
      <c r="AI102" s="980"/>
      <c r="AJ102" s="981"/>
      <c r="AK102" s="868"/>
      <c r="AL102" s="1001"/>
      <c r="AM102" s="1001"/>
      <c r="AN102" s="1001"/>
      <c r="AO102" s="1001"/>
      <c r="AP102" s="1001"/>
      <c r="AQ102" s="1001"/>
      <c r="AR102" s="868"/>
      <c r="AS102" s="845"/>
    </row>
    <row r="103" spans="1:45" ht="21" customHeight="1" thickTop="1" thickBot="1" x14ac:dyDescent="0.25">
      <c r="A103" s="1016"/>
      <c r="B103" s="1017" t="s">
        <v>1128</v>
      </c>
      <c r="C103" s="1018"/>
      <c r="D103" s="1018"/>
      <c r="E103" s="1018"/>
      <c r="F103" s="1018"/>
      <c r="G103" s="1018"/>
      <c r="H103" s="1018"/>
      <c r="I103" s="1018"/>
      <c r="J103" s="1018"/>
      <c r="K103" s="1018"/>
      <c r="L103" s="1018"/>
      <c r="M103" s="1018"/>
      <c r="N103" s="1018"/>
      <c r="O103" s="1018"/>
      <c r="P103" s="1018"/>
      <c r="Q103" s="1018"/>
      <c r="R103" s="1018"/>
      <c r="S103" s="1018"/>
      <c r="T103" s="1018"/>
      <c r="U103" s="1018"/>
      <c r="V103" s="1018"/>
      <c r="W103" s="1018"/>
      <c r="X103" s="1018"/>
      <c r="Y103" s="1018"/>
      <c r="Z103" s="1018"/>
      <c r="AA103" s="1018"/>
      <c r="AB103" s="1018"/>
      <c r="AC103" s="1018"/>
      <c r="AD103" s="1018"/>
      <c r="AE103" s="1018"/>
      <c r="AF103" s="1018"/>
      <c r="AG103" s="1018"/>
      <c r="AH103" s="1018"/>
      <c r="AI103" s="1018"/>
      <c r="AJ103" s="1019"/>
      <c r="AK103" s="868"/>
      <c r="AL103" s="1001"/>
      <c r="AM103" s="1001"/>
      <c r="AN103" s="1001"/>
      <c r="AO103" s="1001"/>
      <c r="AP103" s="1001"/>
      <c r="AQ103" s="1001"/>
      <c r="AR103" s="868"/>
      <c r="AS103" s="845"/>
    </row>
    <row r="104" spans="1:45" ht="13.5" customHeight="1" thickTop="1" x14ac:dyDescent="0.2">
      <c r="A104" s="846" t="s">
        <v>64</v>
      </c>
      <c r="B104" s="1020">
        <v>0.35416666666666669</v>
      </c>
      <c r="C104" s="1021"/>
      <c r="D104" s="1022"/>
      <c r="E104" s="1020">
        <v>0.39583333333333331</v>
      </c>
      <c r="F104" s="1021"/>
      <c r="G104" s="1022"/>
      <c r="H104" s="1020">
        <v>0.4375</v>
      </c>
      <c r="I104" s="1021"/>
      <c r="J104" s="1022"/>
      <c r="K104" s="1086" t="s">
        <v>1129</v>
      </c>
      <c r="L104" s="1020">
        <v>0.5</v>
      </c>
      <c r="M104" s="1021"/>
      <c r="N104" s="1022"/>
      <c r="O104" s="1020">
        <v>4.1666666666666664E-2</v>
      </c>
      <c r="P104" s="1021"/>
      <c r="Q104" s="1022"/>
      <c r="R104" s="1020">
        <v>8.3333333333333329E-2</v>
      </c>
      <c r="S104" s="1021"/>
      <c r="T104" s="1022"/>
      <c r="U104" s="1020">
        <v>4.1666666666666664E-2</v>
      </c>
      <c r="V104" s="1021"/>
      <c r="W104" s="1022"/>
      <c r="X104" s="1020">
        <v>7.2916666666666671E-2</v>
      </c>
      <c r="Y104" s="1021"/>
      <c r="Z104" s="1022"/>
      <c r="AA104" s="1020">
        <v>0.10416666666666667</v>
      </c>
      <c r="AB104" s="1021"/>
      <c r="AC104" s="1022"/>
      <c r="AD104" s="1020">
        <v>0.13541666666666666</v>
      </c>
      <c r="AE104" s="1021"/>
      <c r="AF104" s="1022"/>
      <c r="AG104" s="1024" t="s">
        <v>65</v>
      </c>
      <c r="AH104" s="1025"/>
      <c r="AI104" s="1025"/>
      <c r="AJ104" s="1025"/>
      <c r="AK104" s="1026"/>
      <c r="AL104" s="1026"/>
      <c r="AM104" s="1026"/>
      <c r="AN104" s="1026"/>
      <c r="AO104" s="1026"/>
      <c r="AP104" s="1026"/>
      <c r="AQ104" s="1026"/>
      <c r="AR104" s="1027"/>
    </row>
    <row r="105" spans="1:45" x14ac:dyDescent="0.2">
      <c r="A105" s="1028" t="s">
        <v>66</v>
      </c>
      <c r="B105" s="1029"/>
      <c r="C105" s="1030"/>
      <c r="D105" s="1031"/>
      <c r="E105" s="1029"/>
      <c r="F105" s="1030"/>
      <c r="G105" s="1031"/>
      <c r="H105" s="1029"/>
      <c r="I105" s="1030"/>
      <c r="J105" s="1031"/>
      <c r="K105" s="1087"/>
      <c r="L105" s="1029"/>
      <c r="M105" s="1030"/>
      <c r="N105" s="1031"/>
      <c r="O105" s="1029"/>
      <c r="P105" s="1030"/>
      <c r="Q105" s="1031"/>
      <c r="R105" s="1029"/>
      <c r="S105" s="1030"/>
      <c r="T105" s="1031"/>
      <c r="U105" s="1029"/>
      <c r="V105" s="1030"/>
      <c r="W105" s="1031"/>
      <c r="X105" s="1029"/>
      <c r="Y105" s="1030"/>
      <c r="Z105" s="1031"/>
      <c r="AA105" s="1029"/>
      <c r="AB105" s="1030"/>
      <c r="AC105" s="1031"/>
      <c r="AD105" s="1029"/>
      <c r="AE105" s="1030"/>
      <c r="AF105" s="1031"/>
      <c r="AG105" s="1024"/>
      <c r="AH105" s="1025"/>
      <c r="AI105" s="1025"/>
      <c r="AJ105" s="1025"/>
      <c r="AK105" s="1025"/>
      <c r="AL105" s="1025"/>
      <c r="AM105" s="1025"/>
      <c r="AN105" s="1025"/>
      <c r="AO105" s="1025"/>
      <c r="AP105" s="1025"/>
      <c r="AQ105" s="1025"/>
      <c r="AR105" s="1033"/>
    </row>
    <row r="106" spans="1:45" x14ac:dyDescent="0.2">
      <c r="A106" s="1028" t="s">
        <v>67</v>
      </c>
      <c r="B106" s="1029"/>
      <c r="C106" s="1030"/>
      <c r="D106" s="1031"/>
      <c r="E106" s="1029"/>
      <c r="F106" s="1030"/>
      <c r="G106" s="1031"/>
      <c r="H106" s="1029"/>
      <c r="I106" s="1030"/>
      <c r="J106" s="1031"/>
      <c r="K106" s="1087"/>
      <c r="L106" s="1029"/>
      <c r="M106" s="1030"/>
      <c r="N106" s="1031"/>
      <c r="O106" s="1029"/>
      <c r="P106" s="1030"/>
      <c r="Q106" s="1031"/>
      <c r="R106" s="1029"/>
      <c r="S106" s="1030"/>
      <c r="T106" s="1031"/>
      <c r="U106" s="1029"/>
      <c r="V106" s="1030"/>
      <c r="W106" s="1031"/>
      <c r="X106" s="1029"/>
      <c r="Y106" s="1030"/>
      <c r="Z106" s="1031"/>
      <c r="AA106" s="1029"/>
      <c r="AB106" s="1030"/>
      <c r="AC106" s="1031"/>
      <c r="AD106" s="1029"/>
      <c r="AE106" s="1030"/>
      <c r="AF106" s="1031"/>
      <c r="AG106" s="1024"/>
      <c r="AH106" s="1025"/>
      <c r="AI106" s="1025"/>
      <c r="AJ106" s="1025"/>
      <c r="AK106" s="1025"/>
      <c r="AL106" s="1025"/>
      <c r="AM106" s="1025"/>
      <c r="AN106" s="1025"/>
      <c r="AO106" s="1025"/>
      <c r="AP106" s="1025"/>
      <c r="AQ106" s="1025"/>
      <c r="AR106" s="1033"/>
    </row>
    <row r="107" spans="1:45" ht="13.5" thickBot="1" x14ac:dyDescent="0.25">
      <c r="A107" s="868"/>
      <c r="B107" s="1034" t="s">
        <v>68</v>
      </c>
      <c r="C107" s="1035"/>
      <c r="D107" s="1036"/>
      <c r="E107" s="1034" t="str">
        <f>IF(AL93&gt;1,"Match 2","")</f>
        <v>Match 2</v>
      </c>
      <c r="F107" s="1035"/>
      <c r="G107" s="1036"/>
      <c r="H107" s="1034" t="str">
        <f>IF(AL93&gt;2,"Match 3","")</f>
        <v>Match 3</v>
      </c>
      <c r="I107" s="1035"/>
      <c r="J107" s="1036"/>
      <c r="K107" s="1087"/>
      <c r="L107" s="1034" t="str">
        <f>IF(AL93&gt;3,"Match 4","")</f>
        <v>Match 4</v>
      </c>
      <c r="M107" s="1035"/>
      <c r="N107" s="1036"/>
      <c r="O107" s="1034" t="str">
        <f>IF(AL93&gt;4,"Match 5","")</f>
        <v>Match 5</v>
      </c>
      <c r="P107" s="1035"/>
      <c r="Q107" s="1036"/>
      <c r="R107" s="1034" t="str">
        <f>IF(AL93&gt;5,"Match 6","")</f>
        <v>Match 6</v>
      </c>
      <c r="S107" s="1035"/>
      <c r="T107" s="1036"/>
      <c r="U107" s="1034" t="str">
        <f>IF(AL93&gt;6,"Match 7","")</f>
        <v/>
      </c>
      <c r="V107" s="1035"/>
      <c r="W107" s="1036"/>
      <c r="X107" s="1034" t="str">
        <f>IF(AL93&gt;7,"Match 8","")</f>
        <v/>
      </c>
      <c r="Y107" s="1035"/>
      <c r="Z107" s="1036"/>
      <c r="AA107" s="1034" t="str">
        <f>IF(AL93&gt;8,"Match 9","")</f>
        <v/>
      </c>
      <c r="AB107" s="1035"/>
      <c r="AC107" s="1036"/>
      <c r="AD107" s="1034" t="str">
        <f>IF(AL93&gt;9,"Match 10","")</f>
        <v/>
      </c>
      <c r="AE107" s="1035"/>
      <c r="AF107" s="1036"/>
      <c r="AG107" s="1037"/>
      <c r="AH107" s="1038"/>
      <c r="AI107" s="1038"/>
      <c r="AJ107" s="1038"/>
      <c r="AK107" s="1038"/>
      <c r="AL107" s="1038"/>
      <c r="AM107" s="1038"/>
      <c r="AN107" s="1038"/>
      <c r="AO107" s="1038"/>
      <c r="AP107" s="1038"/>
      <c r="AQ107" s="1038"/>
      <c r="AR107" s="1039"/>
    </row>
    <row r="108" spans="1:45" ht="15.75" x14ac:dyDescent="0.25">
      <c r="A108" s="868"/>
      <c r="B108" s="1040" t="s">
        <v>70</v>
      </c>
      <c r="C108" s="1041"/>
      <c r="D108" s="1042"/>
      <c r="E108" s="1040" t="s">
        <v>71</v>
      </c>
      <c r="F108" s="1041"/>
      <c r="G108" s="1042"/>
      <c r="H108" s="1040" t="s">
        <v>73</v>
      </c>
      <c r="I108" s="1041"/>
      <c r="J108" s="1042"/>
      <c r="K108" s="1087"/>
      <c r="L108" s="1040" t="s">
        <v>70</v>
      </c>
      <c r="M108" s="1041"/>
      <c r="N108" s="1042"/>
      <c r="O108" s="1040" t="s">
        <v>71</v>
      </c>
      <c r="P108" s="1041"/>
      <c r="Q108" s="1042"/>
      <c r="R108" s="1040" t="s">
        <v>73</v>
      </c>
      <c r="S108" s="1041"/>
      <c r="T108" s="1042"/>
      <c r="U108" s="1040" t="s">
        <v>69</v>
      </c>
      <c r="V108" s="1041"/>
      <c r="W108" s="1042"/>
      <c r="X108" s="1040" t="s">
        <v>73</v>
      </c>
      <c r="Y108" s="1041"/>
      <c r="Z108" s="1042"/>
      <c r="AA108" s="1040" t="s">
        <v>1117</v>
      </c>
      <c r="AB108" s="1041"/>
      <c r="AC108" s="1042"/>
      <c r="AD108" s="1040" t="s">
        <v>70</v>
      </c>
      <c r="AE108" s="1041"/>
      <c r="AF108" s="1042"/>
      <c r="AG108" s="1043" t="s">
        <v>74</v>
      </c>
      <c r="AH108" s="1044">
        <v>1</v>
      </c>
      <c r="AI108" s="1044">
        <v>2</v>
      </c>
      <c r="AJ108" s="1044">
        <v>3</v>
      </c>
      <c r="AK108" s="1044">
        <v>4</v>
      </c>
      <c r="AL108" s="1044">
        <v>5</v>
      </c>
      <c r="AM108" s="1044">
        <v>6</v>
      </c>
      <c r="AN108" s="1044">
        <v>7</v>
      </c>
      <c r="AO108" s="1044">
        <v>8</v>
      </c>
      <c r="AP108" s="1044">
        <v>9</v>
      </c>
      <c r="AQ108" s="1044">
        <v>10</v>
      </c>
      <c r="AR108" s="1045" t="s">
        <v>75</v>
      </c>
    </row>
    <row r="109" spans="1:45" ht="15.75" x14ac:dyDescent="0.25">
      <c r="A109" s="868"/>
      <c r="B109" s="1046">
        <v>1</v>
      </c>
      <c r="C109" s="1047" t="s">
        <v>76</v>
      </c>
      <c r="D109" s="1048">
        <v>3</v>
      </c>
      <c r="E109" s="1046">
        <v>2</v>
      </c>
      <c r="F109" s="1047" t="str">
        <f>IF(AL93&gt;1,"v","")</f>
        <v>v</v>
      </c>
      <c r="G109" s="1048">
        <v>3</v>
      </c>
      <c r="H109" s="1046">
        <v>1</v>
      </c>
      <c r="I109" s="1047" t="str">
        <f>IF(AL93&gt;2,"v","")</f>
        <v>v</v>
      </c>
      <c r="J109" s="1048">
        <v>2</v>
      </c>
      <c r="K109" s="1087"/>
      <c r="L109" s="1046">
        <v>1</v>
      </c>
      <c r="M109" s="1047" t="str">
        <f>IF(AL93&gt;3,"v","")</f>
        <v>v</v>
      </c>
      <c r="N109" s="1048">
        <v>3</v>
      </c>
      <c r="O109" s="1046">
        <v>2</v>
      </c>
      <c r="P109" s="1047" t="str">
        <f>IF(AL93&gt;4,"v","")</f>
        <v>v</v>
      </c>
      <c r="Q109" s="1048">
        <v>3</v>
      </c>
      <c r="R109" s="1046">
        <v>1</v>
      </c>
      <c r="S109" s="1047" t="str">
        <f>IF(AL93&gt;5,"v","")</f>
        <v>v</v>
      </c>
      <c r="T109" s="1048">
        <v>2</v>
      </c>
      <c r="U109" s="1046">
        <v>2</v>
      </c>
      <c r="V109" s="1047" t="str">
        <f>IF(AL93&gt;6,"v","")</f>
        <v/>
      </c>
      <c r="W109" s="1048">
        <v>3</v>
      </c>
      <c r="X109" s="1046">
        <v>1</v>
      </c>
      <c r="Y109" s="1047" t="str">
        <f>IF(AL93&gt;7,"v","")</f>
        <v/>
      </c>
      <c r="Z109" s="1048">
        <v>5</v>
      </c>
      <c r="AA109" s="1046">
        <v>3</v>
      </c>
      <c r="AB109" s="1047" t="str">
        <f>IF(AL93&gt;8,"v","")</f>
        <v/>
      </c>
      <c r="AC109" s="1048">
        <v>4</v>
      </c>
      <c r="AD109" s="1046">
        <v>1</v>
      </c>
      <c r="AE109" s="1047" t="str">
        <f>IF(AL93&gt;9,"v","")</f>
        <v/>
      </c>
      <c r="AF109" s="1048">
        <v>2</v>
      </c>
      <c r="AG109" s="1049" t="str">
        <f>IF(AL94&gt;0,"Team 1","")</f>
        <v>Team 1</v>
      </c>
      <c r="AH109" s="1050">
        <f>IF(AL94&lt;1,"",IF(AL93&lt;1,"",IF(B109=1,B115-D115,IF(D109=1,D115-B115,""))))</f>
        <v>14</v>
      </c>
      <c r="AI109" s="1050" t="str">
        <f>IF(AL94&lt;1,"",IF(AL93&lt;2,"",IF(E109=1,E115-G115,IF(G109=1,G115-E115,""))))</f>
        <v/>
      </c>
      <c r="AJ109" s="1050">
        <f>IF(AL94&lt;1,"",IF(AL93&lt;3,"",IF(H109=1,H115-J115,IF(J109=1,J115-H115,""))))</f>
        <v>11</v>
      </c>
      <c r="AK109" s="1050">
        <f>IF(AL94&lt;1,"",IF(AL93&lt;4,"",IF(L109=1,L115-N115,IF(N109=1,N115-L115,""))))</f>
        <v>7</v>
      </c>
      <c r="AL109" s="1050" t="str">
        <f>IF(AL94&lt;1,"",IF(AL93&lt;5,"",IF(O109=1,O115-Q115,IF(Q109=1,Q115-O115,""))))</f>
        <v/>
      </c>
      <c r="AM109" s="1050">
        <f>IF(AL94&lt;1,"",IF(AL93&lt;6,"",IF(R109=1,R115-T115,IF(T109=1,T115-R115,""))))</f>
        <v>14</v>
      </c>
      <c r="AN109" s="1050" t="str">
        <f>IF(AL94&lt;1,"",IF(AL93&lt;7,"",IF(U109=1,U115-W115,IF(W109=1,W115-U115,""))))</f>
        <v/>
      </c>
      <c r="AO109" s="1050" t="str">
        <f>IF(AL94&lt;1,"",IF(AL93&lt;8,"",IF(X109=1,X115-Z115,IF(Z109=1,Z115-X115,""))))</f>
        <v/>
      </c>
      <c r="AP109" s="1050" t="str">
        <f>IF(AL94&lt;1,"",IF(AL93&lt;9,"",IF(AA109=1,AA115-AC115,IF(AC109=1,AC115-AA115,""))))</f>
        <v/>
      </c>
      <c r="AQ109" s="1050" t="str">
        <f>IF(AL94&lt;1,"",IF(AL93&lt;10,"",IF(AD109=1,AD115-AF115,IF(AF109=1,AF115-AD115,""))))</f>
        <v/>
      </c>
      <c r="AR109" s="1045">
        <f>SUM(AH109:AQ109)</f>
        <v>46</v>
      </c>
    </row>
    <row r="110" spans="1:45" ht="15" x14ac:dyDescent="0.2">
      <c r="A110" s="846" t="s">
        <v>77</v>
      </c>
      <c r="B110" s="1051">
        <v>35</v>
      </c>
      <c r="C110" s="1052" t="s">
        <v>78</v>
      </c>
      <c r="D110" s="1053">
        <v>21</v>
      </c>
      <c r="E110" s="1051">
        <v>19</v>
      </c>
      <c r="F110" s="1052" t="str">
        <f>IF(AL93&gt;1,"/","")</f>
        <v>/</v>
      </c>
      <c r="G110" s="1053">
        <v>33</v>
      </c>
      <c r="H110" s="1051">
        <v>30</v>
      </c>
      <c r="I110" s="1052" t="str">
        <f>IF(AL93&gt;2,"/","")</f>
        <v>/</v>
      </c>
      <c r="J110" s="1053">
        <v>19</v>
      </c>
      <c r="K110" s="1087"/>
      <c r="L110" s="1051">
        <v>32</v>
      </c>
      <c r="M110" s="1052" t="str">
        <f>IF(AL93&gt;3,"/","")</f>
        <v>/</v>
      </c>
      <c r="N110" s="1053">
        <v>25</v>
      </c>
      <c r="O110" s="1051">
        <v>19</v>
      </c>
      <c r="P110" s="1052" t="str">
        <f>IF(AL93&gt;4,"/","")</f>
        <v>/</v>
      </c>
      <c r="Q110" s="1053">
        <v>27</v>
      </c>
      <c r="R110" s="1051">
        <v>30</v>
      </c>
      <c r="S110" s="1052" t="str">
        <f>IF(AL93&gt;5,"/","")</f>
        <v>/</v>
      </c>
      <c r="T110" s="1053">
        <v>16</v>
      </c>
      <c r="U110" s="1051"/>
      <c r="V110" s="1052" t="str">
        <f>IF(AL93&gt;6,"/","")</f>
        <v/>
      </c>
      <c r="W110" s="1053"/>
      <c r="X110" s="1051"/>
      <c r="Y110" s="1052" t="str">
        <f>IF(AL93&gt;7,"/","")</f>
        <v/>
      </c>
      <c r="Z110" s="1053"/>
      <c r="AA110" s="1051"/>
      <c r="AB110" s="1052" t="str">
        <f>IF(AL93&gt;8,"/","")</f>
        <v/>
      </c>
      <c r="AC110" s="1053"/>
      <c r="AD110" s="1051"/>
      <c r="AE110" s="1052" t="str">
        <f>IF(AL93&gt;9,"/","")</f>
        <v/>
      </c>
      <c r="AF110" s="1053"/>
      <c r="AG110" s="1049" t="str">
        <f>IF(AL94&gt;1,"Team 2","")</f>
        <v>Team 2</v>
      </c>
      <c r="AH110" s="1050" t="str">
        <f>IF(AL94&lt;2,"",IF(AL93&lt;1,"",IF(B109=2,B115-D115,IF(D109=2,D115-B115,""))))</f>
        <v/>
      </c>
      <c r="AI110" s="1050">
        <f>IF(AL94&lt;2,"",IF(AL93&lt;2,"",IF(E109=2,E115-G115,IF(G109=2,G115-E115,""))))</f>
        <v>-14</v>
      </c>
      <c r="AJ110" s="1050">
        <f>IF(AL94&lt;2,"",IF(AL93&lt;3,"",IF(H109=2,H115-J115,IF(J109=2,J115-H115,""))))</f>
        <v>-11</v>
      </c>
      <c r="AK110" s="1050" t="str">
        <f>IF(AL94&lt;2,"",IF(AL93&lt;4,"",IF(L109=2,L115-N115,IF(N109=2,N115-L115,""))))</f>
        <v/>
      </c>
      <c r="AL110" s="1050">
        <f>IF(AL94&lt;2,"",IF(AL93&lt;5,"",IF(O109=2,O115-Q115,IF(Q109=2,Q115-O115,""))))</f>
        <v>-8</v>
      </c>
      <c r="AM110" s="1050">
        <f>IF(AL94&lt;2,"",IF(AL93&lt;6,"",IF(R109=2,R115-T115,IF(T109=2,T115-R115,""))))</f>
        <v>-14</v>
      </c>
      <c r="AN110" s="1050" t="str">
        <f>IF(AL94&lt;2,"",IF(AL93&lt;7,"",IF(U109=2,U115-W115,IF(W109=2,W115-U115,""))))</f>
        <v/>
      </c>
      <c r="AO110" s="1050" t="str">
        <f>IF(AL94&lt;2,"",IF(AL93&lt;8,"",IF(X109=2,X115-Z115,IF(Z109=2,Z115-X115,""))))</f>
        <v/>
      </c>
      <c r="AP110" s="1050" t="str">
        <f>IF(AL94&lt;2,"",IF(AL93&lt;9,"",IF(AA109=2,AA115-AC115,IF(AC109=2,AC115-AA115,""))))</f>
        <v/>
      </c>
      <c r="AQ110" s="1050" t="str">
        <f>IF(AL94&lt;2,"",IF(AL93&lt;10,"",IF(AD109=2,AD115-AF115,IF(AF109=2,AF115-AD115,""))))</f>
        <v/>
      </c>
      <c r="AR110" s="1045">
        <f>SUM(AH110:AQ110)</f>
        <v>-47</v>
      </c>
    </row>
    <row r="111" spans="1:45" ht="15" x14ac:dyDescent="0.2">
      <c r="A111" s="845" t="str">
        <f>IF(AL92&gt;1,"Game 2","")</f>
        <v/>
      </c>
      <c r="B111" s="1051"/>
      <c r="C111" s="1052" t="s">
        <v>78</v>
      </c>
      <c r="D111" s="1053"/>
      <c r="E111" s="1051"/>
      <c r="F111" s="1052" t="str">
        <f>IF(AL93&gt;1,IF(AL92&gt;1,"/",""),"")</f>
        <v/>
      </c>
      <c r="G111" s="1053"/>
      <c r="H111" s="1051"/>
      <c r="I111" s="1052" t="str">
        <f>IF(AL93&gt;2,IF(AL92&gt;1,"/",""),"")</f>
        <v/>
      </c>
      <c r="J111" s="1053"/>
      <c r="K111" s="1087"/>
      <c r="L111" s="1051"/>
      <c r="M111" s="1052" t="str">
        <f>IF(AL93&gt;3,IF(AL92&gt;1,"/",""),"")</f>
        <v/>
      </c>
      <c r="N111" s="1053"/>
      <c r="O111" s="1051"/>
      <c r="P111" s="1052" t="str">
        <f>IF(AL93&gt;4,IF(AL92&gt;1,"/",""),"")</f>
        <v/>
      </c>
      <c r="Q111" s="1053"/>
      <c r="R111" s="1051"/>
      <c r="S111" s="1052" t="str">
        <f>IF(AL93&gt;5,IF(AL92&gt;1,"/",""),"")</f>
        <v/>
      </c>
      <c r="T111" s="1053"/>
      <c r="U111" s="1051"/>
      <c r="V111" s="1052" t="str">
        <f>IF(AL93&gt;6,IF(AL92&gt;1,"/",""),"")</f>
        <v/>
      </c>
      <c r="W111" s="1053"/>
      <c r="X111" s="1051"/>
      <c r="Y111" s="1052" t="str">
        <f>IF(AL93&gt;7,IF(AL92&gt;1,"/",""),"")</f>
        <v/>
      </c>
      <c r="Z111" s="1053"/>
      <c r="AA111" s="1051"/>
      <c r="AB111" s="1052" t="str">
        <f>IF(AL93&gt;8,IF(AL92&gt;1,"/",""),"")</f>
        <v/>
      </c>
      <c r="AC111" s="1053"/>
      <c r="AD111" s="1051"/>
      <c r="AE111" s="1052" t="str">
        <f>IF(AL93&gt;9,IF(AL92&gt;1,"/",""),"")</f>
        <v/>
      </c>
      <c r="AF111" s="1053"/>
      <c r="AG111" s="1049" t="str">
        <f>IF(AL94&gt;2,"Team 3","")</f>
        <v>Team 3</v>
      </c>
      <c r="AH111" s="1050">
        <f>IF(AL94&lt;3,"",IF(AL93&lt;1,"",IF(B109=3,B115-D115,IF(D109=3,D115-B115,""))))</f>
        <v>-14</v>
      </c>
      <c r="AI111" s="1050">
        <f>IF(AL94&lt;3,"",IF(AL93&lt;2,"",IF(E109=3,E115-G115,IF(G109=3,G115-E115,""))))</f>
        <v>14</v>
      </c>
      <c r="AJ111" s="1050" t="str">
        <f>IF(AL94&lt;3,"",IF(AL93&lt;3,"",IF(H109=3,H115-J115,IF(J109=3,J115-H115,""))))</f>
        <v/>
      </c>
      <c r="AK111" s="1050">
        <f>IF(AL94&lt;3,"",IF(AL93&lt;4,"",IF(L109=3,L115-N115,IF(N109=3,N115-L115,""))))</f>
        <v>-7</v>
      </c>
      <c r="AL111" s="1050">
        <f>IF(AL94&lt;3,"",IF(AL93&lt;5,"",IF(O109=3,O115-Q115,IF(Q109=3,Q115-O115,""))))</f>
        <v>8</v>
      </c>
      <c r="AM111" s="1050" t="str">
        <f>IF(AL94&lt;3,"",IF(AL93&lt;6,"",IF(R109=3,R115-T115,IF(T109=3,T115-R115,""))))</f>
        <v/>
      </c>
      <c r="AN111" s="1050" t="str">
        <f>IF(AL94&lt;3,"",IF(AL93&lt;7,"",IF(U109=3,U115-W115,IF(W109=3,W115-U115,""))))</f>
        <v/>
      </c>
      <c r="AO111" s="1050" t="str">
        <f>IF(AL94&lt;3,"",IF(AL93&lt;8,"",IF(X109=3,X115-Z115,IF(Z109=3,Z115-X115,""))))</f>
        <v/>
      </c>
      <c r="AP111" s="1050" t="str">
        <f>IF(AL94&lt;3,"",IF(AL93&lt;9,"",IF(AA109=3,AA115-AC115,IF(AC109=3,AC115-AA115,""))))</f>
        <v/>
      </c>
      <c r="AQ111" s="1050" t="str">
        <f>IF(AL94&lt;3,"",IF(AL93&lt;9,"",IF(AD109=3,AD115-AF115,IF(AF109=3,AF115-AD115,""))))</f>
        <v/>
      </c>
      <c r="AR111" s="1045">
        <f>SUM(AH111:AQ111)</f>
        <v>1</v>
      </c>
    </row>
    <row r="112" spans="1:45" ht="15" x14ac:dyDescent="0.2">
      <c r="A112" s="845" t="str">
        <f>IF(AL92&gt;2,"Game 3","")</f>
        <v/>
      </c>
      <c r="B112" s="1051"/>
      <c r="C112" s="1052" t="s">
        <v>78</v>
      </c>
      <c r="D112" s="1053"/>
      <c r="E112" s="1051"/>
      <c r="F112" s="1052" t="str">
        <f>IF(AL93&gt;1,IF(AL92&gt;2,"/",""),"")</f>
        <v/>
      </c>
      <c r="G112" s="1053"/>
      <c r="H112" s="1051"/>
      <c r="I112" s="1052" t="str">
        <f>IF(AL93&gt;2,IF(AL92&gt;2,"/",""),"")</f>
        <v/>
      </c>
      <c r="J112" s="1053"/>
      <c r="K112" s="1087"/>
      <c r="L112" s="1051"/>
      <c r="M112" s="1052" t="str">
        <f>IF(AL93&gt;3,IF(AL92&gt;2,"/",""),"")</f>
        <v/>
      </c>
      <c r="N112" s="1053"/>
      <c r="O112" s="1051"/>
      <c r="P112" s="1052" t="str">
        <f>IF(AL93&gt;4,IF(AL92&gt;2,"/",""),"")</f>
        <v/>
      </c>
      <c r="Q112" s="1053"/>
      <c r="R112" s="1051"/>
      <c r="S112" s="1052" t="str">
        <f>IF(AL93&gt;5,IF(AL92&gt;2,"/",""),"")</f>
        <v/>
      </c>
      <c r="T112" s="1053"/>
      <c r="U112" s="1051"/>
      <c r="V112" s="1052" t="str">
        <f>IF(AL93&gt;6,IF(AL92&gt;2,"/",""),"")</f>
        <v/>
      </c>
      <c r="W112" s="1053"/>
      <c r="X112" s="1051"/>
      <c r="Y112" s="1052" t="str">
        <f>IF(AL93&gt;7,IF(AL92&gt;2,"/",""),"")</f>
        <v/>
      </c>
      <c r="Z112" s="1053"/>
      <c r="AA112" s="1051"/>
      <c r="AB112" s="1052" t="str">
        <f>IF(AL93&gt;8,IF(AL92&gt;2,"/",""),"")</f>
        <v/>
      </c>
      <c r="AC112" s="1053"/>
      <c r="AD112" s="1051"/>
      <c r="AE112" s="1052" t="str">
        <f>IF(AL93&gt;9,IF(AL92&gt;2,"/",""),"")</f>
        <v/>
      </c>
      <c r="AF112" s="1053"/>
      <c r="AG112" s="1049" t="str">
        <f>IF(AL94&gt;3,"Team 4","")</f>
        <v/>
      </c>
      <c r="AH112" s="1050" t="str">
        <f>IF(AL94&lt;4,"",IF(AL93&lt;1,"",IF(B109=4,B115-D115,IF(D109=4,D115-B115,""))))</f>
        <v/>
      </c>
      <c r="AI112" s="1050" t="str">
        <f>IF(AL94&lt;4,"",IF(AL93&lt;2,"",IF(E109=4,E115-G115,IF(G109=4,G115-E115,""))))</f>
        <v/>
      </c>
      <c r="AJ112" s="1050" t="str">
        <f>IF(AL94&lt;4,"",IF(AL93&lt;3,"",IF(H109=4,H115-J115,IF(J109=4,J115-H115,""))))</f>
        <v/>
      </c>
      <c r="AK112" s="1050" t="str">
        <f>IF(AL94&lt;4,"",IF(AL93&lt;4,"",IF(L109=4,L115-N115,IF(N109=4,N115-L115,""))))</f>
        <v/>
      </c>
      <c r="AL112" s="1050" t="str">
        <f>IF(AL94&lt;4,"",IF(AL93&lt;5,"",IF(O109=4,O115-Q115,IF(Q109=4,Q115-O115,""))))</f>
        <v/>
      </c>
      <c r="AM112" s="1050" t="str">
        <f>IF(AL94&lt;4,"",IF(AL93&lt;6,"",IF(R109=4,R115-T115,IF(T109=4,T115-R115,""))))</f>
        <v/>
      </c>
      <c r="AN112" s="1050" t="str">
        <f>IF(AL94&lt;4,"",IF(AL93&lt;7,"",IF(U109=4,U115-W115,IF(W109=4,W115-U115,""))))</f>
        <v/>
      </c>
      <c r="AO112" s="1050" t="str">
        <f>IF(AL94&lt;4,"",IF(AL93&lt;8,"",IF(X109=4,X115-Z115,IF(Z109=4,Z115-X115,""))))</f>
        <v/>
      </c>
      <c r="AP112" s="1050" t="str">
        <f>IF(AL94&lt;4,"",IF(AL93&lt;9,"",IF(AA109=4,AA115-AC115,IF(AC109=4,AC115-AA115,""))))</f>
        <v/>
      </c>
      <c r="AQ112" s="1050" t="str">
        <f>IF(AL94&lt;4,"",IF(AL93&lt;10,"",IF(AD109=4,AD115-AF115,IF(AF109=4,AF115-AD115,""))))</f>
        <v/>
      </c>
      <c r="AR112" s="1045">
        <f>SUM(AH112:AQ112)</f>
        <v>0</v>
      </c>
    </row>
    <row r="113" spans="1:44" ht="15" x14ac:dyDescent="0.2">
      <c r="A113" s="845" t="str">
        <f>IF(AL92&gt;3,"Game 4","")</f>
        <v/>
      </c>
      <c r="B113" s="1051"/>
      <c r="C113" s="1052" t="s">
        <v>78</v>
      </c>
      <c r="D113" s="1053"/>
      <c r="E113" s="1051"/>
      <c r="F113" s="1052" t="str">
        <f>IF(AL93&gt;1,IF(AL92&gt;3,"/",""),"")</f>
        <v/>
      </c>
      <c r="G113" s="1053"/>
      <c r="H113" s="1051"/>
      <c r="I113" s="1052" t="str">
        <f>IF(AL93&gt;2,IF(AL92&gt;3,"/",""),"")</f>
        <v/>
      </c>
      <c r="J113" s="1053"/>
      <c r="K113" s="1087"/>
      <c r="L113" s="1051"/>
      <c r="M113" s="1052" t="str">
        <f>IF(AL93&gt;3,IF(AL92&gt;3,"/",""),"")</f>
        <v/>
      </c>
      <c r="N113" s="1053"/>
      <c r="O113" s="1051"/>
      <c r="P113" s="1052" t="str">
        <f>IF(AL93&gt;4,IF(AL92&gt;3,"/",""),"")</f>
        <v/>
      </c>
      <c r="Q113" s="1053"/>
      <c r="R113" s="1051"/>
      <c r="S113" s="1052" t="str">
        <f>IF(AL93&gt;5,IF(AL92&gt;3,"/",""),"")</f>
        <v/>
      </c>
      <c r="T113" s="1053"/>
      <c r="U113" s="1051"/>
      <c r="V113" s="1052" t="str">
        <f>IF(AL93&gt;6,IF(AL92&gt;3,"/",""),"")</f>
        <v/>
      </c>
      <c r="W113" s="1053"/>
      <c r="X113" s="1051"/>
      <c r="Y113" s="1052" t="str">
        <f>IF(AL93&gt;7,IF(AL92&gt;3,"/",""),"")</f>
        <v/>
      </c>
      <c r="Z113" s="1053"/>
      <c r="AA113" s="1051"/>
      <c r="AB113" s="1052" t="str">
        <f>IF(AL93&gt;8,IF(AL92&gt;3,"/",""),"")</f>
        <v/>
      </c>
      <c r="AC113" s="1053"/>
      <c r="AD113" s="1051"/>
      <c r="AE113" s="1052" t="str">
        <f>IF(AL93&gt;9,IF(AL92&gt;3,"/",""),"")</f>
        <v/>
      </c>
      <c r="AF113" s="1053"/>
      <c r="AG113" s="1049" t="str">
        <f>IF(AL94&gt;4,"Team 5","")</f>
        <v/>
      </c>
      <c r="AH113" s="1054" t="str">
        <f>IF(AL94&lt;5,"",IF(AL93&lt;1,"",IF(B109=5,B115-D115,IF(D109=5,D115-B115,""))))</f>
        <v/>
      </c>
      <c r="AI113" s="1050" t="str">
        <f>IF(AL94&lt;5,"",IF(AL93&lt;2,"",IF(E109=5,E115-G115,IF(G109=5,G115-E115,""))))</f>
        <v/>
      </c>
      <c r="AJ113" s="1050" t="str">
        <f>IF(AL94&lt;5,"",IF(AL93&lt;3,"",IF(H109=5,H115-J115,IF(J109=5,J115-H115,""))))</f>
        <v/>
      </c>
      <c r="AK113" s="1050" t="str">
        <f>IF(AL94&lt;5,"",IF(AL93&lt;4,"",IF(L109=5,L115-N115,IF(N109=5,N115-L115,""))))</f>
        <v/>
      </c>
      <c r="AL113" s="1050" t="str">
        <f>IF(AL94&lt;5,"",IF(AL93&lt;5,"",IF(O109=5,O115-Q115,IF(Q109=5,Q115-O115,""))))</f>
        <v/>
      </c>
      <c r="AM113" s="1050" t="str">
        <f>IF(AL94&lt;5,"",IF(AL93&lt;6,"",IF(R109=5,R115-T115,IF(T109=5,T115-R115,""))))</f>
        <v/>
      </c>
      <c r="AN113" s="1050" t="str">
        <f>IF(AL94&lt;5,"",IF(AL93&lt;7,"",IF(U109=5,U115-W115,IF(W109=5,W115-U115,""))))</f>
        <v/>
      </c>
      <c r="AO113" s="1050" t="str">
        <f>IF(AL94&lt;5,"",IF(AL93&lt;8,"",IF(X109=5,X115-Z115,IF(Z109=5,Z115-X115,""))))</f>
        <v/>
      </c>
      <c r="AP113" s="1050" t="str">
        <f>IF(AL94&lt;5,"",IF(AL93&lt;9,"",IF(AA109=5,AA115-AC115,IF(AC109=5,AC115-AA115,""))))</f>
        <v/>
      </c>
      <c r="AQ113" s="1050" t="str">
        <f>IF(AL94&lt;5,"",IF(AL93&lt;10,"",IF(AD109=5,AD115-AF115,IF(AF109=5,AF115-AD115,""))))</f>
        <v/>
      </c>
      <c r="AR113" s="1045">
        <f>SUM(AH113:AQ113)</f>
        <v>0</v>
      </c>
    </row>
    <row r="114" spans="1:44" ht="15" x14ac:dyDescent="0.2">
      <c r="A114" s="845" t="str">
        <f>IF(AL92&gt;4,"Game 5","")</f>
        <v/>
      </c>
      <c r="B114" s="1051"/>
      <c r="C114" s="1052" t="s">
        <v>78</v>
      </c>
      <c r="D114" s="1053"/>
      <c r="E114" s="1051"/>
      <c r="F114" s="1052" t="str">
        <f>IF(AL93&gt;1,IF(AL92&gt;4,"/",""),"")</f>
        <v/>
      </c>
      <c r="G114" s="1053"/>
      <c r="H114" s="1051"/>
      <c r="I114" s="1052" t="str">
        <f>IF(AL93&gt;2,IF(AL92&gt;4,"/",""),"")</f>
        <v/>
      </c>
      <c r="J114" s="1053"/>
      <c r="K114" s="1088"/>
      <c r="L114" s="1051"/>
      <c r="M114" s="1052" t="str">
        <f>IF(AL93&gt;3,IF(AL92&gt;4,"/",""),"")</f>
        <v/>
      </c>
      <c r="N114" s="1053"/>
      <c r="O114" s="1051"/>
      <c r="P114" s="1052" t="str">
        <f>IF(AL93&gt;4,IF(AL92&gt;4,"/",""),"")</f>
        <v/>
      </c>
      <c r="Q114" s="1053"/>
      <c r="R114" s="1051"/>
      <c r="S114" s="1052" t="str">
        <f>IF(AL93&gt;5,IF(AL92&gt;4,"/",""),"")</f>
        <v/>
      </c>
      <c r="T114" s="1053"/>
      <c r="U114" s="1051"/>
      <c r="V114" s="1052" t="str">
        <f>IF(AL93&gt;6,IF(AL92&gt;4,"/",""),"")</f>
        <v/>
      </c>
      <c r="W114" s="1053"/>
      <c r="X114" s="1051"/>
      <c r="Y114" s="1052" t="str">
        <f>IF(AL93&gt;7,IF(AL92&gt;4,"/",""),"")</f>
        <v/>
      </c>
      <c r="Z114" s="1053"/>
      <c r="AA114" s="1051"/>
      <c r="AB114" s="1052" t="str">
        <f>IF(AL93&gt;8,IF(AL92&gt;4,"/",""),"")</f>
        <v/>
      </c>
      <c r="AC114" s="1053"/>
      <c r="AD114" s="1051"/>
      <c r="AE114" s="1052" t="str">
        <f>IF(AL93&gt;9,IF(AL92&gt;4,"/",""),"")</f>
        <v/>
      </c>
      <c r="AF114" s="1053"/>
      <c r="AG114" s="868"/>
      <c r="AH114" s="868"/>
      <c r="AI114" s="868"/>
      <c r="AJ114" s="868"/>
      <c r="AK114" s="868"/>
      <c r="AL114" s="868"/>
      <c r="AM114" s="868"/>
      <c r="AN114" s="868"/>
      <c r="AO114" s="868"/>
      <c r="AP114" s="868"/>
      <c r="AQ114" s="868"/>
      <c r="AR114" s="868"/>
    </row>
    <row r="115" spans="1:44" hidden="1" x14ac:dyDescent="0.2">
      <c r="A115" s="1056"/>
      <c r="B115" s="1056">
        <f>IF($AL92=5,SUM(B110:B114),IF($AL92=4,SUM(B110:B113),IF($AL92=3,SUM(B110:B112),IF($AL92=2,SUM(B110:B111),B110))))</f>
        <v>35</v>
      </c>
      <c r="C115" s="1056"/>
      <c r="D115" s="1056">
        <f>IF($AL92=5,SUM(D110:D114),IF($AL92=4,SUM(D110:D113),IF($AL92=3,SUM(D110:D112),IF($AL92=2,SUM(D110:D111),D110))))</f>
        <v>21</v>
      </c>
      <c r="E115" s="1056">
        <f>IF($AL92=5,SUM(E110:E114),IF($AL92=4,SUM(E110:E113),IF($AL92=3,SUM(E110:E112),IF($AL92=2,SUM(E110:E111),E110))))</f>
        <v>19</v>
      </c>
      <c r="F115" s="1056"/>
      <c r="G115" s="1056">
        <f>IF($AL92=5,SUM(G110:G114),IF($AL92=4,SUM(G110:G113),IF($AL92=3,SUM(G110:G112),IF($AL92=2,SUM(G110:G111),G110))))</f>
        <v>33</v>
      </c>
      <c r="H115" s="1056">
        <f>IF($AL92=5,SUM(H110:H114),IF($AL92=4,SUM(H110:H113),IF($AL92=3,SUM(H110:H112),IF($AL92=2,SUM(H110:H111),H110))))</f>
        <v>30</v>
      </c>
      <c r="I115" s="1056"/>
      <c r="J115" s="1056">
        <f>IF($AL92=5,SUM(J110:J114),IF($AL92=4,SUM(J110:J113),IF($AL92=3,SUM(J110:J112),IF($AL92=2,SUM(J110:J111),J110))))</f>
        <v>19</v>
      </c>
      <c r="K115" s="1056"/>
      <c r="L115" s="1056">
        <f>IF($AL92=5,SUM(L110:L114),IF($AL92=4,SUM(L110:L113),IF($AL92=3,SUM(L110:L112),IF($AL92=2,SUM(L110:L111),L110))))</f>
        <v>32</v>
      </c>
      <c r="M115" s="1056"/>
      <c r="N115" s="1056">
        <f>IF($AL92=5,SUM(N110:N114),IF($AL92=4,SUM(N110:N113),IF($AL92=3,SUM(N110:N112),IF($AL92=2,SUM(N110:N111),N110))))</f>
        <v>25</v>
      </c>
      <c r="O115" s="1056">
        <f>IF($AL92=5,SUM(O110:O114),IF($AL92=4,SUM(O110:O113),IF($AL92=3,SUM(O110:O112),IF($AL92=2,SUM(O110:O111),O110))))</f>
        <v>19</v>
      </c>
      <c r="P115" s="1056"/>
      <c r="Q115" s="1056">
        <f>IF($AL92=5,SUM(Q110:Q114),IF($AL92=4,SUM(Q110:Q113),IF($AL92=3,SUM(Q110:Q112),IF($AL92=2,SUM(Q110:Q111),Q110))))</f>
        <v>27</v>
      </c>
      <c r="R115" s="1056">
        <f>IF($AL92=5,SUM(R110:R114),IF($AL92=4,SUM(R110:R113),IF($AL92=3,SUM(R110:R112),IF($AL92=2,SUM(R110:R111),R110))))</f>
        <v>30</v>
      </c>
      <c r="S115" s="1056"/>
      <c r="T115" s="1056">
        <f>IF($AL92=5,SUM(T110:T114),IF($AL92=4,SUM(T110:T113),IF($AL92=3,SUM(T110:T112),IF($AL92=2,SUM(T110:T111),T110))))</f>
        <v>16</v>
      </c>
      <c r="U115" s="1056">
        <f>IF($AL92=5,SUM(U110:U114),IF($AL92=4,SUM(U110:U113),IF($AL92=3,SUM(U110:U112),IF($AL92=2,SUM(U110:U111),U110))))</f>
        <v>0</v>
      </c>
      <c r="V115" s="1056"/>
      <c r="W115" s="1056">
        <f>IF($AL92=5,SUM(W110:W114),IF($AL92=4,SUM(W110:W113),IF($AL92=3,SUM(W110:W112),IF($AL92=2,SUM(W110:W111),W110))))</f>
        <v>0</v>
      </c>
      <c r="X115" s="1056">
        <f>IF($AL92=5,SUM(X110:X114),IF($AL92=4,SUM(X110:X113),IF($AL92=3,SUM(X110:X112),IF($AL92=2,SUM(X110:X111),X110))))</f>
        <v>0</v>
      </c>
      <c r="Y115" s="1056"/>
      <c r="Z115" s="1056">
        <f>IF($AL92=5,SUM(Z110:Z114),IF($AL92=4,SUM(Z110:Z113),IF($AL92=3,SUM(Z110:Z112),IF($AL92=2,SUM(Z110:Z111),Z110))))</f>
        <v>0</v>
      </c>
      <c r="AA115" s="1056">
        <f>IF($AL92=5,SUM(AA110:AA114),IF($AL92=4,SUM(AA110:AA113),IF($AL92=3,SUM(AA110:AA112),IF($AL92=2,SUM(AA110:AA111),AA110))))</f>
        <v>0</v>
      </c>
      <c r="AB115" s="1056"/>
      <c r="AC115" s="1056">
        <f>IF($AL92=5,SUM(AC110:AC114),IF($AL92=4,SUM(AC110:AC113),IF($AL92=3,SUM(AC110:AC112),IF($AL92=2,SUM(AC110:AC111),AC110))))</f>
        <v>0</v>
      </c>
      <c r="AD115" s="1056">
        <f>IF($AL92=5,SUM(AD110:AD114),IF($AL92=4,SUM(AD110:AD113),IF($AL92=3,SUM(AD110:AD112),IF($AL92=2,SUM(AD110:AD111),AD110))))</f>
        <v>0</v>
      </c>
      <c r="AE115" s="1056"/>
      <c r="AF115" s="1056">
        <f>IF($AL92=5,SUM(AF110:AF114),IF($AL92=4,SUM(AF110:AF113),IF($AL92=3,SUM(AF110:AF112),IF($AL92=2,SUM(AF110:AF111),AF110))))</f>
        <v>0</v>
      </c>
      <c r="AG115" s="868"/>
      <c r="AH115" s="868"/>
      <c r="AI115" s="868"/>
      <c r="AJ115" s="868"/>
      <c r="AK115" s="868"/>
      <c r="AL115" s="868"/>
      <c r="AM115" s="868"/>
      <c r="AN115" s="868"/>
      <c r="AO115" s="868"/>
      <c r="AP115" s="868"/>
      <c r="AQ115" s="868"/>
      <c r="AR115" s="868"/>
    </row>
    <row r="116" spans="1:44" s="1057" customFormat="1" ht="12.75" hidden="1" customHeight="1" x14ac:dyDescent="0.2">
      <c r="A116" s="1057" t="s">
        <v>79</v>
      </c>
      <c r="B116" s="1058">
        <f>IF(AND(B110&gt;D110,$AL93&gt;0,ISNUMBER(B110),ISNUMBER(D110)),1,0)</f>
        <v>1</v>
      </c>
      <c r="C116" s="1058"/>
      <c r="D116" s="1059">
        <f>IF(AND(D110&gt;B110,$AL93&gt;0,ISNUMBER(B110),ISNUMBER(D110)),1,0)</f>
        <v>0</v>
      </c>
      <c r="E116" s="1058">
        <f>IF(AND(E110&gt;G110,$AL93&gt;1,ISNUMBER(E110),ISNUMBER(G110)),1,0)</f>
        <v>0</v>
      </c>
      <c r="F116" s="1058"/>
      <c r="G116" s="1059">
        <f>IF(AND(G110&gt;E110,$AL93&gt;1,ISNUMBER(E110),ISNUMBER(G110)),1,0)</f>
        <v>1</v>
      </c>
      <c r="H116" s="1058">
        <f>IF(AND(H110&gt;J110,$AL93&gt;2,ISNUMBER(H110),ISNUMBER(J110)),1,0)</f>
        <v>1</v>
      </c>
      <c r="I116" s="1058"/>
      <c r="J116" s="1059">
        <f>IF(AND(J110&gt;H110,$AL93&gt;2,ISNUMBER(H110),ISNUMBER(J110)),1,0)</f>
        <v>0</v>
      </c>
      <c r="K116" s="1060"/>
      <c r="L116" s="1058">
        <f>IF(AND(L110&gt;N110,$AL93&gt;3,ISNUMBER(L110),ISNUMBER(N110)),1,0)</f>
        <v>1</v>
      </c>
      <c r="M116" s="1058"/>
      <c r="N116" s="1059">
        <f>IF(AND(N110&gt;L110,$AL93&gt;3,ISNUMBER(L110),ISNUMBER(N110)),1,0)</f>
        <v>0</v>
      </c>
      <c r="O116" s="1058">
        <f>IF(AND(O110&gt;Q110,$AL93&gt;4,ISNUMBER(O110),ISNUMBER(Q110)),1,0)</f>
        <v>0</v>
      </c>
      <c r="P116" s="1058"/>
      <c r="Q116" s="1059">
        <f>IF(AND(Q110&gt;O110,$AL93&gt;4,ISNUMBER(O110),ISNUMBER(Q110)),1,0)</f>
        <v>1</v>
      </c>
      <c r="R116" s="1058">
        <f>IF(AND(R110&gt;T110,$AL93&gt;5,ISNUMBER(R110),ISNUMBER(T110)),1,0)</f>
        <v>1</v>
      </c>
      <c r="S116" s="1058"/>
      <c r="T116" s="1059">
        <f>IF(AND(T110&gt;R110,$AL93&gt;5,ISNUMBER(R110),ISNUMBER(T110)),1,0)</f>
        <v>0</v>
      </c>
      <c r="U116" s="1058">
        <f>IF(AND(U110&gt;W110,$AL93&gt;6,ISNUMBER(U110),ISNUMBER(W110)),1,0)</f>
        <v>0</v>
      </c>
      <c r="V116" s="1058"/>
      <c r="W116" s="1059">
        <f>IF(AND(W110&gt;U110,$AL93&gt;6,ISNUMBER(U110),ISNUMBER(W110)),1,0)</f>
        <v>0</v>
      </c>
      <c r="X116" s="1058">
        <f>IF(AND(X110&gt;Z110,$AL93&gt;7,ISNUMBER(X110),ISNUMBER(Z110)),1,0)</f>
        <v>0</v>
      </c>
      <c r="Y116" s="1058"/>
      <c r="Z116" s="1059">
        <f>IF(AND(Z110&gt;X110,$AL93&gt;7,ISNUMBER(X110),ISNUMBER(Z110)),1,0)</f>
        <v>0</v>
      </c>
      <c r="AA116" s="1058">
        <f>IF(AND(AA110&gt;AC110,$AL93&gt;8,ISNUMBER(AA110),ISNUMBER(AC110)),1,0)</f>
        <v>0</v>
      </c>
      <c r="AB116" s="1058"/>
      <c r="AC116" s="1059">
        <f>IF(AND(AC110&gt;AA110,$AL93&gt;8,ISNUMBER(AA110),ISNUMBER(AC110)),1,0)</f>
        <v>0</v>
      </c>
      <c r="AD116" s="1058">
        <f>IF(AND(AD110&gt;AF110,$AL93&gt;9,ISNUMBER(AD110),ISNUMBER(AF110)),1,0)</f>
        <v>0</v>
      </c>
      <c r="AE116" s="1058"/>
      <c r="AF116" s="1059">
        <f>IF(AND(AF110&gt;AD110,$AL93&gt;9,ISNUMBER(AD110),ISNUMBER(AF110)),1,0)</f>
        <v>0</v>
      </c>
    </row>
    <row r="117" spans="1:44" s="1057" customFormat="1" ht="12.75" hidden="1" customHeight="1" x14ac:dyDescent="0.2">
      <c r="A117" s="1057" t="s">
        <v>80</v>
      </c>
      <c r="B117" s="1058">
        <f>IF(AND(B111&gt;D111,$AL93&gt;0,$AL92&gt;1,ISNUMBER(B111),ISNUMBER(D111)),1,0)</f>
        <v>0</v>
      </c>
      <c r="C117" s="1058"/>
      <c r="D117" s="1059">
        <f>IF(AND(D111&gt;B111,$AL93&gt;0,$AL92&gt;1,ISNUMBER(B111),ISNUMBER(D111)),1,0)</f>
        <v>0</v>
      </c>
      <c r="E117" s="1058">
        <f>IF(AND(E111&gt;G111,$AL93&gt;1,$AL92&gt;1,ISNUMBER(E111),ISNUMBER(G111)),1,0)</f>
        <v>0</v>
      </c>
      <c r="F117" s="1058"/>
      <c r="G117" s="1059">
        <f>IF(AND(G111&gt;E111,$AL93&gt;1,$AL92&gt;1,ISNUMBER(E111),ISNUMBER(G111)),1,0)</f>
        <v>0</v>
      </c>
      <c r="H117" s="1058">
        <f>IF(AND(H111&gt;J111,$AL93&gt;2,$AL92&gt;1,ISNUMBER(H111),ISNUMBER(J111)),1,0)</f>
        <v>0</v>
      </c>
      <c r="I117" s="1058"/>
      <c r="J117" s="1059">
        <f>IF(AND(J111&gt;H111,$AL93&gt;2,$AL92&gt;1,ISNUMBER(H111),ISNUMBER(J111)),1,0)</f>
        <v>0</v>
      </c>
      <c r="K117" s="1060"/>
      <c r="L117" s="1058">
        <f>IF(AND(L111&gt;N111,$AL93&gt;3,$AL92&gt;1,ISNUMBER(L111),ISNUMBER(N111)),1,0)</f>
        <v>0</v>
      </c>
      <c r="M117" s="1058"/>
      <c r="N117" s="1059">
        <f>IF(AND(N111&gt;L111,$AL93&gt;3,$AL92&gt;1,ISNUMBER(L111),ISNUMBER(N111)),1,0)</f>
        <v>0</v>
      </c>
      <c r="O117" s="1058">
        <f>IF(AND(O111&gt;Q111,$AL93&gt;4,$AL92&gt;1,ISNUMBER(O111),ISNUMBER(Q111)),1,0)</f>
        <v>0</v>
      </c>
      <c r="P117" s="1058"/>
      <c r="Q117" s="1059">
        <f>IF(AND(Q111&gt;O111,$AL93&gt;4,$AL92&gt;1,ISNUMBER(O111),ISNUMBER(Q111)),1,0)</f>
        <v>0</v>
      </c>
      <c r="R117" s="1058">
        <f>IF(AND(R111&gt;T111,$AL93&gt;5,$AL92&gt;1,ISNUMBER(R111),ISNUMBER(T111)),1,0)</f>
        <v>0</v>
      </c>
      <c r="S117" s="1058"/>
      <c r="T117" s="1059">
        <f>IF(AND(T111&gt;R111,$AL93&gt;5,$AL92&gt;1,ISNUMBER(R111),ISNUMBER(T111)),1,0)</f>
        <v>0</v>
      </c>
      <c r="U117" s="1058">
        <f>IF(AND(U111&gt;W111,$AL93&gt;6,$AL92&gt;1,ISNUMBER(U111),ISNUMBER(W111)),1,0)</f>
        <v>0</v>
      </c>
      <c r="V117" s="1058"/>
      <c r="W117" s="1059">
        <f>IF(AND(W111&gt;U111,$AL93&gt;6,$AL92&gt;1,ISNUMBER(U111),ISNUMBER(W111)),1,0)</f>
        <v>0</v>
      </c>
      <c r="X117" s="1058">
        <f>IF(AND(X111&gt;Z111,$AL93&gt;7,$AL92&gt;1,ISNUMBER(X111),ISNUMBER(Z111)),1,0)</f>
        <v>0</v>
      </c>
      <c r="Y117" s="1058"/>
      <c r="Z117" s="1059">
        <f>IF(AND(Z111&gt;X111,$AL93&gt;7,$AL92&gt;1,ISNUMBER(X111),ISNUMBER(Z111)),1,0)</f>
        <v>0</v>
      </c>
      <c r="AA117" s="1058">
        <f>IF(AND(AA111&gt;AC111,$AL93&gt;8,$AL92&gt;1,ISNUMBER(AA111),ISNUMBER(AC111)),1,0)</f>
        <v>0</v>
      </c>
      <c r="AB117" s="1058"/>
      <c r="AC117" s="1059">
        <f>IF(AND(AC111&gt;AA111,$AL93&gt;8,$AL92&gt;1,ISNUMBER(AA111),ISNUMBER(AC111)),1,0)</f>
        <v>0</v>
      </c>
      <c r="AD117" s="1058">
        <f>IF(AND(AD111&gt;AF111,$AL93&gt;9,$AL92&gt;1,ISNUMBER(AD111),ISNUMBER(AF111)),1,0)</f>
        <v>0</v>
      </c>
      <c r="AE117" s="1058"/>
      <c r="AF117" s="1059">
        <f>IF(AND(AF111&gt;AD111,$AL93&gt;9,$AL92&gt;1,ISNUMBER(AD111),ISNUMBER(AF111)),1,0)</f>
        <v>0</v>
      </c>
    </row>
    <row r="118" spans="1:44" s="1057" customFormat="1" ht="12.75" hidden="1" customHeight="1" x14ac:dyDescent="0.2">
      <c r="A118" s="1057" t="s">
        <v>81</v>
      </c>
      <c r="B118" s="1058">
        <f>IF(AND(B112&gt;D112,$AL93&gt;0,$AL92&gt;2,ISNUMBER(B112),ISNUMBER(D112)),1,0)</f>
        <v>0</v>
      </c>
      <c r="C118" s="1058"/>
      <c r="D118" s="1059">
        <f>IF(AND(D112&gt;B112,$AL93&gt;0,$AL92&gt;2,ISNUMBER(B112),ISNUMBER(D112)),1,0)</f>
        <v>0</v>
      </c>
      <c r="E118" s="1058">
        <f>IF(AND(E112&gt;G112,$AL93&gt;1,$AL92&gt;2,ISNUMBER(E112),ISNUMBER(G112)),1,0)</f>
        <v>0</v>
      </c>
      <c r="F118" s="1058"/>
      <c r="G118" s="1059">
        <f>IF(AND(G112&gt;E112,$AL93&gt;1,$AL92&gt;2,ISNUMBER(E112),ISNUMBER(G112)),1,0)</f>
        <v>0</v>
      </c>
      <c r="H118" s="1058">
        <f>IF(AND(H112&gt;J112,$AL93&gt;2,$AL92&gt;2,ISNUMBER(H112),ISNUMBER(J112)),1,0)</f>
        <v>0</v>
      </c>
      <c r="I118" s="1058"/>
      <c r="J118" s="1059">
        <f>IF(AND(J112&gt;H112,$AL93&gt;2,$AL92&gt;2,ISNUMBER(H112),ISNUMBER(J112)),1,0)</f>
        <v>0</v>
      </c>
      <c r="K118" s="1060"/>
      <c r="L118" s="1058">
        <f>IF(AND(L112&gt;N112,$AL93&gt;3,$AL92&gt;2,ISNUMBER(L112),ISNUMBER(N112)),1,0)</f>
        <v>0</v>
      </c>
      <c r="M118" s="1058"/>
      <c r="N118" s="1059">
        <f>IF(AND(N112&gt;L112,$AL93&gt;3,$AL92&gt;2,ISNUMBER(L112),ISNUMBER(N112)),1,0)</f>
        <v>0</v>
      </c>
      <c r="O118" s="1058">
        <f>IF(AND(O112&gt;Q112,$AL93&gt;4,$AL92&gt;2,ISNUMBER(O112),ISNUMBER(Q112)),1,0)</f>
        <v>0</v>
      </c>
      <c r="P118" s="1058"/>
      <c r="Q118" s="1059">
        <f>IF(AND(Q112&gt;O112,$AL93&gt;4,$AL92&gt;2,ISNUMBER(O112),ISNUMBER(Q112)),1,0)</f>
        <v>0</v>
      </c>
      <c r="R118" s="1058">
        <f>IF(AND(R112&gt;T112,$AL93&gt;5,$AL92&gt;2,ISNUMBER(R112),ISNUMBER(T112)),1,0)</f>
        <v>0</v>
      </c>
      <c r="S118" s="1058"/>
      <c r="T118" s="1059">
        <f>IF(AND(T112&gt;R112,$AL93&gt;5,$AL92&gt;2,ISNUMBER(R112),ISNUMBER(T112)),1,0)</f>
        <v>0</v>
      </c>
      <c r="U118" s="1058">
        <f>IF(AND(U112&gt;W112,$AL93&gt;6,$AL92&gt;2,ISNUMBER(U112),ISNUMBER(W112)),1,0)</f>
        <v>0</v>
      </c>
      <c r="V118" s="1058"/>
      <c r="W118" s="1059">
        <f>IF(AND(W112&gt;U112,$AL93&gt;6,$AL92&gt;2,ISNUMBER(U112),ISNUMBER(W112)),1,0)</f>
        <v>0</v>
      </c>
      <c r="X118" s="1058">
        <f>IF(AND(X112&gt;Z112,$AL93&gt;7,$AL92&gt;2,ISNUMBER(X112),ISNUMBER(Z112)),1,0)</f>
        <v>0</v>
      </c>
      <c r="Y118" s="1058"/>
      <c r="Z118" s="1059">
        <f>IF(AND(Z112&gt;X112,$AL93&gt;7,$AL92&gt;2,ISNUMBER(X112),ISNUMBER(Z112)),1,0)</f>
        <v>0</v>
      </c>
      <c r="AA118" s="1058">
        <f>IF(AND(AA112&gt;AC112,$AL93&gt;8,$AL92&gt;2,ISNUMBER(AA112),ISNUMBER(AC112)),1,0)</f>
        <v>0</v>
      </c>
      <c r="AB118" s="1058"/>
      <c r="AC118" s="1059">
        <f>IF(AND(AC112&gt;AA112,$AL93&gt;8,$AL92&gt;2,ISNUMBER(AA112),ISNUMBER(AC112)),1,0)</f>
        <v>0</v>
      </c>
      <c r="AD118" s="1058">
        <f>IF(AND(AD112&gt;AF112,$AL93&gt;9,$AL92&gt;2,ISNUMBER(AD112),ISNUMBER(AF112)),1,0)</f>
        <v>0</v>
      </c>
      <c r="AE118" s="1058"/>
      <c r="AF118" s="1059">
        <f>IF(AND(AF112&gt;AD112,$AL93&gt;9,$AL92&gt;2,ISNUMBER(AD112),ISNUMBER(AF112)),1,0)</f>
        <v>0</v>
      </c>
    </row>
    <row r="119" spans="1:44" s="1057" customFormat="1" ht="12.75" hidden="1" customHeight="1" x14ac:dyDescent="0.2">
      <c r="A119" s="1057" t="s">
        <v>82</v>
      </c>
      <c r="B119" s="1058">
        <f>IF(AND(B113&gt;D113,$AL93&gt;0,$AL92&gt;3,ISNUMBER(B113),ISNUMBER(D113)),1,0)</f>
        <v>0</v>
      </c>
      <c r="C119" s="1058"/>
      <c r="D119" s="1059">
        <f>IF(AND(D113&gt;B113,$AL93&gt;0,$AL92&gt;3,ISNUMBER(B113),ISNUMBER(D113)),1,0)</f>
        <v>0</v>
      </c>
      <c r="E119" s="1058">
        <f>IF(AND(E113&gt;G113,$AL93&gt;1,$AL92&gt;3,ISNUMBER(E113),ISNUMBER(G113)),1,0)</f>
        <v>0</v>
      </c>
      <c r="F119" s="1058"/>
      <c r="G119" s="1059">
        <f>IF(AND(G113&gt;E113,$AL93&gt;1,$AL92&gt;3,ISNUMBER(E113),ISNUMBER(G113)),1,0)</f>
        <v>0</v>
      </c>
      <c r="H119" s="1058">
        <f>IF(AND(H113&gt;J113,$AL93&gt;2,$AL92&gt;3,ISNUMBER(H113),ISNUMBER(J113)),1,0)</f>
        <v>0</v>
      </c>
      <c r="I119" s="1058"/>
      <c r="J119" s="1059">
        <f>IF(AND(J113&gt;H113,$AL93&gt;2,$AL92&gt;3,ISNUMBER(H113),ISNUMBER(J113)),1,0)</f>
        <v>0</v>
      </c>
      <c r="K119" s="1060"/>
      <c r="L119" s="1058">
        <f>IF(AND(L113&gt;N113,$AL93&gt;3,$AL92&gt;3,ISNUMBER(L113),ISNUMBER(N113)),1,0)</f>
        <v>0</v>
      </c>
      <c r="M119" s="1058"/>
      <c r="N119" s="1059">
        <f>IF(AND(N113&gt;L113,$AL93&gt;3,$AL92&gt;3,ISNUMBER(L113),ISNUMBER(N113)),1,0)</f>
        <v>0</v>
      </c>
      <c r="O119" s="1058">
        <f>IF(AND(O113&gt;Q113,$AL93&gt;4,$AL92&gt;3,ISNUMBER(O113),ISNUMBER(Q113)),1,0)</f>
        <v>0</v>
      </c>
      <c r="P119" s="1058"/>
      <c r="Q119" s="1059">
        <f>IF(AND(Q113&gt;O113,$AL93&gt;4,$AL92&gt;3,ISNUMBER(O113),ISNUMBER(Q113)),1,0)</f>
        <v>0</v>
      </c>
      <c r="R119" s="1058">
        <f>IF(AND(R113&gt;T113,$AL93&gt;5,$AL92&gt;3,ISNUMBER(R113),ISNUMBER(T113)),1,0)</f>
        <v>0</v>
      </c>
      <c r="S119" s="1058"/>
      <c r="T119" s="1059">
        <f>IF(AND(T113&gt;R113,$AL93&gt;5,$AL92&gt;3,ISNUMBER(R113),ISNUMBER(T113)),1,0)</f>
        <v>0</v>
      </c>
      <c r="U119" s="1058">
        <f>IF(AND(U113&gt;W113,$AL93&gt;6,$AL92&gt;3,ISNUMBER(U113),ISNUMBER(W113)),1,0)</f>
        <v>0</v>
      </c>
      <c r="V119" s="1058"/>
      <c r="W119" s="1059">
        <f>IF(AND(W113&gt;U113,$AL93&gt;6,$AL92&gt;3,ISNUMBER(U113),ISNUMBER(W113)),1,0)</f>
        <v>0</v>
      </c>
      <c r="X119" s="1058">
        <f>IF(AND(X113&gt;Z113,$AL93&gt;7,$AL92&gt;3,ISNUMBER(X113),ISNUMBER(Z113)),1,0)</f>
        <v>0</v>
      </c>
      <c r="Y119" s="1058"/>
      <c r="Z119" s="1059">
        <f>IF(AND(Z113&gt;X113,$AL93&gt;7,$AL92&gt;3,ISNUMBER(X113),ISNUMBER(Z113)),1,0)</f>
        <v>0</v>
      </c>
      <c r="AA119" s="1058">
        <f>IF(AND(AA113&gt;AC113,$AL93&gt;8,$AL92&gt;3,ISNUMBER(AA113),ISNUMBER(AC113)),1,0)</f>
        <v>0</v>
      </c>
      <c r="AB119" s="1058"/>
      <c r="AC119" s="1059">
        <f>IF(AND(AC113&gt;AA113,$AL93&gt;8,$AL92&gt;3,ISNUMBER(AA113),ISNUMBER(AC113)),1,0)</f>
        <v>0</v>
      </c>
      <c r="AD119" s="1058">
        <f>IF(AND(AD113&gt;AF113,$AL93&gt;9,$AL92&gt;3,ISNUMBER(AD113),ISNUMBER(AF113)),1,0)</f>
        <v>0</v>
      </c>
      <c r="AE119" s="1058"/>
      <c r="AF119" s="1059">
        <f>IF(AND(AF113&gt;AD113,$AL93&gt;9,$AL92&gt;3,ISNUMBER(AD113),ISNUMBER(AF113)),1,0)</f>
        <v>0</v>
      </c>
    </row>
    <row r="120" spans="1:44" s="1057" customFormat="1" ht="12.75" hidden="1" customHeight="1" x14ac:dyDescent="0.2">
      <c r="A120" s="1057" t="s">
        <v>83</v>
      </c>
      <c r="B120" s="1058">
        <f>IF(AND(B114&gt;D114,$AL93&gt;0,$AL92&gt;4,ISNUMBER(B114),ISNUMBER(D114)),1,0)</f>
        <v>0</v>
      </c>
      <c r="C120" s="1058"/>
      <c r="D120" s="1059">
        <f>IF(AND(D114&gt;B114,$AL93&gt;0,$AL92&gt;4,ISNUMBER(B114),ISNUMBER(D114)),1,0)</f>
        <v>0</v>
      </c>
      <c r="E120" s="1058">
        <f>IF(AND(E114&gt;G114,$AL93&gt;1,$AL92&gt;4,ISNUMBER(E114),ISNUMBER(G114)),1,0)</f>
        <v>0</v>
      </c>
      <c r="F120" s="1058"/>
      <c r="G120" s="1059">
        <f>IF(AND(G114&gt;E114,$AL93&gt;1,$AL92&gt;4,ISNUMBER(E114),ISNUMBER(G114)),1,0)</f>
        <v>0</v>
      </c>
      <c r="H120" s="1058">
        <f>IF(AND(H114&gt;J114,$AL93&gt;2,$AL92&gt;4,ISNUMBER(H114),ISNUMBER(J114)),1,0)</f>
        <v>0</v>
      </c>
      <c r="I120" s="1058"/>
      <c r="J120" s="1059">
        <f>IF(AND(J114&gt;H114,$AL93&gt;2,$AL92&gt;4,ISNUMBER(H114),ISNUMBER(J114)),1,0)</f>
        <v>0</v>
      </c>
      <c r="K120" s="1060"/>
      <c r="L120" s="1058">
        <f>IF(AND(L114&gt;N114,$AL93&gt;3,$AL92&gt;4,ISNUMBER(L114),ISNUMBER(N114)),1,0)</f>
        <v>0</v>
      </c>
      <c r="M120" s="1058"/>
      <c r="N120" s="1059">
        <f>IF(AND(N114&gt;L114,$AL93&gt;3,$AL92&gt;4,ISNUMBER(L114),ISNUMBER(N114)),1,0)</f>
        <v>0</v>
      </c>
      <c r="O120" s="1058">
        <f>IF(AND(O114&gt;Q114,$AL93&gt;4,$AL92&gt;4,ISNUMBER(O114),ISNUMBER(Q114)),1,0)</f>
        <v>0</v>
      </c>
      <c r="P120" s="1058"/>
      <c r="Q120" s="1059">
        <f>IF(AND(Q114&gt;O114,$AL93&gt;4,$AL92&gt;4,ISNUMBER(O114),ISNUMBER(Q114)),1,0)</f>
        <v>0</v>
      </c>
      <c r="R120" s="1058">
        <f>IF(AND(R114&gt;T114,$AL93&gt;5,$AL92&gt;4,ISNUMBER(R114),ISNUMBER(T114)),1,0)</f>
        <v>0</v>
      </c>
      <c r="S120" s="1058"/>
      <c r="T120" s="1059">
        <f>IF(AND(T114&gt;R114,$AL93&gt;5,$AL92&gt;4,ISNUMBER(R114),ISNUMBER(T114)),1,0)</f>
        <v>0</v>
      </c>
      <c r="U120" s="1058">
        <f>IF(AND(U114&gt;W114,$AL93&gt;6,$AL92&gt;4,ISNUMBER(U114),ISNUMBER(W114)),1,0)</f>
        <v>0</v>
      </c>
      <c r="V120" s="1058"/>
      <c r="W120" s="1059">
        <f>IF(AND(W114&gt;U114,$AL93&gt;6,$AL92&gt;4,ISNUMBER(U114),ISNUMBER(W114)),1,0)</f>
        <v>0</v>
      </c>
      <c r="X120" s="1058">
        <f>IF(AND(X114&gt;Z114,$AL93&gt;7,$AL92&gt;4,ISNUMBER(X114),ISNUMBER(Z114)),1,0)</f>
        <v>0</v>
      </c>
      <c r="Y120" s="1058"/>
      <c r="Z120" s="1059">
        <f>IF(AND(Z114&gt;X114,$AL93&gt;7,$AL92&gt;4,ISNUMBER(X114),ISNUMBER(Z114)),1,0)</f>
        <v>0</v>
      </c>
      <c r="AA120" s="1058">
        <f>IF(AND(AA114&gt;AC114,$AL93&gt;8,$AL92&gt;4,ISNUMBER(AA114),ISNUMBER(AC114)),1,0)</f>
        <v>0</v>
      </c>
      <c r="AB120" s="1058"/>
      <c r="AC120" s="1059">
        <f>IF(AND(AC114&gt;AA114,$AL93&gt;8,$AL92&gt;4,ISNUMBER(AA114),ISNUMBER(AC114)),1,0)</f>
        <v>0</v>
      </c>
      <c r="AD120" s="1058">
        <f>IF(AND(AD114&gt;AF114,$AL93&gt;9,$AL92&gt;4,ISNUMBER(AD114),ISNUMBER(AF114)),1,0)</f>
        <v>0</v>
      </c>
      <c r="AE120" s="1058"/>
      <c r="AF120" s="1059">
        <f>IF(AND(AF114&gt;AD114,$AL93&gt;9,$AL92&gt;4,ISNUMBER(AD114),ISNUMBER(AF114)),1,0)</f>
        <v>0</v>
      </c>
    </row>
    <row r="121" spans="1:44" s="1057" customFormat="1" ht="38.25" hidden="1" customHeight="1" x14ac:dyDescent="0.2">
      <c r="A121" s="1061" t="s">
        <v>84</v>
      </c>
      <c r="B121" s="1057">
        <f>SUM(B116:B120)</f>
        <v>1</v>
      </c>
      <c r="D121" s="1060">
        <f>SUM(D116:D120)</f>
        <v>0</v>
      </c>
      <c r="E121" s="1057">
        <f>SUM(E116:E120)</f>
        <v>0</v>
      </c>
      <c r="G121" s="1060">
        <f>SUM(G116:G120)</f>
        <v>1</v>
      </c>
      <c r="H121" s="1057">
        <f>SUM(H116:H120)</f>
        <v>1</v>
      </c>
      <c r="J121" s="1060">
        <f>SUM(J116:J120)</f>
        <v>0</v>
      </c>
      <c r="K121" s="1060"/>
      <c r="L121" s="1057">
        <f>SUM(L116:L120)</f>
        <v>1</v>
      </c>
      <c r="N121" s="1060">
        <f>SUM(N116:N120)</f>
        <v>0</v>
      </c>
      <c r="O121" s="1057">
        <f>SUM(O116:O120)</f>
        <v>0</v>
      </c>
      <c r="Q121" s="1060">
        <f>SUM(Q116:Q120)</f>
        <v>1</v>
      </c>
      <c r="R121" s="1057">
        <f>SUM(R116:R120)</f>
        <v>1</v>
      </c>
      <c r="T121" s="1060">
        <f>SUM(T116:T120)</f>
        <v>0</v>
      </c>
      <c r="U121" s="1057">
        <f>SUM(U116:U120)</f>
        <v>0</v>
      </c>
      <c r="W121" s="1060">
        <f>SUM(W116:W120)</f>
        <v>0</v>
      </c>
      <c r="X121" s="1057">
        <f>SUM(X116:X120)</f>
        <v>0</v>
      </c>
      <c r="Z121" s="1060">
        <f>SUM(Z116:Z120)</f>
        <v>0</v>
      </c>
      <c r="AA121" s="1057">
        <f>SUM(AA116:AA120)</f>
        <v>0</v>
      </c>
      <c r="AC121" s="1060">
        <f>SUM(AC116:AC120)</f>
        <v>0</v>
      </c>
      <c r="AD121" s="1057">
        <f>SUM(AD116:AD120)</f>
        <v>0</v>
      </c>
      <c r="AF121" s="1060">
        <f>SUM(AF116:AF120)</f>
        <v>0</v>
      </c>
    </row>
    <row r="122" spans="1:44" s="1057" customFormat="1" ht="25.5" hidden="1" customHeight="1" x14ac:dyDescent="0.2">
      <c r="A122" s="1061" t="s">
        <v>85</v>
      </c>
      <c r="B122" s="1057">
        <f>IF(B121&gt;D121,IF(C156=AL92,1,IF(C156=AL92-1,1,0)),0)</f>
        <v>1</v>
      </c>
      <c r="C122" s="1057">
        <f>B122+D122</f>
        <v>1</v>
      </c>
      <c r="D122" s="1060">
        <f>IF(D121&gt;B121,IF(C156=AL92,1,IF(C156=AL92-1,1,0)),0)</f>
        <v>0</v>
      </c>
      <c r="E122" s="1057">
        <f>IF(E121&gt;G121,IF(F156=AL92,1,IF(F156=AL92-1,1,0)),0)</f>
        <v>0</v>
      </c>
      <c r="F122" s="1057">
        <f>E122+G122</f>
        <v>1</v>
      </c>
      <c r="G122" s="1060">
        <f>IF(G121&gt;E121,IF(F156=AL92,1,IF(F156=AL92-1,1,0)),0)</f>
        <v>1</v>
      </c>
      <c r="H122" s="1057">
        <f>IF(H121&gt;J121,IF(I156=AL92,1,IF(I156=AL92-1,1,0)),0)</f>
        <v>1</v>
      </c>
      <c r="I122" s="1057">
        <f>H122+J122</f>
        <v>1</v>
      </c>
      <c r="J122" s="1060">
        <f>IF(J121&gt;H121,IF(I156=AL92,1,IF(I156=AL92-1,1,0)),0)</f>
        <v>0</v>
      </c>
      <c r="K122" s="1060"/>
      <c r="L122" s="1057">
        <f>IF(L121&gt;N121,IF(M156=AL92,1,IF(M156=AL92-1,1,0)),0)</f>
        <v>1</v>
      </c>
      <c r="M122" s="1057">
        <f>L122+N122</f>
        <v>1</v>
      </c>
      <c r="N122" s="1060">
        <f>IF(N121&gt;L121,IF(M156=AL92,1,IF(M156=AL92-1,1,0)),0)</f>
        <v>0</v>
      </c>
      <c r="O122" s="1057">
        <f>IF(O121&gt;Q121,IF(P156=AL92,1,IF(P156=AL92-1,1,0)),0)</f>
        <v>0</v>
      </c>
      <c r="P122" s="1057">
        <f>O122+Q122</f>
        <v>1</v>
      </c>
      <c r="Q122" s="1060">
        <f>IF(Q121&gt;O121,IF(P156=AL92,1,IF(P156=AL92-1,1,0)),0)</f>
        <v>1</v>
      </c>
      <c r="R122" s="1057">
        <f>IF(R121&gt;T121,IF(S156=AL92,1,IF(S156=AL92-1,1,0)),0)</f>
        <v>1</v>
      </c>
      <c r="S122" s="1057">
        <f>R122+T122</f>
        <v>1</v>
      </c>
      <c r="T122" s="1060">
        <f>IF(T121&gt;R121,IF(S156=AL92,1,IF(S156=AL92-1,1,0)),0)</f>
        <v>0</v>
      </c>
      <c r="U122" s="1057">
        <f>IF(U121&gt;W121,IF(V156=AL92,1,IF(V156=AL92-1,1,0)),0)</f>
        <v>0</v>
      </c>
      <c r="V122" s="1057">
        <f>U122+W122</f>
        <v>0</v>
      </c>
      <c r="W122" s="1060">
        <f>IF(W121&gt;U121,IF(V156=AL92,1,IF(V156=AL92-1,1,0)),0)</f>
        <v>0</v>
      </c>
      <c r="X122" s="1057">
        <f>IF(X121&gt;Z121,IF(Y156=AL92,1,IF(Y156=AL92-1,1,0)),0)</f>
        <v>0</v>
      </c>
      <c r="Y122" s="1057">
        <f>X122+Z122</f>
        <v>0</v>
      </c>
      <c r="Z122" s="1060">
        <f>IF(Z121&gt;X121,IF(Y156=AL92,1,IF(Y156=AL92-1,1,0)),0)</f>
        <v>0</v>
      </c>
      <c r="AA122" s="1057">
        <f>IF(AA121&gt;AC121,IF(AB156=AL92,1,IF(AB156=AL92-1,1,0)),0)</f>
        <v>0</v>
      </c>
      <c r="AB122" s="1057">
        <f>AA122+AC122</f>
        <v>0</v>
      </c>
      <c r="AC122" s="1060">
        <f>IF(AC121&gt;AA121,IF(AB156=AL92,1,IF(AB156=AL92-1,1,0)),0)</f>
        <v>0</v>
      </c>
      <c r="AD122" s="1057">
        <f>IF(AD121&gt;AF121,IF(AE156=AL92,1,IF(AE156=AL92-1,1,0)),0)</f>
        <v>0</v>
      </c>
      <c r="AE122" s="1057">
        <f>AD122+AF122</f>
        <v>0</v>
      </c>
      <c r="AF122" s="1060">
        <f>IF(AF121&gt;AD121,IF(AE156=AL92,1,IF(AE156=AL92-1,1,0)),0)</f>
        <v>0</v>
      </c>
    </row>
    <row r="123" spans="1:44" s="1057" customFormat="1" ht="25.5" hidden="1" customHeight="1" x14ac:dyDescent="0.2">
      <c r="A123" s="1061"/>
      <c r="D123" s="1060"/>
      <c r="G123" s="1060"/>
      <c r="J123" s="1060"/>
      <c r="K123" s="1060"/>
      <c r="N123" s="1060"/>
      <c r="Q123" s="1060"/>
      <c r="T123" s="1060"/>
      <c r="W123" s="1060"/>
      <c r="Z123" s="1060"/>
      <c r="AC123" s="1060"/>
      <c r="AF123" s="1060"/>
    </row>
    <row r="124" spans="1:44" s="1057" customFormat="1" ht="12.75" hidden="1" customHeight="1" x14ac:dyDescent="0.2">
      <c r="A124" s="1057" t="s">
        <v>86</v>
      </c>
      <c r="B124" s="1057">
        <f>IF(B116=1,B110,0)</f>
        <v>35</v>
      </c>
      <c r="D124" s="1060">
        <f t="shared" ref="D124:E128" si="10">IF(D116=1,D110,0)</f>
        <v>0</v>
      </c>
      <c r="E124" s="1057">
        <f t="shared" si="10"/>
        <v>0</v>
      </c>
      <c r="G124" s="1060">
        <f t="shared" ref="G124:H128" si="11">IF(G116=1,G110,0)</f>
        <v>33</v>
      </c>
      <c r="H124" s="1057">
        <f t="shared" si="11"/>
        <v>30</v>
      </c>
      <c r="J124" s="1060">
        <f>IF(J116=1,J110,0)</f>
        <v>0</v>
      </c>
      <c r="K124" s="1060"/>
      <c r="L124" s="1057">
        <f>IF(L116=1,L110,0)</f>
        <v>32</v>
      </c>
      <c r="N124" s="1060">
        <f t="shared" ref="N124:O128" si="12">IF(N116=1,N110,0)</f>
        <v>0</v>
      </c>
      <c r="O124" s="1057">
        <f t="shared" si="12"/>
        <v>0</v>
      </c>
      <c r="Q124" s="1060">
        <f t="shared" ref="Q124:R128" si="13">IF(Q116=1,Q110,0)</f>
        <v>27</v>
      </c>
      <c r="R124" s="1057">
        <f t="shared" si="13"/>
        <v>30</v>
      </c>
      <c r="T124" s="1060">
        <f t="shared" ref="T124:U128" si="14">IF(T116=1,T110,0)</f>
        <v>0</v>
      </c>
      <c r="U124" s="1057">
        <f t="shared" si="14"/>
        <v>0</v>
      </c>
      <c r="W124" s="1060">
        <f t="shared" ref="W124:X128" si="15">IF(W116=1,W110,0)</f>
        <v>0</v>
      </c>
      <c r="X124" s="1057">
        <f t="shared" si="15"/>
        <v>0</v>
      </c>
      <c r="Z124" s="1060">
        <f t="shared" ref="Z124:AA128" si="16">IF(Z116=1,Z110,0)</f>
        <v>0</v>
      </c>
      <c r="AA124" s="1057">
        <f t="shared" si="16"/>
        <v>0</v>
      </c>
      <c r="AC124" s="1060">
        <f t="shared" ref="AC124:AD128" si="17">IF(AC116=1,AC110,0)</f>
        <v>0</v>
      </c>
      <c r="AD124" s="1057">
        <f t="shared" si="17"/>
        <v>0</v>
      </c>
      <c r="AF124" s="1060">
        <f>IF(AF116=1,AF110,0)</f>
        <v>0</v>
      </c>
    </row>
    <row r="125" spans="1:44" s="1057" customFormat="1" ht="12.75" hidden="1" customHeight="1" x14ac:dyDescent="0.2">
      <c r="A125" s="1057" t="s">
        <v>87</v>
      </c>
      <c r="B125" s="1057">
        <f>IF(B117=1,B111,0)</f>
        <v>0</v>
      </c>
      <c r="D125" s="1060">
        <f t="shared" si="10"/>
        <v>0</v>
      </c>
      <c r="E125" s="1057">
        <f t="shared" si="10"/>
        <v>0</v>
      </c>
      <c r="G125" s="1060">
        <f t="shared" si="11"/>
        <v>0</v>
      </c>
      <c r="H125" s="1057">
        <f t="shared" si="11"/>
        <v>0</v>
      </c>
      <c r="J125" s="1060">
        <f>IF(J117=1,J111,0)</f>
        <v>0</v>
      </c>
      <c r="K125" s="1060"/>
      <c r="L125" s="1057">
        <f>IF(L117=1,L111,0)</f>
        <v>0</v>
      </c>
      <c r="N125" s="1060">
        <f t="shared" si="12"/>
        <v>0</v>
      </c>
      <c r="O125" s="1057">
        <f t="shared" si="12"/>
        <v>0</v>
      </c>
      <c r="Q125" s="1060">
        <f t="shared" si="13"/>
        <v>0</v>
      </c>
      <c r="R125" s="1057">
        <f t="shared" si="13"/>
        <v>0</v>
      </c>
      <c r="T125" s="1060">
        <f t="shared" si="14"/>
        <v>0</v>
      </c>
      <c r="U125" s="1057">
        <f t="shared" si="14"/>
        <v>0</v>
      </c>
      <c r="W125" s="1060">
        <f t="shared" si="15"/>
        <v>0</v>
      </c>
      <c r="X125" s="1057">
        <f t="shared" si="15"/>
        <v>0</v>
      </c>
      <c r="Z125" s="1060">
        <f t="shared" si="16"/>
        <v>0</v>
      </c>
      <c r="AA125" s="1057">
        <f t="shared" si="16"/>
        <v>0</v>
      </c>
      <c r="AC125" s="1060">
        <f t="shared" si="17"/>
        <v>0</v>
      </c>
      <c r="AD125" s="1057">
        <f t="shared" si="17"/>
        <v>0</v>
      </c>
      <c r="AF125" s="1060">
        <f>IF(AF117=1,AF111,0)</f>
        <v>0</v>
      </c>
    </row>
    <row r="126" spans="1:44" s="1057" customFormat="1" ht="12.75" hidden="1" customHeight="1" x14ac:dyDescent="0.2">
      <c r="A126" s="1057" t="s">
        <v>88</v>
      </c>
      <c r="B126" s="1057">
        <f>IF(B118=1,B112,0)</f>
        <v>0</v>
      </c>
      <c r="D126" s="1060">
        <f t="shared" si="10"/>
        <v>0</v>
      </c>
      <c r="E126" s="1057">
        <f t="shared" si="10"/>
        <v>0</v>
      </c>
      <c r="G126" s="1060">
        <f t="shared" si="11"/>
        <v>0</v>
      </c>
      <c r="H126" s="1057">
        <f t="shared" si="11"/>
        <v>0</v>
      </c>
      <c r="J126" s="1060">
        <f>IF(J118=1,J112,0)</f>
        <v>0</v>
      </c>
      <c r="K126" s="1060"/>
      <c r="L126" s="1057">
        <f>IF(L118=1,L112,0)</f>
        <v>0</v>
      </c>
      <c r="N126" s="1060">
        <f t="shared" si="12"/>
        <v>0</v>
      </c>
      <c r="O126" s="1057">
        <f t="shared" si="12"/>
        <v>0</v>
      </c>
      <c r="Q126" s="1060">
        <f t="shared" si="13"/>
        <v>0</v>
      </c>
      <c r="R126" s="1057">
        <f t="shared" si="13"/>
        <v>0</v>
      </c>
      <c r="T126" s="1060">
        <f t="shared" si="14"/>
        <v>0</v>
      </c>
      <c r="U126" s="1057">
        <f t="shared" si="14"/>
        <v>0</v>
      </c>
      <c r="W126" s="1060">
        <f t="shared" si="15"/>
        <v>0</v>
      </c>
      <c r="X126" s="1057">
        <f t="shared" si="15"/>
        <v>0</v>
      </c>
      <c r="Z126" s="1060">
        <f t="shared" si="16"/>
        <v>0</v>
      </c>
      <c r="AA126" s="1057">
        <f t="shared" si="16"/>
        <v>0</v>
      </c>
      <c r="AC126" s="1060">
        <f t="shared" si="17"/>
        <v>0</v>
      </c>
      <c r="AD126" s="1057">
        <f t="shared" si="17"/>
        <v>0</v>
      </c>
      <c r="AF126" s="1060">
        <f>IF(AF118=1,AF112,0)</f>
        <v>0</v>
      </c>
    </row>
    <row r="127" spans="1:44" s="1057" customFormat="1" ht="12.75" hidden="1" customHeight="1" x14ac:dyDescent="0.2">
      <c r="A127" s="1057" t="s">
        <v>89</v>
      </c>
      <c r="B127" s="1057">
        <f>IF(B119=1,B113,0)</f>
        <v>0</v>
      </c>
      <c r="D127" s="1060">
        <f t="shared" si="10"/>
        <v>0</v>
      </c>
      <c r="E127" s="1057">
        <f t="shared" si="10"/>
        <v>0</v>
      </c>
      <c r="G127" s="1060">
        <f t="shared" si="11"/>
        <v>0</v>
      </c>
      <c r="H127" s="1057">
        <f t="shared" si="11"/>
        <v>0</v>
      </c>
      <c r="J127" s="1060">
        <f>IF(J119=1,J113,0)</f>
        <v>0</v>
      </c>
      <c r="K127" s="1060"/>
      <c r="L127" s="1057">
        <f>IF(L119=1,L113,0)</f>
        <v>0</v>
      </c>
      <c r="N127" s="1060">
        <f t="shared" si="12"/>
        <v>0</v>
      </c>
      <c r="O127" s="1057">
        <f t="shared" si="12"/>
        <v>0</v>
      </c>
      <c r="Q127" s="1060">
        <f t="shared" si="13"/>
        <v>0</v>
      </c>
      <c r="R127" s="1057">
        <f t="shared" si="13"/>
        <v>0</v>
      </c>
      <c r="T127" s="1060">
        <f t="shared" si="14"/>
        <v>0</v>
      </c>
      <c r="U127" s="1057">
        <f t="shared" si="14"/>
        <v>0</v>
      </c>
      <c r="W127" s="1060">
        <f t="shared" si="15"/>
        <v>0</v>
      </c>
      <c r="X127" s="1057">
        <f t="shared" si="15"/>
        <v>0</v>
      </c>
      <c r="Z127" s="1060">
        <f t="shared" si="16"/>
        <v>0</v>
      </c>
      <c r="AA127" s="1057">
        <f t="shared" si="16"/>
        <v>0</v>
      </c>
      <c r="AC127" s="1060">
        <f t="shared" si="17"/>
        <v>0</v>
      </c>
      <c r="AD127" s="1057">
        <f t="shared" si="17"/>
        <v>0</v>
      </c>
      <c r="AF127" s="1060">
        <f>IF(AF119=1,AF113,0)</f>
        <v>0</v>
      </c>
    </row>
    <row r="128" spans="1:44" s="1057" customFormat="1" ht="12.75" hidden="1" customHeight="1" x14ac:dyDescent="0.2">
      <c r="A128" s="1057" t="s">
        <v>90</v>
      </c>
      <c r="B128" s="1057">
        <f>IF(B120=1,B114,0)</f>
        <v>0</v>
      </c>
      <c r="D128" s="1060">
        <f t="shared" si="10"/>
        <v>0</v>
      </c>
      <c r="E128" s="1057">
        <f t="shared" si="10"/>
        <v>0</v>
      </c>
      <c r="G128" s="1060">
        <f t="shared" si="11"/>
        <v>0</v>
      </c>
      <c r="H128" s="1057">
        <f t="shared" si="11"/>
        <v>0</v>
      </c>
      <c r="J128" s="1060">
        <f>IF(J120=1,J114,0)</f>
        <v>0</v>
      </c>
      <c r="K128" s="1060"/>
      <c r="L128" s="1057">
        <f>IF(L120=1,L114,0)</f>
        <v>0</v>
      </c>
      <c r="N128" s="1060">
        <f t="shared" si="12"/>
        <v>0</v>
      </c>
      <c r="O128" s="1057">
        <f t="shared" si="12"/>
        <v>0</v>
      </c>
      <c r="Q128" s="1060">
        <f t="shared" si="13"/>
        <v>0</v>
      </c>
      <c r="R128" s="1057">
        <f t="shared" si="13"/>
        <v>0</v>
      </c>
      <c r="T128" s="1060">
        <f t="shared" si="14"/>
        <v>0</v>
      </c>
      <c r="U128" s="1057">
        <f t="shared" si="14"/>
        <v>0</v>
      </c>
      <c r="W128" s="1060">
        <f t="shared" si="15"/>
        <v>0</v>
      </c>
      <c r="X128" s="1057">
        <f t="shared" si="15"/>
        <v>0</v>
      </c>
      <c r="Z128" s="1060">
        <f t="shared" si="16"/>
        <v>0</v>
      </c>
      <c r="AA128" s="1057">
        <f t="shared" si="16"/>
        <v>0</v>
      </c>
      <c r="AC128" s="1060">
        <f t="shared" si="17"/>
        <v>0</v>
      </c>
      <c r="AD128" s="1057">
        <f t="shared" si="17"/>
        <v>0</v>
      </c>
      <c r="AF128" s="1060">
        <f>IF(AF120=1,AF114,0)</f>
        <v>0</v>
      </c>
    </row>
    <row r="129" spans="1:38" s="1057" customFormat="1" ht="38.25" hidden="1" customHeight="1" x14ac:dyDescent="0.2">
      <c r="A129" s="1061" t="s">
        <v>91</v>
      </c>
      <c r="B129" s="1057">
        <f>SUM(B124:D128)</f>
        <v>35</v>
      </c>
      <c r="D129" s="1060"/>
      <c r="E129" s="1057">
        <f>SUM(E124:G128)</f>
        <v>33</v>
      </c>
      <c r="G129" s="1060"/>
      <c r="H129" s="1057">
        <f>SUM(H124:J128)</f>
        <v>30</v>
      </c>
      <c r="J129" s="1060"/>
      <c r="K129" s="1060"/>
      <c r="L129" s="1057">
        <f>SUM(L124:N128)</f>
        <v>32</v>
      </c>
      <c r="N129" s="1060"/>
      <c r="O129" s="1057">
        <f>SUM(O124:Q128)</f>
        <v>27</v>
      </c>
      <c r="Q129" s="1060"/>
      <c r="R129" s="1057">
        <f>SUM(R124:T128)</f>
        <v>30</v>
      </c>
      <c r="T129" s="1060"/>
      <c r="U129" s="1057">
        <f>SUM(U124:W128)</f>
        <v>0</v>
      </c>
      <c r="W129" s="1060"/>
      <c r="X129" s="1057">
        <f>SUM(X124:Z128)</f>
        <v>0</v>
      </c>
      <c r="Z129" s="1060"/>
      <c r="AA129" s="1057">
        <f>SUM(AA124:AC128)</f>
        <v>0</v>
      </c>
      <c r="AC129" s="1060"/>
      <c r="AD129" s="1057">
        <f>SUM(AD124:AF128)</f>
        <v>0</v>
      </c>
      <c r="AF129" s="1060"/>
    </row>
    <row r="130" spans="1:38" s="1057" customFormat="1" ht="38.25" hidden="1" customHeight="1" x14ac:dyDescent="0.2">
      <c r="A130" s="1057" t="s">
        <v>92</v>
      </c>
      <c r="D130" s="1060"/>
      <c r="G130" s="1060"/>
      <c r="J130" s="1060"/>
      <c r="K130" s="1060"/>
      <c r="N130" s="1060"/>
      <c r="Q130" s="1060"/>
      <c r="T130" s="1060"/>
      <c r="W130" s="1060"/>
      <c r="Z130" s="1060"/>
      <c r="AC130" s="1060"/>
      <c r="AF130" s="1060"/>
      <c r="AG130" s="1061" t="s">
        <v>93</v>
      </c>
      <c r="AH130" s="1057" t="s">
        <v>94</v>
      </c>
    </row>
    <row r="131" spans="1:38" s="1057" customFormat="1" ht="12.75" hidden="1" customHeight="1" x14ac:dyDescent="0.2">
      <c r="A131" s="1057" t="s">
        <v>95</v>
      </c>
      <c r="B131" s="1057">
        <f>IF(B109=1,IF(B122=1,1,0),0)</f>
        <v>1</v>
      </c>
      <c r="D131" s="1060">
        <f>IF(D109=1,IF(D122=1,1,0),0)</f>
        <v>0</v>
      </c>
      <c r="E131" s="1057">
        <f>IF(E109=1,IF(E122=1,1,0),0)</f>
        <v>0</v>
      </c>
      <c r="G131" s="1060">
        <f>IF(G109=1,IF(G122=1,1,0),0)</f>
        <v>0</v>
      </c>
      <c r="H131" s="1057">
        <f>IF(H109=1,IF(H122=1,1,0),0)</f>
        <v>1</v>
      </c>
      <c r="J131" s="1060">
        <f>IF(J109=1,IF(J122=1,1,0),0)</f>
        <v>0</v>
      </c>
      <c r="K131" s="1060"/>
      <c r="L131" s="1057">
        <f>IF(L109=1,IF(L122=1,1,0),0)</f>
        <v>1</v>
      </c>
      <c r="N131" s="1060">
        <f>IF(N109=1,IF(N122=1,1,0),0)</f>
        <v>0</v>
      </c>
      <c r="O131" s="1057">
        <f>IF(O109=1,IF(O122=1,1,0),0)</f>
        <v>0</v>
      </c>
      <c r="Q131" s="1060">
        <f>IF(Q109=1,IF(Q122=1,1,0),0)</f>
        <v>0</v>
      </c>
      <c r="R131" s="1057">
        <f>IF(R109=1,IF(R122=1,1,0),0)</f>
        <v>1</v>
      </c>
      <c r="T131" s="1060">
        <f>IF(T109=1,IF(T122=1,1,0),0)</f>
        <v>0</v>
      </c>
      <c r="U131" s="1057">
        <f>IF(U109=1,IF(U122=1,1,0),0)</f>
        <v>0</v>
      </c>
      <c r="W131" s="1060">
        <f>IF(W109=1,IF(W122=1,1,0),0)</f>
        <v>0</v>
      </c>
      <c r="X131" s="1057">
        <f>IF(X109=1,IF(X122=1,1,0),0)</f>
        <v>0</v>
      </c>
      <c r="Z131" s="1060">
        <f>IF(Z109=1,IF(Z122=1,1,0),0)</f>
        <v>0</v>
      </c>
      <c r="AA131" s="1057">
        <f>IF(AA109=1,IF(AA122=1,1,0),0)</f>
        <v>0</v>
      </c>
      <c r="AC131" s="1060">
        <f>IF(AC109=1,IF(AC122=1,1,0),0)</f>
        <v>0</v>
      </c>
      <c r="AD131" s="1057">
        <f>IF(AD109=1,IF(AD122=1,1,0),0)</f>
        <v>0</v>
      </c>
      <c r="AF131" s="1060">
        <f>IF(AF109=1,IF(AF122=1,1,0),0)</f>
        <v>0</v>
      </c>
      <c r="AG131" s="1057">
        <f>SUM(B131:AF131)</f>
        <v>4</v>
      </c>
      <c r="AH131" s="1057">
        <f>AG137-AG131</f>
        <v>0</v>
      </c>
    </row>
    <row r="132" spans="1:38" s="1057" customFormat="1" ht="12.75" hidden="1" customHeight="1" x14ac:dyDescent="0.2">
      <c r="A132" s="1057" t="s">
        <v>96</v>
      </c>
      <c r="B132" s="1057">
        <f>IF(B109=2,IF(B122=1,1,0),0)</f>
        <v>0</v>
      </c>
      <c r="D132" s="1060">
        <f>IF(D109=2,IF(D122=1,1,0),0)</f>
        <v>0</v>
      </c>
      <c r="E132" s="1057">
        <f>IF(E109=2,IF(E122=1,1,0),0)</f>
        <v>0</v>
      </c>
      <c r="G132" s="1060">
        <f>IF(G109=2,IF(G122=1,1,0),0)</f>
        <v>0</v>
      </c>
      <c r="H132" s="1057">
        <f>IF(H109=2,IF(H122=1,1,0),0)</f>
        <v>0</v>
      </c>
      <c r="J132" s="1060">
        <f>IF(J109=2,IF(J122=1,1,0),0)</f>
        <v>0</v>
      </c>
      <c r="K132" s="1060"/>
      <c r="L132" s="1057">
        <f>IF(L109=2,IF(L122=1,1,0),0)</f>
        <v>0</v>
      </c>
      <c r="N132" s="1060">
        <f>IF(N109=2,IF(N122=1,1,0),0)</f>
        <v>0</v>
      </c>
      <c r="O132" s="1057">
        <f>IF(O109=2,IF(O122=1,1,0),0)</f>
        <v>0</v>
      </c>
      <c r="Q132" s="1060">
        <f>IF(Q109=2,IF(Q122=1,1,0),0)</f>
        <v>0</v>
      </c>
      <c r="R132" s="1057">
        <f>IF(R109=2,IF(R122=1,1,0),0)</f>
        <v>0</v>
      </c>
      <c r="T132" s="1060">
        <f>IF(T109=2,IF(T122=1,1,0),0)</f>
        <v>0</v>
      </c>
      <c r="U132" s="1057">
        <f>IF(U109=2,IF(U122=1,1,0),0)</f>
        <v>0</v>
      </c>
      <c r="W132" s="1060">
        <f>IF(W109=2,IF(W122=1,1,0),0)</f>
        <v>0</v>
      </c>
      <c r="X132" s="1057">
        <f>IF(X109=2,IF(X122=1,1,0),0)</f>
        <v>0</v>
      </c>
      <c r="Z132" s="1060">
        <f>IF(Z109=2,IF(Z122=1,1,0),0)</f>
        <v>0</v>
      </c>
      <c r="AA132" s="1057">
        <f>IF(AA109=2,IF(AA122=1,1,0),0)</f>
        <v>0</v>
      </c>
      <c r="AC132" s="1060">
        <f>IF(AC109=2,IF(AC122=1,1,0),0)</f>
        <v>0</v>
      </c>
      <c r="AD132" s="1057">
        <f>IF(AD109=2,IF(AD122=1,1,0),0)</f>
        <v>0</v>
      </c>
      <c r="AF132" s="1060">
        <f>IF(AF109=2,IF(AF122=1,1,0),0)</f>
        <v>0</v>
      </c>
      <c r="AG132" s="1057">
        <f>SUM(B132:AF132)</f>
        <v>0</v>
      </c>
      <c r="AH132" s="1057">
        <f>AG138-AG132</f>
        <v>4</v>
      </c>
    </row>
    <row r="133" spans="1:38" s="1057" customFormat="1" ht="12.75" hidden="1" customHeight="1" x14ac:dyDescent="0.2">
      <c r="A133" s="1057" t="s">
        <v>97</v>
      </c>
      <c r="B133" s="1057">
        <f>IF(B109=3,IF(B122=1,1,0),0)</f>
        <v>0</v>
      </c>
      <c r="D133" s="1060">
        <f>IF(D109=3,IF(D122=1,1,0),0)</f>
        <v>0</v>
      </c>
      <c r="E133" s="1057">
        <f>IF(E109=3,IF(E122=1,1,0),0)</f>
        <v>0</v>
      </c>
      <c r="G133" s="1060">
        <f>IF(G109=3,IF(G122=1,1,0),0)</f>
        <v>1</v>
      </c>
      <c r="H133" s="1057">
        <f>IF(H109=3,IF(H122=1,1,0),0)</f>
        <v>0</v>
      </c>
      <c r="J133" s="1060">
        <f>IF(J109=3,IF(J122=1,1,0),0)</f>
        <v>0</v>
      </c>
      <c r="K133" s="1060"/>
      <c r="L133" s="1057">
        <f>IF(L109=3,IF(L122=1,1,0),0)</f>
        <v>0</v>
      </c>
      <c r="N133" s="1060">
        <f>IF(N109=3,IF(N122=1,1,0),0)</f>
        <v>0</v>
      </c>
      <c r="O133" s="1057">
        <f>IF(O109=3,IF(O122=1,1,0),0)</f>
        <v>0</v>
      </c>
      <c r="Q133" s="1060">
        <f>IF(Q109=3,IF(Q122=1,1,0),0)</f>
        <v>1</v>
      </c>
      <c r="R133" s="1057">
        <f>IF(R109=3,IF(R122=1,1,0),0)</f>
        <v>0</v>
      </c>
      <c r="T133" s="1060">
        <f>IF(T109=3,IF(T122=1,1,0),0)</f>
        <v>0</v>
      </c>
      <c r="U133" s="1057">
        <f>IF(U109=3,IF(U122=1,1,0),0)</f>
        <v>0</v>
      </c>
      <c r="W133" s="1060">
        <f>IF(W109=3,IF(W122=1,1,0),0)</f>
        <v>0</v>
      </c>
      <c r="X133" s="1057">
        <f>IF(X109=3,IF(X122=1,1,0),0)</f>
        <v>0</v>
      </c>
      <c r="Z133" s="1060">
        <f>IF(Z109=3,IF(Z122=1,1,0),0)</f>
        <v>0</v>
      </c>
      <c r="AA133" s="1057">
        <f>IF(AA109=3,IF(AA122=1,1,0),0)</f>
        <v>0</v>
      </c>
      <c r="AC133" s="1060">
        <f>IF(AC109=3,IF(AC122=1,1,0),0)</f>
        <v>0</v>
      </c>
      <c r="AD133" s="1057">
        <f>IF(AD109=3,IF(AD122=1,1,0),0)</f>
        <v>0</v>
      </c>
      <c r="AF133" s="1060">
        <f>IF(AF109=3,IF(AF122=1,1,0),0)</f>
        <v>0</v>
      </c>
      <c r="AG133" s="1057">
        <f>SUM(B133:AF133)</f>
        <v>2</v>
      </c>
      <c r="AH133" s="1057">
        <f>AG139-AG133</f>
        <v>2</v>
      </c>
    </row>
    <row r="134" spans="1:38" s="1057" customFormat="1" ht="12.75" hidden="1" customHeight="1" x14ac:dyDescent="0.2">
      <c r="A134" s="1057" t="s">
        <v>98</v>
      </c>
      <c r="B134" s="1057">
        <f>IF(B109=4,IF(B122=1,1,0),0)</f>
        <v>0</v>
      </c>
      <c r="D134" s="1060">
        <f>IF(D109=4,IF(D122=1,1,0),0)</f>
        <v>0</v>
      </c>
      <c r="E134" s="1057">
        <f>IF(E109=4,IF(E122=1,1,0),0)</f>
        <v>0</v>
      </c>
      <c r="G134" s="1060">
        <f>IF(G109=4,IF(G122=1,1,0),0)</f>
        <v>0</v>
      </c>
      <c r="H134" s="1057">
        <f>IF(H109=4,IF(H122=1,1,0),0)</f>
        <v>0</v>
      </c>
      <c r="J134" s="1060">
        <f>IF(J109=4,IF(J122=1,1,0),0)</f>
        <v>0</v>
      </c>
      <c r="K134" s="1060"/>
      <c r="L134" s="1057">
        <f>IF(L109=4,IF(L122=1,1,0),0)</f>
        <v>0</v>
      </c>
      <c r="N134" s="1060">
        <f>IF(N109=4,IF(N122=1,1,0),0)</f>
        <v>0</v>
      </c>
      <c r="O134" s="1057">
        <f>IF(O109=4,IF(O122=1,1,0),0)</f>
        <v>0</v>
      </c>
      <c r="Q134" s="1060">
        <f>IF(Q109=4,IF(Q122=1,1,0),0)</f>
        <v>0</v>
      </c>
      <c r="R134" s="1057">
        <f>IF(R109=4,IF(R122=1,1,0),0)</f>
        <v>0</v>
      </c>
      <c r="T134" s="1060">
        <f>IF(T109=4,IF(T122=1,1,0),0)</f>
        <v>0</v>
      </c>
      <c r="U134" s="1057">
        <f>IF(U109=4,IF(U122=1,1,0),0)</f>
        <v>0</v>
      </c>
      <c r="W134" s="1060">
        <f>IF(W109=4,IF(W122=1,1,0),0)</f>
        <v>0</v>
      </c>
      <c r="X134" s="1057">
        <f>IF(X109=4,IF(X122=1,1,0),0)</f>
        <v>0</v>
      </c>
      <c r="Z134" s="1060">
        <f>IF(Z109=4,IF(Z122=1,1,0),0)</f>
        <v>0</v>
      </c>
      <c r="AA134" s="1057">
        <f>IF(AA109=4,IF(AA122=1,1,0),0)</f>
        <v>0</v>
      </c>
      <c r="AC134" s="1060">
        <f>IF(AC109=4,IF(AC122=1,1,0),0)</f>
        <v>0</v>
      </c>
      <c r="AD134" s="1057">
        <f>IF(AD109=4,IF(AD122=1,1,0),0)</f>
        <v>0</v>
      </c>
      <c r="AF134" s="1060">
        <f>IF(AF109=4,IF(AF122=1,1,0),0)</f>
        <v>0</v>
      </c>
      <c r="AG134" s="1057">
        <f>SUM(B134:AF134)</f>
        <v>0</v>
      </c>
      <c r="AH134" s="1057">
        <f>AG140-AG134</f>
        <v>0</v>
      </c>
    </row>
    <row r="135" spans="1:38" s="1057" customFormat="1" ht="12.75" hidden="1" customHeight="1" x14ac:dyDescent="0.2">
      <c r="A135" s="1057" t="s">
        <v>99</v>
      </c>
      <c r="B135" s="1057">
        <f>IF(B109=5,IF(B122=1,1,0),0)</f>
        <v>0</v>
      </c>
      <c r="D135" s="1060">
        <f>IF(D109=5,IF(D122=1,1,0),0)</f>
        <v>0</v>
      </c>
      <c r="E135" s="1057">
        <f>IF(E109=5,IF(E122=1,1,0),0)</f>
        <v>0</v>
      </c>
      <c r="G135" s="1060">
        <f>IF(G109=5,IF(G122=1,1,0),0)</f>
        <v>0</v>
      </c>
      <c r="H135" s="1057">
        <f>IF(H109=5,IF(H122=1,1,0),0)</f>
        <v>0</v>
      </c>
      <c r="J135" s="1060">
        <f>IF(J109=5,IF(J122=1,1,0),0)</f>
        <v>0</v>
      </c>
      <c r="K135" s="1060"/>
      <c r="L135" s="1057">
        <f>IF(L109=5,IF(L122=1,1,0),0)</f>
        <v>0</v>
      </c>
      <c r="N135" s="1060">
        <f>IF(N109=5,IF(N122=1,1,0),0)</f>
        <v>0</v>
      </c>
      <c r="O135" s="1057">
        <f>IF(O109=5,IF(O122=1,1,0),0)</f>
        <v>0</v>
      </c>
      <c r="Q135" s="1060">
        <f>IF(Q109=5,IF(Q122=1,1,0),0)</f>
        <v>0</v>
      </c>
      <c r="R135" s="1057">
        <f>IF(R109=5,IF(R122=1,1,0),0)</f>
        <v>0</v>
      </c>
      <c r="T135" s="1060">
        <f>IF(T109=5,IF(T122=1,1,0),0)</f>
        <v>0</v>
      </c>
      <c r="U135" s="1057">
        <f>IF(U109=5,IF(U122=1,1,0),0)</f>
        <v>0</v>
      </c>
      <c r="W135" s="1060">
        <f>IF(W109=5,IF(W122=1,1,0),0)</f>
        <v>0</v>
      </c>
      <c r="X135" s="1057">
        <f>IF(X109=5,IF(X122=1,1,0),0)</f>
        <v>0</v>
      </c>
      <c r="Z135" s="1060">
        <f>IF(Z109=5,IF(Z122=1,1,0),0)</f>
        <v>0</v>
      </c>
      <c r="AA135" s="1057">
        <f>IF(AA109=5,IF(AA122=1,1,0),0)</f>
        <v>0</v>
      </c>
      <c r="AC135" s="1060">
        <f>IF(AC109=5,IF(AC122=1,1,0),0)</f>
        <v>0</v>
      </c>
      <c r="AD135" s="1057">
        <f>IF(AD109=5,IF(AD122=1,1,0),0)</f>
        <v>0</v>
      </c>
      <c r="AF135" s="1060">
        <f>IF(AF109=5,IF(AF122=1,1,0),0)</f>
        <v>0</v>
      </c>
      <c r="AG135" s="1057">
        <f>SUM(B135:AF135)</f>
        <v>0</v>
      </c>
      <c r="AH135" s="1057">
        <f>AG141-AG135</f>
        <v>0</v>
      </c>
    </row>
    <row r="136" spans="1:38" s="1057" customFormat="1" ht="38.25" hidden="1" customHeight="1" x14ac:dyDescent="0.2">
      <c r="A136" s="1061"/>
      <c r="D136" s="1060"/>
      <c r="G136" s="1060"/>
      <c r="J136" s="1060"/>
      <c r="K136" s="1060"/>
      <c r="N136" s="1060"/>
      <c r="Q136" s="1060"/>
      <c r="T136" s="1060"/>
      <c r="W136" s="1060"/>
      <c r="Z136" s="1060"/>
      <c r="AC136" s="1060"/>
      <c r="AF136" s="1060"/>
      <c r="AG136" s="1061" t="s">
        <v>100</v>
      </c>
    </row>
    <row r="137" spans="1:38" s="1057" customFormat="1" ht="12.75" hidden="1" customHeight="1" x14ac:dyDescent="0.2">
      <c r="A137" s="1057" t="s">
        <v>101</v>
      </c>
      <c r="B137" s="1057">
        <f>IF(B109=1,IF(C122=1,1,0),0)</f>
        <v>1</v>
      </c>
      <c r="D137" s="1060">
        <f>IF(D109=1,IF(C122=1,1,0),0)</f>
        <v>0</v>
      </c>
      <c r="E137" s="1057">
        <f>IF(E109=1,IF(F122=1,1,0),0)</f>
        <v>0</v>
      </c>
      <c r="G137" s="1060">
        <f>IF(G109=1,IF(F122=1,1,0),0)</f>
        <v>0</v>
      </c>
      <c r="H137" s="1057">
        <f>IF(H109=1,IF(I122=1,1,0),0)</f>
        <v>1</v>
      </c>
      <c r="J137" s="1060">
        <f>IF(J109=1,IF(I122=1,1,0),0)</f>
        <v>0</v>
      </c>
      <c r="K137" s="1060"/>
      <c r="L137" s="1057">
        <f>IF(L109=1,IF(M122=1,1,0),0)</f>
        <v>1</v>
      </c>
      <c r="N137" s="1060">
        <f>IF(N109=1,IF(M122=1,1,0),0)</f>
        <v>0</v>
      </c>
      <c r="O137" s="1057">
        <f>IF(O109=1,IF(P122=1,1,0),0)</f>
        <v>0</v>
      </c>
      <c r="Q137" s="1060">
        <f>IF(Q109=1,IF(P122=1,1,0),0)</f>
        <v>0</v>
      </c>
      <c r="R137" s="1057">
        <f>IF(R109=1,IF(S122=1,1,0),0)</f>
        <v>1</v>
      </c>
      <c r="T137" s="1060">
        <f>IF(T109=1,IF(S122=1,1,0),0)</f>
        <v>0</v>
      </c>
      <c r="U137" s="1057">
        <f>IF(U109=1,IF(V122=1,1,0),0)</f>
        <v>0</v>
      </c>
      <c r="W137" s="1060">
        <f>IF(W109=1,IF(V122=1,1,0),0)</f>
        <v>0</v>
      </c>
      <c r="X137" s="1057">
        <f>IF(X109=1,IF(Y122=1,1,0),0)</f>
        <v>0</v>
      </c>
      <c r="Z137" s="1060">
        <f>IF(Z109=1,IF(Y122=1,1,0),0)</f>
        <v>0</v>
      </c>
      <c r="AA137" s="1057">
        <f>IF(AA109=1,IF(AB122=1,1,0),0)</f>
        <v>0</v>
      </c>
      <c r="AC137" s="1060">
        <f>IF(AC109=1,IF(AB122=1,1,0),0)</f>
        <v>0</v>
      </c>
      <c r="AD137" s="1057">
        <f>IF(AD109=1,IF(AE122=1,1,0),0)</f>
        <v>0</v>
      </c>
      <c r="AF137" s="1060">
        <f>IF(AF109=1,IF(AE122=1,1,0),0)</f>
        <v>0</v>
      </c>
      <c r="AG137" s="1057">
        <f>SUM(B137:AF137)</f>
        <v>4</v>
      </c>
    </row>
    <row r="138" spans="1:38" s="1057" customFormat="1" ht="12.75" hidden="1" customHeight="1" x14ac:dyDescent="0.2">
      <c r="A138" s="1057" t="s">
        <v>102</v>
      </c>
      <c r="B138" s="1057">
        <f>IF(B109=2,IF(C122=1,1,0),0)</f>
        <v>0</v>
      </c>
      <c r="D138" s="1060">
        <f>IF(D109=2,IF(C122=1,1,0),0)</f>
        <v>0</v>
      </c>
      <c r="E138" s="1057">
        <f>IF(E109=2,IF(F122=1,1,0),0)</f>
        <v>1</v>
      </c>
      <c r="G138" s="1060">
        <f>IF(G109=2,IF(F122=1,1,0),0)</f>
        <v>0</v>
      </c>
      <c r="H138" s="1057">
        <f>IF(H109=2,IF(I122=1,1,0),0)</f>
        <v>0</v>
      </c>
      <c r="J138" s="1060">
        <f>IF(J109=2,IF(I122=1,1,0),0)</f>
        <v>1</v>
      </c>
      <c r="K138" s="1060"/>
      <c r="L138" s="1057">
        <f>IF(L109=2,IF(M122=1,1,0),0)</f>
        <v>0</v>
      </c>
      <c r="N138" s="1060">
        <f>IF(N109=2,IF(M122=1,1,0),0)</f>
        <v>0</v>
      </c>
      <c r="O138" s="1057">
        <f>IF(O109=2,IF(P122=1,1,0),0)</f>
        <v>1</v>
      </c>
      <c r="Q138" s="1060">
        <f>IF(Q109=2,IF(P122=1,1,0),0)</f>
        <v>0</v>
      </c>
      <c r="R138" s="1057">
        <f>IF(R109=2,IF(S122=1,1,0),0)</f>
        <v>0</v>
      </c>
      <c r="T138" s="1060">
        <f>IF(T109=2,IF(S122=1,1,0),0)</f>
        <v>1</v>
      </c>
      <c r="U138" s="1057">
        <f>IF(U109=2,IF(V122=1,1,0),0)</f>
        <v>0</v>
      </c>
      <c r="W138" s="1060">
        <f>IF(W109=2,IF(V122=1,1,0),0)</f>
        <v>0</v>
      </c>
      <c r="X138" s="1057">
        <f>IF(X109=2,IF(Y122=1,1,0),0)</f>
        <v>0</v>
      </c>
      <c r="Z138" s="1060">
        <f>IF(Z109=2,IF(Y122=1,1,0),0)</f>
        <v>0</v>
      </c>
      <c r="AA138" s="1057">
        <f>IF(AA109=2,IF(AB122=1,1,0),0)</f>
        <v>0</v>
      </c>
      <c r="AC138" s="1060">
        <f>IF(AC109=2,IF(AB122=1,1,0),0)</f>
        <v>0</v>
      </c>
      <c r="AD138" s="1057">
        <f>IF(AD109=2,IF(AE122=1,1,0),0)</f>
        <v>0</v>
      </c>
      <c r="AF138" s="1060">
        <f>IF(AF109=2,IF(AE122=1,1,0),0)</f>
        <v>0</v>
      </c>
      <c r="AG138" s="1057">
        <f>SUM(B138:AF138)</f>
        <v>4</v>
      </c>
    </row>
    <row r="139" spans="1:38" s="1057" customFormat="1" ht="12.75" hidden="1" customHeight="1" x14ac:dyDescent="0.2">
      <c r="A139" s="1057" t="s">
        <v>103</v>
      </c>
      <c r="B139" s="1057">
        <f>IF(B109=3,IF(C122=1,1,0),0)</f>
        <v>0</v>
      </c>
      <c r="D139" s="1060">
        <f>IF(D109=3,IF(C122=1,1,0),0)</f>
        <v>1</v>
      </c>
      <c r="E139" s="1057">
        <f>IF(E109=3,IF(F122=1,1,0),0)</f>
        <v>0</v>
      </c>
      <c r="G139" s="1060">
        <f>IF(G109=3,IF(F122=1,1,0),0)</f>
        <v>1</v>
      </c>
      <c r="H139" s="1057">
        <f>IF(H109=3,IF(I122=1,1,0),0)</f>
        <v>0</v>
      </c>
      <c r="J139" s="1060">
        <f>IF(J109=3,IF(I122=1,1,0),0)</f>
        <v>0</v>
      </c>
      <c r="K139" s="1060"/>
      <c r="L139" s="1057">
        <f>IF(L109=3,IF(M122=1,1,0),0)</f>
        <v>0</v>
      </c>
      <c r="N139" s="1060">
        <f>IF(N109=3,IF(M122=1,1,0),0)</f>
        <v>1</v>
      </c>
      <c r="O139" s="1057">
        <f>IF(O109=3,IF(P122=1,1,0),0)</f>
        <v>0</v>
      </c>
      <c r="Q139" s="1060">
        <f>IF(Q109=3,IF(P122=1,1,0),0)</f>
        <v>1</v>
      </c>
      <c r="R139" s="1057">
        <f>IF(R109=3,IF(S122=1,1,0),0)</f>
        <v>0</v>
      </c>
      <c r="T139" s="1060">
        <f>IF(T109=3,IF(S122=1,1,0),0)</f>
        <v>0</v>
      </c>
      <c r="U139" s="1057">
        <f>IF(U109=3,IF(V122=1,1,0),0)</f>
        <v>0</v>
      </c>
      <c r="W139" s="1060">
        <f>IF(W109=3,IF(V122=1,1,0),0)</f>
        <v>0</v>
      </c>
      <c r="X139" s="1057">
        <f>IF(X109=3,IF(Y122=1,1,0),0)</f>
        <v>0</v>
      </c>
      <c r="Z139" s="1060">
        <f>IF(Z109=3,IF(Y122=1,1,0),0)</f>
        <v>0</v>
      </c>
      <c r="AA139" s="1057">
        <f>IF(AA109=3,IF(AB122=1,1,0),0)</f>
        <v>0</v>
      </c>
      <c r="AC139" s="1060">
        <f>IF(AC109=3,IF(AB122=1,1,0),0)</f>
        <v>0</v>
      </c>
      <c r="AD139" s="1057">
        <f>IF(AD109=3,IF(AE122=1,1,0),0)</f>
        <v>0</v>
      </c>
      <c r="AF139" s="1060">
        <f>IF(AF109=3,IF(AE122=1,1,0),0)</f>
        <v>0</v>
      </c>
      <c r="AG139" s="1057">
        <f>SUM(B139:AF139)</f>
        <v>4</v>
      </c>
    </row>
    <row r="140" spans="1:38" s="1057" customFormat="1" ht="12.75" hidden="1" customHeight="1" x14ac:dyDescent="0.2">
      <c r="A140" s="1057" t="s">
        <v>104</v>
      </c>
      <c r="B140" s="1057">
        <f>IF(B109=4,IF(C122=1,1,0),0)</f>
        <v>0</v>
      </c>
      <c r="D140" s="1060">
        <f>IF(D109=4,IF(C122=1,1,0),0)</f>
        <v>0</v>
      </c>
      <c r="E140" s="1057">
        <f>IF(E109=4,IF(F122=1,1,0),0)</f>
        <v>0</v>
      </c>
      <c r="G140" s="1060">
        <f>IF(G109=4,IF(F122=1,1,0),0)</f>
        <v>0</v>
      </c>
      <c r="H140" s="1057">
        <f>IF(H109=4,IF(I122=1,1,0),0)</f>
        <v>0</v>
      </c>
      <c r="J140" s="1060">
        <f>IF(J109=4,IF(I122=1,1,0),0)</f>
        <v>0</v>
      </c>
      <c r="K140" s="1060"/>
      <c r="L140" s="1057">
        <f>IF(L109=4,IF(M122=1,1,0),0)</f>
        <v>0</v>
      </c>
      <c r="N140" s="1060">
        <f>IF(N109=4,IF(M122=1,1,0),0)</f>
        <v>0</v>
      </c>
      <c r="O140" s="1057">
        <f>IF(O109=4,IF(P122=1,1,0),0)</f>
        <v>0</v>
      </c>
      <c r="Q140" s="1060">
        <f>IF(Q109=4,IF(P122=1,1,0),0)</f>
        <v>0</v>
      </c>
      <c r="R140" s="1057">
        <f>IF(R109=4,IF(S122=1,1,0),0)</f>
        <v>0</v>
      </c>
      <c r="T140" s="1060">
        <f>IF(T109=4,IF(S122=1,1,0),0)</f>
        <v>0</v>
      </c>
      <c r="U140" s="1057">
        <f>IF(U109=4,IF(V122=1,1,0),0)</f>
        <v>0</v>
      </c>
      <c r="W140" s="1060">
        <f>IF(W109=4,IF(V122=1,1,0),0)</f>
        <v>0</v>
      </c>
      <c r="X140" s="1057">
        <f>IF(X109=4,IF(Y122=1,1,0),0)</f>
        <v>0</v>
      </c>
      <c r="Z140" s="1060">
        <f>IF(Z109=4,IF(Y122=1,1,0),0)</f>
        <v>0</v>
      </c>
      <c r="AA140" s="1057">
        <f>IF(AA109=4,IF(AB122=1,1,0),0)</f>
        <v>0</v>
      </c>
      <c r="AC140" s="1060">
        <f>IF(AC109=4,IF(AB122=1,1,0),0)</f>
        <v>0</v>
      </c>
      <c r="AD140" s="1057">
        <f>IF(AD109=4,IF(AE122=1,1,0),0)</f>
        <v>0</v>
      </c>
      <c r="AF140" s="1060">
        <f>IF(AF109=4,IF(AE122=1,1,0),0)</f>
        <v>0</v>
      </c>
      <c r="AG140" s="1057">
        <f>SUM(B140:AF140)</f>
        <v>0</v>
      </c>
    </row>
    <row r="141" spans="1:38" s="1057" customFormat="1" ht="12.75" hidden="1" customHeight="1" x14ac:dyDescent="0.2">
      <c r="A141" s="1057" t="s">
        <v>105</v>
      </c>
      <c r="B141" s="1057">
        <f>IF(B109=5,IF(C122=1,1,0),0)</f>
        <v>0</v>
      </c>
      <c r="D141" s="1060">
        <f>IF(D109=5,IF(C122=1,1,0),0)</f>
        <v>0</v>
      </c>
      <c r="E141" s="1057">
        <f>IF(E109=5,IF(F122=1,1,0),0)</f>
        <v>0</v>
      </c>
      <c r="G141" s="1060">
        <f>IF(G109=5,IF(F122=1,1,0),0)</f>
        <v>0</v>
      </c>
      <c r="H141" s="1057">
        <f>IF(H109=5,IF(I122=1,1,0),0)</f>
        <v>0</v>
      </c>
      <c r="J141" s="1060">
        <f>IF(J109=5,IF(I122=1,1,0),0)</f>
        <v>0</v>
      </c>
      <c r="K141" s="1060"/>
      <c r="L141" s="1057">
        <f>IF(L109=5,IF(M122=1,1,0),0)</f>
        <v>0</v>
      </c>
      <c r="N141" s="1060">
        <f>IF(N109=5,IF(M122=1,1,0),0)</f>
        <v>0</v>
      </c>
      <c r="O141" s="1057">
        <f>IF(O109=5,IF(P122=1,1,0),0)</f>
        <v>0</v>
      </c>
      <c r="Q141" s="1060">
        <f>IF(Q109=5,IF(P122=1,1,0),0)</f>
        <v>0</v>
      </c>
      <c r="R141" s="1057">
        <f>IF(R109=5,IF(S122=1,1,0),0)</f>
        <v>0</v>
      </c>
      <c r="T141" s="1060">
        <f>IF(T109=5,IF(S122=1,1,0),0)</f>
        <v>0</v>
      </c>
      <c r="U141" s="1057">
        <f>IF(U109=5,IF(V122=1,1,0),0)</f>
        <v>0</v>
      </c>
      <c r="W141" s="1060">
        <f>IF(W109=5,IF(V122=1,1,0),0)</f>
        <v>0</v>
      </c>
      <c r="X141" s="1057">
        <f>IF(X109=5,IF(Y122=1,1,0),0)</f>
        <v>0</v>
      </c>
      <c r="Z141" s="1060">
        <f>IF(Z109=5,IF(Y122=1,1,0),0)</f>
        <v>0</v>
      </c>
      <c r="AA141" s="1057">
        <f>IF(AA109=5,IF(AB122=1,1,0),0)</f>
        <v>0</v>
      </c>
      <c r="AC141" s="1060">
        <f>IF(AC109=5,IF(AB122=1,1,0),0)</f>
        <v>0</v>
      </c>
      <c r="AD141" s="1057">
        <f>IF(AD109=5,IF(AE122=1,1,0),0)</f>
        <v>0</v>
      </c>
      <c r="AF141" s="1060">
        <f>IF(AF109=5,IF(AE122=1,1,0),0)</f>
        <v>0</v>
      </c>
      <c r="AG141" s="1057">
        <f>SUM(B141:AF141)</f>
        <v>0</v>
      </c>
    </row>
    <row r="142" spans="1:38" s="1057" customFormat="1" ht="38.25" hidden="1" customHeight="1" x14ac:dyDescent="0.2">
      <c r="A142" s="1061"/>
      <c r="D142" s="1060"/>
      <c r="G142" s="1060"/>
      <c r="J142" s="1060"/>
      <c r="K142" s="1060"/>
      <c r="N142" s="1060"/>
      <c r="Q142" s="1060"/>
      <c r="T142" s="1060"/>
      <c r="W142" s="1060"/>
      <c r="Z142" s="1060"/>
      <c r="AC142" s="1060"/>
      <c r="AF142" s="1060"/>
      <c r="AG142" s="1061" t="s">
        <v>106</v>
      </c>
      <c r="AH142" s="1062"/>
      <c r="AI142" s="1062"/>
      <c r="AJ142" s="1062"/>
      <c r="AK142" s="1062"/>
      <c r="AL142" s="1062"/>
    </row>
    <row r="143" spans="1:38" s="1057" customFormat="1" ht="12.75" hidden="1" customHeight="1" x14ac:dyDescent="0.2">
      <c r="A143" s="1057" t="s">
        <v>101</v>
      </c>
      <c r="B143" s="1057">
        <f>IF(B109=1,B129,0)</f>
        <v>35</v>
      </c>
      <c r="D143" s="1060">
        <f>IF(D109=1,B129,0)</f>
        <v>0</v>
      </c>
      <c r="E143" s="1057">
        <f>IF(E109=1,E129,0)</f>
        <v>0</v>
      </c>
      <c r="G143" s="1060">
        <f>IF(G109=1,E129,0)</f>
        <v>0</v>
      </c>
      <c r="H143" s="1057">
        <f>IF(H109=1,H129,0)</f>
        <v>30</v>
      </c>
      <c r="J143" s="1060">
        <f>IF(J109=1,H129,0)</f>
        <v>0</v>
      </c>
      <c r="K143" s="1060"/>
      <c r="L143" s="1057">
        <f>IF(L109=1,L129,0)</f>
        <v>32</v>
      </c>
      <c r="N143" s="1060">
        <f>IF(N109=1,L129,0)</f>
        <v>0</v>
      </c>
      <c r="O143" s="1057">
        <f>IF(O109=1,O129,0)</f>
        <v>0</v>
      </c>
      <c r="Q143" s="1060">
        <f>IF(Q109=1,O129,0)</f>
        <v>0</v>
      </c>
      <c r="R143" s="1057">
        <f>IF(R109=1,R129,0)</f>
        <v>30</v>
      </c>
      <c r="T143" s="1060">
        <f>IF(T109=1,R129,0)</f>
        <v>0</v>
      </c>
      <c r="U143" s="1057">
        <f>IF(U109=1,U129,0)</f>
        <v>0</v>
      </c>
      <c r="W143" s="1060">
        <f>IF(W109=1,U129,0)</f>
        <v>0</v>
      </c>
      <c r="X143" s="1057">
        <f>IF(X109=1,X129,0)</f>
        <v>0</v>
      </c>
      <c r="Z143" s="1060">
        <f>IF(Z109=1,X129,0)</f>
        <v>0</v>
      </c>
      <c r="AA143" s="1057">
        <f>IF(AA109=1,AA129,0)</f>
        <v>0</v>
      </c>
      <c r="AC143" s="1060">
        <f>IF(AC109=1,AA129,0)</f>
        <v>0</v>
      </c>
      <c r="AD143" s="1057">
        <f>IF(AD109=1,AD129,0)</f>
        <v>0</v>
      </c>
      <c r="AF143" s="1060">
        <f>IF(AF109=1,AD129,0)</f>
        <v>0</v>
      </c>
      <c r="AG143" s="1057">
        <f>SUM(B143:AF143)</f>
        <v>127</v>
      </c>
    </row>
    <row r="144" spans="1:38" s="1057" customFormat="1" ht="12.75" hidden="1" customHeight="1" x14ac:dyDescent="0.2">
      <c r="A144" s="1057" t="s">
        <v>102</v>
      </c>
      <c r="B144" s="1057">
        <f>IF(B109=2,B129,0)</f>
        <v>0</v>
      </c>
      <c r="D144" s="1060">
        <f>IF(D109=2,B129,0)</f>
        <v>0</v>
      </c>
      <c r="E144" s="1057">
        <f>IF(E109=2,E129,0)</f>
        <v>33</v>
      </c>
      <c r="G144" s="1060">
        <f>IF(G109=2,E129,0)</f>
        <v>0</v>
      </c>
      <c r="H144" s="1057">
        <f>IF(H109=2,H129,0)</f>
        <v>0</v>
      </c>
      <c r="J144" s="1060">
        <f>IF(J109=2,H129,0)</f>
        <v>30</v>
      </c>
      <c r="K144" s="1060"/>
      <c r="L144" s="1057">
        <f>IF(L109=2,L129,0)</f>
        <v>0</v>
      </c>
      <c r="N144" s="1060">
        <f>IF(N109=2,L129,0)</f>
        <v>0</v>
      </c>
      <c r="O144" s="1057">
        <f>IF(O109=2,O129,0)</f>
        <v>27</v>
      </c>
      <c r="Q144" s="1060">
        <f>IF(Q109=2,O129,0)</f>
        <v>0</v>
      </c>
      <c r="R144" s="1057">
        <f>IF(R109=2,R129,0)</f>
        <v>0</v>
      </c>
      <c r="T144" s="1060">
        <f>IF(T109=2,R129,0)</f>
        <v>30</v>
      </c>
      <c r="U144" s="1057">
        <f>IF(U109=2,U129,0)</f>
        <v>0</v>
      </c>
      <c r="W144" s="1060">
        <f>IF(W109=2,U129,0)</f>
        <v>0</v>
      </c>
      <c r="X144" s="1057">
        <f>IF(X109=2,X129,0)</f>
        <v>0</v>
      </c>
      <c r="Z144" s="1060">
        <f>IF(Z109=2,X129,0)</f>
        <v>0</v>
      </c>
      <c r="AA144" s="1057">
        <f>IF(AA109=2,AA129,0)</f>
        <v>0</v>
      </c>
      <c r="AC144" s="1060">
        <f>IF(AC109=2,AA129,0)</f>
        <v>0</v>
      </c>
      <c r="AD144" s="1057">
        <f>IF(AD109=2,AD129,0)</f>
        <v>0</v>
      </c>
      <c r="AF144" s="1060">
        <f>IF(AF109=2,AD129,0)</f>
        <v>0</v>
      </c>
      <c r="AG144" s="1057">
        <f>SUM(B144:AF144)</f>
        <v>120</v>
      </c>
    </row>
    <row r="145" spans="1:34" s="1057" customFormat="1" ht="12.75" hidden="1" customHeight="1" x14ac:dyDescent="0.2">
      <c r="A145" s="1057" t="s">
        <v>103</v>
      </c>
      <c r="B145" s="1057">
        <f>IF(B109=3,B129,0)</f>
        <v>0</v>
      </c>
      <c r="D145" s="1060">
        <f>IF(D109=3,B129,0)</f>
        <v>35</v>
      </c>
      <c r="E145" s="1057">
        <f>IF(E109=3,E129,0)</f>
        <v>0</v>
      </c>
      <c r="G145" s="1060">
        <f>IF(G109=3,E129,0)</f>
        <v>33</v>
      </c>
      <c r="H145" s="1057">
        <f>IF(H109=3,H129,0)</f>
        <v>0</v>
      </c>
      <c r="J145" s="1060">
        <f>IF(J109=3,H129,0)</f>
        <v>0</v>
      </c>
      <c r="K145" s="1060"/>
      <c r="L145" s="1057">
        <f>IF(L109=3,L129,0)</f>
        <v>0</v>
      </c>
      <c r="N145" s="1060">
        <f>IF(N109=3,L129,0)</f>
        <v>32</v>
      </c>
      <c r="O145" s="1057">
        <f>IF(O109=3,O129,0)</f>
        <v>0</v>
      </c>
      <c r="Q145" s="1060">
        <f>IF(Q109=3,O129,0)</f>
        <v>27</v>
      </c>
      <c r="R145" s="1057">
        <f>IF(R109=3,R129,0)</f>
        <v>0</v>
      </c>
      <c r="T145" s="1060">
        <f>IF(T109=3,R129,0)</f>
        <v>0</v>
      </c>
      <c r="U145" s="1057">
        <f>IF(U109=3,U129,0)</f>
        <v>0</v>
      </c>
      <c r="W145" s="1060">
        <f>IF(W109=3,U129,0)</f>
        <v>0</v>
      </c>
      <c r="X145" s="1057">
        <f>IF(X109=3,X129,0)</f>
        <v>0</v>
      </c>
      <c r="Z145" s="1060">
        <f>IF(Z109=3,X129,0)</f>
        <v>0</v>
      </c>
      <c r="AA145" s="1057">
        <f>IF(AA109=3,AA129,0)</f>
        <v>0</v>
      </c>
      <c r="AC145" s="1060">
        <f>IF(AC109=3,AA129,0)</f>
        <v>0</v>
      </c>
      <c r="AD145" s="1057">
        <f>IF(AD109=3,AD129,0)</f>
        <v>0</v>
      </c>
      <c r="AF145" s="1060">
        <f>IF(AF109=3,AD129,0)</f>
        <v>0</v>
      </c>
      <c r="AG145" s="1057">
        <f>SUM(B145:AF145)</f>
        <v>127</v>
      </c>
    </row>
    <row r="146" spans="1:34" s="1057" customFormat="1" ht="12.75" hidden="1" customHeight="1" x14ac:dyDescent="0.2">
      <c r="A146" s="1057" t="s">
        <v>104</v>
      </c>
      <c r="B146" s="1057">
        <f>IF(B109=4,B129,0)</f>
        <v>0</v>
      </c>
      <c r="D146" s="1060">
        <f>IF(D109=4,B129,0)</f>
        <v>0</v>
      </c>
      <c r="E146" s="1057">
        <f>IF(E109=4,E129,0)</f>
        <v>0</v>
      </c>
      <c r="G146" s="1060">
        <f>IF(G109=4,E129,0)</f>
        <v>0</v>
      </c>
      <c r="H146" s="1057">
        <f>IF(H109=4,H129,0)</f>
        <v>0</v>
      </c>
      <c r="J146" s="1060">
        <f>IF(J109=4,H129,0)</f>
        <v>0</v>
      </c>
      <c r="K146" s="1060"/>
      <c r="L146" s="1057">
        <f>IF(L109=4,L129,0)</f>
        <v>0</v>
      </c>
      <c r="N146" s="1060">
        <f>IF(N109=4,L129,0)</f>
        <v>0</v>
      </c>
      <c r="O146" s="1057">
        <f>IF(O109=4,O129,0)</f>
        <v>0</v>
      </c>
      <c r="Q146" s="1060">
        <f>IF(Q109=4,O129,0)</f>
        <v>0</v>
      </c>
      <c r="R146" s="1057">
        <f>IF(R109=4,R129,0)</f>
        <v>0</v>
      </c>
      <c r="T146" s="1060">
        <f>IF(T109=4,R129,0)</f>
        <v>0</v>
      </c>
      <c r="U146" s="1057">
        <f>IF(U109=4,U129,0)</f>
        <v>0</v>
      </c>
      <c r="W146" s="1060">
        <f>IF(W109=4,U129,0)</f>
        <v>0</v>
      </c>
      <c r="X146" s="1057">
        <f>IF(X109=4,X129,0)</f>
        <v>0</v>
      </c>
      <c r="Z146" s="1060">
        <f>IF(Z109=4,X129,0)</f>
        <v>0</v>
      </c>
      <c r="AA146" s="1057">
        <f>IF(AA109=4,AA129,0)</f>
        <v>0</v>
      </c>
      <c r="AC146" s="1060">
        <f>IF(AC109=4,AA129,0)</f>
        <v>0</v>
      </c>
      <c r="AD146" s="1057">
        <f>IF(AD109=4,AD129,0)</f>
        <v>0</v>
      </c>
      <c r="AF146" s="1060">
        <f>IF(AF109=4,AD129,0)</f>
        <v>0</v>
      </c>
      <c r="AG146" s="1057">
        <f>SUM(B146:AF146)</f>
        <v>0</v>
      </c>
    </row>
    <row r="147" spans="1:34" s="1057" customFormat="1" ht="12.75" hidden="1" customHeight="1" x14ac:dyDescent="0.2">
      <c r="A147" s="1057" t="s">
        <v>105</v>
      </c>
      <c r="B147" s="1057">
        <f>IF(B109=5,B129,0)</f>
        <v>0</v>
      </c>
      <c r="D147" s="1060">
        <f>IF(D109=5,B129,0)</f>
        <v>0</v>
      </c>
      <c r="E147" s="1057">
        <f>IF(E109=5,E129,0)</f>
        <v>0</v>
      </c>
      <c r="G147" s="1060">
        <f>IF(G109=5,E129,0)</f>
        <v>0</v>
      </c>
      <c r="H147" s="1057">
        <f>IF(H109=5,H129,0)</f>
        <v>0</v>
      </c>
      <c r="J147" s="1060">
        <f>IF(J109=5,H129,0)</f>
        <v>0</v>
      </c>
      <c r="K147" s="1060"/>
      <c r="L147" s="1057">
        <f>IF(L109=5,L129,0)</f>
        <v>0</v>
      </c>
      <c r="N147" s="1060">
        <f>IF(N109=5,L129,0)</f>
        <v>0</v>
      </c>
      <c r="O147" s="1057">
        <f>IF(O109=5,O129,0)</f>
        <v>0</v>
      </c>
      <c r="Q147" s="1060">
        <f>IF(Q109=5,O129,0)</f>
        <v>0</v>
      </c>
      <c r="R147" s="1057">
        <f>IF(R109=5,R129,0)</f>
        <v>0</v>
      </c>
      <c r="T147" s="1060">
        <f>IF(T109=5,R129,0)</f>
        <v>0</v>
      </c>
      <c r="U147" s="1057">
        <f>IF(U109=5,U129,0)</f>
        <v>0</v>
      </c>
      <c r="W147" s="1060">
        <f>IF(W109=5,U129,0)</f>
        <v>0</v>
      </c>
      <c r="X147" s="1057">
        <f>IF(X109=5,X129,0)</f>
        <v>0</v>
      </c>
      <c r="Z147" s="1060">
        <f>IF(Z109=5,X129,0)</f>
        <v>0</v>
      </c>
      <c r="AA147" s="1057">
        <f>IF(AA109=5,AA129,0)</f>
        <v>0</v>
      </c>
      <c r="AC147" s="1060">
        <f>IF(AC109=5,AA129,0)</f>
        <v>0</v>
      </c>
      <c r="AD147" s="1057">
        <f>IF(AD109=5,AD129,0)</f>
        <v>0</v>
      </c>
      <c r="AF147" s="1060">
        <f>IF(AF109=5,AD129,0)</f>
        <v>0</v>
      </c>
      <c r="AG147" s="1057">
        <f>SUM(B147:AF147)</f>
        <v>0</v>
      </c>
    </row>
    <row r="148" spans="1:34" s="1057" customFormat="1" ht="38.25" hidden="1" customHeight="1" x14ac:dyDescent="0.2">
      <c r="A148" s="1057" t="s">
        <v>107</v>
      </c>
      <c r="D148" s="1060"/>
      <c r="G148" s="1060"/>
      <c r="J148" s="1060"/>
      <c r="K148" s="1060"/>
      <c r="N148" s="1060"/>
      <c r="Q148" s="1060"/>
      <c r="T148" s="1060"/>
      <c r="W148" s="1060"/>
      <c r="Z148" s="1060"/>
      <c r="AC148" s="1060"/>
      <c r="AF148" s="1060"/>
      <c r="AG148" s="1061" t="s">
        <v>108</v>
      </c>
      <c r="AH148" s="1057" t="s">
        <v>109</v>
      </c>
    </row>
    <row r="149" spans="1:34" s="1057" customFormat="1" ht="12.75" hidden="1" customHeight="1" x14ac:dyDescent="0.2">
      <c r="A149" s="1057" t="s">
        <v>95</v>
      </c>
      <c r="B149" s="1057">
        <f>IF(B109=1,SUMIF(B116:B120,"&gt;0"),0)</f>
        <v>1</v>
      </c>
      <c r="D149" s="1060">
        <f>IF(D109=1,SUMIF(D116:D120,"&gt;0"),0)</f>
        <v>0</v>
      </c>
      <c r="E149" s="1057">
        <f>IF(E109=1,SUMIF(E116:E120,"&gt;0"),0)</f>
        <v>0</v>
      </c>
      <c r="G149" s="1060">
        <f>IF(G109=1,SUMIF(G116:G120,"&gt;0"),0)</f>
        <v>0</v>
      </c>
      <c r="H149" s="1057">
        <f>IF(H109=1,SUMIF(H116:H120,"&gt;0"),0)</f>
        <v>1</v>
      </c>
      <c r="J149" s="1060">
        <f>IF(J109=1,SUMIF(J116:J120,"&gt;0"),0)</f>
        <v>0</v>
      </c>
      <c r="K149" s="1060"/>
      <c r="L149" s="1057">
        <f>IF(L109=1,SUMIF(L116:L120,"&gt;0"),0)</f>
        <v>1</v>
      </c>
      <c r="N149" s="1060">
        <f>IF(N109=1,SUMIF(N116:N120,"&gt;0"),0)</f>
        <v>0</v>
      </c>
      <c r="O149" s="1057">
        <f>IF(O109=1,SUMIF(O116:O120,"&gt;0"),0)</f>
        <v>0</v>
      </c>
      <c r="Q149" s="1060">
        <f>IF(Q109=1,SUMIF(Q116:Q120,"&gt;0"),0)</f>
        <v>0</v>
      </c>
      <c r="R149" s="1057">
        <f>IF(R109=1,SUMIF(R116:R120,"&gt;0"),0)</f>
        <v>1</v>
      </c>
      <c r="T149" s="1060">
        <f>IF(T109=1,SUMIF(T116:T120,"&gt;0"),0)</f>
        <v>0</v>
      </c>
      <c r="U149" s="1057">
        <f>IF(U109=1,SUMIF(U116:U120,"&gt;0"),0)</f>
        <v>0</v>
      </c>
      <c r="W149" s="1060">
        <f>IF(W109=1,SUMIF(W116:W120,"&gt;0"),0)</f>
        <v>0</v>
      </c>
      <c r="X149" s="1057">
        <f>IF(X109=1,SUMIF(X116:X120,"&gt;0"),0)</f>
        <v>0</v>
      </c>
      <c r="Z149" s="1060">
        <f>IF(Z109=1,SUMIF(Z116:Z120,"&gt;0"),0)</f>
        <v>0</v>
      </c>
      <c r="AA149" s="1057">
        <f>IF(AA109=1,SUMIF(AA116:AA120,"&gt;0"),0)</f>
        <v>0</v>
      </c>
      <c r="AC149" s="1060">
        <f>IF(AC109=1,SUMIF(AC116:AC120,"&gt;0"),0)</f>
        <v>0</v>
      </c>
      <c r="AD149" s="1057">
        <f>IF(AD109=1,SUMIF(AD116:AD120,"&gt;0"),0)</f>
        <v>0</v>
      </c>
      <c r="AF149" s="1060">
        <f>IF(AF109=1,SUMIF(AF116:AF120,"&gt;0"),0)</f>
        <v>0</v>
      </c>
      <c r="AG149" s="1057">
        <f>SUM(B149:AF149)</f>
        <v>4</v>
      </c>
      <c r="AH149" s="1057">
        <f>AG157-AG149</f>
        <v>0</v>
      </c>
    </row>
    <row r="150" spans="1:34" s="1057" customFormat="1" ht="12.75" hidden="1" customHeight="1" x14ac:dyDescent="0.2">
      <c r="A150" s="1057" t="s">
        <v>96</v>
      </c>
      <c r="B150" s="1057">
        <f>IF(B109=2,SUMIF(B116:B120,"&gt;0"),0)</f>
        <v>0</v>
      </c>
      <c r="D150" s="1060">
        <f>IF(D109=2,SUMIF(D116:D120,"&gt;0"),0)</f>
        <v>0</v>
      </c>
      <c r="E150" s="1057">
        <f>IF(E109=2,SUMIF(E116:E120,"&gt;0"),0)</f>
        <v>0</v>
      </c>
      <c r="G150" s="1060">
        <f>IF(G109=2,SUMIF(G116:G120,"&gt;0"),0)</f>
        <v>0</v>
      </c>
      <c r="H150" s="1057">
        <f>IF(H109=2,SUMIF(H116:H120,"&gt;0"),0)</f>
        <v>0</v>
      </c>
      <c r="J150" s="1060">
        <f>IF(J109=2,SUMIF(J116:J120,"&gt;0"),0)</f>
        <v>0</v>
      </c>
      <c r="K150" s="1060"/>
      <c r="L150" s="1057">
        <f>IF(L109=2,SUMIF(L116:L120,"&gt;0"),0)</f>
        <v>0</v>
      </c>
      <c r="N150" s="1060">
        <f>IF(N109=2,SUMIF(N116:N120,"&gt;0"),0)</f>
        <v>0</v>
      </c>
      <c r="O150" s="1057">
        <f>IF(O109=2,SUMIF(O116:O120,"&gt;0"),0)</f>
        <v>0</v>
      </c>
      <c r="Q150" s="1060">
        <f>IF(Q109=2,SUMIF(Q116:Q120,"&gt;0"),0)</f>
        <v>0</v>
      </c>
      <c r="R150" s="1057">
        <f>IF(R109=2,SUMIF(R116:R120,"&gt;0"),0)</f>
        <v>0</v>
      </c>
      <c r="T150" s="1060">
        <f>IF(T109=2,SUMIF(T116:T120,"&gt;0"),0)</f>
        <v>0</v>
      </c>
      <c r="U150" s="1057">
        <f>IF(U109=2,SUMIF(U116:U120,"&gt;0"),0)</f>
        <v>0</v>
      </c>
      <c r="W150" s="1060">
        <f>IF(W109=2,SUMIF(W116:W120,"&gt;0"),0)</f>
        <v>0</v>
      </c>
      <c r="X150" s="1057">
        <f>IF(X109=2,SUMIF(X116:X120,"&gt;0"),0)</f>
        <v>0</v>
      </c>
      <c r="Z150" s="1060">
        <f>IF(Z109=2,SUMIF(Z116:Z120,"&gt;0"),0)</f>
        <v>0</v>
      </c>
      <c r="AA150" s="1057">
        <f>IF(AA109=2,SUMIF(AA116:AA120,"&gt;0"),0)</f>
        <v>0</v>
      </c>
      <c r="AC150" s="1060">
        <f>IF(AC109=2,SUMIF(AC116:AC120,"&gt;0"),0)</f>
        <v>0</v>
      </c>
      <c r="AD150" s="1057">
        <f>IF(AD109=2,SUMIF(AD116:AD120,"&gt;0"),0)</f>
        <v>0</v>
      </c>
      <c r="AF150" s="1060">
        <f>IF(AF109=2,SUMIF(AF116:AF120,"&gt;0"),0)</f>
        <v>0</v>
      </c>
      <c r="AG150" s="1057">
        <f>SUM(B150:AF150)</f>
        <v>0</v>
      </c>
      <c r="AH150" s="1057">
        <f>AG158-AG150</f>
        <v>4</v>
      </c>
    </row>
    <row r="151" spans="1:34" s="1057" customFormat="1" ht="12.75" hidden="1" customHeight="1" x14ac:dyDescent="0.2">
      <c r="A151" s="1057" t="s">
        <v>97</v>
      </c>
      <c r="B151" s="1057">
        <f>IF(B109=3,SUMIF(B116:B120,"&gt;0"),0)</f>
        <v>0</v>
      </c>
      <c r="D151" s="1060">
        <f>IF(D109=3,SUMIF(D116:D120,"&gt;0"),0)</f>
        <v>0</v>
      </c>
      <c r="E151" s="1057">
        <f>IF(E109=3,SUMIF(E116:E120,"&gt;0"),0)</f>
        <v>0</v>
      </c>
      <c r="G151" s="1060">
        <f>IF(G109=3,SUMIF(G116:G120,"&gt;0"),0)</f>
        <v>1</v>
      </c>
      <c r="H151" s="1057">
        <f>IF(H109=3,SUMIF(H116:H120,"&gt;0"),0)</f>
        <v>0</v>
      </c>
      <c r="J151" s="1060">
        <f>IF(J109=3,SUMIF(J116:J120,"&gt;0"),0)</f>
        <v>0</v>
      </c>
      <c r="K151" s="1060"/>
      <c r="L151" s="1057">
        <f>IF(L109=3,SUMIF(L116:L120,"&gt;0"),0)</f>
        <v>0</v>
      </c>
      <c r="N151" s="1060">
        <f>IF(N109=3,SUMIF(N116:N120,"&gt;0"),0)</f>
        <v>0</v>
      </c>
      <c r="O151" s="1057">
        <f>IF(O109=3,SUMIF(O116:O120,"&gt;0"),0)</f>
        <v>0</v>
      </c>
      <c r="Q151" s="1060">
        <f>IF(Q109=3,SUMIF(Q116:Q120,"&gt;0"),0)</f>
        <v>1</v>
      </c>
      <c r="R151" s="1057">
        <f>IF(R109=3,SUMIF(R116:R120,"&gt;0"),0)</f>
        <v>0</v>
      </c>
      <c r="T151" s="1060">
        <f>IF(T109=3,SUMIF(T116:T120,"&gt;0"),0)</f>
        <v>0</v>
      </c>
      <c r="U151" s="1057">
        <f>IF(U109=3,SUMIF(U116:U120,"&gt;0"),0)</f>
        <v>0</v>
      </c>
      <c r="W151" s="1060">
        <f>IF(W109=3,SUMIF(W116:W120,"&gt;0"),0)</f>
        <v>0</v>
      </c>
      <c r="X151" s="1057">
        <f>IF(X109=3,SUMIF(X116:X120,"&gt;0"),0)</f>
        <v>0</v>
      </c>
      <c r="Z151" s="1060">
        <f>IF(Z109=3,SUMIF(Z116:Z120,"&gt;0"),0)</f>
        <v>0</v>
      </c>
      <c r="AA151" s="1057">
        <f>IF(AA109=3,SUMIF(AA116:AA120,"&gt;0"),0)</f>
        <v>0</v>
      </c>
      <c r="AC151" s="1060">
        <f>IF(AC109=3,SUMIF(AC116:AC120,"&gt;0"),0)</f>
        <v>0</v>
      </c>
      <c r="AD151" s="1057">
        <f>IF(AD109=3,SUMIF(AD116:AD120,"&gt;0"),0)</f>
        <v>0</v>
      </c>
      <c r="AF151" s="1060">
        <f>IF(AF109=3,SUMIF(AF116:AF120,"&gt;0"),0)</f>
        <v>0</v>
      </c>
      <c r="AG151" s="1057">
        <f>SUM(B151:AF151)</f>
        <v>2</v>
      </c>
      <c r="AH151" s="1057">
        <f>AG159-AG151</f>
        <v>2</v>
      </c>
    </row>
    <row r="152" spans="1:34" s="1057" customFormat="1" ht="12.75" hidden="1" customHeight="1" x14ac:dyDescent="0.2">
      <c r="A152" s="1057" t="s">
        <v>98</v>
      </c>
      <c r="B152" s="1057">
        <f>IF(B109=4,SUMIF(B116:B120,"&gt;0"),0)</f>
        <v>0</v>
      </c>
      <c r="D152" s="1060">
        <f>IF(D109=4,SUMIF(D116:D120,"&gt;0"),0)</f>
        <v>0</v>
      </c>
      <c r="E152" s="1057">
        <f>IF(E109=4,SUMIF(E116:E120,"&gt;0"),0)</f>
        <v>0</v>
      </c>
      <c r="G152" s="1060">
        <f>IF(G109=4,SUMIF(G116:G120,"&gt;0"),0)</f>
        <v>0</v>
      </c>
      <c r="H152" s="1057">
        <f>IF(H109=4,SUMIF(H116:H120,"&gt;0"),0)</f>
        <v>0</v>
      </c>
      <c r="J152" s="1060">
        <f>IF(J109=4,SUMIF(J116:J120,"&gt;0"),0)</f>
        <v>0</v>
      </c>
      <c r="K152" s="1060"/>
      <c r="L152" s="1057">
        <f>IF(L109=4,SUMIF(L116:L120,"&gt;0"),0)</f>
        <v>0</v>
      </c>
      <c r="N152" s="1060">
        <f>IF(N109=4,SUMIF(N116:N120,"&gt;0"),0)</f>
        <v>0</v>
      </c>
      <c r="O152" s="1057">
        <f>IF(O109=4,SUMIF(O116:O120,"&gt;0"),0)</f>
        <v>0</v>
      </c>
      <c r="Q152" s="1060">
        <f>IF(Q109=4,SUMIF(Q116:Q120,"&gt;0"),0)</f>
        <v>0</v>
      </c>
      <c r="R152" s="1057">
        <f>IF(R109=4,SUMIF(R116:R120,"&gt;0"),0)</f>
        <v>0</v>
      </c>
      <c r="T152" s="1060">
        <f>IF(T109=4,SUMIF(T116:T120,"&gt;0"),0)</f>
        <v>0</v>
      </c>
      <c r="U152" s="1057">
        <f>IF(U109=4,SUMIF(U116:U120,"&gt;0"),0)</f>
        <v>0</v>
      </c>
      <c r="W152" s="1060">
        <f>IF(W109=4,SUMIF(W116:W120,"&gt;0"),0)</f>
        <v>0</v>
      </c>
      <c r="X152" s="1057">
        <f>IF(X109=4,SUMIF(X116:X120,"&gt;0"),0)</f>
        <v>0</v>
      </c>
      <c r="Z152" s="1060">
        <f>IF(Z109=4,SUMIF(Z116:Z120,"&gt;0"),0)</f>
        <v>0</v>
      </c>
      <c r="AA152" s="1057">
        <f>IF(AA109=4,SUMIF(AA116:AA120,"&gt;0"),0)</f>
        <v>0</v>
      </c>
      <c r="AC152" s="1060">
        <f>IF(AC109=4,SUMIF(AC116:AC120,"&gt;0"),0)</f>
        <v>0</v>
      </c>
      <c r="AD152" s="1057">
        <f>IF(AD109=4,SUMIF(AD116:AD120,"&gt;0"),0)</f>
        <v>0</v>
      </c>
      <c r="AF152" s="1060">
        <f>IF(AF109=4,SUMIF(AF116:AF120,"&gt;0"),0)</f>
        <v>0</v>
      </c>
      <c r="AG152" s="1057">
        <f>SUM(B152:AF152)</f>
        <v>0</v>
      </c>
      <c r="AH152" s="1057">
        <f>AG160-AG152</f>
        <v>0</v>
      </c>
    </row>
    <row r="153" spans="1:34" s="1057" customFormat="1" ht="12.75" hidden="1" customHeight="1" x14ac:dyDescent="0.2">
      <c r="A153" s="1057" t="s">
        <v>99</v>
      </c>
      <c r="B153" s="1057">
        <f>IF(B109=5,SUMIF(B116:B120,"&gt;0"),0)</f>
        <v>0</v>
      </c>
      <c r="D153" s="1060">
        <f>IF(D109=5,SUMIF(D116:D120,"&gt;0"),0)</f>
        <v>0</v>
      </c>
      <c r="E153" s="1057">
        <f>IF(E109=5,SUMIF(E116:E120,"&gt;0"),0)</f>
        <v>0</v>
      </c>
      <c r="G153" s="1060">
        <f>IF(G109=5,SUMIF(G116:G120,"&gt;0"),0)</f>
        <v>0</v>
      </c>
      <c r="H153" s="1057">
        <f>IF(H109=5,SUMIF(H116:H120,"&gt;0"),0)</f>
        <v>0</v>
      </c>
      <c r="J153" s="1060">
        <f>IF(J109=5,SUMIF(J116:J120,"&gt;0"),0)</f>
        <v>0</v>
      </c>
      <c r="K153" s="1060"/>
      <c r="L153" s="1057">
        <f>IF(L109=5,SUMIF(L116:L120,"&gt;0"),0)</f>
        <v>0</v>
      </c>
      <c r="N153" s="1060">
        <f>IF(N109=5,SUMIF(N116:N120,"&gt;0"),0)</f>
        <v>0</v>
      </c>
      <c r="O153" s="1057">
        <f>IF(O109=5,SUMIF(O116:O120,"&gt;0"),0)</f>
        <v>0</v>
      </c>
      <c r="Q153" s="1060">
        <f>IF(Q109=5,SUMIF(Q116:Q120,"&gt;0"),0)</f>
        <v>0</v>
      </c>
      <c r="R153" s="1057">
        <f>IF(R109=5,SUMIF(R116:R120,"&gt;0"),0)</f>
        <v>0</v>
      </c>
      <c r="T153" s="1060">
        <f>IF(T109=5,SUMIF(T116:T120,"&gt;0"),0)</f>
        <v>0</v>
      </c>
      <c r="U153" s="1057">
        <f>IF(U109=5,SUMIF(U116:U120,"&gt;0"),0)</f>
        <v>0</v>
      </c>
      <c r="W153" s="1060">
        <f>IF(W109=5,SUMIF(W116:W120,"&gt;0"),0)</f>
        <v>0</v>
      </c>
      <c r="X153" s="1057">
        <f>IF(X109=5,SUMIF(X116:X120,"&gt;0"),0)</f>
        <v>0</v>
      </c>
      <c r="Z153" s="1060">
        <f>IF(Z109=5,SUMIF(Z116:Z120,"&gt;0"),0)</f>
        <v>0</v>
      </c>
      <c r="AA153" s="1057">
        <f>IF(AA109=5,SUMIF(AA116:AA120,"&gt;0"),0)</f>
        <v>0</v>
      </c>
      <c r="AC153" s="1060">
        <f>IF(AC109=5,SUMIF(AC116:AC120,"&gt;0"),0)</f>
        <v>0</v>
      </c>
      <c r="AD153" s="1057">
        <f>IF(AD109=5,SUMIF(AD116:AD120,"&gt;0"),0)</f>
        <v>0</v>
      </c>
      <c r="AF153" s="1060">
        <f>IF(AF109=5,SUMIF(AF116:AF120,"&gt;0"),0)</f>
        <v>0</v>
      </c>
      <c r="AG153" s="1057">
        <f>SUM(B153:AF153)</f>
        <v>0</v>
      </c>
      <c r="AH153" s="1057">
        <f>AG161-AG153</f>
        <v>0</v>
      </c>
    </row>
    <row r="154" spans="1:34" s="1057" customFormat="1" ht="12.75" hidden="1" customHeight="1" x14ac:dyDescent="0.2">
      <c r="D154" s="1060"/>
      <c r="G154" s="1060"/>
      <c r="J154" s="1060"/>
      <c r="K154" s="1060"/>
      <c r="N154" s="1060"/>
      <c r="Q154" s="1060"/>
      <c r="T154" s="1060"/>
      <c r="W154" s="1060"/>
      <c r="Z154" s="1060"/>
      <c r="AC154" s="1060"/>
      <c r="AF154" s="1060"/>
    </row>
    <row r="155" spans="1:34" s="1057" customFormat="1" ht="12.75" hidden="1" customHeight="1" x14ac:dyDescent="0.2">
      <c r="D155" s="1060"/>
      <c r="G155" s="1060"/>
      <c r="J155" s="1060"/>
      <c r="K155" s="1060"/>
      <c r="N155" s="1060"/>
      <c r="Q155" s="1060"/>
      <c r="T155" s="1060"/>
      <c r="W155" s="1060"/>
      <c r="Z155" s="1060"/>
      <c r="AC155" s="1060"/>
      <c r="AF155" s="1060"/>
    </row>
    <row r="156" spans="1:34" s="1057" customFormat="1" ht="51" hidden="1" customHeight="1" x14ac:dyDescent="0.2">
      <c r="A156" s="1061" t="s">
        <v>110</v>
      </c>
      <c r="C156" s="1057">
        <f>SUMIF(B149:D153,"&gt;0")</f>
        <v>1</v>
      </c>
      <c r="D156" s="1060"/>
      <c r="F156" s="1057">
        <f>SUMIF(E149:G153,"&gt;0")</f>
        <v>1</v>
      </c>
      <c r="G156" s="1060"/>
      <c r="I156" s="1057">
        <f>SUMIF(H149:J153,"&gt;0")</f>
        <v>1</v>
      </c>
      <c r="J156" s="1060"/>
      <c r="K156" s="1060"/>
      <c r="M156" s="1057">
        <f>SUMIF(L149:N153,"&gt;0")</f>
        <v>1</v>
      </c>
      <c r="N156" s="1060"/>
      <c r="P156" s="1057">
        <f>SUMIF(O149:Q153,"&gt;0")</f>
        <v>1</v>
      </c>
      <c r="Q156" s="1060"/>
      <c r="S156" s="1057">
        <f>SUMIF(R149:T153,"&gt;0")</f>
        <v>1</v>
      </c>
      <c r="T156" s="1060"/>
      <c r="V156" s="1057">
        <f>SUMIF(U149:W153,"&gt;0")</f>
        <v>0</v>
      </c>
      <c r="W156" s="1060"/>
      <c r="Y156" s="1057">
        <f>SUMIF(X149:Z153,"&gt;0")</f>
        <v>0</v>
      </c>
      <c r="Z156" s="1060"/>
      <c r="AB156" s="1057">
        <f>SUMIF(AA149:AC153,"&gt;0")</f>
        <v>0</v>
      </c>
      <c r="AC156" s="1060"/>
      <c r="AE156" s="1057">
        <f>SUMIF(AD149:AF153,"&gt;0")</f>
        <v>0</v>
      </c>
      <c r="AF156" s="1060"/>
      <c r="AG156" s="1061" t="s">
        <v>111</v>
      </c>
    </row>
    <row r="157" spans="1:34" s="1057" customFormat="1" ht="12.75" hidden="1" customHeight="1" x14ac:dyDescent="0.2">
      <c r="A157" s="1057" t="s">
        <v>101</v>
      </c>
      <c r="B157" s="1057">
        <f>IF(B109=1,C156,0)</f>
        <v>1</v>
      </c>
      <c r="D157" s="1060">
        <f>IF(D109=1,C156,0)</f>
        <v>0</v>
      </c>
      <c r="E157" s="1057">
        <f>IF(E109=1,F156,0)</f>
        <v>0</v>
      </c>
      <c r="G157" s="1060">
        <f>IF(G109=1,F156,0)</f>
        <v>0</v>
      </c>
      <c r="H157" s="1057">
        <f>IF(H109=1,I156,0)</f>
        <v>1</v>
      </c>
      <c r="J157" s="1060">
        <f>IF(J109=1,I156,0)</f>
        <v>0</v>
      </c>
      <c r="K157" s="1060"/>
      <c r="L157" s="1057">
        <f>IF(L109=1,M156,0)</f>
        <v>1</v>
      </c>
      <c r="N157" s="1060">
        <f>IF(N109=1,M156,0)</f>
        <v>0</v>
      </c>
      <c r="O157" s="1057">
        <f>IF(O109=1,P156,0)</f>
        <v>0</v>
      </c>
      <c r="Q157" s="1060">
        <f>IF(Q109=1,P156,0)</f>
        <v>0</v>
      </c>
      <c r="R157" s="1057">
        <f>IF(R109=1,S156,0)</f>
        <v>1</v>
      </c>
      <c r="T157" s="1060">
        <f>IF(T109=1,S156,0)</f>
        <v>0</v>
      </c>
      <c r="U157" s="1057">
        <f>IF(U109=1,V156,0)</f>
        <v>0</v>
      </c>
      <c r="W157" s="1060">
        <f>IF(W109=1,V156,0)</f>
        <v>0</v>
      </c>
      <c r="X157" s="1057">
        <f>IF(X109=1,Y156,0)</f>
        <v>0</v>
      </c>
      <c r="Z157" s="1060">
        <f>IF(Z109=1,Y156,0)</f>
        <v>0</v>
      </c>
      <c r="AA157" s="1057">
        <f>IF(AA109=1,AB156,0)</f>
        <v>0</v>
      </c>
      <c r="AC157" s="1060">
        <f>IF(AC109=1,AB156,0)</f>
        <v>0</v>
      </c>
      <c r="AD157" s="1057">
        <f>IF(AD109=1,AE156,0)</f>
        <v>0</v>
      </c>
      <c r="AF157" s="1060">
        <f>IF(AF109=1,AE156,0)</f>
        <v>0</v>
      </c>
      <c r="AG157" s="1057">
        <f>SUM(B157:AF157)</f>
        <v>4</v>
      </c>
    </row>
    <row r="158" spans="1:34" s="1057" customFormat="1" ht="12.75" hidden="1" customHeight="1" x14ac:dyDescent="0.2">
      <c r="A158" s="1057" t="s">
        <v>102</v>
      </c>
      <c r="B158" s="1057">
        <f>IF(B109=2,C156,0)</f>
        <v>0</v>
      </c>
      <c r="D158" s="1060">
        <f>IF(D109=2,C156,0)</f>
        <v>0</v>
      </c>
      <c r="E158" s="1057">
        <f>IF(E109=2,F156,0)</f>
        <v>1</v>
      </c>
      <c r="G158" s="1060">
        <f>IF(G109=2,F156,0)</f>
        <v>0</v>
      </c>
      <c r="H158" s="1057">
        <f>IF(H109=2,I156,0)</f>
        <v>0</v>
      </c>
      <c r="J158" s="1060">
        <f>IF(J109=2,I156,0)</f>
        <v>1</v>
      </c>
      <c r="K158" s="1060"/>
      <c r="L158" s="1057">
        <f>IF(L109=2,M156,0)</f>
        <v>0</v>
      </c>
      <c r="N158" s="1060">
        <f>IF(N109=2,M156,0)</f>
        <v>0</v>
      </c>
      <c r="O158" s="1057">
        <f>IF(O109=2,P156,0)</f>
        <v>1</v>
      </c>
      <c r="Q158" s="1060">
        <f>IF(Q109=2,P156,0)</f>
        <v>0</v>
      </c>
      <c r="R158" s="1057">
        <f>IF(R109=2,S156,0)</f>
        <v>0</v>
      </c>
      <c r="T158" s="1060">
        <f>IF(T109=2,S156,0)</f>
        <v>1</v>
      </c>
      <c r="U158" s="1057">
        <f>IF(U109=2,V156,0)</f>
        <v>0</v>
      </c>
      <c r="W158" s="1060">
        <f>IF(W109=2,V156,0)</f>
        <v>0</v>
      </c>
      <c r="X158" s="1057">
        <f>IF(X109=2,Y156,0)</f>
        <v>0</v>
      </c>
      <c r="Z158" s="1060">
        <f>IF(Z109=2,Y156,0)</f>
        <v>0</v>
      </c>
      <c r="AA158" s="1057">
        <f>IF(AA109=2,AB156,0)</f>
        <v>0</v>
      </c>
      <c r="AC158" s="1060">
        <f>IF(AC109=2,AB156,0)</f>
        <v>0</v>
      </c>
      <c r="AD158" s="1057">
        <f>IF(AD109=2,AE156,0)</f>
        <v>0</v>
      </c>
      <c r="AF158" s="1060">
        <f>IF(AF109=2,AE156,0)</f>
        <v>0</v>
      </c>
      <c r="AG158" s="1057">
        <f>SUM(B158:AF158)</f>
        <v>4</v>
      </c>
    </row>
    <row r="159" spans="1:34" s="1057" customFormat="1" ht="12.75" hidden="1" customHeight="1" x14ac:dyDescent="0.2">
      <c r="A159" s="1057" t="s">
        <v>103</v>
      </c>
      <c r="B159" s="1057">
        <f>IF(B109=3,C156,0)</f>
        <v>0</v>
      </c>
      <c r="D159" s="1060">
        <f>IF(D109=3,C156,0)</f>
        <v>1</v>
      </c>
      <c r="E159" s="1057">
        <f>IF(E109=3,F156,0)</f>
        <v>0</v>
      </c>
      <c r="G159" s="1060">
        <f>IF(G109=3,F156,0)</f>
        <v>1</v>
      </c>
      <c r="H159" s="1057">
        <f>IF(H109=3,I156,0)</f>
        <v>0</v>
      </c>
      <c r="J159" s="1060">
        <f>IF(J109=3,I156,0)</f>
        <v>0</v>
      </c>
      <c r="K159" s="1060"/>
      <c r="L159" s="1057">
        <f>IF(L109=3,M156,0)</f>
        <v>0</v>
      </c>
      <c r="N159" s="1060">
        <f>IF(N109=3,M156,0)</f>
        <v>1</v>
      </c>
      <c r="O159" s="1057">
        <f>IF(O109=3,P156,0)</f>
        <v>0</v>
      </c>
      <c r="Q159" s="1060">
        <f>IF(Q109=3,P156,0)</f>
        <v>1</v>
      </c>
      <c r="R159" s="1057">
        <f>IF(R109=3,S156,0)</f>
        <v>0</v>
      </c>
      <c r="T159" s="1060">
        <f>IF(T109=3,S156,0)</f>
        <v>0</v>
      </c>
      <c r="U159" s="1057">
        <f>IF(U109=3,V156,0)</f>
        <v>0</v>
      </c>
      <c r="W159" s="1060">
        <f>IF(W109=3,V156,0)</f>
        <v>0</v>
      </c>
      <c r="X159" s="1057">
        <f>IF(X109=3,Y156,0)</f>
        <v>0</v>
      </c>
      <c r="Z159" s="1060">
        <f>IF(Z109=3,Y156,0)</f>
        <v>0</v>
      </c>
      <c r="AA159" s="1057">
        <f>IF(AA109=3,AB156,0)</f>
        <v>0</v>
      </c>
      <c r="AC159" s="1060">
        <f>IF(AC109=3,AB156,0)</f>
        <v>0</v>
      </c>
      <c r="AD159" s="1057">
        <f>IF(AD109=3,AE156,0)</f>
        <v>0</v>
      </c>
      <c r="AF159" s="1060">
        <f>IF(AF109=3,AE156,0)</f>
        <v>0</v>
      </c>
      <c r="AG159" s="1057">
        <f>SUM(B159:AF159)</f>
        <v>4</v>
      </c>
    </row>
    <row r="160" spans="1:34" s="1057" customFormat="1" ht="12.75" hidden="1" customHeight="1" x14ac:dyDescent="0.2">
      <c r="A160" s="1057" t="s">
        <v>104</v>
      </c>
      <c r="B160" s="1057">
        <f>IF(B109=4,C156,0)</f>
        <v>0</v>
      </c>
      <c r="D160" s="1060">
        <f>IF(D109=4,C156,0)</f>
        <v>0</v>
      </c>
      <c r="E160" s="1057">
        <f>IF(E109=4,F156,0)</f>
        <v>0</v>
      </c>
      <c r="G160" s="1060">
        <f>IF(G109=4,F156,0)</f>
        <v>0</v>
      </c>
      <c r="H160" s="1057">
        <f>IF(H109=4,I156,0)</f>
        <v>0</v>
      </c>
      <c r="J160" s="1060">
        <f>IF(J109=4,I156,0)</f>
        <v>0</v>
      </c>
      <c r="K160" s="1060"/>
      <c r="L160" s="1057">
        <f>IF(L109=4,M156,0)</f>
        <v>0</v>
      </c>
      <c r="N160" s="1060">
        <f>IF(N109=4,M156,0)</f>
        <v>0</v>
      </c>
      <c r="O160" s="1057">
        <f>IF(O109=4,P156,0)</f>
        <v>0</v>
      </c>
      <c r="Q160" s="1060">
        <f>IF(Q109=4,P156,0)</f>
        <v>0</v>
      </c>
      <c r="R160" s="1057">
        <f>IF(R109=4,S156,0)</f>
        <v>0</v>
      </c>
      <c r="T160" s="1060">
        <f>IF(T109=4,S156,0)</f>
        <v>0</v>
      </c>
      <c r="U160" s="1057">
        <f>IF(U109=4,V156,0)</f>
        <v>0</v>
      </c>
      <c r="W160" s="1060">
        <f>IF(W109=4,V156,0)</f>
        <v>0</v>
      </c>
      <c r="X160" s="1057">
        <f>IF(X109=4,Y156,0)</f>
        <v>0</v>
      </c>
      <c r="Z160" s="1060">
        <f>IF(Z109=4,Y156,0)</f>
        <v>0</v>
      </c>
      <c r="AA160" s="1057">
        <f>IF(AA109=4,AB156,0)</f>
        <v>0</v>
      </c>
      <c r="AC160" s="1060">
        <f>IF(AC109=4,AB156,0)</f>
        <v>0</v>
      </c>
      <c r="AD160" s="1057">
        <f>IF(AD109=4,AE156,0)</f>
        <v>0</v>
      </c>
      <c r="AF160" s="1060">
        <f>IF(AF109=4,AE156,0)</f>
        <v>0</v>
      </c>
      <c r="AG160" s="1057">
        <f>SUM(B160:AF160)</f>
        <v>0</v>
      </c>
    </row>
    <row r="161" spans="1:81" s="1057" customFormat="1" ht="12.75" hidden="1" customHeight="1" x14ac:dyDescent="0.2">
      <c r="A161" s="1057" t="s">
        <v>105</v>
      </c>
      <c r="B161" s="1057">
        <f>IF(B109=5,C156,0)</f>
        <v>0</v>
      </c>
      <c r="D161" s="1060">
        <f>IF(D109=5,C156,0)</f>
        <v>0</v>
      </c>
      <c r="E161" s="1057">
        <f>IF(E109=5,F156,0)</f>
        <v>0</v>
      </c>
      <c r="G161" s="1060">
        <f>IF(G109=5,F156,0)</f>
        <v>0</v>
      </c>
      <c r="H161" s="1057">
        <f>IF(H109=5,I156,0)</f>
        <v>0</v>
      </c>
      <c r="J161" s="1060">
        <f>IF(J109=5,I156,0)</f>
        <v>0</v>
      </c>
      <c r="K161" s="1060"/>
      <c r="L161" s="1057">
        <f>IF(L109=5,M156,0)</f>
        <v>0</v>
      </c>
      <c r="N161" s="1060">
        <f>IF(N109=5,M156,0)</f>
        <v>0</v>
      </c>
      <c r="O161" s="1057">
        <f>IF(O109=5,P156,0)</f>
        <v>0</v>
      </c>
      <c r="Q161" s="1060">
        <f>IF(Q109=5,P156,0)</f>
        <v>0</v>
      </c>
      <c r="R161" s="1057">
        <f>IF(R109=5,S156,0)</f>
        <v>0</v>
      </c>
      <c r="T161" s="1060">
        <f>IF(T109=5,S156,0)</f>
        <v>0</v>
      </c>
      <c r="U161" s="1057">
        <f>IF(U109=5,V156,0)</f>
        <v>0</v>
      </c>
      <c r="W161" s="1060">
        <f>IF(W109=5,V156,0)</f>
        <v>0</v>
      </c>
      <c r="X161" s="1057">
        <f>IF(X109=5,Y156,0)</f>
        <v>0</v>
      </c>
      <c r="Z161" s="1060">
        <f>IF(Z109=5,Y156,0)</f>
        <v>0</v>
      </c>
      <c r="AA161" s="1057">
        <f>IF(AA109=5,AB156,0)</f>
        <v>0</v>
      </c>
      <c r="AC161" s="1060">
        <f>IF(AC109=5,AB156,0)</f>
        <v>0</v>
      </c>
      <c r="AD161" s="1057">
        <f>IF(AD109=5,AE156,0)</f>
        <v>0</v>
      </c>
      <c r="AF161" s="1060">
        <f>IF(AF109=5,AE156,0)</f>
        <v>0</v>
      </c>
      <c r="AG161" s="1057">
        <f>SUM(B161:AF161)</f>
        <v>0</v>
      </c>
    </row>
    <row r="162" spans="1:81" hidden="1" x14ac:dyDescent="0.2">
      <c r="A162" s="1063"/>
      <c r="B162" s="1063"/>
      <c r="C162" s="1063"/>
      <c r="D162" s="1063"/>
      <c r="E162" s="1063"/>
      <c r="F162" s="1063"/>
      <c r="G162" s="1063"/>
      <c r="H162" s="1063"/>
      <c r="I162" s="1063"/>
      <c r="J162" s="1063"/>
      <c r="K162" s="1063"/>
      <c r="L162" s="1063"/>
      <c r="M162" s="1063"/>
      <c r="N162" s="1063"/>
      <c r="O162" s="1063"/>
      <c r="P162" s="1063"/>
      <c r="Q162" s="1063"/>
      <c r="R162" s="1063"/>
      <c r="S162" s="1063"/>
      <c r="T162" s="1063"/>
      <c r="U162" s="1063"/>
      <c r="V162" s="1063"/>
      <c r="W162" s="1063"/>
      <c r="X162" s="1063"/>
      <c r="Y162" s="1063"/>
      <c r="Z162" s="1063"/>
      <c r="AA162" s="1063"/>
      <c r="AB162" s="1063"/>
      <c r="AC162" s="1063"/>
      <c r="AD162" s="1063"/>
      <c r="AE162" s="1063"/>
      <c r="AF162" s="1063"/>
      <c r="AG162" s="1063"/>
      <c r="AH162" s="1063"/>
      <c r="AI162" s="1063"/>
      <c r="AJ162" s="1063"/>
      <c r="AK162" s="1063"/>
      <c r="AL162" s="1063"/>
      <c r="AM162" s="1063"/>
      <c r="AN162" s="1063"/>
      <c r="AO162" s="1064"/>
      <c r="AP162" s="1064"/>
      <c r="AQ162" s="1064"/>
      <c r="AR162" s="1064"/>
      <c r="AS162" s="1065"/>
      <c r="AT162" s="1065"/>
      <c r="AU162" s="1065"/>
      <c r="AV162" s="1065"/>
      <c r="AW162" s="1066"/>
      <c r="BB162" s="1066"/>
      <c r="BE162" s="1066"/>
      <c r="BH162" s="1066"/>
      <c r="BK162" s="1066"/>
      <c r="BN162" s="1066"/>
      <c r="BQ162" s="1066"/>
      <c r="BT162" s="1066"/>
      <c r="BW162" s="1066"/>
      <c r="BZ162" s="1066"/>
      <c r="CC162" s="1066"/>
    </row>
    <row r="163" spans="1:81" s="1065" customFormat="1" hidden="1" x14ac:dyDescent="0.2">
      <c r="A163" s="1067"/>
      <c r="B163" s="1067"/>
      <c r="C163" s="1067" t="s">
        <v>112</v>
      </c>
      <c r="D163" s="1067">
        <v>1</v>
      </c>
      <c r="E163" s="1067"/>
      <c r="F163" s="1067"/>
      <c r="G163" s="1067">
        <v>2</v>
      </c>
      <c r="H163" s="1067"/>
      <c r="I163" s="1067"/>
      <c r="J163" s="1067">
        <v>3</v>
      </c>
      <c r="K163" s="1067"/>
      <c r="L163" s="1067"/>
      <c r="M163" s="1067"/>
      <c r="N163" s="1067">
        <v>4</v>
      </c>
      <c r="O163" s="1067"/>
      <c r="P163" s="1067"/>
      <c r="Q163" s="1067">
        <v>5</v>
      </c>
      <c r="R163" s="1067"/>
      <c r="S163" s="1067"/>
      <c r="T163" s="1067">
        <v>6</v>
      </c>
      <c r="U163" s="1067"/>
      <c r="V163" s="1067"/>
      <c r="W163" s="1067">
        <v>7</v>
      </c>
      <c r="X163" s="1067"/>
      <c r="Y163" s="1067"/>
      <c r="Z163" s="1067">
        <v>8</v>
      </c>
      <c r="AA163" s="1067"/>
      <c r="AB163" s="1067"/>
      <c r="AC163" s="1067">
        <v>9</v>
      </c>
      <c r="AD163" s="1067"/>
      <c r="AE163" s="1067"/>
      <c r="AF163" s="1067">
        <v>10</v>
      </c>
      <c r="AG163" s="846"/>
      <c r="AH163" s="1067"/>
      <c r="AJ163" s="1068"/>
      <c r="AK163" s="846"/>
      <c r="AL163" s="846"/>
      <c r="AM163" s="846"/>
      <c r="AN163" s="846"/>
      <c r="AO163" s="846"/>
      <c r="AP163" s="846"/>
      <c r="AT163" s="1068" t="s">
        <v>113</v>
      </c>
      <c r="AW163" s="1069"/>
      <c r="BB163" s="1069"/>
      <c r="BE163" s="1069"/>
      <c r="BH163" s="1069"/>
      <c r="BK163" s="1069"/>
      <c r="BN163" s="1069"/>
      <c r="BQ163" s="1069"/>
      <c r="BT163" s="1069"/>
      <c r="BW163" s="1069"/>
      <c r="BZ163" s="1069"/>
      <c r="CC163" s="1069"/>
    </row>
    <row r="164" spans="1:81" s="1065" customFormat="1" hidden="1" x14ac:dyDescent="0.2">
      <c r="A164" s="1070">
        <v>1</v>
      </c>
      <c r="B164" s="1070" t="str">
        <f>E93</f>
        <v>SC Midlands KP Silver</v>
      </c>
      <c r="C164" s="1070">
        <f>VLOOKUP(B164,AU$3:AY$33,3,FALSE)</f>
        <v>1205.8047865865301</v>
      </c>
      <c r="D164" s="1070">
        <f>IF(B157,B172,IF(D157,D172,C164))</f>
        <v>1211.7459636316137</v>
      </c>
      <c r="E164" s="1070"/>
      <c r="F164" s="1070"/>
      <c r="G164" s="1070">
        <f>IF(E157,E172,IF(G157,G172,D164))</f>
        <v>1211.7459636316137</v>
      </c>
      <c r="H164" s="1070"/>
      <c r="I164" s="1070"/>
      <c r="J164" s="1070">
        <f>IF(H157,H172,IF(J157,J172,G164))</f>
        <v>1218.6393724492136</v>
      </c>
      <c r="K164" s="1070"/>
      <c r="L164" s="1070"/>
      <c r="M164" s="1070"/>
      <c r="N164" s="1070">
        <f>IF(L157,L172,IF(N157,N172,J164))</f>
        <v>1224.3818262371847</v>
      </c>
      <c r="O164" s="1070"/>
      <c r="P164" s="1070"/>
      <c r="Q164" s="1070">
        <f>IF(O157,O172,IF(Q157,Q172,N164))</f>
        <v>1224.3818262371847</v>
      </c>
      <c r="R164" s="1070"/>
      <c r="S164" s="1070"/>
      <c r="T164" s="1070">
        <f>IF(R157,R172,IF(T157,T172,Q164))</f>
        <v>1230.6391901737691</v>
      </c>
      <c r="U164" s="1070"/>
      <c r="V164" s="1070"/>
      <c r="W164" s="1070">
        <f>IF(U157,U172,IF(W157,W172,T164))</f>
        <v>1230.6391901737691</v>
      </c>
      <c r="X164" s="1070"/>
      <c r="Y164" s="1070"/>
      <c r="Z164" s="1070">
        <f>IF(X157,X172,IF(Z157,Z172,W164))</f>
        <v>1230.6391901737691</v>
      </c>
      <c r="AA164" s="1070"/>
      <c r="AB164" s="1070"/>
      <c r="AC164" s="1070">
        <f>IF(AA157,AA172,IF(AC157,AC172,Z164))</f>
        <v>1230.6391901737691</v>
      </c>
      <c r="AD164" s="1070"/>
      <c r="AE164" s="1070"/>
      <c r="AF164" s="1070">
        <f>IF(AD157,AD172,IF(AF157,AF172,AC164))</f>
        <v>1230.6391901737691</v>
      </c>
      <c r="AG164" s="846"/>
      <c r="AH164" s="846"/>
      <c r="AK164" s="846"/>
      <c r="AL164" s="846"/>
      <c r="AM164" s="846"/>
      <c r="AN164" s="846"/>
      <c r="AO164" s="846"/>
      <c r="AP164" s="846"/>
      <c r="AT164" s="1065" t="str">
        <f>B164</f>
        <v>SC Midlands KP Silver</v>
      </c>
      <c r="AU164" s="1065">
        <f>AF164</f>
        <v>1230.6391901737691</v>
      </c>
      <c r="AW164" s="1069"/>
      <c r="BB164" s="1069"/>
      <c r="BE164" s="1069"/>
      <c r="BH164" s="1069"/>
      <c r="BK164" s="1069"/>
      <c r="BN164" s="1069"/>
      <c r="BQ164" s="1069"/>
      <c r="BT164" s="1069"/>
      <c r="BW164" s="1069"/>
      <c r="BZ164" s="1069"/>
      <c r="CC164" s="1069"/>
    </row>
    <row r="165" spans="1:81" s="1065" customFormat="1" hidden="1" x14ac:dyDescent="0.2">
      <c r="A165" s="1070">
        <v>2</v>
      </c>
      <c r="B165" s="1070" t="str">
        <f>E95</f>
        <v>Columbia SC Starlings 12</v>
      </c>
      <c r="C165" s="1070">
        <f>VLOOKUP(B165,AU$3:AY$33,3,FALSE)</f>
        <v>1172.8444831041593</v>
      </c>
      <c r="D165" s="1070">
        <f>IF(B158,B172,IF(D158,D172,C165))</f>
        <v>1172.8444831041593</v>
      </c>
      <c r="E165" s="1070"/>
      <c r="F165" s="1070"/>
      <c r="G165" s="1070">
        <f>IF(E158,E172,IF(G158,G172,D165))</f>
        <v>1163.3772415888245</v>
      </c>
      <c r="H165" s="1070"/>
      <c r="I165" s="1070"/>
      <c r="J165" s="1070">
        <f>IF(H158,H172,IF(J158,J172,G165))</f>
        <v>1156.4838327712246</v>
      </c>
      <c r="K165" s="1070"/>
      <c r="L165" s="1070"/>
      <c r="M165" s="1070"/>
      <c r="N165" s="1070">
        <f>IF(L158,L172,IF(N158,N172,J165))</f>
        <v>1156.4838327712246</v>
      </c>
      <c r="O165" s="1070"/>
      <c r="P165" s="1070"/>
      <c r="Q165" s="1070">
        <f>IF(O158,O172,IF(Q158,Q172,N165))</f>
        <v>1147.4678002736277</v>
      </c>
      <c r="R165" s="1070"/>
      <c r="S165" s="1070"/>
      <c r="T165" s="1070">
        <f>IF(R158,R172,IF(T158,T172,Q165))</f>
        <v>1141.2104363370433</v>
      </c>
      <c r="U165" s="1070"/>
      <c r="V165" s="1070"/>
      <c r="W165" s="1070">
        <f>IF(U158,U172,IF(W158,W172,T165))</f>
        <v>1141.2104363370433</v>
      </c>
      <c r="X165" s="1070"/>
      <c r="Y165" s="1070"/>
      <c r="Z165" s="1070">
        <f>IF(X158,X172,IF(Z158,Z172,W165))</f>
        <v>1141.2104363370433</v>
      </c>
      <c r="AA165" s="1070"/>
      <c r="AB165" s="1070"/>
      <c r="AC165" s="1070">
        <f>IF(AA158,AA172,IF(AC158,AC172,Z165))</f>
        <v>1141.2104363370433</v>
      </c>
      <c r="AD165" s="1070"/>
      <c r="AE165" s="1070"/>
      <c r="AF165" s="1070">
        <f>IF(AD158,AD172,IF(AF158,AF172,AC165))</f>
        <v>1141.2104363370433</v>
      </c>
      <c r="AG165" s="846"/>
      <c r="AH165" s="846"/>
      <c r="AK165" s="846"/>
      <c r="AM165" s="846"/>
      <c r="AN165" s="846"/>
      <c r="AO165" s="846"/>
      <c r="AP165" s="846"/>
      <c r="AT165" s="1065" t="str">
        <f>B165</f>
        <v>Columbia SC Starlings 12</v>
      </c>
      <c r="AU165" s="1065">
        <f>AF165</f>
        <v>1141.2104363370433</v>
      </c>
      <c r="AW165" s="1069"/>
      <c r="BB165" s="1069"/>
      <c r="BE165" s="1069"/>
      <c r="BH165" s="1069"/>
      <c r="BK165" s="1069"/>
      <c r="BN165" s="1069"/>
      <c r="BQ165" s="1069"/>
      <c r="BT165" s="1069"/>
      <c r="BW165" s="1069"/>
      <c r="BZ165" s="1069"/>
      <c r="CC165" s="1069"/>
    </row>
    <row r="166" spans="1:81" s="1065" customFormat="1" hidden="1" x14ac:dyDescent="0.2">
      <c r="A166" s="1070">
        <v>3</v>
      </c>
      <c r="B166" s="1070" t="str">
        <f>E97</f>
        <v>Foothills Skylar</v>
      </c>
      <c r="C166" s="1070">
        <f>VLOOKUP(B166,AU$3:AY$33,3,FALSE)</f>
        <v>1114.3349186624</v>
      </c>
      <c r="D166" s="1070">
        <f>IF(B159,B172,IF(D159,D172,C166))</f>
        <v>1108.3937416173164</v>
      </c>
      <c r="E166" s="1070"/>
      <c r="F166" s="1070"/>
      <c r="G166" s="1070">
        <f>IF(E159,E172,IF(G159,G172,D166))</f>
        <v>1117.8609831326512</v>
      </c>
      <c r="H166" s="1070"/>
      <c r="I166" s="1070"/>
      <c r="J166" s="1070">
        <f>IF(H159,H172,IF(J159,J172,G166))</f>
        <v>1117.8609831326512</v>
      </c>
      <c r="K166" s="1070"/>
      <c r="L166" s="1070"/>
      <c r="M166" s="1070"/>
      <c r="N166" s="1070">
        <f>IF(L159,L172,IF(N159,N172,J166))</f>
        <v>1112.1185293446802</v>
      </c>
      <c r="O166" s="1070"/>
      <c r="P166" s="1070"/>
      <c r="Q166" s="1070">
        <f>IF(O159,O172,IF(Q159,Q172,N166))</f>
        <v>1121.134561842277</v>
      </c>
      <c r="R166" s="1070"/>
      <c r="S166" s="1070"/>
      <c r="T166" s="1070">
        <f>IF(R159,R172,IF(T159,T172,Q166))</f>
        <v>1121.134561842277</v>
      </c>
      <c r="U166" s="1070"/>
      <c r="V166" s="1070"/>
      <c r="W166" s="1070">
        <f>IF(U159,U172,IF(W159,W172,T166))</f>
        <v>1121.134561842277</v>
      </c>
      <c r="X166" s="1070"/>
      <c r="Y166" s="1070"/>
      <c r="Z166" s="1070">
        <f>IF(X159,X172,IF(Z159,Z172,W166))</f>
        <v>1121.134561842277</v>
      </c>
      <c r="AA166" s="1070"/>
      <c r="AB166" s="1070"/>
      <c r="AC166" s="1070">
        <f>IF(AA159,AA172,IF(AC159,AC172,Z166))</f>
        <v>1121.134561842277</v>
      </c>
      <c r="AD166" s="1070"/>
      <c r="AE166" s="1070"/>
      <c r="AF166" s="1070">
        <f>IF(AD159,AD172,IF(AF159,AF172,AC166))</f>
        <v>1121.134561842277</v>
      </c>
      <c r="AG166" s="846"/>
      <c r="AH166" s="846"/>
      <c r="AK166" s="846"/>
      <c r="AM166" s="846"/>
      <c r="AN166" s="846"/>
      <c r="AO166" s="846"/>
      <c r="AP166" s="846"/>
      <c r="AT166" s="1065" t="str">
        <f>B166</f>
        <v>Foothills Skylar</v>
      </c>
      <c r="AU166" s="1065">
        <f>AF166</f>
        <v>1121.134561842277</v>
      </c>
      <c r="AW166" s="1069"/>
      <c r="BB166" s="1069"/>
      <c r="BE166" s="1069"/>
      <c r="BH166" s="1069"/>
      <c r="BK166" s="1069"/>
      <c r="BN166" s="1069"/>
      <c r="BQ166" s="1069"/>
      <c r="BT166" s="1069"/>
      <c r="BW166" s="1069"/>
      <c r="BZ166" s="1069"/>
      <c r="CC166" s="1069"/>
    </row>
    <row r="167" spans="1:81" s="1065" customFormat="1" hidden="1" x14ac:dyDescent="0.2">
      <c r="A167" s="1070">
        <v>4</v>
      </c>
      <c r="B167" s="1070">
        <f>E99</f>
        <v>0</v>
      </c>
      <c r="C167" s="1070" t="e">
        <f>VLOOKUP(B167,AU$3:AY$33,3,FALSE)</f>
        <v>#N/A</v>
      </c>
      <c r="D167" s="1070" t="e">
        <f>IF(B160,B172,IF(D160,D172,C167))</f>
        <v>#N/A</v>
      </c>
      <c r="E167" s="1070"/>
      <c r="F167" s="1070"/>
      <c r="G167" s="1070" t="e">
        <f>IF(E160,E172,IF(G160,G172,D167))</f>
        <v>#N/A</v>
      </c>
      <c r="H167" s="1070"/>
      <c r="I167" s="1070"/>
      <c r="J167" s="1070" t="e">
        <f>IF(H160,H172,IF(J160,J172,G167))</f>
        <v>#N/A</v>
      </c>
      <c r="K167" s="1070"/>
      <c r="L167" s="1070"/>
      <c r="M167" s="1070"/>
      <c r="N167" s="1070" t="e">
        <f>IF(L160,L172,IF(N160,N172,J167))</f>
        <v>#N/A</v>
      </c>
      <c r="O167" s="1070"/>
      <c r="P167" s="1070"/>
      <c r="Q167" s="1070" t="e">
        <f>IF(O160,O172,IF(Q160,Q172,N167))</f>
        <v>#N/A</v>
      </c>
      <c r="R167" s="1070"/>
      <c r="S167" s="1070"/>
      <c r="T167" s="1070" t="e">
        <f>IF(R160,R172,IF(T160,T172,Q167))</f>
        <v>#N/A</v>
      </c>
      <c r="U167" s="1070"/>
      <c r="V167" s="1070"/>
      <c r="W167" s="1070" t="e">
        <f>IF(U160,U172,IF(W160,W172,T167))</f>
        <v>#N/A</v>
      </c>
      <c r="X167" s="1070"/>
      <c r="Y167" s="1070"/>
      <c r="Z167" s="1070" t="e">
        <f>IF(X160,X172,IF(Z160,Z172,W167))</f>
        <v>#N/A</v>
      </c>
      <c r="AA167" s="1070"/>
      <c r="AB167" s="1070"/>
      <c r="AC167" s="1070" t="e">
        <f>IF(AA160,AA172,IF(AC160,AC172,Z167))</f>
        <v>#N/A</v>
      </c>
      <c r="AD167" s="1070"/>
      <c r="AE167" s="1070"/>
      <c r="AF167" s="1070" t="e">
        <f>IF(AD160,AD172,IF(AF160,AF172,AC167))</f>
        <v>#N/A</v>
      </c>
      <c r="AG167" s="846"/>
      <c r="AH167" s="846"/>
      <c r="AK167" s="846"/>
      <c r="AM167" s="846"/>
      <c r="AN167" s="846"/>
      <c r="AO167" s="846"/>
      <c r="AP167" s="846"/>
      <c r="AT167" s="1065">
        <f>B167</f>
        <v>0</v>
      </c>
      <c r="AU167" s="1065" t="e">
        <f>AF167</f>
        <v>#N/A</v>
      </c>
      <c r="AW167" s="1069"/>
      <c r="BB167" s="1069"/>
      <c r="BE167" s="1069"/>
      <c r="BH167" s="1069"/>
      <c r="BK167" s="1069"/>
      <c r="BN167" s="1069"/>
      <c r="BQ167" s="1069"/>
      <c r="BT167" s="1069"/>
      <c r="BW167" s="1069"/>
      <c r="BZ167" s="1069"/>
      <c r="CC167" s="1069"/>
    </row>
    <row r="168" spans="1:81" s="1065" customFormat="1" hidden="1" x14ac:dyDescent="0.2">
      <c r="A168" s="1070">
        <v>5</v>
      </c>
      <c r="B168" s="1070">
        <f>E101</f>
        <v>0</v>
      </c>
      <c r="C168" s="1070" t="e">
        <f>VLOOKUP(B168,AU$3:AY$33,3,FALSE)</f>
        <v>#N/A</v>
      </c>
      <c r="D168" s="1070" t="e">
        <f>IF(B161,B172,IF(D161,D172,C168))</f>
        <v>#N/A</v>
      </c>
      <c r="E168" s="1070"/>
      <c r="F168" s="1070"/>
      <c r="G168" s="1070" t="e">
        <f>IF(E161,E172,IF(G161,G172,D168))</f>
        <v>#N/A</v>
      </c>
      <c r="H168" s="1070"/>
      <c r="I168" s="1070"/>
      <c r="J168" s="1070" t="e">
        <f>IF(H161,H172,IF(J161,J172,G168))</f>
        <v>#N/A</v>
      </c>
      <c r="K168" s="1070"/>
      <c r="L168" s="1070"/>
      <c r="M168" s="1070"/>
      <c r="N168" s="1070" t="e">
        <f>IF(L161,L172,IF(N161,N172,J168))</f>
        <v>#N/A</v>
      </c>
      <c r="O168" s="1070"/>
      <c r="P168" s="1070"/>
      <c r="Q168" s="1070" t="e">
        <f>IF(O161,O172,IF(Q161,Q172,N168))</f>
        <v>#N/A</v>
      </c>
      <c r="R168" s="1070"/>
      <c r="S168" s="1070"/>
      <c r="T168" s="1070" t="e">
        <f>IF(R161,R172,IF(T161,T172,Q168))</f>
        <v>#N/A</v>
      </c>
      <c r="U168" s="1070"/>
      <c r="V168" s="1070"/>
      <c r="W168" s="1070" t="e">
        <f>IF(U161,U172,IF(W161,W172,T168))</f>
        <v>#N/A</v>
      </c>
      <c r="X168" s="1070"/>
      <c r="Y168" s="1070"/>
      <c r="Z168" s="1070" t="e">
        <f>IF(X161,X172,IF(Z161,Z172,W168))</f>
        <v>#N/A</v>
      </c>
      <c r="AA168" s="1070"/>
      <c r="AB168" s="1070"/>
      <c r="AC168" s="1070" t="e">
        <f>IF(AA161,AA172,IF(AC161,AC172,Z168))</f>
        <v>#N/A</v>
      </c>
      <c r="AD168" s="1070"/>
      <c r="AE168" s="1070"/>
      <c r="AF168" s="1070" t="e">
        <f>IF(AD161,AD172,IF(AF161,AF172,AC168))</f>
        <v>#N/A</v>
      </c>
      <c r="AG168" s="846"/>
      <c r="AH168" s="846"/>
      <c r="AK168" s="846"/>
      <c r="AM168" s="846"/>
      <c r="AN168" s="846"/>
      <c r="AO168" s="846"/>
      <c r="AP168" s="846"/>
      <c r="AT168" s="1065">
        <f>B168</f>
        <v>0</v>
      </c>
      <c r="AU168" s="1065" t="e">
        <f>AF168</f>
        <v>#N/A</v>
      </c>
      <c r="AW168" s="1069"/>
      <c r="BB168" s="1069"/>
      <c r="BE168" s="1069"/>
      <c r="BH168" s="1069"/>
      <c r="BK168" s="1069"/>
      <c r="BN168" s="1069"/>
      <c r="BQ168" s="1069"/>
      <c r="BT168" s="1069"/>
      <c r="BW168" s="1069"/>
      <c r="BZ168" s="1069"/>
      <c r="CC168" s="1069"/>
    </row>
    <row r="169" spans="1:81" s="1065" customFormat="1" hidden="1" x14ac:dyDescent="0.2">
      <c r="A169" s="1070"/>
      <c r="B169" s="1070"/>
      <c r="C169" s="1070"/>
      <c r="D169" s="1070"/>
      <c r="E169" s="1070"/>
      <c r="F169" s="1070"/>
      <c r="G169" s="1070"/>
      <c r="H169" s="1070"/>
      <c r="I169" s="1070"/>
      <c r="J169" s="1070"/>
      <c r="K169" s="1070"/>
      <c r="L169" s="1070"/>
      <c r="M169" s="1070"/>
      <c r="N169" s="1070"/>
      <c r="O169" s="1070"/>
      <c r="P169" s="1070"/>
      <c r="Q169" s="1070"/>
      <c r="R169" s="1070"/>
      <c r="S169" s="1070"/>
      <c r="T169" s="1070"/>
      <c r="U169" s="1070"/>
      <c r="V169" s="1070"/>
      <c r="W169" s="1070"/>
      <c r="X169" s="1070"/>
      <c r="Y169" s="1070"/>
      <c r="Z169" s="1070"/>
      <c r="AA169" s="1070"/>
      <c r="AB169" s="1070"/>
      <c r="AC169" s="1070"/>
      <c r="AD169" s="1070"/>
      <c r="AE169" s="1070"/>
      <c r="AF169" s="1070"/>
      <c r="AG169" s="846"/>
      <c r="AH169" s="846"/>
      <c r="AK169" s="846"/>
      <c r="AM169" s="846"/>
      <c r="AN169" s="846"/>
      <c r="AO169" s="846"/>
      <c r="AP169" s="846"/>
      <c r="AW169" s="1069"/>
      <c r="BB169" s="1069"/>
      <c r="BE169" s="1069"/>
      <c r="BH169" s="1069"/>
      <c r="BK169" s="1069"/>
      <c r="BN169" s="1069"/>
      <c r="BQ169" s="1069"/>
      <c r="BT169" s="1069"/>
      <c r="BW169" s="1069"/>
      <c r="BZ169" s="1069"/>
      <c r="CC169" s="1069"/>
    </row>
    <row r="170" spans="1:81" s="1065" customFormat="1" hidden="1" x14ac:dyDescent="0.2">
      <c r="A170" s="1070" t="s">
        <v>114</v>
      </c>
      <c r="B170" s="1070">
        <f>VLOOKUP(B109,$A164:$AF168,3,FALSE)</f>
        <v>1205.8047865865301</v>
      </c>
      <c r="C170" s="1070">
        <v>1</v>
      </c>
      <c r="D170" s="1070">
        <f>VLOOKUP(D109,$A164:$AF168,3,FALSE)</f>
        <v>1114.3349186624</v>
      </c>
      <c r="E170" s="1070">
        <f>VLOOKUP(E109,$A164:$AF168,4,FALSE)</f>
        <v>1172.8444831041593</v>
      </c>
      <c r="F170" s="1070">
        <v>2</v>
      </c>
      <c r="G170" s="1070">
        <f>VLOOKUP(G109,$A164:$AF168,4,FALSE)</f>
        <v>1108.3937416173164</v>
      </c>
      <c r="H170" s="1070">
        <f>VLOOKUP(H109,$A164:$AF168,7,FALSE)</f>
        <v>1211.7459636316137</v>
      </c>
      <c r="I170" s="1070">
        <v>3</v>
      </c>
      <c r="J170" s="1070">
        <f>VLOOKUP(J109,$A164:$AF168,7,FALSE)</f>
        <v>1163.3772415888245</v>
      </c>
      <c r="K170" s="1070"/>
      <c r="L170" s="1070">
        <f>VLOOKUP(L109,$A164:$AF168,10,FALSE)</f>
        <v>1218.6393724492136</v>
      </c>
      <c r="M170" s="1070">
        <v>4</v>
      </c>
      <c r="N170" s="1070">
        <f>VLOOKUP(N109,$A164:$AF168,10,FALSE)</f>
        <v>1117.8609831326512</v>
      </c>
      <c r="O170" s="1070">
        <f>VLOOKUP(O109,$A164:$AF168,14,FALSE)</f>
        <v>1156.4838327712246</v>
      </c>
      <c r="P170" s="1070">
        <v>5</v>
      </c>
      <c r="Q170" s="1070">
        <f>VLOOKUP(Q109,$A164:$AF168,14,FALSE)</f>
        <v>1112.1185293446802</v>
      </c>
      <c r="R170" s="1070">
        <f>VLOOKUP(R109,$A164:$AF168,17,FALSE)</f>
        <v>1224.3818262371847</v>
      </c>
      <c r="S170" s="1070">
        <v>6</v>
      </c>
      <c r="T170" s="1070">
        <f>VLOOKUP(T109,$A164:$AF168,17,FALSE)</f>
        <v>1147.4678002736277</v>
      </c>
      <c r="U170" s="1070">
        <f>VLOOKUP(U109,$A164:$AF168,20,FALSE)</f>
        <v>1141.2104363370433</v>
      </c>
      <c r="V170" s="1070">
        <v>7</v>
      </c>
      <c r="W170" s="1070">
        <f>VLOOKUP(W109,$A164:$AF168,20,FALSE)</f>
        <v>1121.134561842277</v>
      </c>
      <c r="X170" s="1070">
        <f>VLOOKUP(X109,$A164:$AF168,23,FALSE)</f>
        <v>1230.6391901737691</v>
      </c>
      <c r="Y170" s="1070">
        <v>8</v>
      </c>
      <c r="Z170" s="1070" t="e">
        <f>VLOOKUP(Z109,$A164:$AF168,23,FALSE)</f>
        <v>#N/A</v>
      </c>
      <c r="AA170" s="1070">
        <f>VLOOKUP(AA109,$A164:$AF168,26,FALSE)</f>
        <v>1121.134561842277</v>
      </c>
      <c r="AB170" s="1070">
        <v>9</v>
      </c>
      <c r="AC170" s="1070" t="e">
        <f>VLOOKUP(AC109,$A164:$AF168,26,FALSE)</f>
        <v>#N/A</v>
      </c>
      <c r="AD170" s="1070">
        <f>VLOOKUP(AD109,$A164:$AF168,29,FALSE)</f>
        <v>1230.6391901737691</v>
      </c>
      <c r="AE170" s="1070">
        <v>10</v>
      </c>
      <c r="AF170" s="1070">
        <f>VLOOKUP(AF109,$A164:$AF168,29,FALSE)</f>
        <v>1141.2104363370433</v>
      </c>
      <c r="AG170" s="846"/>
      <c r="AH170" s="1063"/>
      <c r="AI170" s="1063"/>
      <c r="AJ170" s="1063"/>
      <c r="AK170" s="1063"/>
      <c r="AL170" s="1063"/>
      <c r="AM170" s="1063"/>
      <c r="AN170" s="1063"/>
      <c r="AO170" s="1064"/>
      <c r="AP170" s="1064"/>
      <c r="AQ170" s="1064"/>
      <c r="AR170" s="1064"/>
      <c r="AW170" s="1069"/>
      <c r="BB170" s="1069"/>
      <c r="BE170" s="1069"/>
      <c r="BH170" s="1069"/>
      <c r="BK170" s="1069"/>
      <c r="BN170" s="1069"/>
      <c r="BQ170" s="1069"/>
      <c r="BT170" s="1069"/>
      <c r="BW170" s="1069"/>
      <c r="BZ170" s="1069"/>
      <c r="CC170" s="1069"/>
    </row>
    <row r="171" spans="1:81" s="1075" customFormat="1" hidden="1" x14ac:dyDescent="0.2">
      <c r="A171" s="1071" t="s">
        <v>115</v>
      </c>
      <c r="B171" s="1071">
        <f>1/(1+(10^-((B170-D170)/400)))*(B121+D121)</f>
        <v>0.62867643468227519</v>
      </c>
      <c r="C171" s="1071"/>
      <c r="D171" s="1071">
        <f>1/(1+(10^-((D170-B170)/400)))*(B121+D121)</f>
        <v>0.37132356531772487</v>
      </c>
      <c r="E171" s="1071">
        <f>1/(1+(10^-((E170-G170)/400)))*(E121+G121)</f>
        <v>0.59170259470841569</v>
      </c>
      <c r="F171" s="1071"/>
      <c r="G171" s="1071">
        <f>1/(1+(10^-((G170-E170)/400)))*(E121+G121)</f>
        <v>0.40829740529158426</v>
      </c>
      <c r="H171" s="1071">
        <f>1/(1+(10^-((H170-J170)/400)))*(H121+J121)</f>
        <v>0.56916194890000216</v>
      </c>
      <c r="I171" s="1071"/>
      <c r="J171" s="1071">
        <f>1/(1+(10^-((J170-H170)/400)))*(H121+J121)</f>
        <v>0.4308380510999979</v>
      </c>
      <c r="K171" s="1071"/>
      <c r="L171" s="1071">
        <f>1/(1+(10^-((L170-N170)/400)))*(L121+N121)</f>
        <v>0.64109663825181651</v>
      </c>
      <c r="M171" s="1071"/>
      <c r="N171" s="1071">
        <f>1/(1+(10^-((N170-L170)/400)))*(L121+N121)</f>
        <v>0.35890336174818349</v>
      </c>
      <c r="O171" s="1071">
        <f>1/(1+(10^-((O170-Q170)/400)))*(O121+Q121)</f>
        <v>0.56350203109979802</v>
      </c>
      <c r="P171" s="1071"/>
      <c r="Q171" s="1071">
        <f>1/(1+(10^-((Q170-O170)/400)))*(O121+Q121)</f>
        <v>0.43649796890020209</v>
      </c>
      <c r="R171" s="1071">
        <f>1/(1+(10^-((R170-T170)/400)))*(R121+T121)</f>
        <v>0.60891475396347405</v>
      </c>
      <c r="S171" s="1071"/>
      <c r="T171" s="1071">
        <f>1/(1+(10^-((T170-R170)/400)))*(R121+T121)</f>
        <v>0.39108524603652589</v>
      </c>
      <c r="U171" s="1071">
        <f>1/(1+(10^-((U170-W170)/400)))*(U121+W121)</f>
        <v>0</v>
      </c>
      <c r="V171" s="1071"/>
      <c r="W171" s="1071">
        <f>1/(1+(10^-((W170-U170)/400)))*(U121+W121)</f>
        <v>0</v>
      </c>
      <c r="X171" s="1071" t="e">
        <f>1/(1+(10^-((X170-Z170)/400)))*(X121+Z121)</f>
        <v>#N/A</v>
      </c>
      <c r="Y171" s="1071"/>
      <c r="Z171" s="1071" t="e">
        <f>1/(1+(10^-((Z170-X170)/400)))*(X121+Z121)</f>
        <v>#N/A</v>
      </c>
      <c r="AA171" s="1071" t="e">
        <f>1/(1+(10^-((AA170-AC170)/400)))*(AA121+AC121)</f>
        <v>#N/A</v>
      </c>
      <c r="AB171" s="1071"/>
      <c r="AC171" s="1071" t="e">
        <f>1/(1+(10^-((AC170-AA170)/400)))*(AA121+AC121)</f>
        <v>#N/A</v>
      </c>
      <c r="AD171" s="1071">
        <f>1/(1+(10^-((AD170-AF170)/400)))*(AD121+AF121)</f>
        <v>0</v>
      </c>
      <c r="AE171" s="1071"/>
      <c r="AF171" s="1071">
        <f>1/(1+(10^-((AF170-AD170)/400)))*(AD121+AF121)</f>
        <v>0</v>
      </c>
      <c r="AG171" s="1072"/>
      <c r="AH171" s="1073"/>
      <c r="AI171" s="1073"/>
      <c r="AJ171" s="1073"/>
      <c r="AK171" s="1073"/>
      <c r="AL171" s="1073"/>
      <c r="AM171" s="1073"/>
      <c r="AN171" s="1073"/>
      <c r="AO171" s="1074"/>
      <c r="AP171" s="1074"/>
      <c r="AQ171" s="1074"/>
      <c r="AR171" s="1074"/>
      <c r="AW171" s="1076"/>
      <c r="BB171" s="1076"/>
      <c r="BE171" s="1076"/>
      <c r="BH171" s="1076"/>
      <c r="BK171" s="1076"/>
      <c r="BN171" s="1076"/>
      <c r="BQ171" s="1076"/>
      <c r="BT171" s="1076"/>
      <c r="BW171" s="1076"/>
      <c r="BZ171" s="1076"/>
      <c r="CC171" s="1076"/>
    </row>
    <row r="172" spans="1:81" s="1081" customFormat="1" hidden="1" x14ac:dyDescent="0.2">
      <c r="A172" s="1077" t="s">
        <v>116</v>
      </c>
      <c r="B172" s="1077">
        <f>B170+(B121-B171)*$BA$1</f>
        <v>1211.7459636316137</v>
      </c>
      <c r="C172" s="1077"/>
      <c r="D172" s="1077">
        <f>D170+(D121-D171)*$BA$1</f>
        <v>1108.3937416173164</v>
      </c>
      <c r="E172" s="1077">
        <f>E170+(E121-E171)*$BA$1</f>
        <v>1163.3772415888245</v>
      </c>
      <c r="F172" s="1077"/>
      <c r="G172" s="1077">
        <f>G170+(G121-G171)*$BA$1</f>
        <v>1117.8609831326512</v>
      </c>
      <c r="H172" s="1077">
        <f>H170+(H121-H171)*$BA$1</f>
        <v>1218.6393724492136</v>
      </c>
      <c r="I172" s="1077"/>
      <c r="J172" s="1077">
        <f>J170+(J121-J171)*$BA$1</f>
        <v>1156.4838327712246</v>
      </c>
      <c r="K172" s="1077"/>
      <c r="L172" s="1077">
        <f>L170+(L121-L171)*$BA$1</f>
        <v>1224.3818262371847</v>
      </c>
      <c r="M172" s="1077"/>
      <c r="N172" s="1077">
        <f>N170+(N121-N171)*$BA$1</f>
        <v>1112.1185293446802</v>
      </c>
      <c r="O172" s="1077">
        <f>O170+(O121-O171)*$BA$1</f>
        <v>1147.4678002736277</v>
      </c>
      <c r="P172" s="1077"/>
      <c r="Q172" s="1077">
        <f>Q170+(Q121-Q171)*$BA$1</f>
        <v>1121.134561842277</v>
      </c>
      <c r="R172" s="1077">
        <f>R170+(R121-R171)*$BA$1</f>
        <v>1230.6391901737691</v>
      </c>
      <c r="S172" s="1077"/>
      <c r="T172" s="1077">
        <f>T170+(T121-T171)*$BA$1</f>
        <v>1141.2104363370433</v>
      </c>
      <c r="U172" s="1077">
        <f>U170+(U121-U171)*$BA$1</f>
        <v>1141.2104363370433</v>
      </c>
      <c r="V172" s="1077"/>
      <c r="W172" s="1077">
        <f>W170+(W121-W171)*$BA$1</f>
        <v>1121.134561842277</v>
      </c>
      <c r="X172" s="1077" t="e">
        <f>X170+(X121-X171)*$BA$1</f>
        <v>#N/A</v>
      </c>
      <c r="Y172" s="1077"/>
      <c r="Z172" s="1077" t="e">
        <f>Z170+(Z121-Z171)*$BA$1</f>
        <v>#N/A</v>
      </c>
      <c r="AA172" s="1077" t="e">
        <f>AA170+(AA121-AA171)*$BA$1</f>
        <v>#N/A</v>
      </c>
      <c r="AB172" s="1077"/>
      <c r="AC172" s="1077" t="e">
        <f>AC170+(AC121-AC171)*$BA$1</f>
        <v>#N/A</v>
      </c>
      <c r="AD172" s="1077">
        <f>AD170+(AD121-AD171)*$BA$1</f>
        <v>1230.6391901737691</v>
      </c>
      <c r="AE172" s="1077"/>
      <c r="AF172" s="1077">
        <f>AF170+(AF121-AF171)*$BA$1</f>
        <v>1141.2104363370433</v>
      </c>
      <c r="AG172" s="1078"/>
      <c r="AH172" s="1079"/>
      <c r="AI172" s="1079"/>
      <c r="AJ172" s="1079"/>
      <c r="AK172" s="1079"/>
      <c r="AL172" s="1079"/>
      <c r="AM172" s="1079"/>
      <c r="AN172" s="1079"/>
      <c r="AO172" s="1080"/>
      <c r="AP172" s="1080"/>
      <c r="AQ172" s="1080"/>
      <c r="AR172" s="1080"/>
      <c r="AW172" s="1082"/>
      <c r="BB172" s="1082"/>
      <c r="BE172" s="1082"/>
      <c r="BH172" s="1082"/>
      <c r="BK172" s="1082"/>
      <c r="BN172" s="1082"/>
      <c r="BQ172" s="1082"/>
      <c r="BT172" s="1082"/>
      <c r="BW172" s="1082"/>
      <c r="BZ172" s="1082"/>
      <c r="CC172" s="1082"/>
    </row>
    <row r="173" spans="1:81" s="1081" customFormat="1" hidden="1" x14ac:dyDescent="0.2">
      <c r="A173" s="1077"/>
      <c r="B173" s="1077"/>
      <c r="C173" s="1077"/>
      <c r="D173" s="1077"/>
      <c r="E173" s="1077"/>
      <c r="F173" s="1077"/>
      <c r="G173" s="1077"/>
      <c r="H173" s="1077"/>
      <c r="I173" s="1077"/>
      <c r="J173" s="1077"/>
      <c r="K173" s="1077"/>
      <c r="L173" s="1077"/>
      <c r="M173" s="1077"/>
      <c r="N173" s="1077"/>
      <c r="O173" s="1077"/>
      <c r="P173" s="1077"/>
      <c r="Q173" s="1077"/>
      <c r="R173" s="1077"/>
      <c r="S173" s="1077"/>
      <c r="T173" s="1077"/>
      <c r="U173" s="1077"/>
      <c r="V173" s="1077"/>
      <c r="W173" s="1077"/>
      <c r="X173" s="1077"/>
      <c r="Y173" s="1077"/>
      <c r="Z173" s="1077"/>
      <c r="AA173" s="1077"/>
      <c r="AB173" s="1077"/>
      <c r="AC173" s="1077"/>
      <c r="AD173" s="1077"/>
      <c r="AE173" s="1077"/>
      <c r="AF173" s="1077"/>
      <c r="AG173" s="1078"/>
      <c r="AH173" s="1079"/>
      <c r="AI173" s="1079"/>
      <c r="AJ173" s="1079"/>
      <c r="AK173" s="1079"/>
      <c r="AL173" s="1079"/>
      <c r="AM173" s="1079"/>
      <c r="AN173" s="1079"/>
      <c r="AO173" s="1080"/>
      <c r="AP173" s="1080"/>
      <c r="AQ173" s="1080"/>
      <c r="AR173" s="1080"/>
      <c r="AW173" s="1082"/>
      <c r="BB173" s="1082"/>
      <c r="BE173" s="1082"/>
      <c r="BH173" s="1082"/>
      <c r="BK173" s="1082"/>
      <c r="BN173" s="1082"/>
      <c r="BQ173" s="1082"/>
      <c r="BT173" s="1082"/>
      <c r="BW173" s="1082"/>
      <c r="BZ173" s="1082"/>
      <c r="CC173" s="1082"/>
    </row>
    <row r="174" spans="1:81" s="1065" customFormat="1" x14ac:dyDescent="0.2">
      <c r="A174" s="1083" t="str">
        <f>IF($AL95=1,"Pool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174" s="1083"/>
      <c r="C174" s="1083"/>
      <c r="D174" s="1083"/>
      <c r="E174" s="1083"/>
      <c r="F174" s="1083"/>
      <c r="G174" s="1083"/>
      <c r="H174" s="1083"/>
      <c r="I174" s="1083"/>
      <c r="J174" s="1083"/>
      <c r="K174" s="1083"/>
      <c r="L174" s="1083"/>
      <c r="M174" s="1083"/>
      <c r="N174" s="1083"/>
      <c r="O174" s="1083"/>
      <c r="P174" s="1083"/>
      <c r="Q174" s="1083"/>
      <c r="R174" s="1083"/>
      <c r="S174" s="1083"/>
      <c r="T174" s="1083"/>
      <c r="U174" s="1083"/>
      <c r="V174" s="1083"/>
      <c r="W174" s="1083"/>
      <c r="X174" s="1083"/>
      <c r="Y174" s="1083"/>
      <c r="Z174" s="1083"/>
      <c r="AA174" s="1083"/>
      <c r="AB174" s="1083"/>
      <c r="AC174" s="1083"/>
      <c r="AD174" s="1083"/>
      <c r="AE174" s="1083"/>
      <c r="AF174" s="1083"/>
      <c r="AG174" s="1083"/>
      <c r="AH174" s="1083"/>
      <c r="AI174" s="1083"/>
      <c r="AJ174" s="1083"/>
      <c r="AK174" s="1083"/>
      <c r="AL174" s="1083"/>
      <c r="AM174" s="1083"/>
      <c r="AN174" s="1084"/>
      <c r="AO174" s="1084"/>
      <c r="AP174" s="1084"/>
      <c r="AQ174" s="1084"/>
    </row>
    <row r="175" spans="1:81" s="1065" customFormat="1" x14ac:dyDescent="0.2">
      <c r="A175" s="1085"/>
      <c r="B175" s="1085"/>
      <c r="C175" s="1085"/>
      <c r="D175" s="1085"/>
      <c r="E175" s="1085"/>
      <c r="F175" s="1085"/>
      <c r="G175" s="1085"/>
      <c r="H175" s="1085"/>
      <c r="I175" s="1085"/>
      <c r="J175" s="1085"/>
      <c r="K175" s="1085"/>
      <c r="L175" s="1085"/>
      <c r="M175" s="1085"/>
      <c r="N175" s="1085"/>
      <c r="O175" s="1085"/>
      <c r="P175" s="1085"/>
      <c r="Q175" s="1085"/>
      <c r="R175" s="1085"/>
      <c r="S175" s="1085"/>
      <c r="T175" s="1085"/>
      <c r="U175" s="1085"/>
      <c r="V175" s="1085"/>
      <c r="W175" s="1085"/>
      <c r="X175" s="1085"/>
      <c r="Y175" s="1085"/>
      <c r="Z175" s="1085"/>
      <c r="AA175" s="1085"/>
      <c r="AB175" s="1085"/>
      <c r="AC175" s="1085"/>
      <c r="AD175" s="1085"/>
      <c r="AE175" s="1085"/>
      <c r="AF175" s="1085"/>
      <c r="AG175" s="1085"/>
      <c r="AH175" s="1085"/>
      <c r="AI175" s="1085"/>
      <c r="AJ175" s="1085"/>
      <c r="AK175" s="1085"/>
      <c r="AL175" s="1085"/>
      <c r="AM175" s="1085"/>
      <c r="AN175" s="1085"/>
      <c r="AO175" s="1085"/>
      <c r="AP175" s="1085"/>
      <c r="AQ175" s="1085"/>
      <c r="AR175" s="1085"/>
    </row>
    <row r="176" spans="1:81" ht="21" thickBot="1" x14ac:dyDescent="0.35">
      <c r="A176" s="1089" t="s">
        <v>118</v>
      </c>
      <c r="B176" s="1089"/>
      <c r="C176" s="1089"/>
      <c r="D176" s="1089"/>
      <c r="E176" s="1089"/>
      <c r="F176" s="1089"/>
      <c r="G176" s="1089"/>
      <c r="H176" s="1089"/>
      <c r="I176" s="1089"/>
      <c r="J176" s="1089"/>
      <c r="K176" s="1089"/>
      <c r="L176" s="1089"/>
      <c r="M176" s="1089"/>
      <c r="N176" s="1089"/>
      <c r="O176" s="1089"/>
      <c r="P176" s="1089"/>
      <c r="Q176" s="1089"/>
      <c r="R176" s="1089"/>
      <c r="S176" s="1089"/>
      <c r="T176" s="1089"/>
      <c r="U176" s="1089"/>
      <c r="V176" s="1089"/>
      <c r="W176" s="1089"/>
      <c r="X176" s="1089"/>
      <c r="Y176" s="1089"/>
      <c r="Z176" s="1089"/>
      <c r="AA176" s="1089"/>
      <c r="AB176" s="1089"/>
      <c r="AC176" s="1089"/>
      <c r="AD176" s="1089"/>
      <c r="AE176" s="1089"/>
      <c r="AF176" s="1089"/>
      <c r="AG176" s="1089"/>
      <c r="AH176" s="1089"/>
      <c r="AI176" s="1089"/>
      <c r="AJ176" s="1089"/>
      <c r="AK176" s="1089"/>
      <c r="AL176" s="1089"/>
      <c r="AM176" s="1089"/>
      <c r="AN176" s="1089"/>
      <c r="AO176" s="1089"/>
      <c r="AP176" s="1089"/>
      <c r="AQ176" s="1089"/>
    </row>
    <row r="177" spans="1:53" ht="13.5" thickBot="1" x14ac:dyDescent="0.25">
      <c r="A177" s="1090" t="s">
        <v>119</v>
      </c>
      <c r="B177" s="1091" t="s">
        <v>120</v>
      </c>
      <c r="C177" s="1092"/>
      <c r="D177" s="1092"/>
      <c r="E177" s="1092"/>
      <c r="F177" s="1092"/>
      <c r="G177" s="1092"/>
      <c r="H177" s="1092"/>
      <c r="I177" s="1092"/>
      <c r="J177" s="1092"/>
      <c r="K177" s="1093"/>
      <c r="L177" s="1091" t="s">
        <v>121</v>
      </c>
      <c r="M177" s="1092"/>
      <c r="N177" s="1092"/>
      <c r="O177" s="1092"/>
      <c r="P177" s="1092"/>
      <c r="Q177" s="1092"/>
      <c r="R177" s="1092"/>
      <c r="S177" s="1092"/>
      <c r="T177" s="1092"/>
      <c r="U177" s="1093"/>
      <c r="V177" s="1091" t="s">
        <v>122</v>
      </c>
      <c r="W177" s="1092"/>
      <c r="X177" s="1092"/>
      <c r="Y177" s="1092"/>
      <c r="Z177" s="1092"/>
      <c r="AA177" s="1092"/>
      <c r="AB177" s="1092"/>
      <c r="AC177" s="1092"/>
      <c r="AD177" s="1092"/>
      <c r="AE177" s="1093"/>
      <c r="AF177" s="1091" t="s">
        <v>123</v>
      </c>
      <c r="AG177" s="1092"/>
      <c r="AH177" s="1092"/>
      <c r="AI177" s="1092"/>
      <c r="AJ177" s="1092"/>
      <c r="AK177" s="1092"/>
      <c r="AL177" s="1092"/>
      <c r="AM177" s="1092"/>
      <c r="AN177" s="1092"/>
      <c r="AO177" s="1093"/>
    </row>
    <row r="178" spans="1:53" ht="13.5" thickBot="1" x14ac:dyDescent="0.25">
      <c r="A178" s="1094"/>
      <c r="B178" s="1095" t="s">
        <v>10</v>
      </c>
      <c r="C178" s="1096"/>
      <c r="D178" s="1096"/>
      <c r="E178" s="1096"/>
      <c r="F178" s="1096"/>
      <c r="G178" s="1097"/>
      <c r="H178" s="1095" t="s">
        <v>124</v>
      </c>
      <c r="I178" s="1096"/>
      <c r="J178" s="1096"/>
      <c r="K178" s="1097"/>
      <c r="L178" s="1095" t="s">
        <v>10</v>
      </c>
      <c r="M178" s="1096"/>
      <c r="N178" s="1096"/>
      <c r="O178" s="1096"/>
      <c r="P178" s="1096"/>
      <c r="Q178" s="1097"/>
      <c r="R178" s="1095" t="s">
        <v>124</v>
      </c>
      <c r="S178" s="1096"/>
      <c r="T178" s="1096"/>
      <c r="U178" s="1097"/>
      <c r="V178" s="1095" t="s">
        <v>10</v>
      </c>
      <c r="W178" s="1096"/>
      <c r="X178" s="1096"/>
      <c r="Y178" s="1096"/>
      <c r="Z178" s="1096"/>
      <c r="AA178" s="1097"/>
      <c r="AB178" s="1095" t="s">
        <v>124</v>
      </c>
      <c r="AC178" s="1096"/>
      <c r="AD178" s="1096"/>
      <c r="AE178" s="1097"/>
      <c r="AF178" s="1095" t="s">
        <v>10</v>
      </c>
      <c r="AG178" s="1096"/>
      <c r="AH178" s="1096"/>
      <c r="AI178" s="1096"/>
      <c r="AJ178" s="1096"/>
      <c r="AK178" s="1097"/>
      <c r="AL178" s="1095" t="s">
        <v>124</v>
      </c>
      <c r="AM178" s="1096"/>
      <c r="AN178" s="1096"/>
      <c r="AO178" s="1097"/>
    </row>
    <row r="179" spans="1:53" x14ac:dyDescent="0.2">
      <c r="A179" s="1098" t="s">
        <v>125</v>
      </c>
      <c r="B179" s="1099" t="str">
        <f>IF($AG$8=1,$E$8,IF($AG$10=1,$E$10,IF($AG$12=1,$E$12,IF($AG$14=1,$E$14,IF($AG$16=1,$E$16,"1st Place "&amp;$A179)))))</f>
        <v>Intense Kids power Gvl</v>
      </c>
      <c r="C179" s="1100"/>
      <c r="D179" s="1100"/>
      <c r="E179" s="1100"/>
      <c r="F179" s="1100"/>
      <c r="G179" s="1100"/>
      <c r="H179" s="1101" t="str">
        <f>IF($AG$8=1,$E$9,IF($AG$10=1,$E$11,IF($AG$12=1,$E$13,IF($AG$14=1,$E$15,IF($AG$16=1,$E$17,"1st Place "&amp;$A179)))))</f>
        <v>fj2inten2pm</v>
      </c>
      <c r="I179" s="1101"/>
      <c r="J179" s="1101"/>
      <c r="K179" s="1102"/>
      <c r="L179" s="1099" t="str">
        <f>IF($AG$8=2,$E$8,IF($AG$10=2,$E$10,IF($AG$12=2,$E$12,IF($AG$14=2,$E$14,IF($AG$16=2,$E$16,"2nd Place "&amp;$A179)))))</f>
        <v>SC Midlands KP Garnet</v>
      </c>
      <c r="M179" s="1100"/>
      <c r="N179" s="1100"/>
      <c r="O179" s="1100"/>
      <c r="P179" s="1100"/>
      <c r="Q179" s="1100"/>
      <c r="R179" s="1101" t="str">
        <f>IF($AG$8=2,$E$9,IF($AG$10=2,$E$11,IF($AG$12=2,$E$13,IF($AG$14=2,$E$15,IF($AG$16=2,$E$17,"2nd Place "&amp;$A179)))))</f>
        <v>fj1scmid2pm</v>
      </c>
      <c r="S179" s="1101"/>
      <c r="T179" s="1101"/>
      <c r="U179" s="1102"/>
      <c r="V179" s="1099" t="str">
        <f>IF($AG$8=3,$E$8,IF($AG$10=3,$E$10,IF($AG$12=3,$E$12,IF($AG$14=3,$E$14,IF($AG$16=3,$E$16,"3rd Place "&amp;$A179)))))</f>
        <v>SC Midlands KP Black</v>
      </c>
      <c r="W179" s="1100"/>
      <c r="X179" s="1100"/>
      <c r="Y179" s="1100"/>
      <c r="Z179" s="1100"/>
      <c r="AA179" s="1100"/>
      <c r="AB179" s="1101" t="str">
        <f>IF($AG$8=3,$E$9,IF($AG$10=3,$E$11,IF($AG$12=3,$E$13,IF($AG$14=3,$E$15,IF($AG$16=3,$E$17,"3rd Place "&amp;$A179)))))</f>
        <v>fj1scmid1pm</v>
      </c>
      <c r="AC179" s="1101"/>
      <c r="AD179" s="1101"/>
      <c r="AE179" s="1102"/>
      <c r="AF179" s="1099" t="str">
        <f>IF($AG$8=4,$E$8,IF($AG$10=4,$E$10,IF($AG$12=4,$E$12,IF($AG$14=4,$E$14,IF($AG$16=4,$E$16,"4th Place "&amp;$A179)))))</f>
        <v>Kershaw Dev 12 Black</v>
      </c>
      <c r="AG179" s="1100"/>
      <c r="AH179" s="1100"/>
      <c r="AI179" s="1100"/>
      <c r="AJ179" s="1100"/>
      <c r="AK179" s="1100"/>
      <c r="AL179" s="1101" t="str">
        <f>IF($AG$8=4,$E$9,IF($AG$10=4,$E$11,IF($AG$12=4,$E$13,IF($AG$14=4,$E$15,IF($AG$16=4,$E$17,"4th Place "&amp;$A179)))))</f>
        <v>fj2kersh4pm</v>
      </c>
      <c r="AM179" s="1101"/>
      <c r="AN179" s="1101"/>
      <c r="AO179" s="1102"/>
    </row>
    <row r="180" spans="1:53" ht="13.5" thickBot="1" x14ac:dyDescent="0.25">
      <c r="A180" s="1103" t="s">
        <v>126</v>
      </c>
      <c r="B180" s="1104" t="str">
        <f>IF($AG$93=1,$E$93,IF($AG$95=1,$E$95,IF($AG$97=1,$E$97,IF($AG$99=1,$E$99,IF($AG$101=1,$E$101,"1st Place "&amp;$A180)))))</f>
        <v>SC Midlands KP Silver</v>
      </c>
      <c r="C180" s="1105"/>
      <c r="D180" s="1105"/>
      <c r="E180" s="1105"/>
      <c r="F180" s="1105"/>
      <c r="G180" s="1105"/>
      <c r="H180" s="1106" t="str">
        <f>IF($AG$93=1,$E$94,IF($AG$95=1,$E$96,IF($AG$97=1,$E$98,IF($AG$99=1,$E$100,IF($AG$101=1,$E$102,"1st Place "&amp;$A180)))))</f>
        <v>fj1scmid4pm</v>
      </c>
      <c r="I180" s="1106"/>
      <c r="J180" s="1106"/>
      <c r="K180" s="1107"/>
      <c r="L180" s="1104" t="str">
        <f>IF($AG$93=2,$E$93,IF($AG$95=2,$E$95,IF($AG$97=2,$E$97,IF($AG$99=2,$E$99,IF($AG$101=2,$E$101,"2nd Place "&amp;$A180)))))</f>
        <v>Foothills Skylar</v>
      </c>
      <c r="M180" s="1105"/>
      <c r="N180" s="1105"/>
      <c r="O180" s="1105"/>
      <c r="P180" s="1105"/>
      <c r="Q180" s="1105"/>
      <c r="R180" s="1106" t="str">
        <f>IF($AG$93=2,$E$94,IF($AG$95=2,$E$96,IF($AG$97=2,$E$98,IF($AG$99=2,$E$100,IF($AG$101=2,$E$102,"2nd Place "&amp;$A180)))))</f>
        <v>fj2footh3pm</v>
      </c>
      <c r="S180" s="1106"/>
      <c r="T180" s="1106"/>
      <c r="U180" s="1107"/>
      <c r="V180" s="1104" t="str">
        <f>IF($AG$93=3,$E$93,IF($AG$95=3,$E$95,IF($AG$97=3,$E$97,IF($AG$99=3,$E$99,IF($AG$101=3,$E$101,"3rd Place "&amp;$A180)))))</f>
        <v>Columbia SC Starlings 12</v>
      </c>
      <c r="W180" s="1105"/>
      <c r="X180" s="1105"/>
      <c r="Y180" s="1105"/>
      <c r="Z180" s="1105"/>
      <c r="AA180" s="1105"/>
      <c r="AB180" s="1106" t="str">
        <f>IF($AG$93=3,$E$94,IF($AG$95=3,$E$96,IF($AG$97=3,$E$98,IF($AG$99=3,$E$100,IF($AG$101=3,$E$102,"3rd Place "&amp;$A180)))))</f>
        <v>fj2starl1pm</v>
      </c>
      <c r="AC180" s="1106"/>
      <c r="AD180" s="1106"/>
      <c r="AE180" s="1107"/>
      <c r="AF180" s="1108"/>
      <c r="AG180" s="1109"/>
      <c r="AH180" s="1109"/>
      <c r="AI180" s="1109"/>
      <c r="AJ180" s="1109"/>
      <c r="AK180" s="1109"/>
      <c r="AL180" s="1110"/>
      <c r="AM180" s="1110"/>
      <c r="AN180" s="1110"/>
      <c r="AO180" s="1111"/>
    </row>
    <row r="181" spans="1:53" s="845" customFormat="1" x14ac:dyDescent="0.2">
      <c r="A181" s="1112"/>
      <c r="B181" s="1113"/>
      <c r="C181" s="1113"/>
      <c r="D181" s="1113"/>
      <c r="E181" s="1113"/>
      <c r="F181" s="1113"/>
      <c r="G181" s="1113"/>
      <c r="H181" s="1113"/>
      <c r="I181" s="1113"/>
      <c r="J181" s="1113"/>
      <c r="K181" s="1113"/>
      <c r="L181" s="1113"/>
      <c r="M181" s="1113"/>
      <c r="N181" s="1113"/>
      <c r="O181" s="1113"/>
      <c r="P181" s="1113"/>
      <c r="Q181" s="1113"/>
      <c r="R181" s="1113"/>
      <c r="S181" s="1113"/>
      <c r="T181" s="1113"/>
      <c r="U181" s="1113"/>
      <c r="V181" s="1113"/>
      <c r="W181" s="1113"/>
      <c r="X181" s="1113"/>
      <c r="Y181" s="1113"/>
      <c r="Z181" s="1113"/>
      <c r="AA181" s="1113"/>
      <c r="AB181" s="1113"/>
      <c r="AC181" s="1113"/>
      <c r="AD181" s="1113"/>
      <c r="AE181" s="1113"/>
      <c r="AF181" s="1113"/>
      <c r="AG181" s="1113"/>
      <c r="AH181" s="1113"/>
      <c r="AI181" s="1113"/>
      <c r="AJ181" s="1113"/>
      <c r="AK181" s="1113"/>
      <c r="AL181" s="1113"/>
      <c r="AM181" s="1113"/>
      <c r="AN181" s="1113"/>
      <c r="AO181" s="1113"/>
      <c r="AZ181" s="846"/>
      <c r="BA181" s="846"/>
    </row>
    <row r="182" spans="1:53" ht="15.75" x14ac:dyDescent="0.25">
      <c r="A182" s="1114" t="s">
        <v>127</v>
      </c>
      <c r="B182" s="1114"/>
      <c r="C182" s="1114"/>
      <c r="D182" s="1114"/>
      <c r="E182" s="1114"/>
      <c r="F182" s="1114"/>
      <c r="G182" s="1114"/>
      <c r="H182" s="1114"/>
      <c r="I182" s="1114"/>
      <c r="J182" s="1114"/>
      <c r="K182" s="1114"/>
      <c r="L182" s="1114"/>
      <c r="M182" s="1114"/>
      <c r="N182" s="1114"/>
      <c r="O182" s="1114"/>
      <c r="P182" s="1114"/>
      <c r="Q182" s="1114"/>
      <c r="R182" s="1114"/>
      <c r="S182" s="1114"/>
      <c r="T182" s="1114"/>
      <c r="U182" s="1114"/>
      <c r="V182" s="1114"/>
      <c r="W182" s="1114"/>
      <c r="X182" s="1114"/>
      <c r="Y182" s="1114"/>
      <c r="Z182" s="1114"/>
      <c r="AA182" s="1114"/>
      <c r="AB182" s="1114"/>
      <c r="AC182" s="1114"/>
      <c r="AD182" s="1114"/>
      <c r="AE182" s="1114"/>
      <c r="AF182" s="1114"/>
      <c r="AG182" s="1114"/>
      <c r="AH182" s="1114"/>
      <c r="AI182" s="1114"/>
      <c r="AJ182" s="1114"/>
      <c r="AK182" s="1114"/>
      <c r="AL182" s="1114"/>
      <c r="AM182" s="1114"/>
      <c r="AN182" s="1114"/>
      <c r="AO182" s="1114"/>
      <c r="AP182" s="1114"/>
      <c r="AQ182" s="1114"/>
      <c r="AT182" s="1115"/>
      <c r="AU182" s="1115"/>
    </row>
    <row r="183" spans="1:53" ht="18" x14ac:dyDescent="0.25">
      <c r="A183" s="1116" t="s">
        <v>1130</v>
      </c>
      <c r="B183" s="1116"/>
      <c r="C183" s="1116"/>
      <c r="D183" s="1116"/>
      <c r="E183" s="1116"/>
      <c r="F183" s="1116"/>
      <c r="G183" s="1116"/>
      <c r="H183" s="1116"/>
      <c r="I183" s="1116"/>
      <c r="J183" s="1116"/>
      <c r="K183" s="1116"/>
      <c r="L183" s="1116"/>
      <c r="M183" s="1116"/>
      <c r="N183" s="1116"/>
      <c r="O183" s="1116"/>
      <c r="P183" s="1116"/>
      <c r="Q183" s="1116"/>
      <c r="R183" s="1116"/>
      <c r="S183" s="1116"/>
      <c r="T183" s="1116"/>
      <c r="U183" s="1116"/>
      <c r="V183" s="1116"/>
      <c r="W183" s="1116"/>
      <c r="X183" s="1116"/>
      <c r="Y183" s="1116"/>
      <c r="Z183" s="1116"/>
      <c r="AA183" s="1116"/>
      <c r="AB183" s="1116"/>
      <c r="AC183" s="1116"/>
      <c r="AD183" s="1116"/>
      <c r="AE183" s="1116"/>
      <c r="AF183" s="1116"/>
      <c r="AG183" s="1116"/>
      <c r="AH183" s="1116"/>
      <c r="AI183" s="1116"/>
      <c r="AJ183" s="1116"/>
      <c r="AK183" s="1116"/>
      <c r="AL183" s="1116"/>
      <c r="AM183" s="1116"/>
      <c r="AN183" s="1116"/>
      <c r="AO183" s="1116"/>
      <c r="AP183" s="1116"/>
      <c r="AQ183" s="1116"/>
      <c r="AR183" s="1116"/>
    </row>
    <row r="184" spans="1:53" x14ac:dyDescent="0.2">
      <c r="A184" s="1117"/>
      <c r="B184" s="1117"/>
      <c r="C184" s="1117"/>
      <c r="D184" s="1117"/>
      <c r="E184" s="1117"/>
      <c r="F184" s="1117"/>
      <c r="G184" s="1117"/>
      <c r="H184" s="1117"/>
      <c r="I184" s="1117"/>
      <c r="J184" s="1117"/>
      <c r="K184" s="1117"/>
      <c r="L184" s="1117"/>
      <c r="M184" s="1117"/>
      <c r="N184" s="1117"/>
      <c r="O184" s="1117"/>
      <c r="P184" s="1117"/>
      <c r="Q184" s="1117"/>
      <c r="R184" s="1117"/>
      <c r="S184" s="1117"/>
      <c r="T184" s="1117"/>
      <c r="U184" s="1117"/>
      <c r="V184" s="1117"/>
      <c r="W184" s="1117"/>
      <c r="X184" s="1117"/>
      <c r="Y184" s="1117"/>
      <c r="Z184" s="1117"/>
      <c r="AA184" s="1117"/>
      <c r="AB184" s="1117"/>
      <c r="AC184" s="1117"/>
      <c r="AD184" s="1117"/>
      <c r="AE184" s="1117"/>
      <c r="AF184" s="1117"/>
      <c r="AG184" s="1117"/>
      <c r="AH184" s="1117"/>
      <c r="AI184" s="1117"/>
      <c r="AJ184" s="1117"/>
      <c r="AK184" s="1117"/>
      <c r="AL184" s="1117"/>
      <c r="AM184" s="1117"/>
      <c r="AN184" s="1117"/>
      <c r="AO184" s="1117"/>
      <c r="AP184" s="1117"/>
      <c r="AQ184" s="1117"/>
      <c r="AR184" s="1117"/>
    </row>
    <row r="185" spans="1:53" x14ac:dyDescent="0.2">
      <c r="A185" s="1117"/>
      <c r="B185" s="1117"/>
      <c r="C185" s="1117"/>
      <c r="D185" s="1117"/>
      <c r="E185" s="1117"/>
      <c r="F185" s="1117"/>
      <c r="G185" s="1117"/>
      <c r="H185" s="1117"/>
      <c r="I185" s="1117"/>
      <c r="J185" s="1117"/>
      <c r="K185" s="1117"/>
      <c r="L185" s="1117"/>
      <c r="M185" s="1117"/>
      <c r="N185" s="1117"/>
      <c r="O185" s="1117"/>
      <c r="P185" s="1117"/>
      <c r="Q185" s="1117"/>
      <c r="R185" s="1117"/>
      <c r="S185" s="1117"/>
      <c r="T185" s="1117"/>
      <c r="U185" s="1117"/>
      <c r="V185" s="1117"/>
      <c r="W185" s="1117"/>
      <c r="X185" s="1117"/>
      <c r="Y185" s="1117"/>
      <c r="Z185" s="1117"/>
      <c r="AA185" s="1117"/>
      <c r="AB185" s="1117"/>
      <c r="AC185" s="1117"/>
      <c r="AD185" s="1117"/>
      <c r="AE185" s="1117"/>
      <c r="AF185" s="1117"/>
      <c r="AG185" s="1117"/>
      <c r="AH185" s="1117"/>
      <c r="AI185" s="1117"/>
      <c r="AJ185" s="1117"/>
      <c r="AK185" s="1117"/>
      <c r="AL185" s="1117"/>
      <c r="AM185" s="1117"/>
      <c r="AN185" s="1117"/>
      <c r="AO185" s="1117"/>
      <c r="AP185" s="1117"/>
      <c r="AQ185" s="1117"/>
      <c r="AR185" s="1117"/>
    </row>
    <row r="186" spans="1:53" x14ac:dyDescent="0.2">
      <c r="A186" s="1118" t="s">
        <v>130</v>
      </c>
      <c r="B186" s="1118"/>
      <c r="C186" s="1118"/>
      <c r="D186" s="1118"/>
      <c r="E186" s="1118"/>
      <c r="F186" s="1118"/>
      <c r="G186" s="1118"/>
      <c r="H186" s="1118"/>
      <c r="I186" s="1118"/>
      <c r="J186" s="1118"/>
      <c r="K186" s="1118"/>
      <c r="L186" s="1118"/>
      <c r="M186" s="1119"/>
    </row>
    <row r="187" spans="1:53" x14ac:dyDescent="0.2">
      <c r="C187" s="845"/>
      <c r="D187" s="845"/>
      <c r="E187" s="845"/>
      <c r="M187" s="1119"/>
    </row>
    <row r="188" spans="1:53" x14ac:dyDescent="0.2">
      <c r="A188" s="1084" t="s">
        <v>131</v>
      </c>
      <c r="B188" s="1084"/>
      <c r="C188" s="1084"/>
      <c r="D188" s="1084"/>
      <c r="E188" s="1084"/>
      <c r="F188" s="1084"/>
      <c r="G188" s="1084"/>
      <c r="H188" s="1084"/>
      <c r="I188" s="1084"/>
      <c r="J188" s="1084"/>
      <c r="K188" s="1084"/>
      <c r="L188" s="1084"/>
      <c r="M188" s="1084"/>
      <c r="N188" s="1084"/>
      <c r="O188" s="1084"/>
      <c r="P188" s="1084"/>
      <c r="Q188" s="1066"/>
      <c r="S188" s="1084" t="s">
        <v>132</v>
      </c>
      <c r="T188" s="1084"/>
      <c r="U188" s="1084"/>
      <c r="V188" s="1084"/>
      <c r="W188" s="1084"/>
      <c r="X188" s="1084"/>
      <c r="Y188" s="1084"/>
      <c r="Z188" s="1084"/>
      <c r="AA188" s="1084"/>
      <c r="AB188" s="1084"/>
      <c r="AC188" s="1084"/>
      <c r="AD188" s="1084"/>
      <c r="AE188" s="1084"/>
      <c r="AF188" s="1084"/>
      <c r="AG188" s="1084"/>
    </row>
    <row r="190" spans="1:53" ht="13.5" thickBot="1" x14ac:dyDescent="0.25">
      <c r="A190" s="1120" t="str">
        <f>IF(B218=1,B210,IF(B218=2,B211,IF(B218=3,B212,IF(B218=4,B213,IF(OR(B218="B",B218="b"),"BYE","invalid")))))</f>
        <v>Intense Kids power Gvl</v>
      </c>
      <c r="B190" s="1120"/>
      <c r="C190" s="1120"/>
      <c r="D190" s="1120"/>
      <c r="E190" s="1120"/>
      <c r="F190" s="1121"/>
      <c r="G190" s="1121"/>
      <c r="H190" s="1121"/>
      <c r="I190" s="1121"/>
      <c r="J190" s="1121"/>
      <c r="K190" s="1121"/>
      <c r="L190" s="1121"/>
      <c r="M190" s="1121"/>
      <c r="N190" s="1121"/>
      <c r="O190" s="1121"/>
      <c r="T190" s="1122"/>
      <c r="U190" s="1122"/>
      <c r="V190" s="1120" t="str">
        <f>IF(X218=1,Y210,IF(X218=2,Y211,IF(X218=3,Y212,IF(X218=4,Y213,IF(OR(X218="B",X218="b"),"BYE","invalid")))))</f>
        <v>SC Midlands KP Black</v>
      </c>
      <c r="W190" s="1120"/>
      <c r="X190" s="1120"/>
      <c r="Y190" s="1120"/>
      <c r="Z190" s="1120"/>
      <c r="AA190" s="1120"/>
      <c r="AB190" s="1120"/>
      <c r="AC190" s="1121"/>
      <c r="AD190" s="1121"/>
      <c r="AE190" s="1121"/>
      <c r="AF190" s="1121"/>
    </row>
    <row r="191" spans="1:53" x14ac:dyDescent="0.2">
      <c r="A191" s="1123" t="s">
        <v>133</v>
      </c>
      <c r="B191" s="1123"/>
      <c r="C191" s="1123"/>
      <c r="D191" s="1123"/>
      <c r="E191" s="1123"/>
      <c r="F191" s="1124"/>
      <c r="G191" s="1121"/>
      <c r="H191" s="1121"/>
      <c r="I191" s="1121"/>
      <c r="J191" s="1121"/>
      <c r="K191" s="1121"/>
      <c r="L191" s="1121"/>
      <c r="M191" s="1121"/>
      <c r="N191" s="1121"/>
      <c r="O191" s="1121"/>
      <c r="T191" s="1125"/>
      <c r="U191" s="1125"/>
      <c r="V191" s="1126"/>
      <c r="W191" s="1126"/>
      <c r="X191" s="1126"/>
      <c r="Y191" s="1126"/>
      <c r="Z191" s="1126"/>
      <c r="AA191" s="1126"/>
      <c r="AB191" s="1127"/>
      <c r="AC191" s="1121"/>
      <c r="AD191" s="1121"/>
      <c r="AE191" s="1121"/>
      <c r="AF191" s="1121"/>
    </row>
    <row r="192" spans="1:53" x14ac:dyDescent="0.2">
      <c r="A192" s="1121"/>
      <c r="B192" s="1121"/>
      <c r="C192" s="1121"/>
      <c r="D192" s="1121"/>
      <c r="E192" s="1121"/>
      <c r="F192" s="1124"/>
      <c r="G192" s="1121"/>
      <c r="H192" s="1121"/>
      <c r="I192" s="1121"/>
      <c r="J192" s="1121"/>
      <c r="K192" s="1121"/>
      <c r="L192" s="1121"/>
      <c r="M192" s="1121"/>
      <c r="N192" s="1121"/>
      <c r="O192" s="1121"/>
      <c r="S192" s="1121"/>
      <c r="T192" s="1121"/>
      <c r="U192" s="1121"/>
      <c r="V192" s="1121"/>
      <c r="W192" s="1121"/>
      <c r="X192" s="1121"/>
      <c r="Y192" s="1121"/>
      <c r="Z192" s="1121"/>
      <c r="AA192" s="1121"/>
      <c r="AB192" s="1128"/>
      <c r="AC192" s="1121"/>
      <c r="AD192" s="1121"/>
      <c r="AE192" s="1121"/>
      <c r="AF192" s="1121"/>
    </row>
    <row r="193" spans="1:53" ht="13.5" thickBot="1" x14ac:dyDescent="0.25">
      <c r="A193" s="1129" t="str">
        <f>B212&amp;" ref"</f>
        <v>SC Midlands KP Garnet ref</v>
      </c>
      <c r="B193" s="1129"/>
      <c r="C193" s="1129"/>
      <c r="D193" s="1129"/>
      <c r="E193" s="1130"/>
      <c r="F193" s="1131" t="str">
        <f>IF(H218=1,B210,IF(H218=2,B211,IF(H218=3,B212,IF(H218=4,B213,"Winner Match 1"))))</f>
        <v>Winner Match 1</v>
      </c>
      <c r="G193" s="1132"/>
      <c r="H193" s="1132"/>
      <c r="I193" s="1132"/>
      <c r="J193" s="1132"/>
      <c r="K193" s="1132"/>
      <c r="L193" s="1132"/>
      <c r="M193" s="1132"/>
      <c r="N193" s="1132"/>
      <c r="O193" s="1121"/>
      <c r="Q193" s="1133"/>
      <c r="R193" s="1133"/>
      <c r="S193" s="1133"/>
      <c r="T193" s="1133"/>
      <c r="U193" s="1134"/>
      <c r="V193" s="1134"/>
      <c r="W193" s="1134"/>
      <c r="X193" s="1134"/>
      <c r="Y193" s="1134"/>
      <c r="Z193" s="1134"/>
      <c r="AA193" s="1134"/>
      <c r="AB193" s="1128"/>
      <c r="AC193" s="1131" t="str">
        <f>IF(AD218=1,Y210,IF(AD218=2,Y211,IF(AD218=3,Y212,IF(AD218=4,Y213,"Winner Match 1"))))</f>
        <v>SC Midlands KP Black</v>
      </c>
      <c r="AD193" s="1132"/>
      <c r="AE193" s="1132"/>
      <c r="AF193" s="1132"/>
      <c r="AG193" s="1132"/>
      <c r="AH193" s="1132"/>
      <c r="AI193" s="1132"/>
    </row>
    <row r="194" spans="1:53" x14ac:dyDescent="0.2">
      <c r="A194" s="1135" t="s">
        <v>135</v>
      </c>
      <c r="B194" s="1135"/>
      <c r="C194" s="1135"/>
      <c r="D194" s="1135"/>
      <c r="E194" s="1135"/>
      <c r="F194" s="1136"/>
      <c r="G194" s="1137"/>
      <c r="H194" s="1137"/>
      <c r="I194" s="1138"/>
      <c r="J194" s="1139"/>
      <c r="K194" s="1140"/>
      <c r="L194" s="1140"/>
      <c r="M194" s="1140"/>
      <c r="N194" s="1140"/>
      <c r="O194" s="1121"/>
      <c r="P194" s="1121"/>
      <c r="Q194" s="1141"/>
      <c r="R194" s="853"/>
      <c r="S194" s="1142"/>
      <c r="T194" s="1142"/>
      <c r="U194" s="1143"/>
      <c r="V194" s="1143"/>
      <c r="W194" s="1143"/>
      <c r="X194" s="1143"/>
      <c r="Y194" s="1143"/>
      <c r="Z194" s="1143"/>
      <c r="AA194" s="1143"/>
      <c r="AB194" s="1128"/>
      <c r="AC194" s="1136"/>
      <c r="AD194" s="1137"/>
      <c r="AE194" s="1137"/>
      <c r="AF194" s="1138"/>
      <c r="AG194" s="1139"/>
      <c r="AH194" s="1140"/>
      <c r="AI194" s="1140"/>
    </row>
    <row r="195" spans="1:53" ht="13.5" thickBot="1" x14ac:dyDescent="0.25">
      <c r="A195" s="1120" t="str">
        <f>IF(D218=1,B210,IF(D218=2,B211,IF(D218=3,B212,IF(D218=4,B213,IF(OR(D218="B",D218="b"),"BYE","invalid")))))</f>
        <v>Foothills Skylar</v>
      </c>
      <c r="B195" s="1120"/>
      <c r="C195" s="1120"/>
      <c r="D195" s="1120"/>
      <c r="E195" s="1144"/>
      <c r="F195" s="1124"/>
      <c r="G195" s="1121"/>
      <c r="H195" s="1121"/>
      <c r="I195" s="1121"/>
      <c r="J195" s="1124"/>
      <c r="K195" s="1121"/>
      <c r="L195" s="1121"/>
      <c r="M195" s="1121"/>
      <c r="N195" s="1121"/>
      <c r="O195" s="1121"/>
      <c r="P195" s="1121"/>
      <c r="Q195" s="1121"/>
      <c r="U195" s="1121"/>
      <c r="V195" s="1145" t="str">
        <f>IF(Z218=1,Y210,IF(Z218=2,Y211,IF(Z218=3,Y212,IF(Z218=4,Y213,IF(OR(Z218="B",Z218="b"),"BYE","invalid")))))</f>
        <v>BYE</v>
      </c>
      <c r="W195" s="1145"/>
      <c r="X195" s="1145"/>
      <c r="Y195" s="1145"/>
      <c r="Z195" s="1145"/>
      <c r="AA195" s="1145"/>
      <c r="AB195" s="1146"/>
      <c r="AC195" s="1121"/>
      <c r="AD195" s="1121"/>
      <c r="AE195" s="1121"/>
      <c r="AF195" s="1128"/>
      <c r="AG195" s="1121"/>
      <c r="AH195" s="1121"/>
    </row>
    <row r="196" spans="1:53" x14ac:dyDescent="0.2">
      <c r="A196" s="1123" t="s">
        <v>137</v>
      </c>
      <c r="B196" s="1123"/>
      <c r="C196" s="1123"/>
      <c r="D196" s="1123"/>
      <c r="E196" s="1123"/>
      <c r="F196" s="1121"/>
      <c r="G196" s="1121"/>
      <c r="H196" s="1121"/>
      <c r="I196" s="1121"/>
      <c r="J196" s="1124"/>
      <c r="K196" s="1121"/>
      <c r="L196" s="1121"/>
      <c r="M196" s="1121"/>
      <c r="N196" s="1121"/>
      <c r="O196" s="1121"/>
      <c r="P196" s="1121"/>
      <c r="Q196" s="1121"/>
      <c r="V196" s="1147"/>
      <c r="W196" s="1147"/>
      <c r="X196" s="1147"/>
      <c r="Y196" s="1147"/>
      <c r="Z196" s="1147"/>
      <c r="AA196" s="1147"/>
      <c r="AB196" s="1147"/>
      <c r="AC196" s="1121"/>
      <c r="AD196" s="1121"/>
      <c r="AE196" s="1121"/>
      <c r="AF196" s="1128"/>
      <c r="AG196" s="1121"/>
      <c r="AH196" s="1121"/>
      <c r="AR196" s="1148"/>
      <c r="AS196" s="1148"/>
      <c r="AV196" s="1148"/>
      <c r="AW196" s="1148"/>
      <c r="AX196" s="1148"/>
    </row>
    <row r="197" spans="1:53" x14ac:dyDescent="0.2">
      <c r="A197" s="1121"/>
      <c r="B197" s="1121"/>
      <c r="C197" s="1121"/>
      <c r="D197" s="1121"/>
      <c r="E197" s="1121"/>
      <c r="F197" s="1134" t="s">
        <v>139</v>
      </c>
      <c r="G197" s="1134"/>
      <c r="H197" s="1134"/>
      <c r="I197" s="1149"/>
      <c r="J197" s="1124"/>
      <c r="K197" s="1121"/>
      <c r="L197" s="1121"/>
      <c r="M197" s="1121"/>
      <c r="N197" s="1121"/>
      <c r="O197" s="1121"/>
      <c r="P197" s="1121"/>
      <c r="Q197" s="1121"/>
      <c r="S197" s="1121"/>
      <c r="T197" s="1121"/>
      <c r="U197" s="1121"/>
      <c r="V197" s="1121"/>
      <c r="W197" s="1121"/>
      <c r="X197" s="1133"/>
      <c r="Y197" s="1133"/>
      <c r="Z197" s="1133"/>
      <c r="AB197" s="1133"/>
      <c r="AC197" s="1134" t="s">
        <v>139</v>
      </c>
      <c r="AD197" s="1134"/>
      <c r="AE197" s="1134"/>
      <c r="AF197" s="1149"/>
      <c r="AG197" s="1121"/>
      <c r="AH197" s="1121"/>
    </row>
    <row r="198" spans="1:53" ht="13.5" thickBot="1" x14ac:dyDescent="0.25">
      <c r="A198" s="1121"/>
      <c r="B198" s="1121"/>
      <c r="C198" s="1121"/>
      <c r="D198" s="1121"/>
      <c r="E198" s="1121"/>
      <c r="F198" s="1121"/>
      <c r="G198" s="1121"/>
      <c r="H198" s="1121"/>
      <c r="I198" s="1121"/>
      <c r="J198" s="1150" t="str">
        <f>IF(K223=1,B210,IF(K223=2,B211,IF(K223=3,B212,IF(K223=4,B213,"Division Winner"))))</f>
        <v>Division Winner</v>
      </c>
      <c r="K198" s="1151"/>
      <c r="L198" s="1151"/>
      <c r="M198" s="1151"/>
      <c r="N198" s="1151"/>
      <c r="O198" s="1151"/>
      <c r="P198" s="1151"/>
      <c r="Q198" s="1151"/>
      <c r="R198" s="1122"/>
      <c r="S198" s="1121"/>
      <c r="T198" s="1121"/>
      <c r="U198" s="1121"/>
      <c r="V198" s="1121"/>
      <c r="W198" s="1121"/>
      <c r="X198" s="1121"/>
      <c r="Y198" s="1121"/>
      <c r="Z198" s="1121"/>
      <c r="AA198" s="1121"/>
      <c r="AB198" s="1152"/>
      <c r="AC198" s="1152"/>
      <c r="AD198" s="1152"/>
      <c r="AE198" s="1152"/>
      <c r="AF198" s="1153"/>
      <c r="AG198" s="1151" t="str">
        <f>IF(AG223=1,Y210,IF(AG223=2,Y211,IF(AG223=3,Y212,IF(AG223=4,Y213,"Division Winner"))))</f>
        <v>Division Winner</v>
      </c>
      <c r="AH198" s="1151"/>
      <c r="AI198" s="1151"/>
      <c r="AJ198" s="1151"/>
      <c r="AK198" s="1151"/>
      <c r="AL198" s="1152"/>
    </row>
    <row r="199" spans="1:53" ht="13.5" thickBot="1" x14ac:dyDescent="0.25">
      <c r="A199" s="1120" t="str">
        <f>IF(E218=1,B210,IF(E218=2,B211,IF(E218=3,B212,IF(E218=4,B213,IF(OR(E218="B",E218="b"),"BYE","invalid")))))</f>
        <v>SC Midlands KP Silver</v>
      </c>
      <c r="B199" s="1120"/>
      <c r="C199" s="1120"/>
      <c r="D199" s="1120"/>
      <c r="E199" s="1120"/>
      <c r="F199" s="1135" t="s">
        <v>140</v>
      </c>
      <c r="G199" s="1135"/>
      <c r="H199" s="1135"/>
      <c r="I199" s="1135"/>
      <c r="J199" s="1154" t="s">
        <v>141</v>
      </c>
      <c r="K199" s="1134"/>
      <c r="L199" s="1134"/>
      <c r="M199" s="1134"/>
      <c r="N199" s="1134"/>
      <c r="O199" s="1134"/>
      <c r="P199" s="1134"/>
      <c r="Q199" s="1134"/>
      <c r="S199" s="1152"/>
      <c r="T199" s="1152"/>
      <c r="U199" s="1152"/>
      <c r="V199" s="1120" t="str">
        <f>IF(AA218=1,Y210,IF(AA218=2,Y211,IF(AA218=3,Y212,IF(AA218=4,Y213,IF(OR(AA218="B",AA218="b"),"BYE","invalid")))))</f>
        <v>Columbia SC Starlings 12</v>
      </c>
      <c r="W199" s="1120"/>
      <c r="X199" s="1120"/>
      <c r="Y199" s="1120"/>
      <c r="Z199" s="1120"/>
      <c r="AA199" s="1120"/>
      <c r="AB199" s="1120"/>
      <c r="AC199" s="1135" t="s">
        <v>142</v>
      </c>
      <c r="AD199" s="1135"/>
      <c r="AE199" s="1135"/>
      <c r="AF199" s="1155"/>
      <c r="AG199" s="1156" t="s">
        <v>143</v>
      </c>
      <c r="AH199" s="1157"/>
      <c r="AI199" s="1157"/>
      <c r="AJ199" s="1157"/>
      <c r="AK199" s="1157"/>
    </row>
    <row r="200" spans="1:53" x14ac:dyDescent="0.2">
      <c r="A200" s="1123" t="s">
        <v>144</v>
      </c>
      <c r="B200" s="1123"/>
      <c r="C200" s="1123"/>
      <c r="D200" s="1123"/>
      <c r="E200" s="1123"/>
      <c r="F200" s="1124"/>
      <c r="G200" s="1121"/>
      <c r="H200" s="1121"/>
      <c r="I200" s="1121"/>
      <c r="J200" s="1154"/>
      <c r="K200" s="1134"/>
      <c r="L200" s="1134"/>
      <c r="M200" s="1134"/>
      <c r="N200" s="1134"/>
      <c r="O200" s="1134"/>
      <c r="P200" s="1134"/>
      <c r="Q200" s="1134"/>
      <c r="R200" s="1121"/>
      <c r="S200" s="1148"/>
      <c r="T200" s="1148"/>
      <c r="U200" s="1148"/>
      <c r="V200" s="1129" t="s">
        <v>145</v>
      </c>
      <c r="W200" s="1129"/>
      <c r="X200" s="1129"/>
      <c r="Y200" s="1129"/>
      <c r="Z200" s="1129"/>
      <c r="AA200" s="1129"/>
      <c r="AB200" s="1130"/>
      <c r="AC200" s="1121"/>
      <c r="AD200" s="1121"/>
      <c r="AE200" s="1121"/>
      <c r="AF200" s="1128"/>
      <c r="AG200" s="1121"/>
      <c r="AH200" s="1121"/>
    </row>
    <row r="201" spans="1:53" x14ac:dyDescent="0.2">
      <c r="A201" s="1121"/>
      <c r="B201" s="1121"/>
      <c r="C201" s="1121"/>
      <c r="D201" s="1121"/>
      <c r="E201" s="1121"/>
      <c r="F201" s="1124"/>
      <c r="G201" s="1121"/>
      <c r="H201" s="1121"/>
      <c r="I201" s="1121"/>
      <c r="J201" s="1124"/>
      <c r="K201" s="1121"/>
      <c r="L201" s="1121"/>
      <c r="M201" s="1121"/>
      <c r="N201" s="1121"/>
      <c r="O201" s="1121"/>
      <c r="Q201" s="1121"/>
      <c r="R201" s="1121"/>
      <c r="S201" s="1121"/>
      <c r="T201" s="1121"/>
      <c r="U201" s="1121"/>
      <c r="V201" s="1121"/>
      <c r="W201" s="1121"/>
      <c r="X201" s="1121"/>
      <c r="Y201" s="1121"/>
      <c r="Z201" s="1121"/>
      <c r="AA201" s="1121"/>
      <c r="AB201" s="1128"/>
      <c r="AC201" s="1124"/>
      <c r="AD201" s="1121"/>
      <c r="AE201" s="1121"/>
      <c r="AF201" s="1128"/>
      <c r="AG201" s="1121"/>
      <c r="AH201" s="1121"/>
      <c r="AZ201" s="1057"/>
      <c r="BA201" s="1057"/>
    </row>
    <row r="202" spans="1:53" ht="13.5" thickBot="1" x14ac:dyDescent="0.25">
      <c r="A202" s="1134" t="s">
        <v>146</v>
      </c>
      <c r="B202" s="1134"/>
      <c r="C202" s="1134"/>
      <c r="D202" s="1134"/>
      <c r="E202" s="1141"/>
      <c r="F202" s="1158"/>
      <c r="G202" s="1159"/>
      <c r="H202" s="1159"/>
      <c r="I202" s="1160"/>
      <c r="J202" s="1139"/>
      <c r="K202" s="1140"/>
      <c r="L202" s="1140"/>
      <c r="M202" s="1140"/>
      <c r="N202" s="1140"/>
      <c r="O202" s="1121"/>
      <c r="R202" s="1133"/>
      <c r="S202" s="1133"/>
      <c r="T202" s="1133"/>
      <c r="U202" s="1129" t="str">
        <f>Y210&amp;" ref"</f>
        <v>SC Midlands KP Black ref</v>
      </c>
      <c r="V202" s="1129"/>
      <c r="W202" s="1129"/>
      <c r="X202" s="1129"/>
      <c r="Y202" s="1129"/>
      <c r="Z202" s="1129"/>
      <c r="AA202" s="1129"/>
      <c r="AB202" s="1130"/>
      <c r="AC202" s="1158"/>
      <c r="AD202" s="1159"/>
      <c r="AE202" s="1159"/>
      <c r="AF202" s="1160"/>
      <c r="AG202" s="1139"/>
      <c r="AH202" s="1140"/>
      <c r="AI202" s="1140"/>
      <c r="AZ202" s="1057"/>
      <c r="BA202" s="1057"/>
    </row>
    <row r="203" spans="1:53" x14ac:dyDescent="0.2">
      <c r="A203" s="1135" t="s">
        <v>135</v>
      </c>
      <c r="B203" s="1135"/>
      <c r="C203" s="1135"/>
      <c r="D203" s="1135"/>
      <c r="E203" s="1155"/>
      <c r="F203" s="1131" t="str">
        <f>IF(J218=1,B210,IF(J218=2,B211,IF(J218=3,B212,IF(J218=4,B213,"Winner Match 2"))))</f>
        <v>Winner Match 2</v>
      </c>
      <c r="G203" s="1132"/>
      <c r="H203" s="1132"/>
      <c r="I203" s="1132"/>
      <c r="J203" s="1132"/>
      <c r="K203" s="1132"/>
      <c r="L203" s="1132"/>
      <c r="M203" s="1132"/>
      <c r="N203" s="1132"/>
      <c r="O203" s="1121"/>
      <c r="Q203" s="1141"/>
      <c r="R203" s="1141"/>
      <c r="T203" s="1142"/>
      <c r="U203" s="1135" t="s">
        <v>136</v>
      </c>
      <c r="V203" s="1135"/>
      <c r="W203" s="1135"/>
      <c r="X203" s="1135"/>
      <c r="Y203" s="1135"/>
      <c r="Z203" s="1135"/>
      <c r="AA203" s="1135"/>
      <c r="AB203" s="1128"/>
      <c r="AC203" s="1131" t="str">
        <f>IF(AF218=1,Y210,IF(AF218=2,Y211,IF(AF218=3,Y212,IF(AF218=4,Y213,"Winner Match 2"))))</f>
        <v>Winner Match 2</v>
      </c>
      <c r="AD203" s="1132"/>
      <c r="AE203" s="1132"/>
      <c r="AF203" s="1132"/>
      <c r="AG203" s="1132"/>
      <c r="AH203" s="1132"/>
      <c r="AI203" s="1132"/>
      <c r="AZ203" s="1057"/>
      <c r="BA203" s="1057"/>
    </row>
    <row r="204" spans="1:53" ht="13.5" thickBot="1" x14ac:dyDescent="0.25">
      <c r="A204" s="1120" t="str">
        <f>IF(G218=1,B210,IF(G218=2,B211,IF(G218=3,B212,IF(G218=4,B213,IF(OR(G218="B",G218="b"),"BYE","invalid")))))</f>
        <v>SC Midlands KP Garnet</v>
      </c>
      <c r="B204" s="1120"/>
      <c r="C204" s="1120"/>
      <c r="D204" s="1120"/>
      <c r="E204" s="1144"/>
      <c r="F204" s="1124"/>
      <c r="G204" s="1121"/>
      <c r="H204" s="1121"/>
      <c r="I204" s="1121"/>
      <c r="J204" s="1121"/>
      <c r="K204" s="1121"/>
      <c r="L204" s="1121"/>
      <c r="M204" s="1121"/>
      <c r="N204" s="1121"/>
      <c r="O204" s="1121"/>
      <c r="Q204" s="1121"/>
      <c r="R204" s="1121"/>
      <c r="S204" s="1121"/>
      <c r="T204" s="1152"/>
      <c r="U204" s="1152"/>
      <c r="V204" s="1120" t="str">
        <f>IF(AC218=1,Y210,IF(AC218=2,Y211,IF(AC218=3,Y212,IF(AC218=4,Y213,IF(OR(AC218="B",AC218="b"),"BYE","invalid")))))</f>
        <v>Kershaw Dev 12 Black</v>
      </c>
      <c r="W204" s="1120"/>
      <c r="X204" s="1120"/>
      <c r="Y204" s="1120"/>
      <c r="Z204" s="1120"/>
      <c r="AA204" s="1120"/>
      <c r="AB204" s="1144"/>
      <c r="AC204" s="1121"/>
      <c r="AD204" s="1121"/>
      <c r="AE204" s="1121"/>
      <c r="AF204" s="1121"/>
      <c r="AZ204" s="1057"/>
      <c r="BA204" s="1057"/>
    </row>
    <row r="205" spans="1:53" x14ac:dyDescent="0.2">
      <c r="A205" s="1123" t="s">
        <v>147</v>
      </c>
      <c r="B205" s="1123"/>
      <c r="C205" s="1123"/>
      <c r="D205" s="1123"/>
      <c r="E205" s="1123"/>
      <c r="T205" s="1148"/>
      <c r="U205" s="1148"/>
      <c r="V205" s="1129" t="s">
        <v>148</v>
      </c>
      <c r="W205" s="1129"/>
      <c r="X205" s="1129"/>
      <c r="Y205" s="1129"/>
      <c r="Z205" s="1129"/>
      <c r="AA205" s="1129"/>
      <c r="AB205" s="1129"/>
      <c r="AZ205" s="1057"/>
      <c r="BA205" s="1057"/>
    </row>
    <row r="206" spans="1:53" x14ac:dyDescent="0.2">
      <c r="AT206" s="1057"/>
      <c r="AU206" s="1057"/>
      <c r="AZ206" s="1057"/>
      <c r="BA206" s="1057"/>
    </row>
    <row r="207" spans="1:53" x14ac:dyDescent="0.2">
      <c r="AT207" s="1057"/>
      <c r="AU207" s="1057"/>
      <c r="AZ207" s="1057"/>
      <c r="BA207" s="1057"/>
    </row>
    <row r="208" spans="1:53" ht="16.5" thickBot="1" x14ac:dyDescent="0.3">
      <c r="A208" s="1161" t="s">
        <v>149</v>
      </c>
      <c r="B208" s="1161"/>
      <c r="C208" s="1161"/>
      <c r="D208" s="1161"/>
      <c r="E208" s="1161"/>
      <c r="F208" s="1161"/>
      <c r="G208" s="1161"/>
      <c r="H208" s="1161"/>
      <c r="I208" s="1161"/>
      <c r="J208" s="1161"/>
      <c r="K208" s="1162"/>
      <c r="R208" s="1163"/>
      <c r="S208" s="1163"/>
      <c r="T208" s="1163"/>
      <c r="V208" s="1161" t="s">
        <v>150</v>
      </c>
      <c r="W208" s="1161"/>
      <c r="X208" s="1161"/>
      <c r="Y208" s="1161"/>
      <c r="Z208" s="1161"/>
      <c r="AA208" s="1161"/>
      <c r="AB208" s="1161"/>
      <c r="AC208" s="1161"/>
      <c r="AD208" s="1161"/>
      <c r="AE208" s="1161"/>
      <c r="AF208" s="1161"/>
      <c r="AG208" s="1161"/>
      <c r="AT208" s="1057"/>
      <c r="AU208" s="1057"/>
      <c r="AZ208" s="1057"/>
      <c r="BA208" s="1057"/>
    </row>
    <row r="209" spans="1:53" ht="13.5" thickBot="1" x14ac:dyDescent="0.25">
      <c r="A209" s="1164" t="s">
        <v>151</v>
      </c>
      <c r="B209" s="1165" t="s">
        <v>152</v>
      </c>
      <c r="C209" s="1166"/>
      <c r="D209" s="1166"/>
      <c r="E209" s="1166"/>
      <c r="F209" s="1166"/>
      <c r="G209" s="1166"/>
      <c r="H209" s="1166"/>
      <c r="I209" s="1166"/>
      <c r="J209" s="1167"/>
      <c r="K209" s="1168" t="s">
        <v>153</v>
      </c>
      <c r="L209" s="1169"/>
      <c r="M209" s="1169"/>
      <c r="N209" s="1169"/>
      <c r="O209" s="1169"/>
      <c r="P209" s="1169"/>
      <c r="Q209" s="1170"/>
      <c r="R209" s="1121"/>
      <c r="V209" s="1171" t="s">
        <v>151</v>
      </c>
      <c r="W209" s="1172"/>
      <c r="X209" s="1173"/>
      <c r="Y209" s="1165" t="s">
        <v>152</v>
      </c>
      <c r="Z209" s="1166"/>
      <c r="AA209" s="1166"/>
      <c r="AB209" s="1166"/>
      <c r="AC209" s="1166"/>
      <c r="AD209" s="1166"/>
      <c r="AE209" s="1166"/>
      <c r="AF209" s="1166"/>
      <c r="AG209" s="1167"/>
      <c r="AH209" s="1168" t="s">
        <v>153</v>
      </c>
      <c r="AI209" s="1169"/>
      <c r="AJ209" s="1169"/>
      <c r="AK209" s="1169"/>
      <c r="AL209" s="1169"/>
      <c r="AM209" s="1169"/>
      <c r="AN209" s="1170"/>
      <c r="AT209" s="1057"/>
      <c r="AU209" s="1057"/>
      <c r="AZ209" s="1057"/>
      <c r="BA209" s="1057"/>
    </row>
    <row r="210" spans="1:53" ht="13.5" thickBot="1" x14ac:dyDescent="0.25">
      <c r="A210" s="1164">
        <v>1</v>
      </c>
      <c r="B210" s="1174" t="str">
        <f>B179</f>
        <v>Intense Kids power Gvl</v>
      </c>
      <c r="C210" s="1175"/>
      <c r="D210" s="1175"/>
      <c r="E210" s="1175"/>
      <c r="F210" s="1175"/>
      <c r="G210" s="1175"/>
      <c r="H210" s="1175"/>
      <c r="I210" s="1175"/>
      <c r="J210" s="1176"/>
      <c r="K210" s="1177" t="str">
        <f>H179</f>
        <v>fj2inten2pm</v>
      </c>
      <c r="L210" s="1178"/>
      <c r="M210" s="1178"/>
      <c r="N210" s="1178"/>
      <c r="O210" s="1178"/>
      <c r="P210" s="1178"/>
      <c r="Q210" s="1179"/>
      <c r="R210" s="1121"/>
      <c r="V210" s="1171">
        <v>1</v>
      </c>
      <c r="W210" s="1172"/>
      <c r="X210" s="1173"/>
      <c r="Y210" s="1174" t="str">
        <f>V179</f>
        <v>SC Midlands KP Black</v>
      </c>
      <c r="Z210" s="1175"/>
      <c r="AA210" s="1175"/>
      <c r="AB210" s="1175"/>
      <c r="AC210" s="1175"/>
      <c r="AD210" s="1175"/>
      <c r="AE210" s="1175"/>
      <c r="AF210" s="1175"/>
      <c r="AG210" s="1176"/>
      <c r="AH210" s="1177" t="str">
        <f>AB179</f>
        <v>fj1scmid1pm</v>
      </c>
      <c r="AI210" s="1178"/>
      <c r="AJ210" s="1178"/>
      <c r="AK210" s="1178"/>
      <c r="AL210" s="1178"/>
      <c r="AM210" s="1178"/>
      <c r="AN210" s="1179"/>
      <c r="AT210" s="1057"/>
      <c r="AU210" s="1057"/>
      <c r="AZ210" s="1057"/>
      <c r="BA210" s="1057"/>
    </row>
    <row r="211" spans="1:53" ht="13.5" thickBot="1" x14ac:dyDescent="0.25">
      <c r="A211" s="1164">
        <v>2</v>
      </c>
      <c r="B211" s="1174" t="str">
        <f>B180</f>
        <v>SC Midlands KP Silver</v>
      </c>
      <c r="C211" s="1175"/>
      <c r="D211" s="1175"/>
      <c r="E211" s="1175"/>
      <c r="F211" s="1175"/>
      <c r="G211" s="1175"/>
      <c r="H211" s="1175"/>
      <c r="I211" s="1175"/>
      <c r="J211" s="1176"/>
      <c r="K211" s="1177" t="str">
        <f>H180</f>
        <v>fj1scmid4pm</v>
      </c>
      <c r="L211" s="1178"/>
      <c r="M211" s="1178"/>
      <c r="N211" s="1178"/>
      <c r="O211" s="1178"/>
      <c r="P211" s="1178"/>
      <c r="Q211" s="1179"/>
      <c r="R211" s="1121"/>
      <c r="V211" s="1171">
        <v>2</v>
      </c>
      <c r="W211" s="1172"/>
      <c r="X211" s="1173"/>
      <c r="Y211" s="1174" t="str">
        <f>V180</f>
        <v>Columbia SC Starlings 12</v>
      </c>
      <c r="Z211" s="1175"/>
      <c r="AA211" s="1175"/>
      <c r="AB211" s="1175"/>
      <c r="AC211" s="1175"/>
      <c r="AD211" s="1175"/>
      <c r="AE211" s="1175"/>
      <c r="AF211" s="1175"/>
      <c r="AG211" s="1176"/>
      <c r="AH211" s="1177" t="str">
        <f>AB180</f>
        <v>fj2starl1pm</v>
      </c>
      <c r="AI211" s="1178"/>
      <c r="AJ211" s="1178"/>
      <c r="AK211" s="1178"/>
      <c r="AL211" s="1178"/>
      <c r="AM211" s="1178"/>
      <c r="AN211" s="1179"/>
      <c r="AT211" s="1057"/>
      <c r="AU211" s="1057"/>
      <c r="AZ211" s="1057"/>
      <c r="BA211" s="1057"/>
    </row>
    <row r="212" spans="1:53" ht="13.5" thickBot="1" x14ac:dyDescent="0.25">
      <c r="A212" s="1164">
        <v>3</v>
      </c>
      <c r="B212" s="1174" t="str">
        <f>L179</f>
        <v>SC Midlands KP Garnet</v>
      </c>
      <c r="C212" s="1175"/>
      <c r="D212" s="1175"/>
      <c r="E212" s="1175"/>
      <c r="F212" s="1175"/>
      <c r="G212" s="1175"/>
      <c r="H212" s="1175"/>
      <c r="I212" s="1175"/>
      <c r="J212" s="1176"/>
      <c r="K212" s="1177" t="str">
        <f>R179</f>
        <v>fj1scmid2pm</v>
      </c>
      <c r="L212" s="1178"/>
      <c r="M212" s="1178"/>
      <c r="N212" s="1178"/>
      <c r="O212" s="1178"/>
      <c r="P212" s="1178"/>
      <c r="Q212" s="1179"/>
      <c r="R212" s="1121"/>
      <c r="V212" s="1171">
        <v>3</v>
      </c>
      <c r="W212" s="1172"/>
      <c r="X212" s="1173"/>
      <c r="Y212" s="1174" t="str">
        <f>AF179</f>
        <v>Kershaw Dev 12 Black</v>
      </c>
      <c r="Z212" s="1175"/>
      <c r="AA212" s="1175"/>
      <c r="AB212" s="1175"/>
      <c r="AC212" s="1175"/>
      <c r="AD212" s="1175"/>
      <c r="AE212" s="1175"/>
      <c r="AF212" s="1175"/>
      <c r="AG212" s="1176"/>
      <c r="AH212" s="1177" t="str">
        <f>AL179</f>
        <v>fj2kersh4pm</v>
      </c>
      <c r="AI212" s="1178"/>
      <c r="AJ212" s="1178"/>
      <c r="AK212" s="1178"/>
      <c r="AL212" s="1178"/>
      <c r="AM212" s="1178"/>
      <c r="AN212" s="1179"/>
      <c r="AT212" s="1057"/>
      <c r="AU212" s="1057"/>
      <c r="AZ212" s="1057"/>
      <c r="BA212" s="1057"/>
    </row>
    <row r="213" spans="1:53" ht="13.5" thickBot="1" x14ac:dyDescent="0.25">
      <c r="A213" s="1164">
        <v>4</v>
      </c>
      <c r="B213" s="1174" t="str">
        <f>L180</f>
        <v>Foothills Skylar</v>
      </c>
      <c r="C213" s="1175"/>
      <c r="D213" s="1175"/>
      <c r="E213" s="1175"/>
      <c r="F213" s="1175"/>
      <c r="G213" s="1175"/>
      <c r="H213" s="1175"/>
      <c r="I213" s="1175"/>
      <c r="J213" s="1176"/>
      <c r="K213" s="1177" t="str">
        <f>R180</f>
        <v>fj2footh3pm</v>
      </c>
      <c r="L213" s="1178"/>
      <c r="M213" s="1178"/>
      <c r="N213" s="1178"/>
      <c r="O213" s="1178"/>
      <c r="P213" s="1178"/>
      <c r="Q213" s="1179"/>
      <c r="R213" s="1121"/>
      <c r="V213" s="1171">
        <v>4</v>
      </c>
      <c r="W213" s="1172"/>
      <c r="X213" s="1173"/>
      <c r="Y213" s="1174" t="s">
        <v>1131</v>
      </c>
      <c r="Z213" s="1175"/>
      <c r="AA213" s="1175"/>
      <c r="AB213" s="1175"/>
      <c r="AC213" s="1175"/>
      <c r="AD213" s="1175"/>
      <c r="AE213" s="1175"/>
      <c r="AF213" s="1175"/>
      <c r="AG213" s="1176"/>
      <c r="AH213" s="1177"/>
      <c r="AI213" s="1178"/>
      <c r="AJ213" s="1178"/>
      <c r="AK213" s="1178"/>
      <c r="AL213" s="1178"/>
      <c r="AM213" s="1178"/>
      <c r="AN213" s="1179"/>
      <c r="AT213" s="1057"/>
      <c r="AU213" s="1057"/>
      <c r="AZ213" s="1057"/>
      <c r="BA213" s="1057"/>
    </row>
    <row r="214" spans="1:53" ht="13.5" thickBot="1" x14ac:dyDescent="0.25">
      <c r="AT214" s="1057"/>
      <c r="AU214" s="1057"/>
      <c r="AZ214" s="1057"/>
      <c r="BA214" s="1057"/>
    </row>
    <row r="215" spans="1:53" x14ac:dyDescent="0.2">
      <c r="B215" s="1180" t="s">
        <v>154</v>
      </c>
      <c r="C215" s="1181"/>
      <c r="D215" s="1182"/>
      <c r="E215" s="1183" t="s">
        <v>154</v>
      </c>
      <c r="F215" s="1181"/>
      <c r="G215" s="1182"/>
      <c r="H215" s="1183" t="s">
        <v>14</v>
      </c>
      <c r="I215" s="1181"/>
      <c r="J215" s="1184"/>
      <c r="K215" s="1185"/>
      <c r="L215" s="1186"/>
      <c r="M215" s="1186"/>
      <c r="N215" s="1186"/>
      <c r="S215" s="1187"/>
      <c r="T215" s="1187"/>
      <c r="U215" s="1187"/>
      <c r="V215" s="1187"/>
      <c r="X215" s="1180" t="s">
        <v>154</v>
      </c>
      <c r="Y215" s="1181"/>
      <c r="Z215" s="1182"/>
      <c r="AA215" s="1183" t="s">
        <v>154</v>
      </c>
      <c r="AB215" s="1181"/>
      <c r="AC215" s="1182"/>
      <c r="AD215" s="1183" t="s">
        <v>14</v>
      </c>
      <c r="AE215" s="1181"/>
      <c r="AF215" s="1184"/>
      <c r="AG215" s="1186"/>
      <c r="AH215" s="1186"/>
      <c r="AI215" s="1187"/>
      <c r="AJ215" s="1187"/>
      <c r="AK215" s="1187"/>
      <c r="AZ215" s="1057"/>
      <c r="BA215" s="1057"/>
    </row>
    <row r="216" spans="1:53" x14ac:dyDescent="0.2">
      <c r="A216" s="1028" t="s">
        <v>156</v>
      </c>
      <c r="B216" s="1188">
        <v>3</v>
      </c>
      <c r="C216" s="1189"/>
      <c r="D216" s="1190"/>
      <c r="E216" s="1191" t="s">
        <v>157</v>
      </c>
      <c r="F216" s="1189"/>
      <c r="G216" s="1190"/>
      <c r="H216" s="1191" t="s">
        <v>158</v>
      </c>
      <c r="I216" s="1189"/>
      <c r="J216" s="1192"/>
      <c r="K216" s="1193"/>
      <c r="S216" s="1187"/>
      <c r="T216" s="1187"/>
      <c r="U216" s="1194" t="s">
        <v>156</v>
      </c>
      <c r="V216" s="1194"/>
      <c r="W216" s="1195"/>
      <c r="X216" s="1188"/>
      <c r="Y216" s="1189"/>
      <c r="Z216" s="1190"/>
      <c r="AA216" s="1191">
        <v>1</v>
      </c>
      <c r="AB216" s="1189"/>
      <c r="AC216" s="1190"/>
      <c r="AD216" s="1191" t="s">
        <v>158</v>
      </c>
      <c r="AE216" s="1189"/>
      <c r="AF216" s="1192"/>
      <c r="AI216" s="1187"/>
      <c r="AJ216" s="1187"/>
      <c r="AK216" s="1187"/>
      <c r="AZ216" s="1057"/>
      <c r="BA216" s="1057"/>
    </row>
    <row r="217" spans="1:53" ht="13.5" thickBot="1" x14ac:dyDescent="0.25">
      <c r="A217" s="868"/>
      <c r="B217" s="1196" t="s">
        <v>68</v>
      </c>
      <c r="C217" s="1035"/>
      <c r="D217" s="1036"/>
      <c r="E217" s="1034" t="s">
        <v>159</v>
      </c>
      <c r="F217" s="1035"/>
      <c r="G217" s="1036"/>
      <c r="H217" s="1034" t="s">
        <v>160</v>
      </c>
      <c r="I217" s="1035"/>
      <c r="J217" s="1197"/>
      <c r="K217" s="1198"/>
      <c r="S217" s="1187"/>
      <c r="T217" s="1187"/>
      <c r="U217" s="1199"/>
      <c r="V217" s="1199"/>
      <c r="W217" s="1200"/>
      <c r="X217" s="1196" t="s">
        <v>68</v>
      </c>
      <c r="Y217" s="1035"/>
      <c r="Z217" s="1036"/>
      <c r="AA217" s="1034" t="s">
        <v>159</v>
      </c>
      <c r="AB217" s="1035"/>
      <c r="AC217" s="1036"/>
      <c r="AD217" s="1034" t="s">
        <v>160</v>
      </c>
      <c r="AE217" s="1035"/>
      <c r="AF217" s="1197"/>
      <c r="AI217" s="1187"/>
      <c r="AJ217" s="1187"/>
      <c r="AK217" s="1187"/>
      <c r="AZ217" s="1057"/>
      <c r="BA217" s="1057"/>
    </row>
    <row r="218" spans="1:53" ht="13.5" thickBot="1" x14ac:dyDescent="0.25">
      <c r="A218" s="868"/>
      <c r="B218" s="1201">
        <v>1</v>
      </c>
      <c r="C218" s="1202" t="s">
        <v>76</v>
      </c>
      <c r="D218" s="1203">
        <v>4</v>
      </c>
      <c r="E218" s="1204">
        <v>2</v>
      </c>
      <c r="F218" s="1202" t="s">
        <v>76</v>
      </c>
      <c r="G218" s="1203">
        <v>3</v>
      </c>
      <c r="H218" s="1205" t="str">
        <f>IF(OR(AND(OR(B222&gt;0,D222&gt;0),B222&gt;D222),OR(D218="b",D218="B")),B218,IF(OR(AND(OR(B222&gt;0,D222&gt;0),D222&gt;B222),OR(B218="b",B218="B")),D218,"W1"))</f>
        <v>W1</v>
      </c>
      <c r="I218" s="1206" t="s">
        <v>76</v>
      </c>
      <c r="J218" s="1207" t="str">
        <f>IF(OR(AND(OR(E222&gt;0,G222&gt;0),E222&gt;G222),OR(G218="b",G218="B")),E218,IF(OR(AND(OR(E222&gt;0,G222&gt;0),G222&gt;E222),OR(E218="b",E218="B")),G218,"W2"))</f>
        <v>W2</v>
      </c>
      <c r="K218" s="1208" t="s">
        <v>161</v>
      </c>
      <c r="L218" s="1209"/>
      <c r="M218" s="1209"/>
      <c r="N218" s="1210"/>
      <c r="S218" s="1187"/>
      <c r="T218" s="1187"/>
      <c r="U218" s="1199"/>
      <c r="V218" s="1199"/>
      <c r="W218" s="1200"/>
      <c r="X218" s="1201">
        <v>1</v>
      </c>
      <c r="Y218" s="1202" t="s">
        <v>76</v>
      </c>
      <c r="Z218" s="1203" t="s">
        <v>117</v>
      </c>
      <c r="AA218" s="1204">
        <v>2</v>
      </c>
      <c r="AB218" s="1202" t="s">
        <v>76</v>
      </c>
      <c r="AC218" s="1203">
        <v>3</v>
      </c>
      <c r="AD218" s="1205">
        <f>IF(OR(AND(OR(X222&gt;0,Z222&gt;0),X222&gt;Z222),OR(Z218="b",Z218="B")),X218,IF(OR(AND(OR(X222&gt;0,Z222&gt;0),Z222&gt;X222),OR(X218="b",X218="B")),Z218,"W1"))</f>
        <v>1</v>
      </c>
      <c r="AE218" s="1206" t="s">
        <v>76</v>
      </c>
      <c r="AF218" s="1207" t="str">
        <f>IF(OR(AND(OR(AA222&gt;0,AC222&gt;0),AA222&gt;AC222),OR(AC222="b",AC222="B")),AA218,IF(OR(AND(OR(AA222&gt;0,AC222&gt;0),AC222&gt;AA222),OR(AA222="b",AA222="B")),AC218,"W2"))</f>
        <v>W2</v>
      </c>
      <c r="AG218" s="1208" t="s">
        <v>161</v>
      </c>
      <c r="AH218" s="1210"/>
      <c r="AI218" s="1187"/>
      <c r="AJ218" s="1187"/>
      <c r="AK218" s="1187"/>
      <c r="AZ218" s="1057"/>
      <c r="BA218" s="1057"/>
    </row>
    <row r="219" spans="1:53" ht="13.5" hidden="1" customHeight="1" x14ac:dyDescent="0.25">
      <c r="A219" s="868"/>
      <c r="B219" s="1211">
        <f>IF(B223&gt;D223,1,0)</f>
        <v>0</v>
      </c>
      <c r="C219" s="1212"/>
      <c r="D219" s="1213">
        <f>IF(D223&gt;B223,1,0)</f>
        <v>0</v>
      </c>
      <c r="E219" s="1211">
        <f>IF(E223&gt;G223,1,0)</f>
        <v>0</v>
      </c>
      <c r="F219" s="1212"/>
      <c r="G219" s="1213">
        <f>IF(G223&gt;E223,1,0)</f>
        <v>0</v>
      </c>
      <c r="H219" s="1211">
        <f>IF(H223&gt;J223,1,0)</f>
        <v>0</v>
      </c>
      <c r="I219" s="1212"/>
      <c r="J219" s="1213">
        <f>IF(J223&gt;H223,1,0)</f>
        <v>0</v>
      </c>
      <c r="K219" s="1214"/>
      <c r="L219" s="1215"/>
      <c r="M219" s="1215"/>
      <c r="N219" s="1216"/>
      <c r="S219" s="1187"/>
      <c r="T219" s="1187"/>
      <c r="U219" s="1199"/>
      <c r="V219" s="1199"/>
      <c r="W219" s="1200"/>
      <c r="X219" s="1211">
        <f>IF(X223&gt;Z223,1,0)</f>
        <v>0</v>
      </c>
      <c r="Y219" s="1212"/>
      <c r="Z219" s="1213">
        <f>IF(Z223&gt;X223,1,0)</f>
        <v>0</v>
      </c>
      <c r="AA219" s="1211">
        <f>IF(AA223&gt;AC223,1,0)</f>
        <v>0</v>
      </c>
      <c r="AB219" s="1212"/>
      <c r="AC219" s="1213">
        <f>IF(AC223&gt;AA223,1,0)</f>
        <v>0</v>
      </c>
      <c r="AD219" s="1211">
        <f>IF(AD223&gt;AF223,1,0)</f>
        <v>0</v>
      </c>
      <c r="AE219" s="1212"/>
      <c r="AF219" s="1213">
        <f>IF(AF223&gt;AD223,1,0)</f>
        <v>0</v>
      </c>
      <c r="AG219" s="1217"/>
      <c r="AH219" s="1218"/>
      <c r="AI219" s="1187"/>
      <c r="AJ219" s="1187"/>
      <c r="AK219" s="1187"/>
      <c r="AZ219" s="1057"/>
      <c r="BA219" s="1057"/>
    </row>
    <row r="220" spans="1:53" ht="13.5" hidden="1" customHeight="1" x14ac:dyDescent="0.25">
      <c r="A220" s="868"/>
      <c r="B220" s="1211">
        <f>IF(B224&gt;D224,1,0)</f>
        <v>0</v>
      </c>
      <c r="C220" s="1212"/>
      <c r="D220" s="1213">
        <f>IF(D224&gt;B224,1,0)</f>
        <v>0</v>
      </c>
      <c r="E220" s="1211">
        <f>IF(E224&gt;G224,1,0)</f>
        <v>0</v>
      </c>
      <c r="F220" s="1212"/>
      <c r="G220" s="1213">
        <f>IF(G224&gt;E224,1,0)</f>
        <v>0</v>
      </c>
      <c r="H220" s="1211">
        <f>IF(H224&gt;J224,1,0)</f>
        <v>0</v>
      </c>
      <c r="I220" s="1212"/>
      <c r="J220" s="1213">
        <f>IF(J224&gt;H224,1,0)</f>
        <v>0</v>
      </c>
      <c r="K220" s="1214"/>
      <c r="L220" s="1215"/>
      <c r="M220" s="1215"/>
      <c r="N220" s="1216"/>
      <c r="S220" s="1187"/>
      <c r="T220" s="1187"/>
      <c r="U220" s="1199"/>
      <c r="V220" s="1199"/>
      <c r="W220" s="1200"/>
      <c r="X220" s="1211">
        <f>IF(X224&gt;Z224,1,0)</f>
        <v>0</v>
      </c>
      <c r="Y220" s="1212"/>
      <c r="Z220" s="1213">
        <f>IF(Z224&gt;X224,1,0)</f>
        <v>0</v>
      </c>
      <c r="AA220" s="1211">
        <f>IF(AA224&gt;AC224,1,0)</f>
        <v>0</v>
      </c>
      <c r="AB220" s="1212"/>
      <c r="AC220" s="1213">
        <f>IF(AC224&gt;AA224,1,0)</f>
        <v>0</v>
      </c>
      <c r="AD220" s="1211">
        <f>IF(AD224&gt;AF224,1,0)</f>
        <v>0</v>
      </c>
      <c r="AE220" s="1212"/>
      <c r="AF220" s="1213">
        <f>IF(AF224&gt;AD224,1,0)</f>
        <v>0</v>
      </c>
      <c r="AG220" s="1217"/>
      <c r="AH220" s="1218"/>
      <c r="AI220" s="1187"/>
      <c r="AJ220" s="1187"/>
      <c r="AK220" s="1187"/>
      <c r="AZ220" s="1057"/>
      <c r="BA220" s="1057"/>
    </row>
    <row r="221" spans="1:53" ht="13.5" hidden="1" customHeight="1" x14ac:dyDescent="0.25">
      <c r="A221" s="868"/>
      <c r="B221" s="1211">
        <f>IF(B225&gt;D225,1,0)</f>
        <v>0</v>
      </c>
      <c r="C221" s="1212"/>
      <c r="D221" s="1213">
        <f>IF(D225&gt;B225,1,0)</f>
        <v>0</v>
      </c>
      <c r="E221" s="1211">
        <f>IF(E225&gt;G225,1,0)</f>
        <v>0</v>
      </c>
      <c r="F221" s="1212"/>
      <c r="G221" s="1213">
        <f>IF(G225&gt;E225,1,0)</f>
        <v>0</v>
      </c>
      <c r="H221" s="1211">
        <f>IF(H225&gt;J225,1,0)</f>
        <v>0</v>
      </c>
      <c r="I221" s="1212"/>
      <c r="J221" s="1213">
        <f>IF(J225&gt;H225,1,0)</f>
        <v>0</v>
      </c>
      <c r="K221" s="1214"/>
      <c r="L221" s="1215"/>
      <c r="M221" s="1215"/>
      <c r="N221" s="1216"/>
      <c r="S221" s="1187"/>
      <c r="T221" s="1187"/>
      <c r="U221" s="1199"/>
      <c r="V221" s="1199"/>
      <c r="W221" s="1200"/>
      <c r="X221" s="1211">
        <f>IF(X225&gt;Z225,1,0)</f>
        <v>0</v>
      </c>
      <c r="Y221" s="1212"/>
      <c r="Z221" s="1213">
        <f>IF(Z225&gt;X225,1,0)</f>
        <v>0</v>
      </c>
      <c r="AA221" s="1211">
        <f>IF(AA225&gt;AC225,1,0)</f>
        <v>0</v>
      </c>
      <c r="AB221" s="1212"/>
      <c r="AC221" s="1213">
        <f>IF(AC225&gt;AA225,1,0)</f>
        <v>0</v>
      </c>
      <c r="AD221" s="1211">
        <f>IF(AD225&gt;AF225,1,0)</f>
        <v>0</v>
      </c>
      <c r="AE221" s="1212"/>
      <c r="AF221" s="1213">
        <f>IF(AF225&gt;AD225,1,0)</f>
        <v>0</v>
      </c>
      <c r="AG221" s="1217"/>
      <c r="AH221" s="1218"/>
      <c r="AI221" s="1187"/>
      <c r="AJ221" s="1187"/>
      <c r="AK221" s="1187"/>
      <c r="AZ221" s="1057"/>
      <c r="BA221" s="1057"/>
    </row>
    <row r="222" spans="1:53" ht="13.5" hidden="1" customHeight="1" x14ac:dyDescent="0.25">
      <c r="A222" s="868"/>
      <c r="B222" s="1211">
        <f>SUM(B219:B221)</f>
        <v>0</v>
      </c>
      <c r="C222" s="1212"/>
      <c r="D222" s="1211">
        <f>SUM(D219:D221)</f>
        <v>0</v>
      </c>
      <c r="E222" s="1211">
        <f>SUM(E219:E221)</f>
        <v>0</v>
      </c>
      <c r="F222" s="1212"/>
      <c r="G222" s="1211">
        <f>SUM(G219:G221)</f>
        <v>0</v>
      </c>
      <c r="H222" s="1211">
        <f>SUM(H219:H221)</f>
        <v>0</v>
      </c>
      <c r="I222" s="1212"/>
      <c r="J222" s="1211">
        <f>SUM(J219:J221)</f>
        <v>0</v>
      </c>
      <c r="K222" s="1214"/>
      <c r="L222" s="1215"/>
      <c r="M222" s="1215"/>
      <c r="N222" s="1216"/>
      <c r="S222" s="1187"/>
      <c r="T222" s="1187"/>
      <c r="U222" s="1199"/>
      <c r="V222" s="1199"/>
      <c r="W222" s="1200"/>
      <c r="X222" s="1211">
        <f>SUM(X219:X221)</f>
        <v>0</v>
      </c>
      <c r="Y222" s="1212"/>
      <c r="Z222" s="1211">
        <f>SUM(Z219:Z221)</f>
        <v>0</v>
      </c>
      <c r="AA222" s="1211">
        <f>SUM(AA219:AA221)</f>
        <v>0</v>
      </c>
      <c r="AB222" s="1212"/>
      <c r="AC222" s="1211">
        <f>SUM(AC219:AC221)</f>
        <v>0</v>
      </c>
      <c r="AD222" s="1211">
        <f>SUM(AD219:AD221)</f>
        <v>0</v>
      </c>
      <c r="AE222" s="1212"/>
      <c r="AF222" s="1211">
        <f>SUM(AF219:AF221)</f>
        <v>0</v>
      </c>
      <c r="AG222" s="1217"/>
      <c r="AH222" s="1218"/>
      <c r="AI222" s="1187"/>
      <c r="AJ222" s="1187"/>
      <c r="AK222" s="1187"/>
      <c r="AZ222" s="1057"/>
      <c r="BA222" s="1057"/>
    </row>
    <row r="223" spans="1:53" ht="12.75" customHeight="1" x14ac:dyDescent="0.2">
      <c r="A223" s="852" t="s">
        <v>77</v>
      </c>
      <c r="B223" s="1219"/>
      <c r="C223" s="1052" t="s">
        <v>78</v>
      </c>
      <c r="D223" s="1220"/>
      <c r="E223" s="1221"/>
      <c r="F223" s="1052" t="s">
        <v>78</v>
      </c>
      <c r="G223" s="1220"/>
      <c r="H223" s="1221"/>
      <c r="I223" s="1052" t="s">
        <v>78</v>
      </c>
      <c r="J223" s="1222"/>
      <c r="K223" s="1223" t="str">
        <f>IF(AND(OR(H222&gt;0,J222&gt;0),AND(1&lt;=H218,H218&lt;=4),AND(1&lt;=J218,J218&lt;=4)),IF(H222&gt;J222,H218,IF(J222&gt;H222,J218,"")),"")</f>
        <v/>
      </c>
      <c r="L223" s="1224"/>
      <c r="M223" s="1224"/>
      <c r="N223" s="1225"/>
      <c r="S223" s="1187"/>
      <c r="T223" s="1187"/>
      <c r="U223" s="1226"/>
      <c r="V223" s="1226"/>
      <c r="W223" s="852" t="s">
        <v>77</v>
      </c>
      <c r="X223" s="1219"/>
      <c r="Y223" s="1052" t="s">
        <v>78</v>
      </c>
      <c r="Z223" s="1220"/>
      <c r="AA223" s="1221"/>
      <c r="AB223" s="1052" t="s">
        <v>78</v>
      </c>
      <c r="AC223" s="1220"/>
      <c r="AD223" s="1221"/>
      <c r="AE223" s="1052" t="s">
        <v>78</v>
      </c>
      <c r="AF223" s="1222"/>
      <c r="AG223" s="1223" t="str">
        <f>IF(AND(OR(AD222&gt;0,AF222&gt;0),AND(1&lt;=AD218,AD218&lt;=4),AND(1&lt;=AF218,AF218&lt;=4)),IF(AD222&gt;AF222,AD218,IF(AF222&gt;AD222,AF218,"")),"")</f>
        <v/>
      </c>
      <c r="AH223" s="1225"/>
      <c r="AI223" s="1187"/>
      <c r="AJ223" s="1187"/>
      <c r="AK223" s="1187"/>
      <c r="AZ223" s="1057"/>
      <c r="BA223" s="1057"/>
    </row>
    <row r="224" spans="1:53" ht="12.75" customHeight="1" x14ac:dyDescent="0.2">
      <c r="A224" s="852" t="s">
        <v>162</v>
      </c>
      <c r="B224" s="1219"/>
      <c r="C224" s="1052" t="s">
        <v>78</v>
      </c>
      <c r="D224" s="1220"/>
      <c r="E224" s="1221"/>
      <c r="F224" s="1052" t="s">
        <v>78</v>
      </c>
      <c r="G224" s="1220"/>
      <c r="H224" s="1221"/>
      <c r="I224" s="1052" t="s">
        <v>78</v>
      </c>
      <c r="J224" s="1222"/>
      <c r="K224" s="1227"/>
      <c r="L224" s="1228"/>
      <c r="M224" s="1228"/>
      <c r="N224" s="1229"/>
      <c r="S224" s="1187"/>
      <c r="T224" s="1187"/>
      <c r="U224" s="1226"/>
      <c r="V224" s="1226"/>
      <c r="W224" s="852" t="s">
        <v>162</v>
      </c>
      <c r="X224" s="1219"/>
      <c r="Y224" s="1052" t="s">
        <v>78</v>
      </c>
      <c r="Z224" s="1220"/>
      <c r="AA224" s="1221"/>
      <c r="AB224" s="1052" t="s">
        <v>78</v>
      </c>
      <c r="AC224" s="1220"/>
      <c r="AD224" s="1221"/>
      <c r="AE224" s="1052" t="s">
        <v>78</v>
      </c>
      <c r="AF224" s="1222"/>
      <c r="AG224" s="1227"/>
      <c r="AH224" s="1229"/>
      <c r="AI224" s="1187"/>
      <c r="AJ224" s="1187"/>
      <c r="AK224" s="1187"/>
      <c r="AZ224" s="1057"/>
      <c r="BA224" s="1057"/>
    </row>
    <row r="225" spans="1:80" ht="13.5" customHeight="1" thickBot="1" x14ac:dyDescent="0.25">
      <c r="A225" s="852" t="s">
        <v>163</v>
      </c>
      <c r="B225" s="1230"/>
      <c r="C225" s="1231" t="s">
        <v>78</v>
      </c>
      <c r="D225" s="1232"/>
      <c r="E225" s="1233"/>
      <c r="F225" s="1231" t="s">
        <v>78</v>
      </c>
      <c r="G225" s="1232"/>
      <c r="H225" s="1233"/>
      <c r="I225" s="1231" t="s">
        <v>78</v>
      </c>
      <c r="J225" s="1234"/>
      <c r="K225" s="1235"/>
      <c r="L225" s="1236"/>
      <c r="M225" s="1236"/>
      <c r="N225" s="1237"/>
      <c r="S225" s="1187"/>
      <c r="T225" s="1187"/>
      <c r="U225" s="1226"/>
      <c r="V225" s="1226"/>
      <c r="W225" s="852" t="s">
        <v>163</v>
      </c>
      <c r="X225" s="1230"/>
      <c r="Y225" s="1231" t="s">
        <v>78</v>
      </c>
      <c r="Z225" s="1232"/>
      <c r="AA225" s="1233"/>
      <c r="AB225" s="1231" t="s">
        <v>78</v>
      </c>
      <c r="AC225" s="1232"/>
      <c r="AD225" s="1233"/>
      <c r="AE225" s="1231" t="s">
        <v>78</v>
      </c>
      <c r="AF225" s="1234"/>
      <c r="AG225" s="1235"/>
      <c r="AH225" s="1237"/>
      <c r="AI225" s="1187"/>
      <c r="AJ225" s="1187"/>
      <c r="AK225" s="1187"/>
      <c r="AZ225" s="1057"/>
      <c r="BA225" s="1057"/>
    </row>
    <row r="226" spans="1:80" hidden="1" x14ac:dyDescent="0.2">
      <c r="B226" s="845"/>
      <c r="C226" s="1238" t="s">
        <v>112</v>
      </c>
      <c r="D226" s="845" t="s">
        <v>164</v>
      </c>
      <c r="E226" s="845"/>
      <c r="F226" s="1238"/>
      <c r="G226" s="846" t="s">
        <v>165</v>
      </c>
      <c r="J226" s="846" t="s">
        <v>166</v>
      </c>
      <c r="X226" s="845"/>
      <c r="Y226" s="1238" t="s">
        <v>112</v>
      </c>
      <c r="Z226" s="845" t="s">
        <v>164</v>
      </c>
      <c r="AA226" s="845"/>
      <c r="AB226" s="1238"/>
      <c r="AC226" s="846" t="s">
        <v>165</v>
      </c>
      <c r="AF226" s="846" t="s">
        <v>166</v>
      </c>
      <c r="AT226" s="846" t="str">
        <f>B227</f>
        <v>Intense Kids power Gvl</v>
      </c>
      <c r="AU226" s="846">
        <f>J227</f>
        <v>1293.6267294435881</v>
      </c>
      <c r="AW226" s="1239"/>
      <c r="AX226" s="1057"/>
      <c r="AY226" s="1057"/>
      <c r="AZ226" s="1057"/>
      <c r="BA226" s="1057"/>
      <c r="BB226" s="1239"/>
      <c r="BC226" s="1057"/>
      <c r="BD226" s="1057"/>
      <c r="BE226" s="1239"/>
      <c r="BF226" s="1057"/>
      <c r="BG226" s="1057"/>
      <c r="BH226" s="1239"/>
      <c r="BI226" s="1057"/>
      <c r="BJ226" s="1057"/>
      <c r="BK226" s="1239"/>
      <c r="BL226" s="1057"/>
      <c r="BM226" s="1057"/>
      <c r="BN226" s="1239"/>
      <c r="BO226" s="1057"/>
      <c r="BP226" s="1057"/>
      <c r="BQ226" s="1239"/>
      <c r="BR226" s="1057"/>
      <c r="BS226" s="1057"/>
      <c r="BT226" s="1239"/>
      <c r="BU226" s="1057"/>
      <c r="BV226" s="1057"/>
      <c r="BW226" s="1239"/>
      <c r="BX226" s="1057"/>
      <c r="BY226" s="1057"/>
      <c r="BZ226" s="1239"/>
      <c r="CA226" s="1057"/>
      <c r="CB226" s="1057"/>
    </row>
    <row r="227" spans="1:80" hidden="1" x14ac:dyDescent="0.2">
      <c r="A227" s="846">
        <v>1</v>
      </c>
      <c r="B227" s="846" t="str">
        <f>B210</f>
        <v>Intense Kids power Gvl</v>
      </c>
      <c r="C227" s="846">
        <f>VLOOKUP(B227,AU$2:AY$10,4,FALSE)</f>
        <v>1293.6267294435881</v>
      </c>
      <c r="D227" s="846">
        <f>IF(A227=B218,B233,IF(A227=D218,D233,C227))</f>
        <v>1293.6267294435881</v>
      </c>
      <c r="G227" s="846">
        <f>IF(A227=E218,E233,IF(A227=G218,G233,D227))</f>
        <v>1293.6267294435881</v>
      </c>
      <c r="J227" s="846">
        <f>IF(A227=H218,H233,IF(A227=J218,J233,G227))</f>
        <v>1293.6267294435881</v>
      </c>
      <c r="V227" s="1240"/>
      <c r="W227" s="1240">
        <v>1</v>
      </c>
      <c r="X227" s="846" t="str">
        <f>Y210</f>
        <v>SC Midlands KP Black</v>
      </c>
      <c r="Y227" s="846">
        <f>VLOOKUP(X227,AU$2:AY$10,4,FALSE)</f>
        <v>1199.3436780073632</v>
      </c>
      <c r="Z227" s="846">
        <f>IF(AND(W227=X218,ISNUMBER(X218)),X233,IF(AND(W227=Z218,ISNUMBER(Z218)),Z233,Y227))</f>
        <v>1199.3436780073632</v>
      </c>
      <c r="AC227" s="846">
        <f>IF(W227=AA218,AA233,IF(W227=AC218,AC233,Z227))</f>
        <v>1199.3436780073632</v>
      </c>
      <c r="AF227" s="846">
        <f>IF(W227=AD218,AD233,IF(W227=AF218,AF233,AC227))</f>
        <v>1199.3436780073632</v>
      </c>
      <c r="AT227" s="846" t="str">
        <f>B228</f>
        <v>SC Midlands KP Silver</v>
      </c>
      <c r="AU227" s="846">
        <f>J228</f>
        <v>1230.6391901737691</v>
      </c>
      <c r="AW227" s="1239"/>
      <c r="AX227" s="1057"/>
      <c r="AY227" s="1057"/>
      <c r="AZ227" s="1057"/>
      <c r="BA227" s="1057"/>
      <c r="BB227" s="1239"/>
      <c r="BC227" s="1057"/>
      <c r="BD227" s="1057"/>
      <c r="BE227" s="1239"/>
      <c r="BF227" s="1057"/>
      <c r="BG227" s="1057"/>
      <c r="BH227" s="1239"/>
      <c r="BI227" s="1057"/>
      <c r="BJ227" s="1057"/>
      <c r="BK227" s="1239"/>
      <c r="BL227" s="1057"/>
      <c r="BM227" s="1057"/>
      <c r="BN227" s="1239"/>
      <c r="BO227" s="1057"/>
      <c r="BP227" s="1057"/>
      <c r="BQ227" s="1239"/>
      <c r="BR227" s="1057"/>
      <c r="BS227" s="1057"/>
      <c r="BT227" s="1239"/>
      <c r="BU227" s="1057"/>
      <c r="BV227" s="1057"/>
      <c r="BW227" s="1239"/>
      <c r="BX227" s="1057"/>
      <c r="BY227" s="1057"/>
      <c r="BZ227" s="1239"/>
      <c r="CA227" s="1057"/>
      <c r="CB227" s="1057"/>
    </row>
    <row r="228" spans="1:80" hidden="1" x14ac:dyDescent="0.2">
      <c r="A228" s="846">
        <v>2</v>
      </c>
      <c r="B228" s="846" t="str">
        <f>B211</f>
        <v>SC Midlands KP Silver</v>
      </c>
      <c r="C228" s="846">
        <f>VLOOKUP(B228,AU$2:AY$10,4,FALSE)</f>
        <v>1230.6391901737691</v>
      </c>
      <c r="D228" s="846">
        <f>IF(A228=B218,B233,IF(A228=D218,D233,C228))</f>
        <v>1230.6391901737691</v>
      </c>
      <c r="G228" s="846">
        <f>IF(A228=E218,E233,IF(A228=G218,G233,D228))</f>
        <v>1230.6391901737691</v>
      </c>
      <c r="J228" s="846">
        <f>IF(A228=H218,H233,IF(A228=J218,J233,G228))</f>
        <v>1230.6391901737691</v>
      </c>
      <c r="V228" s="1240"/>
      <c r="W228" s="1240">
        <v>2</v>
      </c>
      <c r="X228" s="846" t="str">
        <f>Y211</f>
        <v>Columbia SC Starlings 12</v>
      </c>
      <c r="Y228" s="846">
        <f>VLOOKUP(X228,AU$2:AY$10,4,FALSE)</f>
        <v>1141.2104363370433</v>
      </c>
      <c r="Z228" s="846">
        <f>IF(W228=X218,X233,IF(W228=Z218,Z233,Y228))</f>
        <v>1141.2104363370433</v>
      </c>
      <c r="AC228" s="846">
        <f>IF(W228=AA218,AA233,IF(W228=AC218,AC233,Z228))</f>
        <v>1141.2104363370433</v>
      </c>
      <c r="AF228" s="846">
        <f>IF(W228=AD218,AD233,IF(W228=AF218,AF233,AC228))</f>
        <v>1141.2104363370433</v>
      </c>
      <c r="AT228" s="846" t="str">
        <f>B229</f>
        <v>SC Midlands KP Garnet</v>
      </c>
      <c r="AU228" s="846">
        <f>J229</f>
        <v>1233.3466974331975</v>
      </c>
      <c r="AW228" s="1239"/>
      <c r="AX228" s="1057"/>
      <c r="AY228" s="1057"/>
      <c r="AZ228" s="1057"/>
      <c r="BA228" s="1057"/>
      <c r="BB228" s="1239"/>
      <c r="BC228" s="1057"/>
      <c r="BD228" s="1057"/>
      <c r="BE228" s="1239"/>
      <c r="BF228" s="1057"/>
      <c r="BG228" s="1057"/>
      <c r="BH228" s="1239"/>
      <c r="BI228" s="1057"/>
      <c r="BJ228" s="1057"/>
      <c r="BK228" s="1239"/>
      <c r="BL228" s="1057"/>
      <c r="BM228" s="1057"/>
      <c r="BN228" s="1239"/>
      <c r="BO228" s="1057"/>
      <c r="BP228" s="1057"/>
      <c r="BQ228" s="1239"/>
      <c r="BR228" s="1057"/>
      <c r="BS228" s="1057"/>
      <c r="BT228" s="1239"/>
      <c r="BU228" s="1057"/>
      <c r="BV228" s="1057"/>
      <c r="BW228" s="1239"/>
      <c r="BX228" s="1057"/>
      <c r="BY228" s="1057"/>
      <c r="BZ228" s="1239"/>
      <c r="CA228" s="1057"/>
      <c r="CB228" s="1057"/>
    </row>
    <row r="229" spans="1:80" hidden="1" x14ac:dyDescent="0.2">
      <c r="A229" s="846">
        <v>3</v>
      </c>
      <c r="B229" s="846" t="str">
        <f>B212</f>
        <v>SC Midlands KP Garnet</v>
      </c>
      <c r="C229" s="846">
        <f>VLOOKUP(B229,AU$2:AY$10,4,FALSE)</f>
        <v>1233.3466974331975</v>
      </c>
      <c r="D229" s="846">
        <f>IF(A229=B218,B233,IF(A229=D218,D233,C229))</f>
        <v>1233.3466974331975</v>
      </c>
      <c r="G229" s="846">
        <f>IF(A229=E218,E233,IF(A229=G218,G233,D229))</f>
        <v>1233.3466974331975</v>
      </c>
      <c r="J229" s="846">
        <f>IF(A229=H218,H233,IF(A229=J218,J233,G229))</f>
        <v>1233.3466974331975</v>
      </c>
      <c r="V229" s="1240"/>
      <c r="W229" s="1240">
        <v>3</v>
      </c>
      <c r="X229" s="846" t="str">
        <f>Y212</f>
        <v>Kershaw Dev 12 Black</v>
      </c>
      <c r="Y229" s="846">
        <f>VLOOKUP(X229,AU$2:AY$10,4,FALSE)</f>
        <v>1190.8699600920074</v>
      </c>
      <c r="Z229" s="846">
        <f>IF(W229=X218,X233,IF(W229=Z218,Z233,Y229))</f>
        <v>1190.8699600920074</v>
      </c>
      <c r="AC229" s="846">
        <f>IF(W229=AA218,AA233,IF(W229=AC218,AC233,Z229))</f>
        <v>1190.8699600920074</v>
      </c>
      <c r="AF229" s="846">
        <f>IF(W229=AD218,AD233,IF(W229=AF218,AF233,AC229))</f>
        <v>1190.8699600920074</v>
      </c>
      <c r="AT229" s="846" t="str">
        <f>B230</f>
        <v>Foothills Skylar</v>
      </c>
      <c r="AU229" s="846">
        <f>J230</f>
        <v>1121.134561842277</v>
      </c>
      <c r="AW229" s="1239"/>
      <c r="AX229" s="1057"/>
      <c r="AY229" s="1057"/>
      <c r="AZ229" s="1057"/>
      <c r="BA229" s="1057"/>
      <c r="BB229" s="1239"/>
      <c r="BC229" s="1057"/>
      <c r="BD229" s="1057"/>
      <c r="BE229" s="1239"/>
      <c r="BF229" s="1057"/>
      <c r="BG229" s="1057"/>
      <c r="BH229" s="1239"/>
      <c r="BI229" s="1057"/>
      <c r="BJ229" s="1057"/>
      <c r="BK229" s="1239"/>
      <c r="BL229" s="1057"/>
      <c r="BM229" s="1057"/>
      <c r="BN229" s="1239"/>
      <c r="BO229" s="1057"/>
      <c r="BP229" s="1057"/>
      <c r="BQ229" s="1239"/>
      <c r="BR229" s="1057"/>
      <c r="BS229" s="1057"/>
      <c r="BT229" s="1239"/>
      <c r="BU229" s="1057"/>
      <c r="BV229" s="1057"/>
      <c r="BW229" s="1239"/>
      <c r="BX229" s="1057"/>
      <c r="BY229" s="1057"/>
      <c r="BZ229" s="1239"/>
      <c r="CA229" s="1057"/>
      <c r="CB229" s="1057"/>
    </row>
    <row r="230" spans="1:80" hidden="1" x14ac:dyDescent="0.2">
      <c r="A230" s="846">
        <v>4</v>
      </c>
      <c r="B230" s="846" t="str">
        <f>B213</f>
        <v>Foothills Skylar</v>
      </c>
      <c r="C230" s="846">
        <f>VLOOKUP(B230,AU$2:AY$10,4,FALSE)</f>
        <v>1121.134561842277</v>
      </c>
      <c r="D230" s="846">
        <f>IF(A230=B218,B233,IF(A230=D218,D233,C230))</f>
        <v>1121.134561842277</v>
      </c>
      <c r="G230" s="846">
        <f>IF(A230=E218,E233,IF(A230=G218,G233,D230))</f>
        <v>1121.134561842277</v>
      </c>
      <c r="J230" s="846">
        <f>IF(A230=H218,H233,IF(A230=J218,J233,G230))</f>
        <v>1121.134561842277</v>
      </c>
      <c r="V230" s="1240"/>
      <c r="W230" s="1240">
        <v>4</v>
      </c>
      <c r="X230" s="846" t="str">
        <f>Y213</f>
        <v>BYE</v>
      </c>
      <c r="Y230" s="846" t="e">
        <f>VLOOKUP(X230,AU$2:AY$10,4,FALSE)</f>
        <v>#N/A</v>
      </c>
      <c r="Z230" s="846" t="e">
        <f>IF(W230=X218,X233,IF(W230=Z218,Z233,Y230))</f>
        <v>#N/A</v>
      </c>
      <c r="AC230" s="846" t="e">
        <f>IF(W230=AA218,AA233,IF(W230=AC218,AC233,Z230))</f>
        <v>#N/A</v>
      </c>
      <c r="AF230" s="846" t="e">
        <f>IF(W230=AD218,AD233,IF(W230=AF218,AF233,AC230))</f>
        <v>#N/A</v>
      </c>
      <c r="AT230" s="846" t="str">
        <f>X227</f>
        <v>SC Midlands KP Black</v>
      </c>
      <c r="AU230" s="846">
        <f>AF227</f>
        <v>1199.3436780073632</v>
      </c>
      <c r="AW230" s="1239"/>
      <c r="AX230" s="1057"/>
      <c r="AY230" s="1057"/>
      <c r="AZ230" s="1057"/>
      <c r="BA230" s="1057"/>
      <c r="BB230" s="1239"/>
      <c r="BC230" s="1057"/>
      <c r="BD230" s="1057"/>
      <c r="BE230" s="1239"/>
      <c r="BF230" s="1057"/>
      <c r="BG230" s="1057"/>
      <c r="BH230" s="1239"/>
      <c r="BI230" s="1057"/>
      <c r="BJ230" s="1057"/>
      <c r="BK230" s="1239"/>
      <c r="BL230" s="1057"/>
      <c r="BM230" s="1057"/>
      <c r="BN230" s="1239"/>
      <c r="BO230" s="1057"/>
      <c r="BP230" s="1057"/>
      <c r="BQ230" s="1239"/>
      <c r="BR230" s="1057"/>
      <c r="BS230" s="1057"/>
      <c r="BT230" s="1239"/>
      <c r="BU230" s="1057"/>
      <c r="BV230" s="1057"/>
      <c r="BW230" s="1239"/>
      <c r="BX230" s="1057"/>
      <c r="BY230" s="1057"/>
      <c r="BZ230" s="1239"/>
      <c r="CA230" s="1057"/>
      <c r="CB230" s="1057"/>
    </row>
    <row r="231" spans="1:80" hidden="1" x14ac:dyDescent="0.2">
      <c r="A231" s="846" t="s">
        <v>114</v>
      </c>
      <c r="B231" s="846">
        <f>VLOOKUP(B218,$A227:$J230,3,FALSE)</f>
        <v>1293.6267294435881</v>
      </c>
      <c r="D231" s="846">
        <f>VLOOKUP(D218,$A227:$J230,3,FALSE)</f>
        <v>1121.134561842277</v>
      </c>
      <c r="E231" s="846">
        <f>VLOOKUP(E218,$A227:$J230,4,FALSE)</f>
        <v>1230.6391901737691</v>
      </c>
      <c r="G231" s="846">
        <f>VLOOKUP(G218,$A227:$J230,4,FALSE)</f>
        <v>1233.3466974331975</v>
      </c>
      <c r="H231" s="846" t="e">
        <f>VLOOKUP(H218,$A227:$J230,7,FALSE)</f>
        <v>#N/A</v>
      </c>
      <c r="J231" s="846" t="e">
        <f>VLOOKUP(J218,$A227:$J230,7,FALSE)</f>
        <v>#N/A</v>
      </c>
      <c r="U231" s="1241" t="s">
        <v>114</v>
      </c>
      <c r="V231" s="1241"/>
      <c r="W231" s="1241"/>
      <c r="X231" s="846">
        <f>VLOOKUP(X218,$W227:$AF230,3,FALSE)</f>
        <v>1199.3436780073632</v>
      </c>
      <c r="Z231" s="846" t="e">
        <f>VLOOKUP(Z218,$W227:$AF230,3,FALSE)</f>
        <v>#N/A</v>
      </c>
      <c r="AA231" s="846">
        <f>VLOOKUP(AA218,$W227:$AF230,4,FALSE)</f>
        <v>1141.2104363370433</v>
      </c>
      <c r="AC231" s="846">
        <f>VLOOKUP(AC218,$W227:$AF230,4,FALSE)</f>
        <v>1190.8699600920074</v>
      </c>
      <c r="AD231" s="846">
        <f>VLOOKUP(AD218,$W227:$AF230,7,FALSE)</f>
        <v>1199.3436780073632</v>
      </c>
      <c r="AF231" s="846" t="e">
        <f>VLOOKUP(AF218,$W227:$AF230,7,FALSE)</f>
        <v>#N/A</v>
      </c>
      <c r="AT231" s="846" t="str">
        <f>X228</f>
        <v>Columbia SC Starlings 12</v>
      </c>
      <c r="AU231" s="846">
        <f>AF228</f>
        <v>1141.2104363370433</v>
      </c>
      <c r="AW231" s="1239"/>
      <c r="AX231" s="1057"/>
      <c r="AY231" s="1057"/>
      <c r="AZ231" s="1057"/>
      <c r="BA231" s="1057"/>
      <c r="BB231" s="1239"/>
      <c r="BC231" s="1057"/>
      <c r="BD231" s="1057"/>
      <c r="BE231" s="1239"/>
      <c r="BF231" s="1057"/>
      <c r="BG231" s="1057"/>
      <c r="BH231" s="1239"/>
      <c r="BI231" s="1057"/>
      <c r="BJ231" s="1057"/>
      <c r="BK231" s="1239"/>
      <c r="BL231" s="1057"/>
      <c r="BM231" s="1057"/>
      <c r="BN231" s="1239"/>
      <c r="BO231" s="1057"/>
      <c r="BP231" s="1057"/>
      <c r="BQ231" s="1239"/>
      <c r="BR231" s="1057"/>
      <c r="BS231" s="1057"/>
      <c r="BT231" s="1239"/>
      <c r="BU231" s="1057"/>
      <c r="BV231" s="1057"/>
      <c r="BW231" s="1239"/>
      <c r="BX231" s="1057"/>
      <c r="BY231" s="1057"/>
      <c r="BZ231" s="1239"/>
      <c r="CA231" s="1057"/>
      <c r="CB231" s="1057"/>
    </row>
    <row r="232" spans="1:80" hidden="1" x14ac:dyDescent="0.2">
      <c r="A232" s="1072" t="s">
        <v>115</v>
      </c>
      <c r="B232" s="1072">
        <f>IF(OR(B222&gt;0,D222&gt;0),1/(1+(10^-((B231-D231)/400)))*(B222+D222),0)</f>
        <v>0</v>
      </c>
      <c r="C232" s="1072"/>
      <c r="D232" s="1072">
        <f>IF(OR(B222&gt;0,D222&gt;0),1/(1+(10^-((D231-B231)/400)))*(B222+D222),0)</f>
        <v>0</v>
      </c>
      <c r="E232" s="1072">
        <f>IF(OR(E222&gt;0,G222&gt;0),1/(1+(10^-((E231-G231)/400)))*(E222+G222),0)</f>
        <v>0</v>
      </c>
      <c r="F232" s="1072"/>
      <c r="G232" s="1072">
        <f>IF(OR(E222&gt;0,G222&gt;0),1/(1+(10^-((G231-E231)/400)))*(E222+G222),0)</f>
        <v>0</v>
      </c>
      <c r="H232" s="1072">
        <f>IF(OR(H222&gt;0,J222&gt;0),1/(1+(10^-((H231-J231)/400)))*(H222+J222),0)</f>
        <v>0</v>
      </c>
      <c r="I232" s="1072"/>
      <c r="J232" s="1072">
        <f>IF(OR(H222&gt;0,J222&gt;0),1/(1+(10^-((J231-H231)/400)))*(H222+J222),0)</f>
        <v>0</v>
      </c>
      <c r="K232" s="1072"/>
      <c r="U232" s="1242" t="s">
        <v>115</v>
      </c>
      <c r="V232" s="1242"/>
      <c r="W232" s="1242"/>
      <c r="X232" s="1072">
        <f>IF(OR(X222&gt;0,Z222&gt;0),1/(1+(10^-((X231-Z231)/400)))*(X222+Z222),0)</f>
        <v>0</v>
      </c>
      <c r="Y232" s="1072"/>
      <c r="Z232" s="1072">
        <f>IF(OR(X222&gt;0,Z222&gt;0),1/(1+(10^-((Z231-X231)/400)))*(X222+Z222),0)</f>
        <v>0</v>
      </c>
      <c r="AA232" s="1072">
        <f>IF(OR(AA222&gt;0,AC222&gt;0),1/(1+(10^-((AA231-AC231)/400)))*(AA222+AC222),0)</f>
        <v>0</v>
      </c>
      <c r="AB232" s="1072"/>
      <c r="AC232" s="1072">
        <f>IF(OR(AA222&gt;0,AC222&gt;0),1/(1+(10^-((AC231-AA231)/400)))*(AA222+AC222),0)</f>
        <v>0</v>
      </c>
      <c r="AD232" s="1072">
        <f>IF(OR(AD222&gt;0,AF222&gt;0),1/(1+(10^-((AD231-AF231)/400)))*(AD222+AF222),0)</f>
        <v>0</v>
      </c>
      <c r="AE232" s="1072"/>
      <c r="AF232" s="1072">
        <f>IF(OR(AD222&gt;0,AF222&gt;0),1/(1+(10^-((AF231-AD231)/400)))*(AD222+AF222),0)</f>
        <v>0</v>
      </c>
      <c r="AT232" s="846" t="str">
        <f>X229</f>
        <v>Kershaw Dev 12 Black</v>
      </c>
      <c r="AU232" s="846">
        <f>AF229</f>
        <v>1190.8699600920074</v>
      </c>
      <c r="AW232" s="1239"/>
      <c r="AX232" s="1057"/>
      <c r="AY232" s="1057"/>
      <c r="AZ232" s="1057"/>
      <c r="BA232" s="1057"/>
      <c r="BB232" s="1239"/>
      <c r="BC232" s="1057"/>
      <c r="BD232" s="1057"/>
      <c r="BE232" s="1239"/>
      <c r="BF232" s="1057"/>
      <c r="BG232" s="1057"/>
      <c r="BH232" s="1239"/>
      <c r="BI232" s="1057"/>
      <c r="BJ232" s="1057"/>
      <c r="BK232" s="1239"/>
      <c r="BL232" s="1057"/>
      <c r="BM232" s="1057"/>
      <c r="BN232" s="1239"/>
      <c r="BO232" s="1057"/>
      <c r="BP232" s="1057"/>
      <c r="BQ232" s="1239"/>
      <c r="BR232" s="1057"/>
      <c r="BS232" s="1057"/>
      <c r="BT232" s="1239"/>
      <c r="BU232" s="1057"/>
      <c r="BV232" s="1057"/>
      <c r="BW232" s="1239"/>
      <c r="BX232" s="1057"/>
      <c r="BY232" s="1057"/>
      <c r="BZ232" s="1239"/>
      <c r="CA232" s="1057"/>
      <c r="CB232" s="1057"/>
    </row>
    <row r="233" spans="1:80" hidden="1" x14ac:dyDescent="0.2">
      <c r="A233" s="1078" t="s">
        <v>116</v>
      </c>
      <c r="B233" s="1078">
        <f>B231+(B222-B232)*$BA$2</f>
        <v>1293.6267294435881</v>
      </c>
      <c r="C233" s="1078"/>
      <c r="D233" s="1078">
        <f>D231+(D222-D232)*$BA$2</f>
        <v>1121.134561842277</v>
      </c>
      <c r="E233" s="1078">
        <f>E231+(E222-E232)*$BA$2</f>
        <v>1230.6391901737691</v>
      </c>
      <c r="G233" s="1078">
        <f>G231+(G222-G232)*$BA$2</f>
        <v>1233.3466974331975</v>
      </c>
      <c r="H233" s="1078" t="e">
        <f>H231+(H222-H232)*$BA$2</f>
        <v>#N/A</v>
      </c>
      <c r="J233" s="1078" t="e">
        <f>J231+(J222-J232)*$BA$2</f>
        <v>#N/A</v>
      </c>
      <c r="K233" s="1078"/>
      <c r="U233" s="1243" t="s">
        <v>116</v>
      </c>
      <c r="V233" s="1243"/>
      <c r="W233" s="1243"/>
      <c r="X233" s="1078">
        <f>X231+(X222-X232)*$BA$2</f>
        <v>1199.3436780073632</v>
      </c>
      <c r="Y233" s="1078"/>
      <c r="Z233" s="1078" t="e">
        <f>Z231+(Z222-Z232)*$BA$2</f>
        <v>#N/A</v>
      </c>
      <c r="AA233" s="1078">
        <f>AA231+(AA222-AA232)*$BA$2</f>
        <v>1141.2104363370433</v>
      </c>
      <c r="AC233" s="1078">
        <f>AC231+(AC222-AC232)*$BA$2</f>
        <v>1190.8699600920074</v>
      </c>
      <c r="AD233" s="1078">
        <f>AD231+(AD222-AD232)*$BA$2</f>
        <v>1199.3436780073632</v>
      </c>
      <c r="AF233" s="1078" t="e">
        <f>AF231+(AF222-AF232)*$BA$2</f>
        <v>#N/A</v>
      </c>
      <c r="AT233" s="846" t="str">
        <f>X230</f>
        <v>BYE</v>
      </c>
      <c r="AU233" s="846" t="e">
        <f>AF230</f>
        <v>#N/A</v>
      </c>
      <c r="AW233" s="1239"/>
      <c r="AX233" s="1057"/>
      <c r="AY233" s="1057"/>
      <c r="AZ233" s="1057"/>
      <c r="BA233" s="1057"/>
      <c r="BB233" s="1239"/>
      <c r="BC233" s="1057"/>
      <c r="BD233" s="1057"/>
      <c r="BE233" s="1239"/>
      <c r="BF233" s="1057"/>
      <c r="BG233" s="1057"/>
      <c r="BH233" s="1239"/>
      <c r="BI233" s="1057"/>
      <c r="BJ233" s="1057"/>
      <c r="BK233" s="1239"/>
      <c r="BL233" s="1057"/>
      <c r="BM233" s="1057"/>
      <c r="BN233" s="1239"/>
      <c r="BO233" s="1057"/>
      <c r="BP233" s="1057"/>
      <c r="BQ233" s="1239"/>
      <c r="BR233" s="1057"/>
      <c r="BS233" s="1057"/>
      <c r="BT233" s="1239"/>
      <c r="BU233" s="1057"/>
      <c r="BV233" s="1057"/>
      <c r="BW233" s="1239"/>
      <c r="BX233" s="1057"/>
      <c r="BY233" s="1057"/>
      <c r="BZ233" s="1239"/>
      <c r="CA233" s="1057"/>
      <c r="CB233" s="1057"/>
    </row>
    <row r="234" spans="1:80" x14ac:dyDescent="0.2">
      <c r="A234" s="1244" t="s">
        <v>167</v>
      </c>
      <c r="B234" s="1244"/>
      <c r="C234" s="1244"/>
      <c r="D234" s="1244"/>
      <c r="E234" s="1244"/>
      <c r="F234" s="1244"/>
      <c r="G234" s="1244"/>
      <c r="H234" s="1244"/>
      <c r="I234" s="1244"/>
      <c r="J234" s="1244"/>
      <c r="K234" s="1244"/>
      <c r="L234" s="1244"/>
      <c r="M234" s="1244"/>
      <c r="N234" s="1244"/>
      <c r="S234" s="1187"/>
      <c r="T234" s="1187"/>
      <c r="U234" s="1226"/>
      <c r="V234" s="1226"/>
      <c r="W234" s="1244" t="s">
        <v>167</v>
      </c>
      <c r="X234" s="1244"/>
      <c r="Y234" s="1244"/>
      <c r="Z234" s="1244"/>
      <c r="AA234" s="1244"/>
      <c r="AB234" s="1244"/>
      <c r="AC234" s="1244"/>
      <c r="AD234" s="1244"/>
      <c r="AE234" s="1244"/>
      <c r="AF234" s="1244"/>
      <c r="AG234" s="1244"/>
      <c r="AH234" s="1244"/>
      <c r="AI234" s="1187"/>
      <c r="AJ234" s="1187"/>
      <c r="AK234" s="1187"/>
      <c r="AZ234" s="1057"/>
      <c r="BA234" s="1057"/>
    </row>
    <row r="235" spans="1:80" x14ac:dyDescent="0.2">
      <c r="AT235" s="1057"/>
      <c r="AU235" s="1057"/>
      <c r="AZ235" s="1057"/>
      <c r="BA235" s="1057"/>
    </row>
    <row r="236" spans="1:80" x14ac:dyDescent="0.2">
      <c r="AT236" s="1057"/>
      <c r="AU236" s="1057"/>
      <c r="AZ236" s="1057"/>
      <c r="BA236" s="1057"/>
    </row>
    <row r="237" spans="1:80" x14ac:dyDescent="0.2">
      <c r="AT237" s="1057"/>
      <c r="AU237" s="1057"/>
      <c r="AZ237" s="1057"/>
      <c r="BA237" s="1057"/>
    </row>
    <row r="238" spans="1:80" x14ac:dyDescent="0.2">
      <c r="AT238" s="1057"/>
      <c r="AU238" s="1057"/>
      <c r="AZ238" s="1057"/>
      <c r="BA238" s="1057"/>
    </row>
    <row r="239" spans="1:80" x14ac:dyDescent="0.2">
      <c r="AT239" s="1057"/>
      <c r="AU239" s="1057"/>
      <c r="AZ239" s="1057"/>
      <c r="BA239" s="1057"/>
    </row>
    <row r="240" spans="1:80" x14ac:dyDescent="0.2">
      <c r="AT240" s="1057"/>
      <c r="AU240" s="1057"/>
      <c r="AZ240" s="1057"/>
      <c r="BA240" s="1057"/>
    </row>
    <row r="241" spans="46:53" x14ac:dyDescent="0.2">
      <c r="AT241" s="1057"/>
      <c r="AU241" s="1057"/>
      <c r="AZ241" s="1057"/>
      <c r="BA241" s="1057"/>
    </row>
    <row r="242" spans="46:53" x14ac:dyDescent="0.2">
      <c r="AT242" s="1057"/>
      <c r="AU242" s="1057"/>
      <c r="AZ242" s="1057"/>
      <c r="BA242" s="1057"/>
    </row>
    <row r="243" spans="46:53" x14ac:dyDescent="0.2">
      <c r="AT243" s="1057"/>
      <c r="AU243" s="1057"/>
      <c r="AZ243" s="1057"/>
      <c r="BA243" s="1057"/>
    </row>
    <row r="244" spans="46:53" x14ac:dyDescent="0.2">
      <c r="AT244" s="1057"/>
      <c r="AU244" s="1057"/>
      <c r="AZ244" s="1057"/>
      <c r="BA244" s="1057"/>
    </row>
    <row r="245" spans="46:53" x14ac:dyDescent="0.2">
      <c r="AT245" s="1057"/>
      <c r="AU245" s="1057"/>
      <c r="AZ245" s="1057"/>
      <c r="BA245" s="1057"/>
    </row>
    <row r="246" spans="46:53" x14ac:dyDescent="0.2">
      <c r="AT246" s="1057"/>
      <c r="AU246" s="1057"/>
      <c r="AZ246" s="1057"/>
      <c r="BA246" s="1057"/>
    </row>
    <row r="247" spans="46:53" x14ac:dyDescent="0.2">
      <c r="AT247" s="1057"/>
      <c r="AU247" s="1057"/>
    </row>
    <row r="248" spans="46:53" x14ac:dyDescent="0.2">
      <c r="AT248" s="1057"/>
      <c r="AU248" s="1057"/>
      <c r="AZ248" s="1065"/>
      <c r="BA248" s="1065"/>
    </row>
    <row r="249" spans="46:53" x14ac:dyDescent="0.2">
      <c r="AT249" s="1057"/>
      <c r="AU249" s="1057"/>
      <c r="AZ249" s="1065"/>
      <c r="BA249" s="1065"/>
    </row>
    <row r="250" spans="46:53" x14ac:dyDescent="0.2">
      <c r="AT250" s="1057"/>
      <c r="AU250" s="1057"/>
      <c r="AZ250" s="1065"/>
      <c r="BA250" s="1065"/>
    </row>
    <row r="251" spans="46:53" x14ac:dyDescent="0.2">
      <c r="AT251" s="1057"/>
      <c r="AU251" s="1057"/>
      <c r="AZ251" s="1065"/>
      <c r="BA251" s="1065"/>
    </row>
    <row r="252" spans="46:53" x14ac:dyDescent="0.2">
      <c r="AT252" s="1057"/>
      <c r="AU252" s="1057"/>
      <c r="AZ252" s="1065"/>
      <c r="BA252" s="1065"/>
    </row>
    <row r="253" spans="46:53" x14ac:dyDescent="0.2">
      <c r="AT253" s="1057"/>
      <c r="AU253" s="1057"/>
      <c r="AZ253" s="1065"/>
      <c r="BA253" s="1065"/>
    </row>
    <row r="254" spans="46:53" x14ac:dyDescent="0.2">
      <c r="AT254" s="1057"/>
      <c r="AU254" s="1057"/>
      <c r="AZ254" s="1065"/>
      <c r="BA254" s="1065"/>
    </row>
    <row r="255" spans="46:53" x14ac:dyDescent="0.2">
      <c r="AT255" s="1057"/>
      <c r="AU255" s="1057"/>
      <c r="AZ255" s="1065"/>
      <c r="BA255" s="1065"/>
    </row>
    <row r="256" spans="46:53" x14ac:dyDescent="0.2">
      <c r="AT256" s="1057"/>
      <c r="AU256" s="1057"/>
      <c r="AZ256" s="1075"/>
      <c r="BA256" s="1075"/>
    </row>
    <row r="257" spans="46:53" x14ac:dyDescent="0.2">
      <c r="AT257" s="1057"/>
      <c r="AU257" s="1057"/>
      <c r="AZ257" s="1081"/>
      <c r="BA257" s="1081"/>
    </row>
    <row r="258" spans="46:53" x14ac:dyDescent="0.2">
      <c r="AT258" s="1057"/>
      <c r="AU258" s="1057"/>
      <c r="AZ258" s="1081"/>
      <c r="BA258" s="1081"/>
    </row>
    <row r="259" spans="46:53" x14ac:dyDescent="0.2">
      <c r="AT259" s="1057"/>
      <c r="AU259" s="1057"/>
      <c r="AZ259" s="1065"/>
      <c r="BA259" s="1065"/>
    </row>
    <row r="260" spans="46:53" x14ac:dyDescent="0.2">
      <c r="AT260" s="1065"/>
      <c r="AU260" s="1065"/>
      <c r="AZ260" s="1065"/>
      <c r="BA260" s="1065"/>
    </row>
    <row r="261" spans="46:53" x14ac:dyDescent="0.2">
      <c r="AT261" s="1065"/>
      <c r="AU261" s="1065"/>
    </row>
    <row r="286" spans="46:53" x14ac:dyDescent="0.2">
      <c r="AT286" s="1057"/>
      <c r="AU286" s="1057"/>
      <c r="AZ286" s="1057"/>
      <c r="BA286" s="1057"/>
    </row>
    <row r="287" spans="46:53" x14ac:dyDescent="0.2">
      <c r="AT287" s="1057"/>
      <c r="AU287" s="1057"/>
      <c r="AZ287" s="1057"/>
      <c r="BA287" s="1057"/>
    </row>
    <row r="288" spans="46:53" x14ac:dyDescent="0.2">
      <c r="AT288" s="1057"/>
      <c r="AU288" s="1057"/>
      <c r="AZ288" s="1057"/>
      <c r="BA288" s="1057"/>
    </row>
    <row r="289" spans="46:53" x14ac:dyDescent="0.2">
      <c r="AT289" s="1057"/>
      <c r="AU289" s="1057"/>
      <c r="AZ289" s="1057"/>
      <c r="BA289" s="1057"/>
    </row>
    <row r="290" spans="46:53" x14ac:dyDescent="0.2">
      <c r="AT290" s="1057"/>
      <c r="AU290" s="1057"/>
      <c r="AZ290" s="1057"/>
      <c r="BA290" s="1057"/>
    </row>
    <row r="291" spans="46:53" x14ac:dyDescent="0.2">
      <c r="AT291" s="1057"/>
      <c r="AU291" s="1057"/>
      <c r="AZ291" s="1057"/>
      <c r="BA291" s="1057"/>
    </row>
    <row r="292" spans="46:53" x14ac:dyDescent="0.2">
      <c r="AT292" s="1057"/>
      <c r="AU292" s="1057"/>
      <c r="AZ292" s="1057"/>
      <c r="BA292" s="1057"/>
    </row>
    <row r="293" spans="46:53" x14ac:dyDescent="0.2">
      <c r="AT293" s="1057"/>
      <c r="AU293" s="1057"/>
      <c r="AZ293" s="1057"/>
      <c r="BA293" s="1057"/>
    </row>
    <row r="294" spans="46:53" x14ac:dyDescent="0.2">
      <c r="AT294" s="1057"/>
      <c r="AU294" s="1057"/>
      <c r="AZ294" s="1057"/>
      <c r="BA294" s="1057"/>
    </row>
    <row r="295" spans="46:53" x14ac:dyDescent="0.2">
      <c r="AT295" s="1057"/>
      <c r="AU295" s="1057"/>
      <c r="AZ295" s="1057"/>
      <c r="BA295" s="1057"/>
    </row>
    <row r="296" spans="46:53" x14ac:dyDescent="0.2">
      <c r="AT296" s="1057"/>
      <c r="AU296" s="1057"/>
      <c r="AZ296" s="1057"/>
      <c r="BA296" s="1057"/>
    </row>
    <row r="297" spans="46:53" x14ac:dyDescent="0.2">
      <c r="AT297" s="1057"/>
      <c r="AU297" s="1057"/>
      <c r="AZ297" s="1057"/>
      <c r="BA297" s="1057"/>
    </row>
    <row r="298" spans="46:53" x14ac:dyDescent="0.2">
      <c r="AT298" s="1057"/>
      <c r="AU298" s="1057"/>
      <c r="AZ298" s="1057"/>
      <c r="BA298" s="1057"/>
    </row>
    <row r="299" spans="46:53" x14ac:dyDescent="0.2">
      <c r="AT299" s="1057"/>
      <c r="AU299" s="1057"/>
      <c r="AZ299" s="1057"/>
      <c r="BA299" s="1057"/>
    </row>
    <row r="300" spans="46:53" x14ac:dyDescent="0.2">
      <c r="AT300" s="1057"/>
      <c r="AU300" s="1057"/>
      <c r="AZ300" s="1057"/>
      <c r="BA300" s="1057"/>
    </row>
    <row r="301" spans="46:53" x14ac:dyDescent="0.2">
      <c r="AT301" s="1057"/>
      <c r="AU301" s="1057"/>
      <c r="AZ301" s="1057"/>
      <c r="BA301" s="1057"/>
    </row>
    <row r="302" spans="46:53" x14ac:dyDescent="0.2">
      <c r="AT302" s="1057"/>
      <c r="AU302" s="1057"/>
      <c r="AZ302" s="1057"/>
      <c r="BA302" s="1057"/>
    </row>
    <row r="303" spans="46:53" x14ac:dyDescent="0.2">
      <c r="AT303" s="1057"/>
      <c r="AU303" s="1057"/>
      <c r="AZ303" s="1057"/>
      <c r="BA303" s="1057"/>
    </row>
    <row r="304" spans="46:53" x14ac:dyDescent="0.2">
      <c r="AT304" s="1057"/>
      <c r="AU304" s="1057"/>
      <c r="AZ304" s="1057"/>
      <c r="BA304" s="1057"/>
    </row>
    <row r="305" spans="46:53" x14ac:dyDescent="0.2">
      <c r="AT305" s="1057"/>
      <c r="AU305" s="1057"/>
      <c r="AZ305" s="1057"/>
      <c r="BA305" s="1057"/>
    </row>
    <row r="306" spans="46:53" x14ac:dyDescent="0.2">
      <c r="AT306" s="1057"/>
      <c r="AU306" s="1057"/>
      <c r="AZ306" s="1057"/>
      <c r="BA306" s="1057"/>
    </row>
    <row r="307" spans="46:53" x14ac:dyDescent="0.2">
      <c r="AT307" s="1057"/>
      <c r="AU307" s="1057"/>
      <c r="AZ307" s="1057"/>
      <c r="BA307" s="1057"/>
    </row>
    <row r="308" spans="46:53" x14ac:dyDescent="0.2">
      <c r="AT308" s="1057"/>
      <c r="AU308" s="1057"/>
      <c r="AZ308" s="1057"/>
      <c r="BA308" s="1057"/>
    </row>
    <row r="309" spans="46:53" x14ac:dyDescent="0.2">
      <c r="AT309" s="1057"/>
      <c r="AU309" s="1057"/>
      <c r="AZ309" s="1057"/>
      <c r="BA309" s="1057"/>
    </row>
    <row r="310" spans="46:53" x14ac:dyDescent="0.2">
      <c r="AT310" s="1057"/>
      <c r="AU310" s="1057"/>
      <c r="AZ310" s="1057"/>
      <c r="BA310" s="1057"/>
    </row>
    <row r="311" spans="46:53" x14ac:dyDescent="0.2">
      <c r="AT311" s="1057"/>
      <c r="AU311" s="1057"/>
      <c r="AZ311" s="1057"/>
      <c r="BA311" s="1057"/>
    </row>
    <row r="312" spans="46:53" x14ac:dyDescent="0.2">
      <c r="AT312" s="1057"/>
      <c r="AU312" s="1057"/>
      <c r="AZ312" s="1057"/>
      <c r="BA312" s="1057"/>
    </row>
    <row r="313" spans="46:53" x14ac:dyDescent="0.2">
      <c r="AT313" s="1057"/>
      <c r="AU313" s="1057"/>
      <c r="AZ313" s="1057"/>
      <c r="BA313" s="1057"/>
    </row>
    <row r="314" spans="46:53" x14ac:dyDescent="0.2">
      <c r="AT314" s="1057"/>
      <c r="AU314" s="1057"/>
      <c r="AZ314" s="1057"/>
      <c r="BA314" s="1057"/>
    </row>
    <row r="315" spans="46:53" x14ac:dyDescent="0.2">
      <c r="AT315" s="1057"/>
      <c r="AU315" s="1057"/>
      <c r="AZ315" s="1057"/>
      <c r="BA315" s="1057"/>
    </row>
    <row r="316" spans="46:53" x14ac:dyDescent="0.2">
      <c r="AT316" s="1057"/>
      <c r="AU316" s="1057"/>
      <c r="AZ316" s="1057"/>
      <c r="BA316" s="1057"/>
    </row>
    <row r="317" spans="46:53" x14ac:dyDescent="0.2">
      <c r="AT317" s="1057"/>
      <c r="AU317" s="1057"/>
      <c r="AZ317" s="1057"/>
      <c r="BA317" s="1057"/>
    </row>
    <row r="318" spans="46:53" x14ac:dyDescent="0.2">
      <c r="AT318" s="1057"/>
      <c r="AU318" s="1057"/>
      <c r="AZ318" s="1057"/>
      <c r="BA318" s="1057"/>
    </row>
    <row r="319" spans="46:53" x14ac:dyDescent="0.2">
      <c r="AT319" s="1057"/>
      <c r="AU319" s="1057"/>
      <c r="AZ319" s="1057"/>
      <c r="BA319" s="1057"/>
    </row>
    <row r="320" spans="46:53" x14ac:dyDescent="0.2">
      <c r="AT320" s="1057"/>
      <c r="AU320" s="1057"/>
      <c r="AZ320" s="1057"/>
      <c r="BA320" s="1057"/>
    </row>
    <row r="321" spans="46:53" x14ac:dyDescent="0.2">
      <c r="AT321" s="1057"/>
      <c r="AU321" s="1057"/>
      <c r="AZ321" s="1057"/>
      <c r="BA321" s="1057"/>
    </row>
    <row r="322" spans="46:53" x14ac:dyDescent="0.2">
      <c r="AT322" s="1057"/>
      <c r="AU322" s="1057"/>
      <c r="AZ322" s="1057"/>
      <c r="BA322" s="1057"/>
    </row>
    <row r="323" spans="46:53" x14ac:dyDescent="0.2">
      <c r="AT323" s="1057"/>
      <c r="AU323" s="1057"/>
      <c r="AZ323" s="1057"/>
      <c r="BA323" s="1057"/>
    </row>
    <row r="324" spans="46:53" x14ac:dyDescent="0.2">
      <c r="AT324" s="1057"/>
      <c r="AU324" s="1057"/>
      <c r="AZ324" s="1057"/>
      <c r="BA324" s="1057"/>
    </row>
    <row r="325" spans="46:53" x14ac:dyDescent="0.2">
      <c r="AT325" s="1057"/>
      <c r="AU325" s="1057"/>
      <c r="AZ325" s="1057"/>
      <c r="BA325" s="1057"/>
    </row>
    <row r="326" spans="46:53" x14ac:dyDescent="0.2">
      <c r="AT326" s="1057"/>
      <c r="AU326" s="1057"/>
      <c r="AZ326" s="1057"/>
      <c r="BA326" s="1057"/>
    </row>
    <row r="327" spans="46:53" x14ac:dyDescent="0.2">
      <c r="AT327" s="1057"/>
      <c r="AU327" s="1057"/>
      <c r="AZ327" s="1057"/>
      <c r="BA327" s="1057"/>
    </row>
    <row r="328" spans="46:53" x14ac:dyDescent="0.2">
      <c r="AT328" s="1057"/>
      <c r="AU328" s="1057"/>
      <c r="AZ328" s="1057"/>
      <c r="BA328" s="1057"/>
    </row>
    <row r="329" spans="46:53" x14ac:dyDescent="0.2">
      <c r="AT329" s="1057"/>
      <c r="AU329" s="1057"/>
      <c r="AZ329" s="1057"/>
      <c r="BA329" s="1057"/>
    </row>
    <row r="330" spans="46:53" x14ac:dyDescent="0.2">
      <c r="AT330" s="1057"/>
      <c r="AU330" s="1057"/>
      <c r="AZ330" s="1057"/>
      <c r="BA330" s="1057"/>
    </row>
    <row r="331" spans="46:53" x14ac:dyDescent="0.2">
      <c r="AT331" s="1057"/>
      <c r="AU331" s="1057"/>
      <c r="AZ331" s="1057"/>
      <c r="BA331" s="1057"/>
    </row>
    <row r="332" spans="46:53" x14ac:dyDescent="0.2">
      <c r="AT332" s="1065"/>
      <c r="AU332" s="1065"/>
    </row>
    <row r="333" spans="46:53" x14ac:dyDescent="0.2">
      <c r="AT333" s="1065"/>
      <c r="AU333" s="1065"/>
      <c r="AZ333" s="1065"/>
      <c r="BA333" s="1065"/>
    </row>
    <row r="334" spans="46:53" x14ac:dyDescent="0.2">
      <c r="AZ334" s="1065"/>
      <c r="BA334" s="1065"/>
    </row>
    <row r="335" spans="46:53" x14ac:dyDescent="0.2">
      <c r="AZ335" s="1065"/>
      <c r="BA335" s="1065"/>
    </row>
    <row r="336" spans="46:53" x14ac:dyDescent="0.2">
      <c r="AZ336" s="1065"/>
      <c r="BA336" s="1065"/>
    </row>
    <row r="337" spans="46:53" x14ac:dyDescent="0.2">
      <c r="AZ337" s="1065"/>
      <c r="BA337" s="1065"/>
    </row>
    <row r="338" spans="46:53" x14ac:dyDescent="0.2">
      <c r="AZ338" s="1065"/>
      <c r="BA338" s="1065"/>
    </row>
    <row r="339" spans="46:53" x14ac:dyDescent="0.2">
      <c r="AZ339" s="1065"/>
      <c r="BA339" s="1065"/>
    </row>
    <row r="340" spans="46:53" x14ac:dyDescent="0.2">
      <c r="AZ340" s="1065"/>
      <c r="BA340" s="1065"/>
    </row>
    <row r="341" spans="46:53" x14ac:dyDescent="0.2">
      <c r="AZ341" s="1075"/>
      <c r="BA341" s="1075"/>
    </row>
    <row r="342" spans="46:53" x14ac:dyDescent="0.2">
      <c r="AZ342" s="1081"/>
      <c r="BA342" s="1081"/>
    </row>
    <row r="343" spans="46:53" x14ac:dyDescent="0.2">
      <c r="AZ343" s="1081"/>
      <c r="BA343" s="1081"/>
    </row>
    <row r="344" spans="46:53" x14ac:dyDescent="0.2">
      <c r="AZ344" s="1065"/>
      <c r="BA344" s="1065"/>
    </row>
    <row r="345" spans="46:53" x14ac:dyDescent="0.2">
      <c r="AZ345" s="1065"/>
      <c r="BA345" s="1065"/>
    </row>
    <row r="348" spans="46:53" x14ac:dyDescent="0.2">
      <c r="AT348" s="1148"/>
    </row>
    <row r="371" spans="46:53" x14ac:dyDescent="0.2">
      <c r="AZ371" s="1057"/>
      <c r="BA371" s="1057"/>
    </row>
    <row r="372" spans="46:53" x14ac:dyDescent="0.2">
      <c r="AZ372" s="1057"/>
      <c r="BA372" s="1057"/>
    </row>
    <row r="373" spans="46:53" x14ac:dyDescent="0.2">
      <c r="AZ373" s="1057"/>
      <c r="BA373" s="1057"/>
    </row>
    <row r="374" spans="46:53" x14ac:dyDescent="0.2">
      <c r="AZ374" s="1057"/>
      <c r="BA374" s="1057"/>
    </row>
    <row r="375" spans="46:53" x14ac:dyDescent="0.2">
      <c r="AZ375" s="1057"/>
      <c r="BA375" s="1057"/>
    </row>
    <row r="376" spans="46:53" x14ac:dyDescent="0.2">
      <c r="AZ376" s="1057"/>
      <c r="BA376" s="1057"/>
    </row>
    <row r="377" spans="46:53" x14ac:dyDescent="0.2">
      <c r="AZ377" s="1057"/>
      <c r="BA377" s="1057"/>
    </row>
    <row r="378" spans="46:53" x14ac:dyDescent="0.2">
      <c r="AZ378" s="1057"/>
      <c r="BA378" s="1057"/>
    </row>
    <row r="379" spans="46:53" x14ac:dyDescent="0.2">
      <c r="AZ379" s="1057"/>
      <c r="BA379" s="1057"/>
    </row>
    <row r="380" spans="46:53" x14ac:dyDescent="0.2">
      <c r="AZ380" s="1057"/>
      <c r="BA380" s="1057"/>
    </row>
    <row r="381" spans="46:53" x14ac:dyDescent="0.2">
      <c r="AZ381" s="1057"/>
      <c r="BA381" s="1057"/>
    </row>
    <row r="382" spans="46:53" x14ac:dyDescent="0.2">
      <c r="AZ382" s="1057"/>
      <c r="BA382" s="1057"/>
    </row>
    <row r="383" spans="46:53" x14ac:dyDescent="0.2">
      <c r="AZ383" s="1057"/>
      <c r="BA383" s="1057"/>
    </row>
    <row r="384" spans="46:53" x14ac:dyDescent="0.2">
      <c r="AT384" s="1148"/>
      <c r="AZ384" s="1057"/>
      <c r="BA384" s="1057"/>
    </row>
    <row r="385" spans="52:53" x14ac:dyDescent="0.2">
      <c r="AZ385" s="1057"/>
      <c r="BA385" s="1057"/>
    </row>
    <row r="386" spans="52:53" x14ac:dyDescent="0.2">
      <c r="AZ386" s="1057"/>
      <c r="BA386" s="1057"/>
    </row>
    <row r="387" spans="52:53" x14ac:dyDescent="0.2">
      <c r="AZ387" s="1057"/>
      <c r="BA387" s="1057"/>
    </row>
    <row r="388" spans="52:53" x14ac:dyDescent="0.2">
      <c r="AZ388" s="1057"/>
      <c r="BA388" s="1057"/>
    </row>
    <row r="389" spans="52:53" x14ac:dyDescent="0.2">
      <c r="AZ389" s="1057"/>
      <c r="BA389" s="1057"/>
    </row>
    <row r="390" spans="52:53" x14ac:dyDescent="0.2">
      <c r="AZ390" s="1057"/>
      <c r="BA390" s="1057"/>
    </row>
    <row r="391" spans="52:53" x14ac:dyDescent="0.2">
      <c r="AZ391" s="1057"/>
      <c r="BA391" s="1057"/>
    </row>
    <row r="392" spans="52:53" x14ac:dyDescent="0.2">
      <c r="AZ392" s="1057"/>
      <c r="BA392" s="1057"/>
    </row>
    <row r="393" spans="52:53" x14ac:dyDescent="0.2">
      <c r="AZ393" s="1057"/>
      <c r="BA393" s="1057"/>
    </row>
    <row r="394" spans="52:53" x14ac:dyDescent="0.2">
      <c r="AZ394" s="1057"/>
      <c r="BA394" s="1057"/>
    </row>
    <row r="395" spans="52:53" x14ac:dyDescent="0.2">
      <c r="AZ395" s="1057"/>
      <c r="BA395" s="1057"/>
    </row>
    <row r="396" spans="52:53" x14ac:dyDescent="0.2">
      <c r="AZ396" s="1057"/>
      <c r="BA396" s="1057"/>
    </row>
    <row r="397" spans="52:53" x14ac:dyDescent="0.2">
      <c r="AZ397" s="1057"/>
      <c r="BA397" s="1057"/>
    </row>
    <row r="398" spans="52:53" x14ac:dyDescent="0.2">
      <c r="AZ398" s="1057"/>
      <c r="BA398" s="1057"/>
    </row>
    <row r="399" spans="52:53" x14ac:dyDescent="0.2">
      <c r="AZ399" s="1057"/>
      <c r="BA399" s="1057"/>
    </row>
    <row r="400" spans="52:53" x14ac:dyDescent="0.2">
      <c r="AZ400" s="1057"/>
      <c r="BA400" s="1057"/>
    </row>
    <row r="401" spans="52:53" x14ac:dyDescent="0.2">
      <c r="AZ401" s="1057"/>
      <c r="BA401" s="1057"/>
    </row>
    <row r="402" spans="52:53" x14ac:dyDescent="0.2">
      <c r="AZ402" s="1057"/>
      <c r="BA402" s="1057"/>
    </row>
    <row r="403" spans="52:53" x14ac:dyDescent="0.2">
      <c r="AZ403" s="1057"/>
      <c r="BA403" s="1057"/>
    </row>
    <row r="404" spans="52:53" x14ac:dyDescent="0.2">
      <c r="AZ404" s="1057"/>
      <c r="BA404" s="1057"/>
    </row>
    <row r="405" spans="52:53" x14ac:dyDescent="0.2">
      <c r="AZ405" s="1057"/>
      <c r="BA405" s="1057"/>
    </row>
    <row r="406" spans="52:53" x14ac:dyDescent="0.2">
      <c r="AZ406" s="1057"/>
      <c r="BA406" s="1057"/>
    </row>
    <row r="407" spans="52:53" x14ac:dyDescent="0.2">
      <c r="AZ407" s="1057"/>
      <c r="BA407" s="1057"/>
    </row>
    <row r="408" spans="52:53" x14ac:dyDescent="0.2">
      <c r="AZ408" s="1057"/>
      <c r="BA408" s="1057"/>
    </row>
    <row r="409" spans="52:53" x14ac:dyDescent="0.2">
      <c r="AZ409" s="1057"/>
      <c r="BA409" s="1057"/>
    </row>
    <row r="410" spans="52:53" x14ac:dyDescent="0.2">
      <c r="AZ410" s="1057"/>
      <c r="BA410" s="1057"/>
    </row>
    <row r="411" spans="52:53" x14ac:dyDescent="0.2">
      <c r="AZ411" s="1057"/>
      <c r="BA411" s="1057"/>
    </row>
    <row r="412" spans="52:53" x14ac:dyDescent="0.2">
      <c r="AZ412" s="1057"/>
      <c r="BA412" s="1057"/>
    </row>
    <row r="413" spans="52:53" x14ac:dyDescent="0.2">
      <c r="AZ413" s="1057"/>
      <c r="BA413" s="1057"/>
    </row>
    <row r="414" spans="52:53" x14ac:dyDescent="0.2">
      <c r="AZ414" s="1057"/>
      <c r="BA414" s="1057"/>
    </row>
    <row r="415" spans="52:53" x14ac:dyDescent="0.2">
      <c r="AZ415" s="1057"/>
      <c r="BA415" s="1057"/>
    </row>
    <row r="416" spans="52:53" x14ac:dyDescent="0.2">
      <c r="AZ416" s="1057"/>
      <c r="BA416" s="1057"/>
    </row>
    <row r="418" spans="52:53" x14ac:dyDescent="0.2">
      <c r="AZ418" s="1065"/>
      <c r="BA418" s="1065"/>
    </row>
    <row r="419" spans="52:53" x14ac:dyDescent="0.2">
      <c r="AZ419" s="1065"/>
      <c r="BA419" s="1065"/>
    </row>
    <row r="420" spans="52:53" x14ac:dyDescent="0.2">
      <c r="AZ420" s="1065"/>
      <c r="BA420" s="1065"/>
    </row>
    <row r="421" spans="52:53" x14ac:dyDescent="0.2">
      <c r="AZ421" s="1065"/>
      <c r="BA421" s="1065"/>
    </row>
    <row r="422" spans="52:53" x14ac:dyDescent="0.2">
      <c r="AZ422" s="1065"/>
      <c r="BA422" s="1065"/>
    </row>
    <row r="423" spans="52:53" x14ac:dyDescent="0.2">
      <c r="AZ423" s="1065"/>
      <c r="BA423" s="1065"/>
    </row>
    <row r="424" spans="52:53" x14ac:dyDescent="0.2">
      <c r="AZ424" s="1065"/>
      <c r="BA424" s="1065"/>
    </row>
    <row r="425" spans="52:53" x14ac:dyDescent="0.2">
      <c r="AZ425" s="1065"/>
      <c r="BA425" s="1065"/>
    </row>
    <row r="426" spans="52:53" x14ac:dyDescent="0.2">
      <c r="AZ426" s="1075"/>
      <c r="BA426" s="1075"/>
    </row>
    <row r="427" spans="52:53" x14ac:dyDescent="0.2">
      <c r="AZ427" s="1081"/>
      <c r="BA427" s="1081"/>
    </row>
    <row r="428" spans="52:53" x14ac:dyDescent="0.2">
      <c r="AZ428" s="1081"/>
      <c r="BA428" s="1081"/>
    </row>
    <row r="429" spans="52:53" x14ac:dyDescent="0.2">
      <c r="AZ429" s="1065"/>
      <c r="BA429" s="1065"/>
    </row>
    <row r="430" spans="52:53" x14ac:dyDescent="0.2">
      <c r="AZ430" s="1065"/>
      <c r="BA430" s="1065"/>
    </row>
  </sheetData>
  <sheetProtection formatCells="0" selectLockedCells="1"/>
  <mergeCells count="431">
    <mergeCell ref="U233:W233"/>
    <mergeCell ref="A234:N234"/>
    <mergeCell ref="W234:AH234"/>
    <mergeCell ref="U221:W221"/>
    <mergeCell ref="U222:W222"/>
    <mergeCell ref="K223:N225"/>
    <mergeCell ref="AG223:AH225"/>
    <mergeCell ref="U231:W231"/>
    <mergeCell ref="U232:W232"/>
    <mergeCell ref="AD217:AF217"/>
    <mergeCell ref="K218:N218"/>
    <mergeCell ref="U218:W218"/>
    <mergeCell ref="AG218:AH218"/>
    <mergeCell ref="U219:W219"/>
    <mergeCell ref="U220:W220"/>
    <mergeCell ref="B217:D217"/>
    <mergeCell ref="E217:G217"/>
    <mergeCell ref="H217:J217"/>
    <mergeCell ref="U217:W217"/>
    <mergeCell ref="X217:Z217"/>
    <mergeCell ref="AA217:AC217"/>
    <mergeCell ref="AA215:AC215"/>
    <mergeCell ref="AD215:AF215"/>
    <mergeCell ref="AG215:AH215"/>
    <mergeCell ref="B216:D216"/>
    <mergeCell ref="E216:G216"/>
    <mergeCell ref="H216:J216"/>
    <mergeCell ref="U216:W216"/>
    <mergeCell ref="X216:Z216"/>
    <mergeCell ref="AA216:AC216"/>
    <mergeCell ref="AD216:AF216"/>
    <mergeCell ref="B213:J213"/>
    <mergeCell ref="K213:Q213"/>
    <mergeCell ref="V213:X213"/>
    <mergeCell ref="Y213:AG213"/>
    <mergeCell ref="AH213:AN213"/>
    <mergeCell ref="B215:D215"/>
    <mergeCell ref="E215:G215"/>
    <mergeCell ref="H215:J215"/>
    <mergeCell ref="L215:N215"/>
    <mergeCell ref="X215:Z215"/>
    <mergeCell ref="B211:J211"/>
    <mergeCell ref="K211:Q211"/>
    <mergeCell ref="V211:X211"/>
    <mergeCell ref="Y211:AG211"/>
    <mergeCell ref="AH211:AN211"/>
    <mergeCell ref="B212:J212"/>
    <mergeCell ref="K212:Q212"/>
    <mergeCell ref="V212:X212"/>
    <mergeCell ref="Y212:AG212"/>
    <mergeCell ref="AH212:AN212"/>
    <mergeCell ref="B209:J209"/>
    <mergeCell ref="K209:Q209"/>
    <mergeCell ref="V209:X209"/>
    <mergeCell ref="Y209:AG209"/>
    <mergeCell ref="AH209:AN209"/>
    <mergeCell ref="B210:J210"/>
    <mergeCell ref="K210:Q210"/>
    <mergeCell ref="V210:X210"/>
    <mergeCell ref="Y210:AG210"/>
    <mergeCell ref="AH210:AN210"/>
    <mergeCell ref="A204:E204"/>
    <mergeCell ref="V204:AB204"/>
    <mergeCell ref="A205:E205"/>
    <mergeCell ref="V205:AB205"/>
    <mergeCell ref="A208:J208"/>
    <mergeCell ref="V208:AG208"/>
    <mergeCell ref="AC202:AF202"/>
    <mergeCell ref="AG202:AI202"/>
    <mergeCell ref="A203:E203"/>
    <mergeCell ref="F203:N203"/>
    <mergeCell ref="U203:AA203"/>
    <mergeCell ref="AC203:AI203"/>
    <mergeCell ref="A200:E200"/>
    <mergeCell ref="J200:Q200"/>
    <mergeCell ref="V200:AB200"/>
    <mergeCell ref="A202:D202"/>
    <mergeCell ref="F202:I202"/>
    <mergeCell ref="J202:N202"/>
    <mergeCell ref="U202:AB202"/>
    <mergeCell ref="J198:Q198"/>
    <mergeCell ref="AG198:AK198"/>
    <mergeCell ref="A199:E199"/>
    <mergeCell ref="F199:I199"/>
    <mergeCell ref="J199:Q199"/>
    <mergeCell ref="V199:AB199"/>
    <mergeCell ref="AC199:AF199"/>
    <mergeCell ref="AG199:AK199"/>
    <mergeCell ref="A195:E195"/>
    <mergeCell ref="V195:AB195"/>
    <mergeCell ref="A196:E196"/>
    <mergeCell ref="V196:AB196"/>
    <mergeCell ref="F197:I197"/>
    <mergeCell ref="AC197:AF197"/>
    <mergeCell ref="A193:E193"/>
    <mergeCell ref="F193:N193"/>
    <mergeCell ref="U193:AA193"/>
    <mergeCell ref="AC193:AI193"/>
    <mergeCell ref="A194:E194"/>
    <mergeCell ref="F194:I194"/>
    <mergeCell ref="J194:N194"/>
    <mergeCell ref="U194:AA194"/>
    <mergeCell ref="AC194:AF194"/>
    <mergeCell ref="AG194:AI194"/>
    <mergeCell ref="A188:P188"/>
    <mergeCell ref="S188:AG188"/>
    <mergeCell ref="A190:E190"/>
    <mergeCell ref="V190:AB190"/>
    <mergeCell ref="A191:E191"/>
    <mergeCell ref="V191:AB191"/>
    <mergeCell ref="AL180:AO180"/>
    <mergeCell ref="A182:AQ182"/>
    <mergeCell ref="A183:AR183"/>
    <mergeCell ref="A184:AR184"/>
    <mergeCell ref="A185:AR185"/>
    <mergeCell ref="A186:L186"/>
    <mergeCell ref="AB179:AE179"/>
    <mergeCell ref="AF179:AK179"/>
    <mergeCell ref="AL179:AO179"/>
    <mergeCell ref="B180:G180"/>
    <mergeCell ref="H180:K180"/>
    <mergeCell ref="L180:Q180"/>
    <mergeCell ref="R180:U180"/>
    <mergeCell ref="V180:AA180"/>
    <mergeCell ref="AB180:AE180"/>
    <mergeCell ref="AF180:AK180"/>
    <mergeCell ref="R178:U178"/>
    <mergeCell ref="V178:AA178"/>
    <mergeCell ref="AB178:AE178"/>
    <mergeCell ref="AF178:AK178"/>
    <mergeCell ref="AL178:AO178"/>
    <mergeCell ref="B179:G179"/>
    <mergeCell ref="H179:K179"/>
    <mergeCell ref="L179:Q179"/>
    <mergeCell ref="R179:U179"/>
    <mergeCell ref="V179:AA179"/>
    <mergeCell ref="A175:AR175"/>
    <mergeCell ref="A176:AQ176"/>
    <mergeCell ref="A177:A178"/>
    <mergeCell ref="B177:K177"/>
    <mergeCell ref="L177:U177"/>
    <mergeCell ref="V177:AE177"/>
    <mergeCell ref="AF177:AO177"/>
    <mergeCell ref="B178:G178"/>
    <mergeCell ref="H178:K178"/>
    <mergeCell ref="L178:Q178"/>
    <mergeCell ref="X108:Z108"/>
    <mergeCell ref="AA108:AC108"/>
    <mergeCell ref="AD108:AF108"/>
    <mergeCell ref="AH142:AL142"/>
    <mergeCell ref="A174:AM174"/>
    <mergeCell ref="AN174:AQ174"/>
    <mergeCell ref="X107:Z107"/>
    <mergeCell ref="AA107:AC107"/>
    <mergeCell ref="AD107:AF107"/>
    <mergeCell ref="B108:D108"/>
    <mergeCell ref="E108:G108"/>
    <mergeCell ref="H108:J108"/>
    <mergeCell ref="L108:N108"/>
    <mergeCell ref="O108:Q108"/>
    <mergeCell ref="R108:T108"/>
    <mergeCell ref="U108:W108"/>
    <mergeCell ref="X106:Z106"/>
    <mergeCell ref="AA106:AC106"/>
    <mergeCell ref="AD106:AF106"/>
    <mergeCell ref="B107:D107"/>
    <mergeCell ref="E107:G107"/>
    <mergeCell ref="H107:J107"/>
    <mergeCell ref="L107:N107"/>
    <mergeCell ref="O107:Q107"/>
    <mergeCell ref="R107:T107"/>
    <mergeCell ref="U107:W107"/>
    <mergeCell ref="X105:Z105"/>
    <mergeCell ref="AA105:AC105"/>
    <mergeCell ref="AD105:AF105"/>
    <mergeCell ref="B106:D106"/>
    <mergeCell ref="E106:G106"/>
    <mergeCell ref="H106:J106"/>
    <mergeCell ref="L106:N106"/>
    <mergeCell ref="O106:Q106"/>
    <mergeCell ref="R106:T106"/>
    <mergeCell ref="U106:W106"/>
    <mergeCell ref="AA104:AC104"/>
    <mergeCell ref="AD104:AF104"/>
    <mergeCell ref="AG104:AR107"/>
    <mergeCell ref="B105:D105"/>
    <mergeCell ref="E105:G105"/>
    <mergeCell ref="H105:J105"/>
    <mergeCell ref="L105:N105"/>
    <mergeCell ref="O105:Q105"/>
    <mergeCell ref="R105:T105"/>
    <mergeCell ref="U105:W105"/>
    <mergeCell ref="B103:AJ103"/>
    <mergeCell ref="B104:D104"/>
    <mergeCell ref="E104:G104"/>
    <mergeCell ref="H104:J104"/>
    <mergeCell ref="K104:K114"/>
    <mergeCell ref="L104:N104"/>
    <mergeCell ref="O104:Q104"/>
    <mergeCell ref="R104:T104"/>
    <mergeCell ref="U104:W104"/>
    <mergeCell ref="X104:Z104"/>
    <mergeCell ref="AA101:AC102"/>
    <mergeCell ref="AD101:AF102"/>
    <mergeCell ref="AG101:AG102"/>
    <mergeCell ref="AH101:AH102"/>
    <mergeCell ref="AI101:AJ102"/>
    <mergeCell ref="B102:D102"/>
    <mergeCell ref="E102:L102"/>
    <mergeCell ref="A101:A102"/>
    <mergeCell ref="B101:D101"/>
    <mergeCell ref="E101:L101"/>
    <mergeCell ref="M101:Q102"/>
    <mergeCell ref="S101:W102"/>
    <mergeCell ref="X101:Z102"/>
    <mergeCell ref="AD99:AF100"/>
    <mergeCell ref="AG99:AG100"/>
    <mergeCell ref="AH99:AH100"/>
    <mergeCell ref="AI99:AJ100"/>
    <mergeCell ref="B100:D100"/>
    <mergeCell ref="E100:L100"/>
    <mergeCell ref="AI97:AJ98"/>
    <mergeCell ref="B98:D98"/>
    <mergeCell ref="E98:L98"/>
    <mergeCell ref="A99:A100"/>
    <mergeCell ref="B99:D99"/>
    <mergeCell ref="E99:L99"/>
    <mergeCell ref="M99:Q100"/>
    <mergeCell ref="S99:W100"/>
    <mergeCell ref="X99:Z100"/>
    <mergeCell ref="AA99:AC100"/>
    <mergeCell ref="S97:W98"/>
    <mergeCell ref="X97:Z98"/>
    <mergeCell ref="AA97:AC98"/>
    <mergeCell ref="AD97:AF98"/>
    <mergeCell ref="AG97:AG98"/>
    <mergeCell ref="AH97:AH98"/>
    <mergeCell ref="B96:D96"/>
    <mergeCell ref="E96:L96"/>
    <mergeCell ref="A97:A98"/>
    <mergeCell ref="B97:D97"/>
    <mergeCell ref="E97:L97"/>
    <mergeCell ref="M97:Q98"/>
    <mergeCell ref="X95:Z96"/>
    <mergeCell ref="AA95:AC96"/>
    <mergeCell ref="AD95:AF96"/>
    <mergeCell ref="AG95:AG96"/>
    <mergeCell ref="AH95:AH96"/>
    <mergeCell ref="AI95:AJ96"/>
    <mergeCell ref="AG93:AG94"/>
    <mergeCell ref="AH93:AH94"/>
    <mergeCell ref="AI93:AJ94"/>
    <mergeCell ref="B94:D94"/>
    <mergeCell ref="E94:L94"/>
    <mergeCell ref="A95:A96"/>
    <mergeCell ref="B95:D95"/>
    <mergeCell ref="E95:L95"/>
    <mergeCell ref="M95:Q96"/>
    <mergeCell ref="S95:W96"/>
    <mergeCell ref="AD92:AF92"/>
    <mergeCell ref="AI92:AJ92"/>
    <mergeCell ref="A93:A94"/>
    <mergeCell ref="B93:D93"/>
    <mergeCell ref="E93:L93"/>
    <mergeCell ref="M93:Q94"/>
    <mergeCell ref="S93:W94"/>
    <mergeCell ref="X93:Z94"/>
    <mergeCell ref="AA93:AC94"/>
    <mergeCell ref="AD93:AF94"/>
    <mergeCell ref="A90:AR90"/>
    <mergeCell ref="C91:H91"/>
    <mergeCell ref="I91:J91"/>
    <mergeCell ref="K91:AJ91"/>
    <mergeCell ref="B92:L92"/>
    <mergeCell ref="M92:Q92"/>
    <mergeCell ref="R92:R102"/>
    <mergeCell ref="S92:W92"/>
    <mergeCell ref="X92:Z92"/>
    <mergeCell ref="AA92:AC92"/>
    <mergeCell ref="X23:Z23"/>
    <mergeCell ref="AA23:AC23"/>
    <mergeCell ref="AD23:AF23"/>
    <mergeCell ref="AH57:AL57"/>
    <mergeCell ref="A89:AM89"/>
    <mergeCell ref="AN89:AQ89"/>
    <mergeCell ref="X22:Z22"/>
    <mergeCell ref="AA22:AC22"/>
    <mergeCell ref="AD22:AF22"/>
    <mergeCell ref="B23:D23"/>
    <mergeCell ref="E23:G23"/>
    <mergeCell ref="H23:J23"/>
    <mergeCell ref="L23:N23"/>
    <mergeCell ref="O23:Q23"/>
    <mergeCell ref="R23:T23"/>
    <mergeCell ref="U23:W23"/>
    <mergeCell ref="X21:Z21"/>
    <mergeCell ref="AA21:AC21"/>
    <mergeCell ref="AD21:AF21"/>
    <mergeCell ref="B22:D22"/>
    <mergeCell ref="E22:G22"/>
    <mergeCell ref="H22:J22"/>
    <mergeCell ref="L22:N22"/>
    <mergeCell ref="O22:Q22"/>
    <mergeCell ref="R22:T22"/>
    <mergeCell ref="U22:W22"/>
    <mergeCell ref="X20:Z20"/>
    <mergeCell ref="AA20:AC20"/>
    <mergeCell ref="AD20:AF20"/>
    <mergeCell ref="B21:D21"/>
    <mergeCell ref="E21:G21"/>
    <mergeCell ref="H21:J21"/>
    <mergeCell ref="L21:N21"/>
    <mergeCell ref="O21:Q21"/>
    <mergeCell ref="R21:T21"/>
    <mergeCell ref="U21:W21"/>
    <mergeCell ref="AA19:AC19"/>
    <mergeCell ref="AD19:AF19"/>
    <mergeCell ref="AG19:AR22"/>
    <mergeCell ref="B20:D20"/>
    <mergeCell ref="E20:G20"/>
    <mergeCell ref="H20:J20"/>
    <mergeCell ref="L20:N20"/>
    <mergeCell ref="O20:Q20"/>
    <mergeCell ref="R20:T20"/>
    <mergeCell ref="U20:W20"/>
    <mergeCell ref="B18:AJ18"/>
    <mergeCell ref="B19:D19"/>
    <mergeCell ref="E19:G19"/>
    <mergeCell ref="H19:J19"/>
    <mergeCell ref="K19:K29"/>
    <mergeCell ref="L19:N19"/>
    <mergeCell ref="O19:Q19"/>
    <mergeCell ref="R19:T19"/>
    <mergeCell ref="U19:W19"/>
    <mergeCell ref="X19:Z19"/>
    <mergeCell ref="AA16:AC17"/>
    <mergeCell ref="AD16:AF17"/>
    <mergeCell ref="AG16:AG17"/>
    <mergeCell ref="AH16:AH17"/>
    <mergeCell ref="AI16:AJ17"/>
    <mergeCell ref="B17:D17"/>
    <mergeCell ref="E17:L17"/>
    <mergeCell ref="AH14:AH15"/>
    <mergeCell ref="AI14:AJ15"/>
    <mergeCell ref="B15:D15"/>
    <mergeCell ref="E15:L15"/>
    <mergeCell ref="A16:A17"/>
    <mergeCell ref="B16:D16"/>
    <mergeCell ref="E16:L16"/>
    <mergeCell ref="M16:Q17"/>
    <mergeCell ref="S16:W17"/>
    <mergeCell ref="X16:Z17"/>
    <mergeCell ref="AT13:AY14"/>
    <mergeCell ref="A14:A15"/>
    <mergeCell ref="B14:D14"/>
    <mergeCell ref="E14:L14"/>
    <mergeCell ref="M14:Q15"/>
    <mergeCell ref="S14:W15"/>
    <mergeCell ref="X14:Z15"/>
    <mergeCell ref="AA14:AC15"/>
    <mergeCell ref="AD14:AF15"/>
    <mergeCell ref="AG14:AG15"/>
    <mergeCell ref="AA12:AC13"/>
    <mergeCell ref="AD12:AF13"/>
    <mergeCell ref="AG12:AG13"/>
    <mergeCell ref="AH12:AH13"/>
    <mergeCell ref="AI12:AJ13"/>
    <mergeCell ref="B13:D13"/>
    <mergeCell ref="E13:L13"/>
    <mergeCell ref="A12:A13"/>
    <mergeCell ref="B12:D12"/>
    <mergeCell ref="E12:L12"/>
    <mergeCell ref="M12:Q13"/>
    <mergeCell ref="S12:W13"/>
    <mergeCell ref="X12:Z13"/>
    <mergeCell ref="AA10:AC11"/>
    <mergeCell ref="AD10:AF11"/>
    <mergeCell ref="AG10:AG11"/>
    <mergeCell ref="AH10:AH11"/>
    <mergeCell ref="AI10:AJ11"/>
    <mergeCell ref="B11:D11"/>
    <mergeCell ref="E11:L11"/>
    <mergeCell ref="AH8:AH9"/>
    <mergeCell ref="AI8:AJ9"/>
    <mergeCell ref="B9:D9"/>
    <mergeCell ref="E9:L9"/>
    <mergeCell ref="A10:A11"/>
    <mergeCell ref="B10:D10"/>
    <mergeCell ref="E10:L10"/>
    <mergeCell ref="M10:Q11"/>
    <mergeCell ref="S10:W11"/>
    <mergeCell ref="X10:Z11"/>
    <mergeCell ref="AI7:AJ7"/>
    <mergeCell ref="A8:A9"/>
    <mergeCell ref="B8:D8"/>
    <mergeCell ref="E8:L8"/>
    <mergeCell ref="M8:Q9"/>
    <mergeCell ref="S8:W9"/>
    <mergeCell ref="X8:Z9"/>
    <mergeCell ref="AA8:AC9"/>
    <mergeCell ref="AD8:AF9"/>
    <mergeCell ref="AG8:AG9"/>
    <mergeCell ref="C6:H6"/>
    <mergeCell ref="I6:J6"/>
    <mergeCell ref="K6:AJ6"/>
    <mergeCell ref="B7:L7"/>
    <mergeCell ref="M7:Q7"/>
    <mergeCell ref="R7:R17"/>
    <mergeCell ref="S7:W7"/>
    <mergeCell ref="X7:Z7"/>
    <mergeCell ref="AA7:AC7"/>
    <mergeCell ref="AD7:AF7"/>
    <mergeCell ref="AE3:AF3"/>
    <mergeCell ref="H4:N4"/>
    <mergeCell ref="O4:U4"/>
    <mergeCell ref="V4:Z4"/>
    <mergeCell ref="AA4:AF4"/>
    <mergeCell ref="B5:J5"/>
    <mergeCell ref="L5:AF5"/>
    <mergeCell ref="B3:C3"/>
    <mergeCell ref="D3:L3"/>
    <mergeCell ref="M3:P3"/>
    <mergeCell ref="Q3:U3"/>
    <mergeCell ref="V3:AA3"/>
    <mergeCell ref="AC3:AD3"/>
    <mergeCell ref="A1:AF1"/>
    <mergeCell ref="AT1:AW1"/>
    <mergeCell ref="AX1:AY1"/>
    <mergeCell ref="J2:U2"/>
    <mergeCell ref="V2:X2"/>
    <mergeCell ref="Y2:AF2"/>
  </mergeCells>
  <conditionalFormatting sqref="A8 A93">
    <cfRule type="expression" dxfId="3172" priority="1" stopIfTrue="1">
      <formula>IF(AL9&gt;0,0,1)</formula>
    </cfRule>
  </conditionalFormatting>
  <conditionalFormatting sqref="A10:A11 A95:A96">
    <cfRule type="expression" dxfId="3171" priority="2" stopIfTrue="1">
      <formula>IF(AL9&gt;1,0,1)</formula>
    </cfRule>
  </conditionalFormatting>
  <conditionalFormatting sqref="A12:A13 A97:A98">
    <cfRule type="expression" dxfId="3170" priority="3" stopIfTrue="1">
      <formula>IF(AL9&gt;2,0,1)</formula>
    </cfRule>
  </conditionalFormatting>
  <conditionalFormatting sqref="A14:A15 A99:A100">
    <cfRule type="expression" dxfId="3169" priority="4" stopIfTrue="1">
      <formula>IF(AL9&gt;3,0,1)</formula>
    </cfRule>
  </conditionalFormatting>
  <conditionalFormatting sqref="A16:A17 A101:A102">
    <cfRule type="expression" dxfId="3168" priority="5" stopIfTrue="1">
      <formula>IF(AL9&gt;4,0,1)</formula>
    </cfRule>
  </conditionalFormatting>
  <conditionalFormatting sqref="B8 B93">
    <cfRule type="expression" dxfId="3167" priority="6" stopIfTrue="1">
      <formula>IF(AL9&gt;0,0,1)</formula>
    </cfRule>
  </conditionalFormatting>
  <conditionalFormatting sqref="B9 B94">
    <cfRule type="expression" dxfId="3166" priority="7" stopIfTrue="1">
      <formula>IF(AL9&gt;0,0,1)</formula>
    </cfRule>
  </conditionalFormatting>
  <conditionalFormatting sqref="B10 B95">
    <cfRule type="expression" dxfId="3165" priority="8" stopIfTrue="1">
      <formula>IF(AL9&gt;1,0,1)</formula>
    </cfRule>
  </conditionalFormatting>
  <conditionalFormatting sqref="B11:D11 B96:D96">
    <cfRule type="expression" dxfId="3164" priority="9" stopIfTrue="1">
      <formula>IF(AL9&gt;1,0,1)</formula>
    </cfRule>
  </conditionalFormatting>
  <conditionalFormatting sqref="B12:D12 B97:D97">
    <cfRule type="expression" dxfId="3163" priority="10" stopIfTrue="1">
      <formula>IF(AL9&gt;2,0,1)</formula>
    </cfRule>
  </conditionalFormatting>
  <conditionalFormatting sqref="B13:D13 B98:D98">
    <cfRule type="expression" dxfId="3162" priority="11" stopIfTrue="1">
      <formula>IF(AL9&gt;2,0,1)</formula>
    </cfRule>
  </conditionalFormatting>
  <conditionalFormatting sqref="B14:D14 B99:D99">
    <cfRule type="expression" dxfId="3161" priority="12" stopIfTrue="1">
      <formula>IF(AL9&gt;3,0,1)</formula>
    </cfRule>
  </conditionalFormatting>
  <conditionalFormatting sqref="B15:D15 B100:D100">
    <cfRule type="expression" dxfId="3160" priority="13" stopIfTrue="1">
      <formula>IF(AL9&gt;3,0,1)</formula>
    </cfRule>
  </conditionalFormatting>
  <conditionalFormatting sqref="B16:D16 B101:D101">
    <cfRule type="expression" dxfId="3159" priority="14" stopIfTrue="1">
      <formula>IF(AL9&gt;4,0,1)</formula>
    </cfRule>
  </conditionalFormatting>
  <conditionalFormatting sqref="B17:D17 B102:D102">
    <cfRule type="expression" dxfId="3158" priority="15" stopIfTrue="1">
      <formula>IF(AL9&gt;4,0,1)</formula>
    </cfRule>
  </conditionalFormatting>
  <conditionalFormatting sqref="E8 E93">
    <cfRule type="expression" dxfId="3157" priority="16" stopIfTrue="1">
      <formula>IF(AL9&gt;0,0,1)</formula>
    </cfRule>
  </conditionalFormatting>
  <conditionalFormatting sqref="E9 E94">
    <cfRule type="expression" dxfId="3156" priority="17" stopIfTrue="1">
      <formula>IF(AL9&gt;0,0,1)</formula>
    </cfRule>
  </conditionalFormatting>
  <conditionalFormatting sqref="E10 E95">
    <cfRule type="expression" dxfId="3155" priority="18" stopIfTrue="1">
      <formula>IF(AL9&gt;1,0,1)</formula>
    </cfRule>
  </conditionalFormatting>
  <conditionalFormatting sqref="E11 E96">
    <cfRule type="expression" dxfId="3154" priority="19" stopIfTrue="1">
      <formula>IF(AL9&gt;1,0,1)</formula>
    </cfRule>
  </conditionalFormatting>
  <conditionalFormatting sqref="E12 E97">
    <cfRule type="expression" dxfId="3153" priority="20" stopIfTrue="1">
      <formula>IF(AL9&gt;2,0,1)</formula>
    </cfRule>
  </conditionalFormatting>
  <conditionalFormatting sqref="E13 E98">
    <cfRule type="expression" dxfId="3152" priority="21" stopIfTrue="1">
      <formula>IF(AL9&gt;2,0,1)</formula>
    </cfRule>
  </conditionalFormatting>
  <conditionalFormatting sqref="E14 E99">
    <cfRule type="expression" dxfId="3151" priority="22" stopIfTrue="1">
      <formula>IF(AL9&gt;3,0,1)</formula>
    </cfRule>
  </conditionalFormatting>
  <conditionalFormatting sqref="E15 E100">
    <cfRule type="expression" dxfId="3150" priority="23" stopIfTrue="1">
      <formula>IF(AL9&gt;3,0,1)</formula>
    </cfRule>
  </conditionalFormatting>
  <conditionalFormatting sqref="E16 E101">
    <cfRule type="expression" dxfId="3149" priority="24" stopIfTrue="1">
      <formula>IF(AL9&gt;4,0,1)</formula>
    </cfRule>
  </conditionalFormatting>
  <conditionalFormatting sqref="E17 E102">
    <cfRule type="expression" dxfId="3148" priority="25" stopIfTrue="1">
      <formula>IF(AL9&gt;4,0,1)</formula>
    </cfRule>
  </conditionalFormatting>
  <conditionalFormatting sqref="AD8 AD93">
    <cfRule type="expression" dxfId="3147" priority="26" stopIfTrue="1">
      <formula>IF(AL11=1,IF(AL9&gt;0,0,1),1)</formula>
    </cfRule>
  </conditionalFormatting>
  <conditionalFormatting sqref="AD10:AF11 AD95:AF96">
    <cfRule type="expression" dxfId="3146" priority="27" stopIfTrue="1">
      <formula>IF(AL11=1,IF(AL9&gt;1,0,1),1)</formula>
    </cfRule>
  </conditionalFormatting>
  <conditionalFormatting sqref="AD12:AF13 AD97:AF98">
    <cfRule type="expression" dxfId="3145" priority="28" stopIfTrue="1">
      <formula>IF(AL11=1,IF(AL9&gt;2,0,1),1)</formula>
    </cfRule>
  </conditionalFormatting>
  <conditionalFormatting sqref="AD14:AF15 AD99:AF100">
    <cfRule type="expression" dxfId="3144" priority="29" stopIfTrue="1">
      <formula>IF(AL11=1,IF(AL9&gt;3,0,1),1)</formula>
    </cfRule>
  </conditionalFormatting>
  <conditionalFormatting sqref="AD16:AF17 AD101:AF102">
    <cfRule type="expression" dxfId="3143" priority="30" stopIfTrue="1">
      <formula>IF(AL11=1,IF(AL9&gt;4,0,1),1)</formula>
    </cfRule>
  </conditionalFormatting>
  <conditionalFormatting sqref="AI8 AI93">
    <cfRule type="expression" dxfId="3142" priority="31" stopIfTrue="1">
      <formula>IF(AL9&gt;0,0,1)</formula>
    </cfRule>
  </conditionalFormatting>
  <conditionalFormatting sqref="AI10:AJ11 AI95:AJ96">
    <cfRule type="expression" dxfId="3141" priority="32" stopIfTrue="1">
      <formula>IF(AL9&gt;1,0,1)</formula>
    </cfRule>
  </conditionalFormatting>
  <conditionalFormatting sqref="AI12:AJ13 AI97:AJ98">
    <cfRule type="expression" dxfId="3140" priority="33" stopIfTrue="1">
      <formula>IF(AL9&gt;2,0,1)</formula>
    </cfRule>
  </conditionalFormatting>
  <conditionalFormatting sqref="AI14:AJ15 AI99:AJ100">
    <cfRule type="expression" dxfId="3139" priority="34" stopIfTrue="1">
      <formula>IF(AL9&gt;3,0,1)</formula>
    </cfRule>
  </conditionalFormatting>
  <conditionalFormatting sqref="AI16:AJ17 AI101:AJ102">
    <cfRule type="expression" dxfId="3138" priority="35" stopIfTrue="1">
      <formula>IF(AL9&gt;4,0,1)</formula>
    </cfRule>
  </conditionalFormatting>
  <conditionalFormatting sqref="B19:D19 B104:D104">
    <cfRule type="expression" dxfId="3137" priority="36" stopIfTrue="1">
      <formula>IF(AL8&gt;0,0,1)</formula>
    </cfRule>
  </conditionalFormatting>
  <conditionalFormatting sqref="E19:G19 E104:G104">
    <cfRule type="expression" dxfId="3136" priority="37" stopIfTrue="1">
      <formula>IF(AL8&gt;1,0,1)</formula>
    </cfRule>
  </conditionalFormatting>
  <conditionalFormatting sqref="H19:J19 H104:J104">
    <cfRule type="expression" dxfId="3135" priority="38" stopIfTrue="1">
      <formula>IF(AL8&gt;2,0,1)</formula>
    </cfRule>
  </conditionalFormatting>
  <conditionalFormatting sqref="L19:N19 L104:N104">
    <cfRule type="expression" dxfId="3134" priority="39" stopIfTrue="1">
      <formula>IF(AL8&gt;3,0,1)</formula>
    </cfRule>
  </conditionalFormatting>
  <conditionalFormatting sqref="O19:Q19 O104:Q104">
    <cfRule type="expression" dxfId="3133" priority="40" stopIfTrue="1">
      <formula>IF(AL8&gt;4,0,1)</formula>
    </cfRule>
  </conditionalFormatting>
  <conditionalFormatting sqref="R19:T19 R104:T104">
    <cfRule type="expression" dxfId="3132" priority="41" stopIfTrue="1">
      <formula>IF(AL8&gt;5,0,1)</formula>
    </cfRule>
  </conditionalFormatting>
  <conditionalFormatting sqref="U19:W19 U104:W104">
    <cfRule type="expression" dxfId="3131" priority="42" stopIfTrue="1">
      <formula>IF(AL8&gt;6,0,1)</formula>
    </cfRule>
  </conditionalFormatting>
  <conditionalFormatting sqref="X19:Z19 X104:Z104">
    <cfRule type="expression" dxfId="3130" priority="43" stopIfTrue="1">
      <formula>IF(AL8&gt;7,0,1)</formula>
    </cfRule>
  </conditionalFormatting>
  <conditionalFormatting sqref="AA19:AC19 AA104:AC104">
    <cfRule type="expression" dxfId="3129" priority="44" stopIfTrue="1">
      <formula>IF(AL8&gt;8,0,1)</formula>
    </cfRule>
  </conditionalFormatting>
  <conditionalFormatting sqref="AD19:AF19 AD104:AF104">
    <cfRule type="expression" dxfId="3128" priority="45" stopIfTrue="1">
      <formula>IF(AL8&gt;9,0,1)</formula>
    </cfRule>
  </conditionalFormatting>
  <conditionalFormatting sqref="B20:D20 B105:D105">
    <cfRule type="expression" dxfId="3127" priority="46" stopIfTrue="1">
      <formula>IF(AL8&gt;0,0,1)</formula>
    </cfRule>
  </conditionalFormatting>
  <conditionalFormatting sqref="E20:G20 E105:G105">
    <cfRule type="expression" dxfId="3126" priority="47" stopIfTrue="1">
      <formula>IF(AL8&gt;1,0,1)</formula>
    </cfRule>
  </conditionalFormatting>
  <conditionalFormatting sqref="H20:J20 H105:J105">
    <cfRule type="expression" dxfId="3125" priority="48" stopIfTrue="1">
      <formula>IF(AL8&gt;2,0,1)</formula>
    </cfRule>
  </conditionalFormatting>
  <conditionalFormatting sqref="L20:N20 L105:N105">
    <cfRule type="expression" dxfId="3124" priority="49" stopIfTrue="1">
      <formula>IF(AL8&gt;3,0,1)</formula>
    </cfRule>
  </conditionalFormatting>
  <conditionalFormatting sqref="O20:Q20 O105:Q105">
    <cfRule type="expression" dxfId="3123" priority="50" stopIfTrue="1">
      <formula>IF(AL8&gt;4,0,1)</formula>
    </cfRule>
  </conditionalFormatting>
  <conditionalFormatting sqref="R20:T20 R105:T105">
    <cfRule type="expression" dxfId="3122" priority="51" stopIfTrue="1">
      <formula>IF(AL8&gt;5,0,1)</formula>
    </cfRule>
  </conditionalFormatting>
  <conditionalFormatting sqref="U20:W20 U105:W105">
    <cfRule type="expression" dxfId="3121" priority="52" stopIfTrue="1">
      <formula>IF(AL8&gt;6,0,1)</formula>
    </cfRule>
  </conditionalFormatting>
  <conditionalFormatting sqref="X20:Z20 X105:Z105">
    <cfRule type="expression" dxfId="3120" priority="53" stopIfTrue="1">
      <formula>IF(AL8&gt;7,0,1)</formula>
    </cfRule>
  </conditionalFormatting>
  <conditionalFormatting sqref="AA20:AC20 AA105:AC105">
    <cfRule type="expression" dxfId="3119" priority="54" stopIfTrue="1">
      <formula>IF(AL8&gt;8,0,1)</formula>
    </cfRule>
  </conditionalFormatting>
  <conditionalFormatting sqref="AD20:AF20 AD105:AF105">
    <cfRule type="expression" dxfId="3118" priority="55" stopIfTrue="1">
      <formula>IF(AL8&gt;9,0,1)</formula>
    </cfRule>
  </conditionalFormatting>
  <conditionalFormatting sqref="E22:G22 E107:G107">
    <cfRule type="expression" dxfId="3117" priority="56" stopIfTrue="1">
      <formula>IF(AL8&gt;1,0,1)</formula>
    </cfRule>
  </conditionalFormatting>
  <conditionalFormatting sqref="H22:J22 H107:J107">
    <cfRule type="expression" dxfId="3116" priority="57" stopIfTrue="1">
      <formula>IF(AL8&gt;2,0,1)</formula>
    </cfRule>
  </conditionalFormatting>
  <conditionalFormatting sqref="L22:N22 L107:N107">
    <cfRule type="expression" dxfId="3115" priority="58" stopIfTrue="1">
      <formula>IF(AL8&gt;3,0,1)</formula>
    </cfRule>
  </conditionalFormatting>
  <conditionalFormatting sqref="O22:Q22 O107:Q107">
    <cfRule type="expression" dxfId="3114" priority="59" stopIfTrue="1">
      <formula>IF(AL8&gt;4,0,1)</formula>
    </cfRule>
  </conditionalFormatting>
  <conditionalFormatting sqref="R22:T22 R107:T107">
    <cfRule type="expression" dxfId="3113" priority="60" stopIfTrue="1">
      <formula>IF(AL8&gt;5,0,1)</formula>
    </cfRule>
  </conditionalFormatting>
  <conditionalFormatting sqref="U22:W22 U107:W107">
    <cfRule type="expression" dxfId="3112" priority="61" stopIfTrue="1">
      <formula>IF(AL8&gt;6,0,1)</formula>
    </cfRule>
  </conditionalFormatting>
  <conditionalFormatting sqref="X22:Z22 X107:Z107">
    <cfRule type="expression" dxfId="3111" priority="62" stopIfTrue="1">
      <formula>IF(AL8&gt;7,0,1)</formula>
    </cfRule>
  </conditionalFormatting>
  <conditionalFormatting sqref="AA22:AC22 AA107:AC107">
    <cfRule type="expression" dxfId="3110" priority="63" stopIfTrue="1">
      <formula>IF(AL8&gt;8,0,1)</formula>
    </cfRule>
  </conditionalFormatting>
  <conditionalFormatting sqref="AD22:AF22 AD107:AF107">
    <cfRule type="expression" dxfId="3109" priority="64" stopIfTrue="1">
      <formula>IF(AL8&gt;9,0,1)</formula>
    </cfRule>
  </conditionalFormatting>
  <conditionalFormatting sqref="B24 B109">
    <cfRule type="expression" dxfId="3108" priority="65" stopIfTrue="1">
      <formula>IF(AL8&gt;0,0,1)</formula>
    </cfRule>
  </conditionalFormatting>
  <conditionalFormatting sqref="C24 C109">
    <cfRule type="expression" dxfId="3107" priority="66" stopIfTrue="1">
      <formula>IF(AL8&gt;0,0,1)</formula>
    </cfRule>
  </conditionalFormatting>
  <conditionalFormatting sqref="D24 D109">
    <cfRule type="expression" dxfId="3106" priority="67" stopIfTrue="1">
      <formula>IF(AL8&gt;0,0,1)</formula>
    </cfRule>
  </conditionalFormatting>
  <conditionalFormatting sqref="E23:G23 E108:G108">
    <cfRule type="expression" dxfId="3105" priority="68" stopIfTrue="1">
      <formula>IF(AL8&gt;1,0,1)</formula>
    </cfRule>
  </conditionalFormatting>
  <conditionalFormatting sqref="F24 F109">
    <cfRule type="expression" dxfId="3104" priority="69" stopIfTrue="1">
      <formula>IF(AL8&gt;1,0,1)</formula>
    </cfRule>
  </conditionalFormatting>
  <conditionalFormatting sqref="G24 G109">
    <cfRule type="expression" dxfId="3103" priority="70" stopIfTrue="1">
      <formula>IF(AL8&gt;1,0,1)</formula>
    </cfRule>
  </conditionalFormatting>
  <conditionalFormatting sqref="H23:J23 H108:J108">
    <cfRule type="expression" dxfId="3102" priority="71" stopIfTrue="1">
      <formula>IF(AL8&gt;2,0,1)</formula>
    </cfRule>
  </conditionalFormatting>
  <conditionalFormatting sqref="I24 I109">
    <cfRule type="expression" dxfId="3101" priority="72" stopIfTrue="1">
      <formula>IF(AL8&gt;2,0,1)</formula>
    </cfRule>
  </conditionalFormatting>
  <conditionalFormatting sqref="J24 J109">
    <cfRule type="expression" dxfId="3100" priority="73" stopIfTrue="1">
      <formula>IF(AL8&gt;2,0,1)</formula>
    </cfRule>
  </conditionalFormatting>
  <conditionalFormatting sqref="L23:N23 L108:N108">
    <cfRule type="expression" dxfId="3099" priority="74" stopIfTrue="1">
      <formula>IF(AL8&gt;3,0,1)</formula>
    </cfRule>
  </conditionalFormatting>
  <conditionalFormatting sqref="M24 M109">
    <cfRule type="expression" dxfId="3098" priority="75" stopIfTrue="1">
      <formula>IF(AL8&gt;3,0,1)</formula>
    </cfRule>
  </conditionalFormatting>
  <conditionalFormatting sqref="N24 N109">
    <cfRule type="expression" dxfId="3097" priority="76" stopIfTrue="1">
      <formula>IF(AL8&gt;3,0,1)</formula>
    </cfRule>
  </conditionalFormatting>
  <conditionalFormatting sqref="O23:Q23 O108:Q108">
    <cfRule type="expression" dxfId="3096" priority="77" stopIfTrue="1">
      <formula>IF(AL8&gt;4,0,1)</formula>
    </cfRule>
  </conditionalFormatting>
  <conditionalFormatting sqref="P24 P109">
    <cfRule type="expression" dxfId="3095" priority="78" stopIfTrue="1">
      <formula>IF(AL8&gt;4,0,1)</formula>
    </cfRule>
  </conditionalFormatting>
  <conditionalFormatting sqref="Q24 Q109">
    <cfRule type="expression" dxfId="3094" priority="79" stopIfTrue="1">
      <formula>IF(AL8&gt;4,0,1)</formula>
    </cfRule>
  </conditionalFormatting>
  <conditionalFormatting sqref="R23:T23 R108:T108">
    <cfRule type="expression" dxfId="3093" priority="80" stopIfTrue="1">
      <formula>IF(AL8&gt;5,0,1)</formula>
    </cfRule>
  </conditionalFormatting>
  <conditionalFormatting sqref="S24 S109">
    <cfRule type="expression" dxfId="3092" priority="81" stopIfTrue="1">
      <formula>IF(AL8&gt;5,0,1)</formula>
    </cfRule>
  </conditionalFormatting>
  <conditionalFormatting sqref="T24 T109">
    <cfRule type="expression" dxfId="3091" priority="82" stopIfTrue="1">
      <formula>IF(AL8&gt;5,0,1)</formula>
    </cfRule>
  </conditionalFormatting>
  <conditionalFormatting sqref="U23:W23 U108:W108">
    <cfRule type="expression" dxfId="3090" priority="83" stopIfTrue="1">
      <formula>IF(AL8&gt;6,0,1)</formula>
    </cfRule>
  </conditionalFormatting>
  <conditionalFormatting sqref="V24 V109">
    <cfRule type="expression" dxfId="3089" priority="84" stopIfTrue="1">
      <formula>IF(AL8&gt;6,0,1)</formula>
    </cfRule>
  </conditionalFormatting>
  <conditionalFormatting sqref="W24 W109">
    <cfRule type="expression" dxfId="3088" priority="85" stopIfTrue="1">
      <formula>IF(AL8&gt;6,0,1)</formula>
    </cfRule>
  </conditionalFormatting>
  <conditionalFormatting sqref="X23:Z23 X108:Z108">
    <cfRule type="expression" dxfId="3087" priority="86" stopIfTrue="1">
      <formula>IF(AL8&gt;7,0,1)</formula>
    </cfRule>
  </conditionalFormatting>
  <conditionalFormatting sqref="Y24 Y109">
    <cfRule type="expression" dxfId="3086" priority="87" stopIfTrue="1">
      <formula>IF(AL8&gt;7,0,1)</formula>
    </cfRule>
  </conditionalFormatting>
  <conditionalFormatting sqref="Z24 Z109">
    <cfRule type="expression" dxfId="3085" priority="88" stopIfTrue="1">
      <formula>IF(AL8&gt;7,0,1)</formula>
    </cfRule>
  </conditionalFormatting>
  <conditionalFormatting sqref="AA23:AC23 AA108:AC108">
    <cfRule type="expression" dxfId="3084" priority="89" stopIfTrue="1">
      <formula>IF(AL8&gt;8,0,1)</formula>
    </cfRule>
  </conditionalFormatting>
  <conditionalFormatting sqref="AB24 AB109">
    <cfRule type="expression" dxfId="3083" priority="90" stopIfTrue="1">
      <formula>IF(AL8&gt;8,0,1)</formula>
    </cfRule>
  </conditionalFormatting>
  <conditionalFormatting sqref="AC24 AC109">
    <cfRule type="expression" dxfId="3082" priority="91" stopIfTrue="1">
      <formula>IF(AL8&gt;8,0,1)</formula>
    </cfRule>
  </conditionalFormatting>
  <conditionalFormatting sqref="AD23:AF23 AD108:AF108">
    <cfRule type="expression" dxfId="3081" priority="92" stopIfTrue="1">
      <formula>IF(AL8&gt;9,0,1)</formula>
    </cfRule>
  </conditionalFormatting>
  <conditionalFormatting sqref="AE24 AE109">
    <cfRule type="expression" dxfId="3080" priority="93" stopIfTrue="1">
      <formula>IF(AL8&gt;9,0,1)</formula>
    </cfRule>
  </conditionalFormatting>
  <conditionalFormatting sqref="AF24 AF109">
    <cfRule type="expression" dxfId="3079" priority="94" stopIfTrue="1">
      <formula>IF(AL8&gt;9,0,1)</formula>
    </cfRule>
  </conditionalFormatting>
  <conditionalFormatting sqref="A26 A111">
    <cfRule type="expression" dxfId="3078" priority="95" stopIfTrue="1">
      <formula>IF(AL7&gt;1,0,1)</formula>
    </cfRule>
  </conditionalFormatting>
  <conditionalFormatting sqref="A27 A112">
    <cfRule type="expression" dxfId="3077" priority="96" stopIfTrue="1">
      <formula>IF(AL7&gt;2,0,1)</formula>
    </cfRule>
  </conditionalFormatting>
  <conditionalFormatting sqref="A28 A113">
    <cfRule type="expression" dxfId="3076" priority="97" stopIfTrue="1">
      <formula>IF(AL7&gt;3,0,1)</formula>
    </cfRule>
  </conditionalFormatting>
  <conditionalFormatting sqref="A29 A114">
    <cfRule type="expression" dxfId="3075" priority="98" stopIfTrue="1">
      <formula>IF(AL7&gt;4,0,1)</formula>
    </cfRule>
  </conditionalFormatting>
  <conditionalFormatting sqref="B25:D25 B110:D110">
    <cfRule type="expression" dxfId="3074" priority="99" stopIfTrue="1">
      <formula>IF($AL8&gt;0,0,1)</formula>
    </cfRule>
  </conditionalFormatting>
  <conditionalFormatting sqref="B26:D26 B111:D111">
    <cfRule type="expression" dxfId="3073" priority="100" stopIfTrue="1">
      <formula>IF($AL8&lt;1,1,IF($AL7&lt;2,1,0))</formula>
    </cfRule>
  </conditionalFormatting>
  <conditionalFormatting sqref="B27:D27 B112:D112">
    <cfRule type="expression" dxfId="3072" priority="101" stopIfTrue="1">
      <formula>IF($AL8&lt;1,1,IF($AL7&lt;3,1,0))</formula>
    </cfRule>
  </conditionalFormatting>
  <conditionalFormatting sqref="B28:D28 B113:D113">
    <cfRule type="expression" dxfId="3071" priority="102" stopIfTrue="1">
      <formula>IF($AL8&lt;1,1,IF($AL7&lt;4,1,0))</formula>
    </cfRule>
  </conditionalFormatting>
  <conditionalFormatting sqref="B29:D29 B114:D114">
    <cfRule type="expression" dxfId="3070" priority="103" stopIfTrue="1">
      <formula>IF($AL8&lt;1,1,IF($AL7&lt;5,1,0))</formula>
    </cfRule>
  </conditionalFormatting>
  <conditionalFormatting sqref="AG26 AG111">
    <cfRule type="expression" dxfId="3069" priority="104" stopIfTrue="1">
      <formula>IF($AL9&gt;2,0,1)</formula>
    </cfRule>
  </conditionalFormatting>
  <conditionalFormatting sqref="AG25 AG110">
    <cfRule type="expression" dxfId="3068" priority="105" stopIfTrue="1">
      <formula>IF($AL9&gt;1,0,1)</formula>
    </cfRule>
  </conditionalFormatting>
  <conditionalFormatting sqref="AG24 AG109">
    <cfRule type="expression" dxfId="3067" priority="106" stopIfTrue="1">
      <formula>IF($AL9&gt;0,0,1)</formula>
    </cfRule>
  </conditionalFormatting>
  <conditionalFormatting sqref="AG27 AG112">
    <cfRule type="expression" dxfId="3066" priority="107" stopIfTrue="1">
      <formula>IF($AL9&gt;3,0,1)</formula>
    </cfRule>
  </conditionalFormatting>
  <conditionalFormatting sqref="AG28 AG113">
    <cfRule type="expression" dxfId="3065" priority="108" stopIfTrue="1">
      <formula>IF($AL9&gt;4,0,1)</formula>
    </cfRule>
  </conditionalFormatting>
  <conditionalFormatting sqref="AH23 AH108">
    <cfRule type="expression" dxfId="3064" priority="109" stopIfTrue="1">
      <formula>IF($AL8&lt;1,1,0)</formula>
    </cfRule>
  </conditionalFormatting>
  <conditionalFormatting sqref="AI23 AI108">
    <cfRule type="expression" dxfId="3063" priority="110" stopIfTrue="1">
      <formula>IF($AL8&lt;2,1,0)</formula>
    </cfRule>
  </conditionalFormatting>
  <conditionalFormatting sqref="AJ23 AJ108">
    <cfRule type="expression" dxfId="3062" priority="111" stopIfTrue="1">
      <formula>IF($AL8&lt;3,1,0)</formula>
    </cfRule>
  </conditionalFormatting>
  <conditionalFormatting sqref="AK23 AK108">
    <cfRule type="expression" dxfId="3061" priority="112" stopIfTrue="1">
      <formula>IF($AL8&lt;4,1,0)</formula>
    </cfRule>
  </conditionalFormatting>
  <conditionalFormatting sqref="AL23 AL108">
    <cfRule type="expression" dxfId="3060" priority="113" stopIfTrue="1">
      <formula>IF($AL8&lt;5,1,0)</formula>
    </cfRule>
  </conditionalFormatting>
  <conditionalFormatting sqref="AM23 AM108">
    <cfRule type="expression" dxfId="3059" priority="114" stopIfTrue="1">
      <formula>IF($AL8&lt;6,1,0)</formula>
    </cfRule>
  </conditionalFormatting>
  <conditionalFormatting sqref="AN23 AN108">
    <cfRule type="expression" dxfId="3058" priority="115" stopIfTrue="1">
      <formula>IF($AL8&lt;7,1,0)</formula>
    </cfRule>
  </conditionalFormatting>
  <conditionalFormatting sqref="AO23 AO108">
    <cfRule type="expression" dxfId="3057" priority="116" stopIfTrue="1">
      <formula>IF($AL8&lt;8,1,0)</formula>
    </cfRule>
  </conditionalFormatting>
  <conditionalFormatting sqref="AP23 AP108">
    <cfRule type="expression" dxfId="3056" priority="117" stopIfTrue="1">
      <formula>IF($AL8&lt;9,1,0)</formula>
    </cfRule>
  </conditionalFormatting>
  <conditionalFormatting sqref="AQ23 AQ108">
    <cfRule type="expression" dxfId="3055" priority="118" stopIfTrue="1">
      <formula>IF($AL8&lt;10,1,0)</formula>
    </cfRule>
  </conditionalFormatting>
  <conditionalFormatting sqref="AR24 AR109">
    <cfRule type="expression" dxfId="3054" priority="119" stopIfTrue="1">
      <formula>IF($AL9&gt;0,0,1)</formula>
    </cfRule>
  </conditionalFormatting>
  <conditionalFormatting sqref="AR25 AR110">
    <cfRule type="expression" dxfId="3053" priority="120" stopIfTrue="1">
      <formula>IF($AL9&gt;1,0,1)</formula>
    </cfRule>
  </conditionalFormatting>
  <conditionalFormatting sqref="AR26 H25:J25 AR111 H110:J110">
    <cfRule type="expression" dxfId="3052" priority="121" stopIfTrue="1">
      <formula>IF($AL8&gt;2,0,1)</formula>
    </cfRule>
  </conditionalFormatting>
  <conditionalFormatting sqref="L25:N25 L110:N110">
    <cfRule type="expression" dxfId="3051" priority="122" stopIfTrue="1">
      <formula>IF($AL8&gt;3,0,1)</formula>
    </cfRule>
  </conditionalFormatting>
  <conditionalFormatting sqref="AR28 AR113">
    <cfRule type="expression" dxfId="3050" priority="123" stopIfTrue="1">
      <formula>IF($AL9&gt;4,0,1)</formula>
    </cfRule>
  </conditionalFormatting>
  <conditionalFormatting sqref="E26:G26 E111:G111">
    <cfRule type="expression" dxfId="3049" priority="124" stopIfTrue="1">
      <formula>IF($AL8&lt;2,1,IF($AL7&lt;2,1,0))</formula>
    </cfRule>
  </conditionalFormatting>
  <conditionalFormatting sqref="E27:G27 E112:G112">
    <cfRule type="expression" dxfId="3048" priority="125" stopIfTrue="1">
      <formula>IF($AL8&lt;2,1,IF($AL7&lt;3,1,0))</formula>
    </cfRule>
  </conditionalFormatting>
  <conditionalFormatting sqref="E28:G28 E113:G113">
    <cfRule type="expression" dxfId="3047" priority="126" stopIfTrue="1">
      <formula>IF($AL8&lt;2,1,IF($AL7&lt;4,1,0))</formula>
    </cfRule>
  </conditionalFormatting>
  <conditionalFormatting sqref="E29:G29 E114:G114">
    <cfRule type="expression" dxfId="3046" priority="127" stopIfTrue="1">
      <formula>IF($AL8&lt;2,1,IF($AL7&lt;5,1,0))</formula>
    </cfRule>
  </conditionalFormatting>
  <conditionalFormatting sqref="O25:Q25 O110:Q110">
    <cfRule type="expression" dxfId="3045" priority="128" stopIfTrue="1">
      <formula>IF($AL8&gt;4,0,1)</formula>
    </cfRule>
  </conditionalFormatting>
  <conditionalFormatting sqref="R25:T25 R110:T110">
    <cfRule type="expression" dxfId="3044" priority="129" stopIfTrue="1">
      <formula>IF($AL8&gt;5,0,1)</formula>
    </cfRule>
  </conditionalFormatting>
  <conditionalFormatting sqref="U25:W25 U110:W110">
    <cfRule type="expression" dxfId="3043" priority="130" stopIfTrue="1">
      <formula>IF($AL8&gt;6,0,1)</formula>
    </cfRule>
  </conditionalFormatting>
  <conditionalFormatting sqref="X25:Z25 X110:Z110">
    <cfRule type="expression" dxfId="3042" priority="131" stopIfTrue="1">
      <formula>IF($AL8&gt;7,0,1)</formula>
    </cfRule>
  </conditionalFormatting>
  <conditionalFormatting sqref="AA25:AC25 AA110:AC110">
    <cfRule type="expression" dxfId="3041" priority="132" stopIfTrue="1">
      <formula>IF($AL8&gt;8,0,1)</formula>
    </cfRule>
  </conditionalFormatting>
  <conditionalFormatting sqref="AD25:AF25 AD110:AF110">
    <cfRule type="expression" dxfId="3040" priority="133" stopIfTrue="1">
      <formula>IF($AL8&gt;9,0,1)</formula>
    </cfRule>
  </conditionalFormatting>
  <conditionalFormatting sqref="H26:J26 H111:J111">
    <cfRule type="expression" dxfId="3039" priority="134" stopIfTrue="1">
      <formula>IF($AL8&lt;3,1,IF($AL7&lt;2,1,0))</formula>
    </cfRule>
  </conditionalFormatting>
  <conditionalFormatting sqref="L26:N26 L111:N111">
    <cfRule type="expression" dxfId="3038" priority="135" stopIfTrue="1">
      <formula>IF($AL8&lt;4,1,IF($AL7&lt;2,1,0))</formula>
    </cfRule>
  </conditionalFormatting>
  <conditionalFormatting sqref="O26:Q26 O111:Q111">
    <cfRule type="expression" dxfId="3037" priority="136" stopIfTrue="1">
      <formula>IF($AL8&lt;5,1,IF($AL7&lt;2,1,0))</formula>
    </cfRule>
  </conditionalFormatting>
  <conditionalFormatting sqref="R26:T26 R111:T111">
    <cfRule type="expression" dxfId="3036" priority="137" stopIfTrue="1">
      <formula>IF($AL8&lt;6,1,IF($AL7&lt;2,1,0))</formula>
    </cfRule>
  </conditionalFormatting>
  <conditionalFormatting sqref="U26:W26 U111:W111">
    <cfRule type="expression" dxfId="3035" priority="138" stopIfTrue="1">
      <formula>IF($AL8&lt;7,1,IF($AL7&lt;2,1,0))</formula>
    </cfRule>
  </conditionalFormatting>
  <conditionalFormatting sqref="X26:Z26 X111:Z111">
    <cfRule type="expression" dxfId="3034" priority="139" stopIfTrue="1">
      <formula>IF($AL8&lt;8,1,IF($AL7&lt;2,1,0))</formula>
    </cfRule>
  </conditionalFormatting>
  <conditionalFormatting sqref="AA26:AC26 AA111:AC111">
    <cfRule type="expression" dxfId="3033" priority="140" stopIfTrue="1">
      <formula>IF($AL8&lt;9,1,IF($AL7&lt;2,1,0))</formula>
    </cfRule>
  </conditionalFormatting>
  <conditionalFormatting sqref="AD26:AF26 AD111:AF111">
    <cfRule type="expression" dxfId="3032" priority="141" stopIfTrue="1">
      <formula>IF($AL8&lt;10,1,IF($AL7&lt;2,1,0))</formula>
    </cfRule>
  </conditionalFormatting>
  <conditionalFormatting sqref="H27:J27 H112:J112">
    <cfRule type="expression" dxfId="3031" priority="142" stopIfTrue="1">
      <formula>IF($AL8&lt;3,1,IF($AL7&lt;3,1,0))</formula>
    </cfRule>
  </conditionalFormatting>
  <conditionalFormatting sqref="L27:N27 L112:N112">
    <cfRule type="expression" dxfId="3030" priority="143" stopIfTrue="1">
      <formula>IF($AL8&lt;4,1,IF($AL7&lt;3,1,0))</formula>
    </cfRule>
  </conditionalFormatting>
  <conditionalFormatting sqref="O27:Q27 O112:Q112">
    <cfRule type="expression" dxfId="3029" priority="144" stopIfTrue="1">
      <formula>IF($AL8&lt;5,1,IF($AL7&lt;3,1,0))</formula>
    </cfRule>
  </conditionalFormatting>
  <conditionalFormatting sqref="R27:T27 R112:T112">
    <cfRule type="expression" dxfId="3028" priority="145" stopIfTrue="1">
      <formula>IF($AL8&lt;6,1,IF($AL7&lt;3,1,0))</formula>
    </cfRule>
  </conditionalFormatting>
  <conditionalFormatting sqref="U27:W27 U112:W112">
    <cfRule type="expression" dxfId="3027" priority="146" stopIfTrue="1">
      <formula>IF($AL8&lt;7,1,IF($AL7&lt;3,1,0))</formula>
    </cfRule>
  </conditionalFormatting>
  <conditionalFormatting sqref="X27:Z27 X112:Z112">
    <cfRule type="expression" dxfId="3026" priority="147" stopIfTrue="1">
      <formula>IF($AL8&lt;8,1,IF($AL7&lt;3,1,0))</formula>
    </cfRule>
  </conditionalFormatting>
  <conditionalFormatting sqref="AA27:AC27 AA112:AC112">
    <cfRule type="expression" dxfId="3025" priority="148" stopIfTrue="1">
      <formula>IF($AL8&lt;9,1,IF($AL7&lt;3,1,0))</formula>
    </cfRule>
  </conditionalFormatting>
  <conditionalFormatting sqref="AD27:AF27 AD112:AF112">
    <cfRule type="expression" dxfId="3024" priority="149" stopIfTrue="1">
      <formula>IF($AL8&lt;10,1,IF($AL7&lt;3,1,0))</formula>
    </cfRule>
  </conditionalFormatting>
  <conditionalFormatting sqref="H28:J28 H113:J113">
    <cfRule type="expression" dxfId="3023" priority="150" stopIfTrue="1">
      <formula>IF($AL8&lt;3,1,IF($AL7&lt;4,1,0))</formula>
    </cfRule>
  </conditionalFormatting>
  <conditionalFormatting sqref="L28:N28 L113:N113">
    <cfRule type="expression" dxfId="3022" priority="151" stopIfTrue="1">
      <formula>IF($AL8&lt;4,1,IF($AL7&lt;4,1,0))</formula>
    </cfRule>
  </conditionalFormatting>
  <conditionalFormatting sqref="O28:Q28 O113:Q113">
    <cfRule type="expression" dxfId="3021" priority="152" stopIfTrue="1">
      <formula>IF($AL8&lt;5,1,IF($AL7&lt;4,1,0))</formula>
    </cfRule>
  </conditionalFormatting>
  <conditionalFormatting sqref="R28:T28 R113:T113">
    <cfRule type="expression" dxfId="3020" priority="153" stopIfTrue="1">
      <formula>IF($AL8&lt;6,1,IF($AL7&lt;4,1,0))</formula>
    </cfRule>
  </conditionalFormatting>
  <conditionalFormatting sqref="U28:W28 U113:W113">
    <cfRule type="expression" dxfId="3019" priority="154" stopIfTrue="1">
      <formula>IF($AL8&lt;7,1,IF($AL7&lt;4,1,0))</formula>
    </cfRule>
  </conditionalFormatting>
  <conditionalFormatting sqref="X28:Z28 X113:Z113">
    <cfRule type="expression" dxfId="3018" priority="155" stopIfTrue="1">
      <formula>IF($AL8&lt;8,1,IF($AL7&lt;4,1,0))</formula>
    </cfRule>
  </conditionalFormatting>
  <conditionalFormatting sqref="AA28:AC28 AA113:AC113">
    <cfRule type="expression" dxfId="3017" priority="156" stopIfTrue="1">
      <formula>IF($AL8&lt;9,1,IF($AL7&lt;4,1,0))</formula>
    </cfRule>
  </conditionalFormatting>
  <conditionalFormatting sqref="AD28:AF28 AD113:AF113">
    <cfRule type="expression" dxfId="3016" priority="157" stopIfTrue="1">
      <formula>IF($AL8&lt;10,1,IF($AL7&lt;4,1,0))</formula>
    </cfRule>
  </conditionalFormatting>
  <conditionalFormatting sqref="H29:J29 H114:J114">
    <cfRule type="expression" dxfId="3015" priority="158" stopIfTrue="1">
      <formula>IF($AL8&lt;3,1,IF($AL7&lt;5,1,0))</formula>
    </cfRule>
  </conditionalFormatting>
  <conditionalFormatting sqref="L29:N29 L114:N114">
    <cfRule type="expression" dxfId="3014" priority="159" stopIfTrue="1">
      <formula>IF($AL8&lt;4,1,IF($AL7&lt;5,1,0))</formula>
    </cfRule>
  </conditionalFormatting>
  <conditionalFormatting sqref="O29:Q29 O114:Q114">
    <cfRule type="expression" dxfId="3013" priority="160" stopIfTrue="1">
      <formula>IF($AL8&lt;5,1,IF($AL7&lt;5,1,0))</formula>
    </cfRule>
  </conditionalFormatting>
  <conditionalFormatting sqref="R29:T29 R114:T114">
    <cfRule type="expression" dxfId="3012" priority="161" stopIfTrue="1">
      <formula>IF($AL8&lt;6,1,IF($AL7&lt;5,1,0))</formula>
    </cfRule>
  </conditionalFormatting>
  <conditionalFormatting sqref="U29:W29 U114:W114">
    <cfRule type="expression" dxfId="3011" priority="162" stopIfTrue="1">
      <formula>IF($AL8&lt;7,1,IF($AL7&lt;5,1,0))</formula>
    </cfRule>
  </conditionalFormatting>
  <conditionalFormatting sqref="X29:Z29 X114:Z114">
    <cfRule type="expression" dxfId="3010" priority="163" stopIfTrue="1">
      <formula>IF($AL8&lt;8,1,IF($AL7&lt;5,1,0))</formula>
    </cfRule>
  </conditionalFormatting>
  <conditionalFormatting sqref="AA29:AC29 AA114:AC114">
    <cfRule type="expression" dxfId="3009" priority="164" stopIfTrue="1">
      <formula>IF($AL8&lt;9,1,IF($AL7&lt;5,1,0))</formula>
    </cfRule>
  </conditionalFormatting>
  <conditionalFormatting sqref="AD29:AF29 AD114:AF114">
    <cfRule type="expression" dxfId="3008" priority="165" stopIfTrue="1">
      <formula>IF($AL8&lt;10,1,IF($AL7&lt;5,1,0))</formula>
    </cfRule>
  </conditionalFormatting>
  <conditionalFormatting sqref="S14:AC15 M14:Q15 S99:AC100 M99:Q100 AG99:AH100 AG14:AH15">
    <cfRule type="expression" dxfId="3007" priority="166" stopIfTrue="1">
      <formula>IF($AL9&gt;3,0,1)</formula>
    </cfRule>
  </conditionalFormatting>
  <conditionalFormatting sqref="S16:AC17 M16:Q17 S101:AC102 M101:Q102 AG101:AH102 AG16:AH17">
    <cfRule type="expression" dxfId="3006" priority="167" stopIfTrue="1">
      <formula>IF($AL9&gt;4,0,1)</formula>
    </cfRule>
  </conditionalFormatting>
  <conditionalFormatting sqref="S8:AC9 M8:Q9 S93:AC94 M93:Q94 AG93:AH94 AG8:AH9">
    <cfRule type="expression" dxfId="3005" priority="168" stopIfTrue="1">
      <formula>IF($AL9&gt;0,0,1)</formula>
    </cfRule>
  </conditionalFormatting>
  <conditionalFormatting sqref="S10:AC11 M10:Q11 S95:AC96 M95:Q96 AG95:AH96 AG10:AH11">
    <cfRule type="expression" dxfId="3004" priority="169" stopIfTrue="1">
      <formula>IF($AL9&gt;1,0,1)</formula>
    </cfRule>
  </conditionalFormatting>
  <conditionalFormatting sqref="S12:AC13 M12:Q13 S97:AC98 M97:Q98 AG97:AH98 AG12:AH13">
    <cfRule type="expression" dxfId="3003" priority="170" stopIfTrue="1">
      <formula>IF($AL9&gt;2,0,1)</formula>
    </cfRule>
  </conditionalFormatting>
  <conditionalFormatting sqref="E24 E109">
    <cfRule type="expression" dxfId="3002" priority="171" stopIfTrue="1">
      <formula>IF(AL8&gt;1,0,1)</formula>
    </cfRule>
  </conditionalFormatting>
  <conditionalFormatting sqref="H24 H109">
    <cfRule type="expression" dxfId="3001" priority="172" stopIfTrue="1">
      <formula>IF(AL8&gt;2,0,1)</formula>
    </cfRule>
  </conditionalFormatting>
  <conditionalFormatting sqref="L24 L109">
    <cfRule type="expression" dxfId="3000" priority="173" stopIfTrue="1">
      <formula>IF(AL8&gt;3,0,1)</formula>
    </cfRule>
  </conditionalFormatting>
  <conditionalFormatting sqref="O24 O109">
    <cfRule type="expression" dxfId="2999" priority="174" stopIfTrue="1">
      <formula>IF(AL8&gt;4,0,1)</formula>
    </cfRule>
  </conditionalFormatting>
  <conditionalFormatting sqref="R24 R109">
    <cfRule type="expression" dxfId="2998" priority="175" stopIfTrue="1">
      <formula>IF(AL8&gt;5,0,1)</formula>
    </cfRule>
  </conditionalFormatting>
  <conditionalFormatting sqref="U24 U109">
    <cfRule type="expression" dxfId="2997" priority="176" stopIfTrue="1">
      <formula>IF(AL8&gt;6,0,1)</formula>
    </cfRule>
  </conditionalFormatting>
  <conditionalFormatting sqref="X24 X109">
    <cfRule type="expression" dxfId="2996" priority="177" stopIfTrue="1">
      <formula>IF(AL8&gt;7,0,1)</formula>
    </cfRule>
  </conditionalFormatting>
  <conditionalFormatting sqref="AA24 AA109">
    <cfRule type="expression" dxfId="2995" priority="178" stopIfTrue="1">
      <formula>IF(AL8&gt;8,0,1)</formula>
    </cfRule>
  </conditionalFormatting>
  <conditionalFormatting sqref="AD24 AD109">
    <cfRule type="expression" dxfId="2994" priority="179" stopIfTrue="1">
      <formula>IF(AL8&gt;9,0,1)</formula>
    </cfRule>
  </conditionalFormatting>
  <conditionalFormatting sqref="AR27 AR112">
    <cfRule type="expression" dxfId="2993" priority="180" stopIfTrue="1">
      <formula>IF($AL9&gt;3,0,1)</formula>
    </cfRule>
  </conditionalFormatting>
  <conditionalFormatting sqref="E25:G25 E110:G110">
    <cfRule type="expression" dxfId="2992" priority="181" stopIfTrue="1">
      <formula>IF($AL8&gt;1,0,1)</formula>
    </cfRule>
  </conditionalFormatting>
  <conditionalFormatting sqref="B21:D21 B106:D106">
    <cfRule type="expression" dxfId="2991" priority="182" stopIfTrue="1">
      <formula>IF(AL8&gt;0,0,1)</formula>
    </cfRule>
  </conditionalFormatting>
  <conditionalFormatting sqref="E21:G21 E106:G106">
    <cfRule type="expression" dxfId="2990" priority="183" stopIfTrue="1">
      <formula>IF(AL8&gt;1,0,1)</formula>
    </cfRule>
  </conditionalFormatting>
  <conditionalFormatting sqref="H21:K21 H106:K106">
    <cfRule type="expression" dxfId="2989" priority="184" stopIfTrue="1">
      <formula>IF(AL8&gt;2,0,1)</formula>
    </cfRule>
  </conditionalFormatting>
  <conditionalFormatting sqref="L21:N21 L106:N106">
    <cfRule type="expression" dxfId="2988" priority="185" stopIfTrue="1">
      <formula>IF(AL8&gt;3,0,1)</formula>
    </cfRule>
  </conditionalFormatting>
  <conditionalFormatting sqref="O21:Q21 O106:Q106">
    <cfRule type="expression" dxfId="2987" priority="186" stopIfTrue="1">
      <formula>IF(AL8&gt;4,0,1)</formula>
    </cfRule>
  </conditionalFormatting>
  <conditionalFormatting sqref="R21:T21 R106:T106">
    <cfRule type="expression" dxfId="2986" priority="187" stopIfTrue="1">
      <formula>IF(AL8&gt;5,0,1)</formula>
    </cfRule>
  </conditionalFormatting>
  <conditionalFormatting sqref="U21:W21 U106:W106">
    <cfRule type="expression" dxfId="2985" priority="188" stopIfTrue="1">
      <formula>IF(AL8&gt;6,0,1)</formula>
    </cfRule>
  </conditionalFormatting>
  <conditionalFormatting sqref="X21:Z21 X106:Z106">
    <cfRule type="expression" dxfId="2984" priority="189" stopIfTrue="1">
      <formula>IF(AL8&gt;7,0,1)</formula>
    </cfRule>
  </conditionalFormatting>
  <conditionalFormatting sqref="AA21:AC21 AA106:AC106">
    <cfRule type="expression" dxfId="2983" priority="190" stopIfTrue="1">
      <formula>IF(AL8&gt;8,0,1)</formula>
    </cfRule>
  </conditionalFormatting>
  <conditionalFormatting sqref="AD21:AF21 AD106:AF106">
    <cfRule type="expression" dxfId="2982" priority="191" stopIfTrue="1">
      <formula>IF(AL8&gt;9,0,1)</formula>
    </cfRule>
  </conditionalFormatting>
  <conditionalFormatting sqref="B215:B216 C215:D215 B218:D223 C224:C225 AE223:AE225 E219:J222 Y224:Y225 X215:X216 Y215:Z215 X218:Z223 AA219:AF222 AB223:AB225 I223:I225 F223:F225">
    <cfRule type="expression" dxfId="2981" priority="192" stopIfTrue="1">
      <formula>IF(#REF!&gt;0,0,1)</formula>
    </cfRule>
  </conditionalFormatting>
  <conditionalFormatting sqref="H223 H215:H218 I215:K215 I218:J218 J223 AD215:AD218 AE215:AF215 AF223 AE218:AF218 AD223">
    <cfRule type="expression" dxfId="2980" priority="193" stopIfTrue="1">
      <formula>IF(#REF!&gt;2,0,1)</formula>
    </cfRule>
  </conditionalFormatting>
  <conditionalFormatting sqref="H224 J224 AD224 AF224">
    <cfRule type="expression" dxfId="2979" priority="194" stopIfTrue="1">
      <formula>IF(#REF!&lt;3,1,IF(#REF!&lt;2,1,0))</formula>
    </cfRule>
  </conditionalFormatting>
  <conditionalFormatting sqref="J225 AD225 AF225 H225">
    <cfRule type="expression" dxfId="2978" priority="195" stopIfTrue="1">
      <formula>IF(#REF!&lt;3,1,IF(#REF!&lt;3,1,0))</formula>
    </cfRule>
  </conditionalFormatting>
  <conditionalFormatting sqref="G223 F218:G218 E223 E215:E218 AB215:AC215 AC223 AB218:AC218 AA223 AA215:AA218 F215:G215">
    <cfRule type="expression" dxfId="2977" priority="196" stopIfTrue="1">
      <formula>IF(#REF!&gt;1,0,1)</formula>
    </cfRule>
  </conditionalFormatting>
  <conditionalFormatting sqref="B224 D224 X224 Z224">
    <cfRule type="expression" dxfId="2976" priority="197" stopIfTrue="1">
      <formula>IF(#REF!&lt;1,1,IF(#REF!&lt;2,1,0))</formula>
    </cfRule>
  </conditionalFormatting>
  <conditionalFormatting sqref="E224 G224 AA224 AC224">
    <cfRule type="expression" dxfId="2975" priority="198" stopIfTrue="1">
      <formula>IF(#REF!&lt;2,1,IF(#REF!&lt;2,1,0))</formula>
    </cfRule>
  </conditionalFormatting>
  <conditionalFormatting sqref="D225 X225 Z225 B225">
    <cfRule type="expression" dxfId="2974" priority="199" stopIfTrue="1">
      <formula>IF(#REF!&lt;1,1,IF(#REF!&lt;3,1,0))</formula>
    </cfRule>
  </conditionalFormatting>
  <conditionalFormatting sqref="G225 AA225 AC225 E225">
    <cfRule type="expression" dxfId="2973" priority="200" stopIfTrue="1">
      <formula>IF(#REF!&lt;2,1,IF(#REF!&lt;3,1,0))</formula>
    </cfRule>
  </conditionalFormatting>
  <conditionalFormatting sqref="AH24:AQ28 AH109:AQ113">
    <cfRule type="cellIs" dxfId="2972" priority="201" stopIfTrue="1" operator="notBetween">
      <formula>-9999</formula>
      <formula>9999</formula>
    </cfRule>
  </conditionalFormatting>
  <conditionalFormatting sqref="B22:D23 B107:D108">
    <cfRule type="cellIs" dxfId="2971" priority="202" stopIfTrue="1" operator="equal">
      <formula>99</formula>
    </cfRule>
  </conditionalFormatting>
  <conditionalFormatting sqref="AD7 AD92">
    <cfRule type="expression" dxfId="2970" priority="203" stopIfTrue="1">
      <formula>IF($AL$11=0,1,0)</formula>
    </cfRule>
  </conditionalFormatting>
  <conditionalFormatting sqref="B18 B103">
    <cfRule type="expression" dxfId="2969" priority="204" stopIfTrue="1">
      <formula>IF($AL$179&gt;0,0,1)</formula>
    </cfRule>
  </conditionalFormatting>
  <conditionalFormatting sqref="C226 F226 Y226 AB226">
    <cfRule type="expression" dxfId="2968" priority="205" stopIfTrue="1">
      <formula>IF(#REF!&gt;0,0,1)</formula>
    </cfRule>
  </conditionalFormatting>
  <pageMargins left="0.25" right="0.25" top="0.25" bottom="0.25" header="0" footer="0"/>
  <pageSetup scale="78" fitToHeight="3" orientation="landscape" r:id="rId1"/>
  <headerFooter alignWithMargins="0"/>
  <rowBreaks count="1" manualBreakCount="1">
    <brk id="90" max="43" man="1"/>
  </rowBreaks>
  <drawing r:id="rId2"/>
  <legacyDrawing r:id="rId3"/>
  <controls>
    <mc:AlternateContent xmlns:mc="http://schemas.openxmlformats.org/markup-compatibility/2006">
      <mc:Choice Requires="x14">
        <control shapeId="17410" r:id="rId4" name="Pool2RecalcFinish">
          <controlPr defaultSize="0" autoLine="0" r:id="rId5">
            <anchor moveWithCells="1" sizeWithCells="1">
              <from>
                <xdr:col>37</xdr:col>
                <xdr:colOff>104775</xdr:colOff>
                <xdr:row>98</xdr:row>
                <xdr:rowOff>9525</xdr:rowOff>
              </from>
              <to>
                <xdr:col>42</xdr:col>
                <xdr:colOff>228600</xdr:colOff>
                <xdr:row>101</xdr:row>
                <xdr:rowOff>104775</xdr:rowOff>
              </to>
            </anchor>
          </controlPr>
        </control>
      </mc:Choice>
      <mc:Fallback>
        <control shapeId="17410" r:id="rId4" name="Pool2RecalcFinish"/>
      </mc:Fallback>
    </mc:AlternateContent>
    <mc:AlternateContent xmlns:mc="http://schemas.openxmlformats.org/markup-compatibility/2006">
      <mc:Choice Requires="x14">
        <control shapeId="17409" r:id="rId6" name="Pool1RecalcFinish">
          <controlPr defaultSize="0" autoLine="0" r:id="rId7">
            <anchor moveWithCells="1" sizeWithCells="1">
              <from>
                <xdr:col>37</xdr:col>
                <xdr:colOff>104775</xdr:colOff>
                <xdr:row>13</xdr:row>
                <xdr:rowOff>9525</xdr:rowOff>
              </from>
              <to>
                <xdr:col>42</xdr:col>
                <xdr:colOff>228600</xdr:colOff>
                <xdr:row>16</xdr:row>
                <xdr:rowOff>104775</xdr:rowOff>
              </to>
            </anchor>
          </controlPr>
        </control>
      </mc:Choice>
      <mc:Fallback>
        <control shapeId="17409" r:id="rId6" name="Pool1RecalcFinish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5">
    <tabColor indexed="11"/>
  </sheetPr>
  <dimension ref="A1:CC430"/>
  <sheetViews>
    <sheetView topLeftCell="AG1" zoomScale="70" zoomScaleNormal="70" workbookViewId="0">
      <selection activeCell="AW19" sqref="AW19"/>
    </sheetView>
  </sheetViews>
  <sheetFormatPr defaultRowHeight="12.75" x14ac:dyDescent="0.2"/>
  <cols>
    <col min="1" max="1" width="9.140625" style="846"/>
    <col min="2" max="2" width="3.7109375" style="846" customWidth="1"/>
    <col min="3" max="3" width="2.28515625" style="846" customWidth="1"/>
    <col min="4" max="5" width="3.7109375" style="846" customWidth="1"/>
    <col min="6" max="6" width="2.28515625" style="846" customWidth="1"/>
    <col min="7" max="8" width="3.7109375" style="846" customWidth="1"/>
    <col min="9" max="9" width="2.28515625" style="846" customWidth="1"/>
    <col min="10" max="12" width="3.7109375" style="846" customWidth="1"/>
    <col min="13" max="13" width="2.28515625" style="846" customWidth="1"/>
    <col min="14" max="15" width="3.7109375" style="846" customWidth="1"/>
    <col min="16" max="16" width="2.28515625" style="846" customWidth="1"/>
    <col min="17" max="18" width="3.7109375" style="846" customWidth="1"/>
    <col min="19" max="19" width="2.28515625" style="846" customWidth="1"/>
    <col min="20" max="21" width="3.7109375" style="846" customWidth="1"/>
    <col min="22" max="22" width="2.28515625" style="846" customWidth="1"/>
    <col min="23" max="24" width="3.7109375" style="846" customWidth="1"/>
    <col min="25" max="25" width="2.28515625" style="846" customWidth="1"/>
    <col min="26" max="27" width="3.7109375" style="846" customWidth="1"/>
    <col min="28" max="28" width="2.28515625" style="846" customWidth="1"/>
    <col min="29" max="30" width="3.7109375" style="846" customWidth="1"/>
    <col min="31" max="31" width="2.28515625" style="846" customWidth="1"/>
    <col min="32" max="32" width="3.7109375" style="846" customWidth="1"/>
    <col min="33" max="33" width="9.7109375" style="846" customWidth="1"/>
    <col min="34" max="43" width="3.7109375" style="846" customWidth="1"/>
    <col min="44" max="44" width="11" style="846" customWidth="1"/>
    <col min="45" max="46" width="9.140625" style="846"/>
    <col min="47" max="47" width="24.42578125" style="846" customWidth="1"/>
    <col min="48" max="48" width="15.85546875" style="846" customWidth="1"/>
    <col min="49" max="49" width="14.28515625" style="846" bestFit="1" customWidth="1"/>
    <col min="50" max="50" width="9.7109375" style="846" bestFit="1" customWidth="1"/>
    <col min="51" max="51" width="10" style="846" customWidth="1"/>
    <col min="52" max="52" width="25" style="846" customWidth="1"/>
    <col min="53" max="53" width="6" style="846" customWidth="1"/>
    <col min="54" max="16384" width="9.140625" style="846"/>
  </cols>
  <sheetData>
    <row r="1" spans="1:53" ht="13.5" thickBot="1" x14ac:dyDescent="0.25">
      <c r="A1" s="842" t="s">
        <v>0</v>
      </c>
      <c r="B1" s="842"/>
      <c r="C1" s="842"/>
      <c r="D1" s="842"/>
      <c r="E1" s="842"/>
      <c r="F1" s="842"/>
      <c r="G1" s="842"/>
      <c r="H1" s="842"/>
      <c r="I1" s="842"/>
      <c r="J1" s="842"/>
      <c r="K1" s="842"/>
      <c r="L1" s="842"/>
      <c r="M1" s="842"/>
      <c r="N1" s="842"/>
      <c r="O1" s="842"/>
      <c r="P1" s="842"/>
      <c r="Q1" s="842"/>
      <c r="R1" s="842"/>
      <c r="S1" s="842"/>
      <c r="T1" s="842"/>
      <c r="U1" s="842"/>
      <c r="V1" s="842"/>
      <c r="W1" s="842"/>
      <c r="X1" s="842"/>
      <c r="Y1" s="842"/>
      <c r="Z1" s="842"/>
      <c r="AA1" s="842"/>
      <c r="AB1" s="842"/>
      <c r="AC1" s="842"/>
      <c r="AD1" s="842"/>
      <c r="AE1" s="842"/>
      <c r="AF1" s="842"/>
      <c r="AG1" s="843"/>
      <c r="AH1" s="843"/>
      <c r="AI1" s="843"/>
      <c r="AJ1" s="843"/>
      <c r="AK1" s="843"/>
      <c r="AL1" s="843"/>
      <c r="AM1" s="843"/>
      <c r="AN1" s="843"/>
      <c r="AO1" s="843"/>
      <c r="AP1" s="843"/>
      <c r="AQ1" s="843"/>
      <c r="AR1" s="844" t="s">
        <v>1127</v>
      </c>
      <c r="AS1" s="845"/>
      <c r="AT1" s="847" t="s">
        <v>2</v>
      </c>
      <c r="AU1" s="848"/>
      <c r="AV1" s="848"/>
      <c r="AW1" s="849"/>
      <c r="AX1" s="850" t="s">
        <v>3</v>
      </c>
      <c r="AY1" s="851"/>
      <c r="AZ1" s="852" t="s">
        <v>4</v>
      </c>
      <c r="BA1" s="853">
        <v>32</v>
      </c>
    </row>
    <row r="2" spans="1:53" ht="18.75" customHeight="1" thickBot="1" x14ac:dyDescent="0.3">
      <c r="A2" s="844"/>
      <c r="B2" s="854" t="s">
        <v>5</v>
      </c>
      <c r="C2" s="855"/>
      <c r="D2" s="855"/>
      <c r="E2" s="856"/>
      <c r="F2" s="856"/>
      <c r="G2" s="857"/>
      <c r="H2" s="856"/>
      <c r="I2" s="858"/>
      <c r="J2" s="859"/>
      <c r="K2" s="860"/>
      <c r="L2" s="860"/>
      <c r="M2" s="860"/>
      <c r="N2" s="860"/>
      <c r="O2" s="860"/>
      <c r="P2" s="860"/>
      <c r="Q2" s="860"/>
      <c r="R2" s="860"/>
      <c r="S2" s="860"/>
      <c r="T2" s="860"/>
      <c r="U2" s="861"/>
      <c r="V2" s="862" t="s">
        <v>7</v>
      </c>
      <c r="W2" s="863"/>
      <c r="X2" s="864"/>
      <c r="Y2" s="865"/>
      <c r="Z2" s="866"/>
      <c r="AA2" s="866"/>
      <c r="AB2" s="866"/>
      <c r="AC2" s="866"/>
      <c r="AD2" s="866"/>
      <c r="AE2" s="866"/>
      <c r="AF2" s="867"/>
      <c r="AG2" s="868"/>
      <c r="AH2" s="868"/>
      <c r="AI2" s="868"/>
      <c r="AJ2" s="868"/>
      <c r="AK2" s="868"/>
      <c r="AL2" s="868"/>
      <c r="AM2" s="868"/>
      <c r="AN2" s="868"/>
      <c r="AO2" s="868"/>
      <c r="AP2" s="868"/>
      <c r="AQ2" s="868"/>
      <c r="AR2" s="868"/>
      <c r="AS2" s="845"/>
      <c r="AT2" s="869" t="s">
        <v>9</v>
      </c>
      <c r="AU2" s="870" t="s">
        <v>10</v>
      </c>
      <c r="AV2" s="871" t="s">
        <v>11</v>
      </c>
      <c r="AW2" s="872" t="s">
        <v>12</v>
      </c>
      <c r="AX2" s="873" t="s">
        <v>13</v>
      </c>
      <c r="AY2" s="872" t="s">
        <v>14</v>
      </c>
      <c r="AZ2" s="852" t="s">
        <v>15</v>
      </c>
      <c r="BA2" s="853">
        <v>16</v>
      </c>
    </row>
    <row r="3" spans="1:53" ht="18.75" customHeight="1" thickBot="1" x14ac:dyDescent="0.3">
      <c r="A3" s="844"/>
      <c r="B3" s="874" t="s">
        <v>16</v>
      </c>
      <c r="C3" s="875"/>
      <c r="D3" s="876"/>
      <c r="E3" s="877"/>
      <c r="F3" s="877"/>
      <c r="G3" s="877"/>
      <c r="H3" s="877"/>
      <c r="I3" s="877"/>
      <c r="J3" s="877"/>
      <c r="K3" s="877"/>
      <c r="L3" s="878"/>
      <c r="M3" s="879" t="s">
        <v>18</v>
      </c>
      <c r="N3" s="880"/>
      <c r="O3" s="881"/>
      <c r="P3" s="882"/>
      <c r="Q3" s="883"/>
      <c r="R3" s="884"/>
      <c r="S3" s="884"/>
      <c r="T3" s="884"/>
      <c r="U3" s="885"/>
      <c r="V3" s="886" t="s">
        <v>19</v>
      </c>
      <c r="W3" s="887"/>
      <c r="X3" s="887"/>
      <c r="Y3" s="887"/>
      <c r="Z3" s="887"/>
      <c r="AA3" s="888"/>
      <c r="AB3" s="889"/>
      <c r="AC3" s="890" t="s">
        <v>20</v>
      </c>
      <c r="AD3" s="890"/>
      <c r="AE3" s="890" t="s">
        <v>21</v>
      </c>
      <c r="AF3" s="891"/>
      <c r="AG3" s="868"/>
      <c r="AH3" s="868"/>
      <c r="AI3" s="868"/>
      <c r="AJ3" s="868"/>
      <c r="AK3" s="868"/>
      <c r="AL3" s="868"/>
      <c r="AM3" s="868"/>
      <c r="AN3" s="868"/>
      <c r="AO3" s="868"/>
      <c r="AP3" s="868"/>
      <c r="AQ3" s="868"/>
      <c r="AR3" s="868"/>
      <c r="AS3" s="845"/>
      <c r="AT3" s="892">
        <v>1</v>
      </c>
      <c r="AU3" s="893" t="s">
        <v>350</v>
      </c>
      <c r="AV3" s="894" t="s">
        <v>349</v>
      </c>
      <c r="AW3" s="147">
        <f>VLOOKUP(AV3,Initial!G:K,5,FALSE)</f>
        <v>1200</v>
      </c>
      <c r="AX3" s="896">
        <f t="shared" ref="AX3:AX9" si="0">VLOOKUP(AU3,AT$79:AU$180,2,FALSE)</f>
        <v>1212.6846745768064</v>
      </c>
      <c r="AY3" s="897">
        <f t="shared" ref="AY3:AY9" si="1">IF(ISNA(VLOOKUP(AU3,AT$182:AU$243,2,FALSE)),AX3,VLOOKUP(AU3,AT$182:AU$243,2,FALSE))</f>
        <v>1212.6846745768064</v>
      </c>
    </row>
    <row r="4" spans="1:53" ht="24" customHeight="1" thickBot="1" x14ac:dyDescent="0.25">
      <c r="A4" s="844"/>
      <c r="B4" s="898"/>
      <c r="C4" s="898"/>
      <c r="D4" s="899"/>
      <c r="E4" s="900"/>
      <c r="F4" s="901"/>
      <c r="G4" s="901"/>
      <c r="H4" s="902" t="s">
        <v>24</v>
      </c>
      <c r="I4" s="903"/>
      <c r="J4" s="904"/>
      <c r="K4" s="904"/>
      <c r="L4" s="904"/>
      <c r="M4" s="904"/>
      <c r="N4" s="905"/>
      <c r="O4" s="906"/>
      <c r="P4" s="906"/>
      <c r="Q4" s="906"/>
      <c r="R4" s="906"/>
      <c r="S4" s="906"/>
      <c r="T4" s="906"/>
      <c r="U4" s="907"/>
      <c r="V4" s="908" t="s">
        <v>27</v>
      </c>
      <c r="W4" s="909"/>
      <c r="X4" s="909"/>
      <c r="Y4" s="909"/>
      <c r="Z4" s="910"/>
      <c r="AA4" s="911"/>
      <c r="AB4" s="906"/>
      <c r="AC4" s="906"/>
      <c r="AD4" s="906"/>
      <c r="AE4" s="906"/>
      <c r="AF4" s="907"/>
      <c r="AG4" s="868"/>
      <c r="AH4" s="868"/>
      <c r="AI4" s="868"/>
      <c r="AJ4" s="868"/>
      <c r="AK4" s="868"/>
      <c r="AL4" s="868"/>
      <c r="AM4" s="868"/>
      <c r="AN4" s="868"/>
      <c r="AO4" s="868"/>
      <c r="AP4" s="868"/>
      <c r="AQ4" s="868"/>
      <c r="AR4" s="868"/>
      <c r="AS4" s="845"/>
      <c r="AT4" s="912">
        <v>2</v>
      </c>
      <c r="AU4" s="929" t="s">
        <v>346</v>
      </c>
      <c r="AV4" s="913" t="s">
        <v>345</v>
      </c>
      <c r="AW4" s="147">
        <f>VLOOKUP(AV4,Initial!G:K,5,FALSE)</f>
        <v>1250.6062258294207</v>
      </c>
      <c r="AX4" s="914">
        <f t="shared" si="0"/>
        <v>1274.3440224645769</v>
      </c>
      <c r="AY4" s="897">
        <f t="shared" si="1"/>
        <v>1274.3440224645769</v>
      </c>
    </row>
    <row r="5" spans="1:53" ht="15.75" thickBot="1" x14ac:dyDescent="0.25">
      <c r="A5" s="843" t="s">
        <v>30</v>
      </c>
      <c r="B5" s="915" t="s">
        <v>30</v>
      </c>
      <c r="C5" s="916"/>
      <c r="D5" s="916"/>
      <c r="E5" s="916"/>
      <c r="F5" s="916"/>
      <c r="G5" s="916"/>
      <c r="H5" s="916"/>
      <c r="I5" s="916"/>
      <c r="J5" s="916"/>
      <c r="K5" s="917"/>
      <c r="L5" s="918" t="s">
        <v>30</v>
      </c>
      <c r="M5" s="918"/>
      <c r="N5" s="918"/>
      <c r="O5" s="918"/>
      <c r="P5" s="918"/>
      <c r="Q5" s="918"/>
      <c r="R5" s="918"/>
      <c r="S5" s="918"/>
      <c r="T5" s="918"/>
      <c r="U5" s="918"/>
      <c r="V5" s="918"/>
      <c r="W5" s="918"/>
      <c r="X5" s="918"/>
      <c r="Y5" s="918"/>
      <c r="Z5" s="918"/>
      <c r="AA5" s="918"/>
      <c r="AB5" s="918"/>
      <c r="AC5" s="918"/>
      <c r="AD5" s="918"/>
      <c r="AE5" s="918"/>
      <c r="AF5" s="918"/>
      <c r="AG5" s="843"/>
      <c r="AH5" s="843"/>
      <c r="AI5" s="843"/>
      <c r="AJ5" s="843"/>
      <c r="AK5" s="843"/>
      <c r="AL5" s="843"/>
      <c r="AM5" s="843"/>
      <c r="AN5" s="843"/>
      <c r="AO5" s="843"/>
      <c r="AP5" s="843"/>
      <c r="AQ5" s="843"/>
      <c r="AR5" s="843"/>
      <c r="AS5" s="845"/>
      <c r="AT5" s="912">
        <v>3</v>
      </c>
      <c r="AU5" s="929" t="s">
        <v>233</v>
      </c>
      <c r="AV5" s="913" t="s">
        <v>231</v>
      </c>
      <c r="AW5" s="147">
        <f>VLOOKUP(AV5,Initial!G:K,5,FALSE)</f>
        <v>1165.8661889498064</v>
      </c>
      <c r="AX5" s="914">
        <f t="shared" si="0"/>
        <v>1205.1953108001799</v>
      </c>
      <c r="AY5" s="897">
        <f t="shared" si="1"/>
        <v>1205.1953108001799</v>
      </c>
    </row>
    <row r="6" spans="1:53" ht="24" customHeight="1" thickBot="1" x14ac:dyDescent="0.25">
      <c r="A6" s="919" t="s">
        <v>33</v>
      </c>
      <c r="B6" s="920" t="s">
        <v>34</v>
      </c>
      <c r="C6" s="921" t="s">
        <v>35</v>
      </c>
      <c r="D6" s="922"/>
      <c r="E6" s="922"/>
      <c r="F6" s="922"/>
      <c r="G6" s="922"/>
      <c r="H6" s="923"/>
      <c r="I6" s="924">
        <v>1</v>
      </c>
      <c r="J6" s="925"/>
      <c r="K6" s="926" t="str">
        <f>"Pool "&amp;B6&amp;" - Round 1 - Court "&amp;I6</f>
        <v>Pool A - Round 1 - Court 1</v>
      </c>
      <c r="L6" s="927"/>
      <c r="M6" s="927"/>
      <c r="N6" s="927"/>
      <c r="O6" s="927"/>
      <c r="P6" s="927"/>
      <c r="Q6" s="927"/>
      <c r="R6" s="927"/>
      <c r="S6" s="927"/>
      <c r="T6" s="927"/>
      <c r="U6" s="927"/>
      <c r="V6" s="927"/>
      <c r="W6" s="927"/>
      <c r="X6" s="927"/>
      <c r="Y6" s="927"/>
      <c r="Z6" s="927"/>
      <c r="AA6" s="927"/>
      <c r="AB6" s="927"/>
      <c r="AC6" s="927"/>
      <c r="AD6" s="927"/>
      <c r="AE6" s="927"/>
      <c r="AF6" s="927"/>
      <c r="AG6" s="927"/>
      <c r="AH6" s="927"/>
      <c r="AI6" s="927"/>
      <c r="AJ6" s="928"/>
      <c r="AK6" s="868"/>
      <c r="AL6" s="868"/>
      <c r="AM6" s="868"/>
      <c r="AN6" s="868"/>
      <c r="AO6" s="868"/>
      <c r="AP6" s="868"/>
      <c r="AQ6" s="868"/>
      <c r="AR6" s="868"/>
      <c r="AT6" s="912">
        <v>4</v>
      </c>
      <c r="AU6" s="929" t="s">
        <v>235</v>
      </c>
      <c r="AV6" s="913" t="s">
        <v>234</v>
      </c>
      <c r="AW6" s="147">
        <f>VLOOKUP(AV6,Initial!G:K,5,FALSE)</f>
        <v>1176.0869382150693</v>
      </c>
      <c r="AX6" s="914">
        <f t="shared" si="0"/>
        <v>1224.9630571345931</v>
      </c>
      <c r="AY6" s="897">
        <f t="shared" si="1"/>
        <v>1224.9630571345931</v>
      </c>
    </row>
    <row r="7" spans="1:53" ht="27" customHeight="1" thickBot="1" x14ac:dyDescent="0.25">
      <c r="A7" s="930" t="s">
        <v>38</v>
      </c>
      <c r="B7" s="902" t="s">
        <v>10</v>
      </c>
      <c r="C7" s="931"/>
      <c r="D7" s="931"/>
      <c r="E7" s="931"/>
      <c r="F7" s="931"/>
      <c r="G7" s="931"/>
      <c r="H7" s="931"/>
      <c r="I7" s="931"/>
      <c r="J7" s="931"/>
      <c r="K7" s="931"/>
      <c r="L7" s="931"/>
      <c r="M7" s="902" t="str">
        <f>IF($AL10=0,"Games Won","Matches Won")</f>
        <v>Matches Won</v>
      </c>
      <c r="N7" s="931"/>
      <c r="O7" s="931"/>
      <c r="P7" s="931"/>
      <c r="Q7" s="931"/>
      <c r="R7" s="932"/>
      <c r="S7" s="902" t="str">
        <f>IF($AL10=0,"Games Lost","Matches Lost")</f>
        <v>Matches Lost</v>
      </c>
      <c r="T7" s="933"/>
      <c r="U7" s="933"/>
      <c r="V7" s="933"/>
      <c r="W7" s="934"/>
      <c r="X7" s="935" t="s">
        <v>39</v>
      </c>
      <c r="Y7" s="936"/>
      <c r="Z7" s="937"/>
      <c r="AA7" s="935" t="s">
        <v>40</v>
      </c>
      <c r="AB7" s="936"/>
      <c r="AC7" s="937"/>
      <c r="AD7" s="938" t="s">
        <v>41</v>
      </c>
      <c r="AE7" s="939"/>
      <c r="AF7" s="940"/>
      <c r="AG7" s="941" t="s">
        <v>42</v>
      </c>
      <c r="AH7" s="942" t="s">
        <v>9</v>
      </c>
      <c r="AI7" s="943" t="s">
        <v>43</v>
      </c>
      <c r="AJ7" s="944"/>
      <c r="AK7" s="945"/>
      <c r="AL7" s="946">
        <v>1</v>
      </c>
      <c r="AM7" s="947" t="s">
        <v>44</v>
      </c>
      <c r="AN7" s="947"/>
      <c r="AO7" s="947"/>
      <c r="AP7" s="947"/>
      <c r="AQ7" s="947"/>
      <c r="AR7" s="947"/>
      <c r="AS7" s="948"/>
      <c r="AT7" s="912">
        <v>5</v>
      </c>
      <c r="AU7" s="929" t="s">
        <v>237</v>
      </c>
      <c r="AV7" s="913" t="s">
        <v>236</v>
      </c>
      <c r="AW7" s="147">
        <f>VLOOKUP(AV7,Initial!G:K,5,FALSE)</f>
        <v>1226.8555378745032</v>
      </c>
      <c r="AX7" s="914">
        <f t="shared" si="0"/>
        <v>1205.8047865865301</v>
      </c>
      <c r="AY7" s="897">
        <f t="shared" si="1"/>
        <v>1205.8047865865301</v>
      </c>
    </row>
    <row r="8" spans="1:53" ht="18.75" customHeight="1" x14ac:dyDescent="0.2">
      <c r="A8" s="949" t="str">
        <f>IF($AL9&gt;0,"1","")</f>
        <v>1</v>
      </c>
      <c r="B8" s="950" t="s">
        <v>10</v>
      </c>
      <c r="C8" s="951"/>
      <c r="D8" s="952"/>
      <c r="E8" s="953" t="str">
        <f>AU3</f>
        <v>Kershaw Dev 12 Black</v>
      </c>
      <c r="F8" s="954"/>
      <c r="G8" s="954"/>
      <c r="H8" s="954"/>
      <c r="I8" s="954"/>
      <c r="J8" s="954"/>
      <c r="K8" s="954"/>
      <c r="L8" s="955"/>
      <c r="M8" s="956">
        <f>IF($AL10=0,AG64,AG46)</f>
        <v>2</v>
      </c>
      <c r="N8" s="957"/>
      <c r="O8" s="957"/>
      <c r="P8" s="957"/>
      <c r="Q8" s="957"/>
      <c r="R8" s="932"/>
      <c r="S8" s="956">
        <f>IF($AL10=0,AH64,AH46)</f>
        <v>1</v>
      </c>
      <c r="T8" s="957"/>
      <c r="U8" s="957"/>
      <c r="V8" s="957"/>
      <c r="W8" s="957"/>
      <c r="X8" s="956">
        <f>AR24</f>
        <v>3</v>
      </c>
      <c r="Y8" s="957"/>
      <c r="Z8" s="957"/>
      <c r="AA8" s="958">
        <f>IF(AG58&gt;0,(AR24/AG58),0)</f>
        <v>0.04</v>
      </c>
      <c r="AB8" s="959"/>
      <c r="AC8" s="959"/>
      <c r="AD8" s="960">
        <f>IF(AG72=0,0,(AG64/AG72))</f>
        <v>0.66666666666666663</v>
      </c>
      <c r="AE8" s="961"/>
      <c r="AF8" s="962"/>
      <c r="AG8" s="963">
        <v>2</v>
      </c>
      <c r="AH8" s="963">
        <v>1</v>
      </c>
      <c r="AI8" s="964"/>
      <c r="AJ8" s="965"/>
      <c r="AK8" s="945"/>
      <c r="AL8" s="946">
        <v>6</v>
      </c>
      <c r="AM8" s="947" t="s">
        <v>47</v>
      </c>
      <c r="AN8" s="947"/>
      <c r="AO8" s="947"/>
      <c r="AP8" s="947"/>
      <c r="AQ8" s="947"/>
      <c r="AR8" s="947"/>
      <c r="AS8" s="948"/>
      <c r="AT8" s="912">
        <v>6</v>
      </c>
      <c r="AU8" s="929" t="s">
        <v>362</v>
      </c>
      <c r="AV8" s="913" t="s">
        <v>360</v>
      </c>
      <c r="AW8" s="147">
        <f>VLOOKUP(AV8,Initial!G:K,5,FALSE)</f>
        <v>1235.9114015896889</v>
      </c>
      <c r="AX8" s="914">
        <f t="shared" si="0"/>
        <v>1172.8444831041593</v>
      </c>
      <c r="AY8" s="897">
        <f t="shared" si="1"/>
        <v>1172.8444831041593</v>
      </c>
    </row>
    <row r="9" spans="1:53" ht="18.75" customHeight="1" thickBot="1" x14ac:dyDescent="0.25">
      <c r="A9" s="966"/>
      <c r="B9" s="967" t="s">
        <v>11</v>
      </c>
      <c r="C9" s="968"/>
      <c r="D9" s="969"/>
      <c r="E9" s="970" t="str">
        <f>AV3</f>
        <v>fj2kersh4pm</v>
      </c>
      <c r="F9" s="971"/>
      <c r="G9" s="971"/>
      <c r="H9" s="971"/>
      <c r="I9" s="971"/>
      <c r="J9" s="971"/>
      <c r="K9" s="971"/>
      <c r="L9" s="971"/>
      <c r="M9" s="972"/>
      <c r="N9" s="973"/>
      <c r="O9" s="973"/>
      <c r="P9" s="973"/>
      <c r="Q9" s="973"/>
      <c r="R9" s="932"/>
      <c r="S9" s="972"/>
      <c r="T9" s="973"/>
      <c r="U9" s="973"/>
      <c r="V9" s="973"/>
      <c r="W9" s="973"/>
      <c r="X9" s="972"/>
      <c r="Y9" s="973"/>
      <c r="Z9" s="973"/>
      <c r="AA9" s="974"/>
      <c r="AB9" s="975"/>
      <c r="AC9" s="975"/>
      <c r="AD9" s="976"/>
      <c r="AE9" s="977"/>
      <c r="AF9" s="978"/>
      <c r="AG9" s="979"/>
      <c r="AH9" s="979"/>
      <c r="AI9" s="980"/>
      <c r="AJ9" s="981"/>
      <c r="AK9" s="945"/>
      <c r="AL9" s="946">
        <v>4</v>
      </c>
      <c r="AM9" s="947" t="s">
        <v>50</v>
      </c>
      <c r="AN9" s="945"/>
      <c r="AO9" s="945"/>
      <c r="AP9" s="945"/>
      <c r="AQ9" s="945"/>
      <c r="AR9" s="945"/>
      <c r="AS9" s="845"/>
      <c r="AT9" s="912">
        <v>7</v>
      </c>
      <c r="AU9" s="929" t="s">
        <v>344</v>
      </c>
      <c r="AV9" s="913" t="s">
        <v>343</v>
      </c>
      <c r="AW9" s="147">
        <f>VLOOKUP(AV9,Initial!G:K,5,FALSE)</f>
        <v>1154.8449608707572</v>
      </c>
      <c r="AX9" s="914">
        <f t="shared" si="0"/>
        <v>1114.3349186624</v>
      </c>
      <c r="AY9" s="897">
        <f t="shared" si="1"/>
        <v>1114.3349186624</v>
      </c>
    </row>
    <row r="10" spans="1:53" ht="18.75" customHeight="1" x14ac:dyDescent="0.2">
      <c r="A10" s="949" t="str">
        <f>IF($AL9&gt;1,"2","")</f>
        <v>2</v>
      </c>
      <c r="B10" s="950" t="s">
        <v>10</v>
      </c>
      <c r="C10" s="951"/>
      <c r="D10" s="952"/>
      <c r="E10" s="953" t="str">
        <f>AU6</f>
        <v>SC Midlands KP Garnet</v>
      </c>
      <c r="F10" s="954"/>
      <c r="G10" s="954"/>
      <c r="H10" s="954"/>
      <c r="I10" s="954"/>
      <c r="J10" s="954"/>
      <c r="K10" s="954"/>
      <c r="L10" s="955"/>
      <c r="M10" s="956">
        <f>IF($AL10=0,AG65,AG47)</f>
        <v>3</v>
      </c>
      <c r="N10" s="957"/>
      <c r="O10" s="957"/>
      <c r="P10" s="957"/>
      <c r="Q10" s="957"/>
      <c r="R10" s="932"/>
      <c r="S10" s="956">
        <f>IF($AL10=0,AH65,AH47)</f>
        <v>0</v>
      </c>
      <c r="T10" s="957"/>
      <c r="U10" s="957"/>
      <c r="V10" s="957"/>
      <c r="W10" s="957"/>
      <c r="X10" s="956">
        <f>AR25</f>
        <v>28</v>
      </c>
      <c r="Y10" s="957"/>
      <c r="Z10" s="957"/>
      <c r="AA10" s="958">
        <f>IF(AG59&gt;0,(AR25/AG59),0)</f>
        <v>0.4</v>
      </c>
      <c r="AB10" s="959"/>
      <c r="AC10" s="959"/>
      <c r="AD10" s="960">
        <f>IF(AG73=0,0,(AG65/AG73))</f>
        <v>1</v>
      </c>
      <c r="AE10" s="961"/>
      <c r="AF10" s="962"/>
      <c r="AG10" s="963">
        <v>1</v>
      </c>
      <c r="AH10" s="963">
        <v>1</v>
      </c>
      <c r="AI10" s="964"/>
      <c r="AJ10" s="965"/>
      <c r="AK10" s="945"/>
      <c r="AL10" s="946">
        <v>1</v>
      </c>
      <c r="AM10" s="947" t="s">
        <v>53</v>
      </c>
      <c r="AN10" s="947"/>
      <c r="AO10" s="947"/>
      <c r="AP10" s="947"/>
      <c r="AQ10" s="947"/>
      <c r="AR10" s="947"/>
      <c r="AS10" s="948"/>
      <c r="AT10" s="982"/>
      <c r="AU10" s="983"/>
      <c r="AV10" s="984"/>
      <c r="AW10" s="985"/>
      <c r="AX10" s="986"/>
      <c r="AY10" s="987"/>
    </row>
    <row r="11" spans="1:53" ht="18.75" customHeight="1" thickBot="1" x14ac:dyDescent="0.25">
      <c r="A11" s="966"/>
      <c r="B11" s="988" t="s">
        <v>11</v>
      </c>
      <c r="C11" s="989"/>
      <c r="D11" s="989"/>
      <c r="E11" s="970" t="str">
        <f>AV6</f>
        <v>fj1scmid2pm</v>
      </c>
      <c r="F11" s="971"/>
      <c r="G11" s="971"/>
      <c r="H11" s="971"/>
      <c r="I11" s="971"/>
      <c r="J11" s="971"/>
      <c r="K11" s="971"/>
      <c r="L11" s="971"/>
      <c r="M11" s="972"/>
      <c r="N11" s="973"/>
      <c r="O11" s="973"/>
      <c r="P11" s="973"/>
      <c r="Q11" s="973"/>
      <c r="R11" s="932"/>
      <c r="S11" s="972"/>
      <c r="T11" s="973"/>
      <c r="U11" s="973"/>
      <c r="V11" s="973"/>
      <c r="W11" s="973"/>
      <c r="X11" s="972"/>
      <c r="Y11" s="973"/>
      <c r="Z11" s="973"/>
      <c r="AA11" s="974"/>
      <c r="AB11" s="975"/>
      <c r="AC11" s="975"/>
      <c r="AD11" s="976"/>
      <c r="AE11" s="977"/>
      <c r="AF11" s="978"/>
      <c r="AG11" s="979"/>
      <c r="AH11" s="979"/>
      <c r="AI11" s="980"/>
      <c r="AJ11" s="981"/>
      <c r="AK11" s="945"/>
      <c r="AL11" s="946">
        <v>1</v>
      </c>
      <c r="AM11" s="947" t="s">
        <v>56</v>
      </c>
      <c r="AN11" s="945"/>
      <c r="AO11" s="945"/>
      <c r="AP11" s="945"/>
      <c r="AQ11" s="945"/>
      <c r="AR11" s="945"/>
      <c r="AS11" s="845"/>
      <c r="AT11" s="982"/>
      <c r="AU11" s="983"/>
      <c r="AV11" s="984"/>
      <c r="AW11" s="985"/>
      <c r="AX11" s="986"/>
      <c r="AY11" s="987"/>
    </row>
    <row r="12" spans="1:53" ht="18.75" customHeight="1" thickBot="1" x14ac:dyDescent="0.25">
      <c r="A12" s="949" t="str">
        <f>IF($AL9&gt;2,"3","")</f>
        <v>3</v>
      </c>
      <c r="B12" s="990" t="s">
        <v>10</v>
      </c>
      <c r="C12" s="991"/>
      <c r="D12" s="991"/>
      <c r="E12" s="953" t="str">
        <f>AU7</f>
        <v>SC Midlands KP Silver</v>
      </c>
      <c r="F12" s="954"/>
      <c r="G12" s="954"/>
      <c r="H12" s="954"/>
      <c r="I12" s="954"/>
      <c r="J12" s="954"/>
      <c r="K12" s="954"/>
      <c r="L12" s="955"/>
      <c r="M12" s="956">
        <f>IF($AL10=0,AG66,AG48)</f>
        <v>1</v>
      </c>
      <c r="N12" s="957"/>
      <c r="O12" s="957"/>
      <c r="P12" s="957"/>
      <c r="Q12" s="957"/>
      <c r="R12" s="932"/>
      <c r="S12" s="956">
        <f>IF($AL10=0,AH66,AH48)</f>
        <v>2</v>
      </c>
      <c r="T12" s="957"/>
      <c r="U12" s="957"/>
      <c r="V12" s="957"/>
      <c r="W12" s="957"/>
      <c r="X12" s="956">
        <f>AR26</f>
        <v>-1</v>
      </c>
      <c r="Y12" s="957"/>
      <c r="Z12" s="957"/>
      <c r="AA12" s="958">
        <f>IF(AG60&gt;0,(AR26/AG60),0)</f>
        <v>-1.6129032258064516E-2</v>
      </c>
      <c r="AB12" s="959"/>
      <c r="AC12" s="959"/>
      <c r="AD12" s="960">
        <f>IF(AG74=0,0,(AG66/AG74))</f>
        <v>0.33333333333333331</v>
      </c>
      <c r="AE12" s="961"/>
      <c r="AF12" s="962"/>
      <c r="AG12" s="963">
        <v>3</v>
      </c>
      <c r="AH12" s="963">
        <v>1</v>
      </c>
      <c r="AI12" s="964"/>
      <c r="AJ12" s="965"/>
      <c r="AK12" s="992"/>
      <c r="AL12" s="946">
        <v>3</v>
      </c>
      <c r="AM12" s="993" t="s">
        <v>59</v>
      </c>
      <c r="AN12" s="947"/>
      <c r="AO12" s="947"/>
      <c r="AP12" s="947"/>
      <c r="AQ12" s="947"/>
      <c r="AR12" s="947"/>
      <c r="AS12" s="948"/>
      <c r="AT12" s="994"/>
      <c r="AU12" s="995"/>
      <c r="AV12" s="996"/>
      <c r="AW12" s="997"/>
      <c r="AX12" s="998"/>
      <c r="AY12" s="999"/>
    </row>
    <row r="13" spans="1:53" ht="18.75" customHeight="1" thickBot="1" x14ac:dyDescent="0.25">
      <c r="A13" s="966"/>
      <c r="B13" s="988" t="s">
        <v>11</v>
      </c>
      <c r="C13" s="989"/>
      <c r="D13" s="989"/>
      <c r="E13" s="970" t="str">
        <f>AV7</f>
        <v>fj1scmid4pm</v>
      </c>
      <c r="F13" s="971"/>
      <c r="G13" s="971"/>
      <c r="H13" s="971"/>
      <c r="I13" s="971"/>
      <c r="J13" s="971"/>
      <c r="K13" s="971"/>
      <c r="L13" s="971"/>
      <c r="M13" s="972"/>
      <c r="N13" s="973"/>
      <c r="O13" s="973"/>
      <c r="P13" s="973"/>
      <c r="Q13" s="973"/>
      <c r="R13" s="932"/>
      <c r="S13" s="972"/>
      <c r="T13" s="973"/>
      <c r="U13" s="973"/>
      <c r="V13" s="973"/>
      <c r="W13" s="973"/>
      <c r="X13" s="972"/>
      <c r="Y13" s="973"/>
      <c r="Z13" s="973"/>
      <c r="AA13" s="974"/>
      <c r="AB13" s="975"/>
      <c r="AC13" s="975"/>
      <c r="AD13" s="976"/>
      <c r="AE13" s="977"/>
      <c r="AF13" s="978"/>
      <c r="AG13" s="979"/>
      <c r="AH13" s="979"/>
      <c r="AI13" s="980"/>
      <c r="AJ13" s="981"/>
      <c r="AK13" s="992"/>
      <c r="AL13" s="1000"/>
      <c r="AM13" s="1001"/>
      <c r="AN13" s="1001"/>
      <c r="AO13" s="1001"/>
      <c r="AP13" s="1001"/>
      <c r="AQ13" s="1001"/>
      <c r="AR13" s="945"/>
      <c r="AS13" s="845"/>
      <c r="AT13" s="1002" t="s">
        <v>62</v>
      </c>
      <c r="AU13" s="1003"/>
      <c r="AV13" s="1003"/>
      <c r="AW13" s="1003"/>
      <c r="AX13" s="1003"/>
      <c r="AY13" s="1004"/>
    </row>
    <row r="14" spans="1:53" ht="18.75" customHeight="1" thickBot="1" x14ac:dyDescent="0.25">
      <c r="A14" s="949" t="str">
        <f>IF($AL9&gt;3,"4","")</f>
        <v>4</v>
      </c>
      <c r="B14" s="990" t="s">
        <v>10</v>
      </c>
      <c r="C14" s="991"/>
      <c r="D14" s="991"/>
      <c r="E14" s="953" t="str">
        <f>AU9</f>
        <v>Foothills Skylar</v>
      </c>
      <c r="F14" s="954"/>
      <c r="G14" s="954"/>
      <c r="H14" s="954"/>
      <c r="I14" s="954"/>
      <c r="J14" s="954"/>
      <c r="K14" s="954"/>
      <c r="L14" s="955"/>
      <c r="M14" s="956">
        <f>IF($AL10=0,AG67,AG49)</f>
        <v>0</v>
      </c>
      <c r="N14" s="957"/>
      <c r="O14" s="957"/>
      <c r="P14" s="957"/>
      <c r="Q14" s="957"/>
      <c r="R14" s="932"/>
      <c r="S14" s="956">
        <f>IF($AL10=0,AH67,AH49)</f>
        <v>3</v>
      </c>
      <c r="T14" s="957"/>
      <c r="U14" s="957"/>
      <c r="V14" s="957"/>
      <c r="W14" s="957"/>
      <c r="X14" s="956">
        <f>AR27</f>
        <v>-30</v>
      </c>
      <c r="Y14" s="957"/>
      <c r="Z14" s="957"/>
      <c r="AA14" s="958">
        <f>IF(AG61&gt;0,(AR27/AG61),0)</f>
        <v>-0.4</v>
      </c>
      <c r="AB14" s="959"/>
      <c r="AC14" s="959"/>
      <c r="AD14" s="960">
        <f>IF(AG75=0,0,(AG67/AG75))</f>
        <v>0</v>
      </c>
      <c r="AE14" s="961"/>
      <c r="AF14" s="962"/>
      <c r="AG14" s="963">
        <v>4</v>
      </c>
      <c r="AH14" s="963">
        <v>1</v>
      </c>
      <c r="AI14" s="964"/>
      <c r="AJ14" s="965"/>
      <c r="AK14" s="868"/>
      <c r="AL14" s="1001"/>
      <c r="AM14" s="1001"/>
      <c r="AN14" s="1001"/>
      <c r="AO14" s="1001"/>
      <c r="AP14" s="1001"/>
      <c r="AQ14" s="1001"/>
      <c r="AR14" s="947"/>
      <c r="AS14" s="948"/>
      <c r="AT14" s="1005"/>
      <c r="AU14" s="1006"/>
      <c r="AV14" s="1006"/>
      <c r="AW14" s="1006"/>
      <c r="AX14" s="1006"/>
      <c r="AY14" s="1007"/>
    </row>
    <row r="15" spans="1:53" ht="18.75" customHeight="1" thickBot="1" x14ac:dyDescent="0.25">
      <c r="A15" s="966"/>
      <c r="B15" s="988" t="s">
        <v>11</v>
      </c>
      <c r="C15" s="989"/>
      <c r="D15" s="989"/>
      <c r="E15" s="970" t="str">
        <f>AV9</f>
        <v>fj2footh3pm</v>
      </c>
      <c r="F15" s="971"/>
      <c r="G15" s="971"/>
      <c r="H15" s="971"/>
      <c r="I15" s="971"/>
      <c r="J15" s="971"/>
      <c r="K15" s="971"/>
      <c r="L15" s="971"/>
      <c r="M15" s="972"/>
      <c r="N15" s="973"/>
      <c r="O15" s="973"/>
      <c r="P15" s="973"/>
      <c r="Q15" s="973"/>
      <c r="R15" s="932"/>
      <c r="S15" s="972"/>
      <c r="T15" s="973"/>
      <c r="U15" s="973"/>
      <c r="V15" s="973"/>
      <c r="W15" s="973"/>
      <c r="X15" s="972"/>
      <c r="Y15" s="973"/>
      <c r="Z15" s="973"/>
      <c r="AA15" s="974"/>
      <c r="AB15" s="975"/>
      <c r="AC15" s="975"/>
      <c r="AD15" s="976"/>
      <c r="AE15" s="977"/>
      <c r="AF15" s="978"/>
      <c r="AG15" s="979"/>
      <c r="AH15" s="979"/>
      <c r="AI15" s="980"/>
      <c r="AJ15" s="981"/>
      <c r="AK15" s="868"/>
      <c r="AL15" s="1001"/>
      <c r="AM15" s="1001"/>
      <c r="AN15" s="1001"/>
      <c r="AO15" s="1001"/>
      <c r="AP15" s="1001"/>
      <c r="AQ15" s="1001"/>
      <c r="AR15" s="868"/>
      <c r="AS15" s="845"/>
    </row>
    <row r="16" spans="1:53" ht="18.75" customHeight="1" x14ac:dyDescent="0.2">
      <c r="A16" s="949" t="str">
        <f>IF($AL9&gt;4,"5","")</f>
        <v/>
      </c>
      <c r="B16" s="990" t="s">
        <v>10</v>
      </c>
      <c r="C16" s="991"/>
      <c r="D16" s="991"/>
      <c r="E16" s="953">
        <f>AU11</f>
        <v>0</v>
      </c>
      <c r="F16" s="954"/>
      <c r="G16" s="954"/>
      <c r="H16" s="954"/>
      <c r="I16" s="954"/>
      <c r="J16" s="954"/>
      <c r="K16" s="954"/>
      <c r="L16" s="955"/>
      <c r="M16" s="956">
        <f>IF($AL10=0,AG68,AG50)</f>
        <v>0</v>
      </c>
      <c r="N16" s="957"/>
      <c r="O16" s="957"/>
      <c r="P16" s="957"/>
      <c r="Q16" s="957"/>
      <c r="R16" s="932"/>
      <c r="S16" s="956">
        <f>IF($AL10=0,AH68,AH50)</f>
        <v>0</v>
      </c>
      <c r="T16" s="957"/>
      <c r="U16" s="957"/>
      <c r="V16" s="957"/>
      <c r="W16" s="957"/>
      <c r="X16" s="956">
        <f>AR28</f>
        <v>0</v>
      </c>
      <c r="Y16" s="957"/>
      <c r="Z16" s="957"/>
      <c r="AA16" s="958">
        <f>IF(AG62&gt;0,(AR28/AG62),0)</f>
        <v>0</v>
      </c>
      <c r="AB16" s="959"/>
      <c r="AC16" s="959"/>
      <c r="AD16" s="960">
        <f>IF(AG76=0,0,(AG68/AG76))</f>
        <v>0</v>
      </c>
      <c r="AE16" s="961"/>
      <c r="AF16" s="962"/>
      <c r="AG16" s="963"/>
      <c r="AH16" s="963"/>
      <c r="AI16" s="964"/>
      <c r="AJ16" s="965"/>
      <c r="AK16" s="868"/>
      <c r="AL16" s="1001"/>
      <c r="AM16" s="1001"/>
      <c r="AN16" s="1001"/>
      <c r="AO16" s="1001"/>
      <c r="AP16" s="1001"/>
      <c r="AQ16" s="1001"/>
      <c r="AR16" s="868"/>
      <c r="AS16" s="845"/>
      <c r="AT16" s="1008"/>
      <c r="AU16" s="1008"/>
    </row>
    <row r="17" spans="1:47" ht="18.75" customHeight="1" thickBot="1" x14ac:dyDescent="0.25">
      <c r="A17" s="966"/>
      <c r="B17" s="1009" t="s">
        <v>11</v>
      </c>
      <c r="C17" s="1010"/>
      <c r="D17" s="1010"/>
      <c r="E17" s="1011">
        <f>AV11</f>
        <v>0</v>
      </c>
      <c r="F17" s="1012"/>
      <c r="G17" s="1012"/>
      <c r="H17" s="1012"/>
      <c r="I17" s="1012"/>
      <c r="J17" s="1012"/>
      <c r="K17" s="1012"/>
      <c r="L17" s="1012"/>
      <c r="M17" s="1013"/>
      <c r="N17" s="1014"/>
      <c r="O17" s="1014"/>
      <c r="P17" s="1014"/>
      <c r="Q17" s="1014"/>
      <c r="R17" s="932"/>
      <c r="S17" s="972"/>
      <c r="T17" s="973"/>
      <c r="U17" s="973"/>
      <c r="V17" s="973"/>
      <c r="W17" s="973"/>
      <c r="X17" s="972"/>
      <c r="Y17" s="973"/>
      <c r="Z17" s="973"/>
      <c r="AA17" s="974"/>
      <c r="AB17" s="975"/>
      <c r="AC17" s="975"/>
      <c r="AD17" s="976"/>
      <c r="AE17" s="977"/>
      <c r="AF17" s="978"/>
      <c r="AG17" s="979"/>
      <c r="AH17" s="1015"/>
      <c r="AI17" s="980"/>
      <c r="AJ17" s="981"/>
      <c r="AK17" s="868"/>
      <c r="AL17" s="1001"/>
      <c r="AM17" s="1001"/>
      <c r="AN17" s="1001"/>
      <c r="AO17" s="1001"/>
      <c r="AP17" s="1001"/>
      <c r="AQ17" s="1001"/>
      <c r="AR17" s="868"/>
      <c r="AS17" s="845"/>
      <c r="AT17" s="1008"/>
      <c r="AU17" s="1008"/>
    </row>
    <row r="18" spans="1:47" ht="21" customHeight="1" thickTop="1" thickBot="1" x14ac:dyDescent="0.25">
      <c r="A18" s="1016"/>
      <c r="B18" s="1017" t="s">
        <v>1128</v>
      </c>
      <c r="C18" s="1018"/>
      <c r="D18" s="1018"/>
      <c r="E18" s="1018"/>
      <c r="F18" s="1018"/>
      <c r="G18" s="1018"/>
      <c r="H18" s="1018"/>
      <c r="I18" s="1018"/>
      <c r="J18" s="1018"/>
      <c r="K18" s="1018"/>
      <c r="L18" s="1018"/>
      <c r="M18" s="1018"/>
      <c r="N18" s="1018"/>
      <c r="O18" s="1018"/>
      <c r="P18" s="1018"/>
      <c r="Q18" s="1018"/>
      <c r="R18" s="1018"/>
      <c r="S18" s="1018"/>
      <c r="T18" s="1018"/>
      <c r="U18" s="1018"/>
      <c r="V18" s="1018"/>
      <c r="W18" s="1018"/>
      <c r="X18" s="1018"/>
      <c r="Y18" s="1018"/>
      <c r="Z18" s="1018"/>
      <c r="AA18" s="1018"/>
      <c r="AB18" s="1018"/>
      <c r="AC18" s="1018"/>
      <c r="AD18" s="1018"/>
      <c r="AE18" s="1018"/>
      <c r="AF18" s="1018"/>
      <c r="AG18" s="1018"/>
      <c r="AH18" s="1018"/>
      <c r="AI18" s="1018"/>
      <c r="AJ18" s="1019"/>
      <c r="AK18" s="868"/>
      <c r="AL18" s="1001"/>
      <c r="AM18" s="1001"/>
      <c r="AN18" s="1001"/>
      <c r="AO18" s="1001"/>
      <c r="AP18" s="1001"/>
      <c r="AQ18" s="1001"/>
      <c r="AR18" s="868"/>
      <c r="AS18" s="845"/>
      <c r="AT18" s="1008"/>
      <c r="AU18" s="1008"/>
    </row>
    <row r="19" spans="1:47" ht="13.5" thickTop="1" x14ac:dyDescent="0.2">
      <c r="A19" s="846" t="s">
        <v>64</v>
      </c>
      <c r="B19" s="1020">
        <v>0.35416666666666669</v>
      </c>
      <c r="C19" s="1021"/>
      <c r="D19" s="1022"/>
      <c r="E19" s="1020">
        <v>0.39583333333333331</v>
      </c>
      <c r="F19" s="1021"/>
      <c r="G19" s="1022"/>
      <c r="H19" s="1020">
        <v>0.4375</v>
      </c>
      <c r="I19" s="1021"/>
      <c r="J19" s="1022"/>
      <c r="K19" s="1023"/>
      <c r="L19" s="1020">
        <v>0.5</v>
      </c>
      <c r="M19" s="1021"/>
      <c r="N19" s="1022"/>
      <c r="O19" s="1020">
        <v>4.1666666666666664E-2</v>
      </c>
      <c r="P19" s="1021"/>
      <c r="Q19" s="1022"/>
      <c r="R19" s="1020">
        <v>8.3333333333333329E-2</v>
      </c>
      <c r="S19" s="1021"/>
      <c r="T19" s="1022"/>
      <c r="U19" s="1020"/>
      <c r="V19" s="1021"/>
      <c r="W19" s="1022"/>
      <c r="X19" s="1020"/>
      <c r="Y19" s="1021"/>
      <c r="Z19" s="1022"/>
      <c r="AA19" s="1020"/>
      <c r="AB19" s="1021"/>
      <c r="AC19" s="1022"/>
      <c r="AD19" s="1020"/>
      <c r="AE19" s="1021"/>
      <c r="AF19" s="1022"/>
      <c r="AG19" s="1024" t="s">
        <v>65</v>
      </c>
      <c r="AH19" s="1025"/>
      <c r="AI19" s="1025"/>
      <c r="AJ19" s="1025"/>
      <c r="AK19" s="1026"/>
      <c r="AL19" s="1026"/>
      <c r="AM19" s="1026"/>
      <c r="AN19" s="1026"/>
      <c r="AO19" s="1026"/>
      <c r="AP19" s="1026"/>
      <c r="AQ19" s="1026"/>
      <c r="AR19" s="1027"/>
      <c r="AT19" s="1008"/>
      <c r="AU19" s="1008"/>
    </row>
    <row r="20" spans="1:47" x14ac:dyDescent="0.2">
      <c r="A20" s="1028" t="s">
        <v>66</v>
      </c>
      <c r="B20" s="1029"/>
      <c r="C20" s="1030"/>
      <c r="D20" s="1031"/>
      <c r="E20" s="1029"/>
      <c r="F20" s="1030"/>
      <c r="G20" s="1031"/>
      <c r="H20" s="1029"/>
      <c r="I20" s="1030"/>
      <c r="J20" s="1031"/>
      <c r="K20" s="1032"/>
      <c r="L20" s="1029"/>
      <c r="M20" s="1030"/>
      <c r="N20" s="1031"/>
      <c r="O20" s="1029"/>
      <c r="P20" s="1030"/>
      <c r="Q20" s="1031"/>
      <c r="R20" s="1029"/>
      <c r="S20" s="1030"/>
      <c r="T20" s="1031"/>
      <c r="U20" s="1029"/>
      <c r="V20" s="1030"/>
      <c r="W20" s="1031"/>
      <c r="X20" s="1029"/>
      <c r="Y20" s="1030"/>
      <c r="Z20" s="1031"/>
      <c r="AA20" s="1029"/>
      <c r="AB20" s="1030"/>
      <c r="AC20" s="1031"/>
      <c r="AD20" s="1029"/>
      <c r="AE20" s="1030"/>
      <c r="AF20" s="1031"/>
      <c r="AG20" s="1024"/>
      <c r="AH20" s="1025"/>
      <c r="AI20" s="1025"/>
      <c r="AJ20" s="1025"/>
      <c r="AK20" s="1025"/>
      <c r="AL20" s="1025"/>
      <c r="AM20" s="1025"/>
      <c r="AN20" s="1025"/>
      <c r="AO20" s="1025"/>
      <c r="AP20" s="1025"/>
      <c r="AQ20" s="1025"/>
      <c r="AR20" s="1033"/>
      <c r="AT20" s="1008"/>
      <c r="AU20" s="1008"/>
    </row>
    <row r="21" spans="1:47" x14ac:dyDescent="0.2">
      <c r="A21" s="1028" t="s">
        <v>67</v>
      </c>
      <c r="B21" s="1029"/>
      <c r="C21" s="1030"/>
      <c r="D21" s="1031"/>
      <c r="E21" s="1029"/>
      <c r="F21" s="1030"/>
      <c r="G21" s="1031"/>
      <c r="H21" s="1029"/>
      <c r="I21" s="1030"/>
      <c r="J21" s="1031"/>
      <c r="K21" s="1032"/>
      <c r="L21" s="1029"/>
      <c r="M21" s="1030"/>
      <c r="N21" s="1031"/>
      <c r="O21" s="1029"/>
      <c r="P21" s="1030"/>
      <c r="Q21" s="1031"/>
      <c r="R21" s="1029"/>
      <c r="S21" s="1030"/>
      <c r="T21" s="1031"/>
      <c r="U21" s="1029"/>
      <c r="V21" s="1030"/>
      <c r="W21" s="1031"/>
      <c r="X21" s="1029"/>
      <c r="Y21" s="1030"/>
      <c r="Z21" s="1031"/>
      <c r="AA21" s="1029"/>
      <c r="AB21" s="1030"/>
      <c r="AC21" s="1031"/>
      <c r="AD21" s="1029"/>
      <c r="AE21" s="1030"/>
      <c r="AF21" s="1031"/>
      <c r="AG21" s="1024"/>
      <c r="AH21" s="1025"/>
      <c r="AI21" s="1025"/>
      <c r="AJ21" s="1025"/>
      <c r="AK21" s="1025"/>
      <c r="AL21" s="1025"/>
      <c r="AM21" s="1025"/>
      <c r="AN21" s="1025"/>
      <c r="AO21" s="1025"/>
      <c r="AP21" s="1025"/>
      <c r="AQ21" s="1025"/>
      <c r="AR21" s="1033"/>
      <c r="AT21" s="853"/>
      <c r="AU21" s="853"/>
    </row>
    <row r="22" spans="1:47" ht="13.5" thickBot="1" x14ac:dyDescent="0.25">
      <c r="A22" s="868"/>
      <c r="B22" s="1034" t="s">
        <v>68</v>
      </c>
      <c r="C22" s="1035"/>
      <c r="D22" s="1036"/>
      <c r="E22" s="1034" t="str">
        <f>IF(AL8&gt;1,"Match 2","")</f>
        <v>Match 2</v>
      </c>
      <c r="F22" s="1035"/>
      <c r="G22" s="1036"/>
      <c r="H22" s="1034" t="str">
        <f>IF(AL8&gt;2,"Match 3","")</f>
        <v>Match 3</v>
      </c>
      <c r="I22" s="1035"/>
      <c r="J22" s="1036"/>
      <c r="K22" s="1032"/>
      <c r="L22" s="1034" t="str">
        <f>IF(AL8&gt;3,"Match 4","")</f>
        <v>Match 4</v>
      </c>
      <c r="M22" s="1035"/>
      <c r="N22" s="1036"/>
      <c r="O22" s="1034" t="str">
        <f>IF(AL8&gt;4,"Match 5","")</f>
        <v>Match 5</v>
      </c>
      <c r="P22" s="1035"/>
      <c r="Q22" s="1036"/>
      <c r="R22" s="1034" t="str">
        <f>IF(AL8&gt;5,"Match 6","")</f>
        <v>Match 6</v>
      </c>
      <c r="S22" s="1035"/>
      <c r="T22" s="1036"/>
      <c r="U22" s="1034" t="str">
        <f>IF(AL8&gt;6,"Match 7","")</f>
        <v/>
      </c>
      <c r="V22" s="1035"/>
      <c r="W22" s="1036"/>
      <c r="X22" s="1034" t="str">
        <f>IF(AL8&gt;7,"Match 8","")</f>
        <v/>
      </c>
      <c r="Y22" s="1035"/>
      <c r="Z22" s="1036"/>
      <c r="AA22" s="1034" t="str">
        <f>IF(AL8&gt;8,"Match 9","")</f>
        <v/>
      </c>
      <c r="AB22" s="1035"/>
      <c r="AC22" s="1036"/>
      <c r="AD22" s="1034" t="str">
        <f>IF(AL8&gt;9,"Match 10","")</f>
        <v/>
      </c>
      <c r="AE22" s="1035"/>
      <c r="AF22" s="1036"/>
      <c r="AG22" s="1037"/>
      <c r="AH22" s="1038"/>
      <c r="AI22" s="1038"/>
      <c r="AJ22" s="1038"/>
      <c r="AK22" s="1038"/>
      <c r="AL22" s="1038"/>
      <c r="AM22" s="1038"/>
      <c r="AN22" s="1038"/>
      <c r="AO22" s="1038"/>
      <c r="AP22" s="1038"/>
      <c r="AQ22" s="1038"/>
      <c r="AR22" s="1039"/>
      <c r="AT22" s="1008"/>
      <c r="AU22" s="1008"/>
    </row>
    <row r="23" spans="1:47" ht="15.75" x14ac:dyDescent="0.25">
      <c r="A23" s="868"/>
      <c r="B23" s="1040" t="s">
        <v>71</v>
      </c>
      <c r="C23" s="1041"/>
      <c r="D23" s="1042"/>
      <c r="E23" s="1040" t="s">
        <v>73</v>
      </c>
      <c r="F23" s="1041"/>
      <c r="G23" s="1042"/>
      <c r="H23" s="1040" t="s">
        <v>70</v>
      </c>
      <c r="I23" s="1041"/>
      <c r="J23" s="1042"/>
      <c r="K23" s="1032"/>
      <c r="L23" s="1040" t="s">
        <v>69</v>
      </c>
      <c r="M23" s="1041"/>
      <c r="N23" s="1042"/>
      <c r="O23" s="1040" t="s">
        <v>73</v>
      </c>
      <c r="P23" s="1041"/>
      <c r="Q23" s="1042"/>
      <c r="R23" s="1040" t="s">
        <v>70</v>
      </c>
      <c r="S23" s="1041"/>
      <c r="T23" s="1042"/>
      <c r="U23" s="1040"/>
      <c r="V23" s="1041"/>
      <c r="W23" s="1042"/>
      <c r="X23" s="1040"/>
      <c r="Y23" s="1041"/>
      <c r="Z23" s="1042"/>
      <c r="AA23" s="1040"/>
      <c r="AB23" s="1041"/>
      <c r="AC23" s="1042"/>
      <c r="AD23" s="1040"/>
      <c r="AE23" s="1041"/>
      <c r="AF23" s="1042"/>
      <c r="AG23" s="1043" t="s">
        <v>74</v>
      </c>
      <c r="AH23" s="1044">
        <v>1</v>
      </c>
      <c r="AI23" s="1044">
        <v>2</v>
      </c>
      <c r="AJ23" s="1044">
        <v>3</v>
      </c>
      <c r="AK23" s="1044">
        <v>4</v>
      </c>
      <c r="AL23" s="1044">
        <v>5</v>
      </c>
      <c r="AM23" s="1044">
        <v>6</v>
      </c>
      <c r="AN23" s="1044">
        <v>7</v>
      </c>
      <c r="AO23" s="1044">
        <v>8</v>
      </c>
      <c r="AP23" s="1044">
        <v>9</v>
      </c>
      <c r="AQ23" s="1044">
        <v>10</v>
      </c>
      <c r="AR23" s="1045" t="s">
        <v>75</v>
      </c>
      <c r="AT23" s="1008"/>
      <c r="AU23" s="1008"/>
    </row>
    <row r="24" spans="1:47" ht="15.75" x14ac:dyDescent="0.25">
      <c r="A24" s="868"/>
      <c r="B24" s="1046">
        <v>2</v>
      </c>
      <c r="C24" s="1047" t="s">
        <v>76</v>
      </c>
      <c r="D24" s="1048">
        <v>3</v>
      </c>
      <c r="E24" s="1046">
        <v>1</v>
      </c>
      <c r="F24" s="1047" t="str">
        <f>IF(AL8&gt;1,"v","")</f>
        <v>v</v>
      </c>
      <c r="G24" s="1048">
        <v>4</v>
      </c>
      <c r="H24" s="1046">
        <v>2</v>
      </c>
      <c r="I24" s="1047" t="str">
        <f>IF(AL8&gt;2,"v","")</f>
        <v>v</v>
      </c>
      <c r="J24" s="1048">
        <v>4</v>
      </c>
      <c r="K24" s="1032"/>
      <c r="L24" s="1046">
        <v>1</v>
      </c>
      <c r="M24" s="1047" t="str">
        <f>IF(AL8&gt;3,"v","")</f>
        <v>v</v>
      </c>
      <c r="N24" s="1048">
        <v>3</v>
      </c>
      <c r="O24" s="1046">
        <v>3</v>
      </c>
      <c r="P24" s="1047" t="str">
        <f>IF(AL8&gt;4,"v","")</f>
        <v>v</v>
      </c>
      <c r="Q24" s="1048">
        <v>4</v>
      </c>
      <c r="R24" s="1046">
        <v>1</v>
      </c>
      <c r="S24" s="1047" t="str">
        <f>IF(AL8&gt;5,"v","")</f>
        <v>v</v>
      </c>
      <c r="T24" s="1048">
        <v>2</v>
      </c>
      <c r="U24" s="1046"/>
      <c r="V24" s="1047" t="str">
        <f>IF(AL8&gt;6,"v","")</f>
        <v/>
      </c>
      <c r="W24" s="1048"/>
      <c r="X24" s="1046"/>
      <c r="Y24" s="1047" t="str">
        <f>IF(AL8&gt;7,"v","")</f>
        <v/>
      </c>
      <c r="Z24" s="1048"/>
      <c r="AA24" s="1046"/>
      <c r="AB24" s="1047" t="str">
        <f>IF(AL8&gt;8,"v","")</f>
        <v/>
      </c>
      <c r="AC24" s="1048"/>
      <c r="AD24" s="1046"/>
      <c r="AE24" s="1047" t="str">
        <f>IF(AL8&gt;9,"v","")</f>
        <v/>
      </c>
      <c r="AF24" s="1048"/>
      <c r="AG24" s="1049" t="str">
        <f>IF(AL9&gt;0,"Team 1","")</f>
        <v>Team 1</v>
      </c>
      <c r="AH24" s="1050" t="str">
        <f>IF(AL9&lt;1,"",IF(AL8&lt;1,"",IF(B24=1,B30-D30,IF(D24=1,D30-B30,""))))</f>
        <v/>
      </c>
      <c r="AI24" s="1050">
        <f>IF(AL9&lt;1,"",IF(AL8&lt;2,"",IF(E24=1,E30-G30,IF(G24=1,G30-E30,""))))</f>
        <v>12</v>
      </c>
      <c r="AJ24" s="1050" t="str">
        <f>IF(AL9&lt;1,"",IF(AL8&lt;3,"",IF(H24=1,H30-J30,IF(J24=1,J30-H30,""))))</f>
        <v/>
      </c>
      <c r="AK24" s="1050">
        <f>IF(AL9&lt;1,"",IF(AL8&lt;4,"",IF(L24=1,L30-N30,IF(N24=1,N30-L30,""))))</f>
        <v>1</v>
      </c>
      <c r="AL24" s="1050" t="str">
        <f>IF(AL9&lt;1,"",IF(AL8&lt;5,"",IF(O24=1,O30-Q30,IF(Q24=1,Q30-O30,""))))</f>
        <v/>
      </c>
      <c r="AM24" s="1050">
        <f>IF(AL9&lt;1,"",IF(AL8&lt;6,"",IF(R24=1,R30-T30,IF(T24=1,T30-R30,""))))</f>
        <v>-10</v>
      </c>
      <c r="AN24" s="1050" t="str">
        <f>IF(AL9&lt;1,"",IF(AL8&lt;7,"",IF(U24=1,U30-W30,IF(W24=1,W30-U30,""))))</f>
        <v/>
      </c>
      <c r="AO24" s="1050" t="str">
        <f>IF(AL9&lt;1,"",IF(AL8&lt;8,"",IF(X24=1,X30-Z30,IF(Z24=1,Z30-X30,""))))</f>
        <v/>
      </c>
      <c r="AP24" s="1050" t="str">
        <f>IF(AL9&lt;1,"",IF(AL8&lt;9,"",IF(AA24=1,AA30-AC30,IF(AC24=1,AC30-AA30,""))))</f>
        <v/>
      </c>
      <c r="AQ24" s="1050" t="str">
        <f>IF(AL9&lt;1,"",IF(AL8&lt;10,"",IF(AD24=1,AD30-AF30,IF(AF24=1,AF30-AD30,""))))</f>
        <v/>
      </c>
      <c r="AR24" s="1045">
        <f>SUM(AH24:AQ24)</f>
        <v>3</v>
      </c>
      <c r="AT24" s="1008"/>
      <c r="AU24" s="1008"/>
    </row>
    <row r="25" spans="1:47" ht="15" x14ac:dyDescent="0.2">
      <c r="A25" s="846" t="s">
        <v>77</v>
      </c>
      <c r="B25" s="1051">
        <v>19</v>
      </c>
      <c r="C25" s="1052" t="s">
        <v>78</v>
      </c>
      <c r="D25" s="1053">
        <v>16</v>
      </c>
      <c r="E25" s="1051">
        <v>28</v>
      </c>
      <c r="F25" s="1052" t="str">
        <f>IF(AL8&gt;1,"/","")</f>
        <v>/</v>
      </c>
      <c r="G25" s="1053">
        <v>16</v>
      </c>
      <c r="H25" s="1051">
        <v>27</v>
      </c>
      <c r="I25" s="1052" t="str">
        <f>IF(AL8&gt;2,"/","")</f>
        <v>/</v>
      </c>
      <c r="J25" s="1053">
        <v>12</v>
      </c>
      <c r="K25" s="1032"/>
      <c r="L25" s="1051">
        <v>23</v>
      </c>
      <c r="M25" s="1052" t="str">
        <f>IF(AL8&gt;3,"/","")</f>
        <v>/</v>
      </c>
      <c r="N25" s="1053">
        <v>22</v>
      </c>
      <c r="O25" s="1051">
        <v>20</v>
      </c>
      <c r="P25" s="1052" t="str">
        <f>IF(AL8&gt;4,"/","")</f>
        <v>/</v>
      </c>
      <c r="Q25" s="1053">
        <v>17</v>
      </c>
      <c r="R25" s="1051">
        <v>14</v>
      </c>
      <c r="S25" s="1052" t="str">
        <f>IF(AL8&gt;5,"/","")</f>
        <v>/</v>
      </c>
      <c r="T25" s="1053">
        <v>24</v>
      </c>
      <c r="U25" s="1051"/>
      <c r="V25" s="1052" t="str">
        <f>IF(AL8&gt;6,"/","")</f>
        <v/>
      </c>
      <c r="W25" s="1053"/>
      <c r="X25" s="1051"/>
      <c r="Y25" s="1052" t="str">
        <f>IF(AL8&gt;7,"/","")</f>
        <v/>
      </c>
      <c r="Z25" s="1053"/>
      <c r="AA25" s="1051"/>
      <c r="AB25" s="1052" t="str">
        <f>IF(AL8&gt;8,"/","")</f>
        <v/>
      </c>
      <c r="AC25" s="1053"/>
      <c r="AD25" s="1051"/>
      <c r="AE25" s="1052" t="str">
        <f>IF(AL8&gt;9,"/","")</f>
        <v/>
      </c>
      <c r="AF25" s="1053"/>
      <c r="AG25" s="1049" t="str">
        <f>IF(AL9&gt;1,"Team 2","")</f>
        <v>Team 2</v>
      </c>
      <c r="AH25" s="1050">
        <f>IF(AL9&lt;2,"",IF(AL8&lt;1,"",IF(B24=2,B30-D30,IF(D24=2,D30-B30,""))))</f>
        <v>3</v>
      </c>
      <c r="AI25" s="1050" t="str">
        <f>IF(AL9&lt;2,"",IF(AL8&lt;2,"",IF(E24=2,E30-G30,IF(G24=2,G30-E30,""))))</f>
        <v/>
      </c>
      <c r="AJ25" s="1050">
        <f>IF(AL9&lt;2,"",IF(AL8&lt;3,"",IF(H24=2,H30-J30,IF(J24=2,J30-H30,""))))</f>
        <v>15</v>
      </c>
      <c r="AK25" s="1050" t="str">
        <f>IF(AL9&lt;2,"",IF(AL8&lt;4,"",IF(L24=2,L30-N30,IF(N24=2,N30-L30,""))))</f>
        <v/>
      </c>
      <c r="AL25" s="1050" t="str">
        <f>IF(AL9&lt;2,"",IF(AL8&lt;5,"",IF(O24=2,O30-Q30,IF(Q24=2,Q30-O30,""))))</f>
        <v/>
      </c>
      <c r="AM25" s="1050">
        <f>IF(AL9&lt;2,"",IF(AL8&lt;6,"",IF(R24=2,R30-T30,IF(T24=2,T30-R30,""))))</f>
        <v>10</v>
      </c>
      <c r="AN25" s="1050" t="str">
        <f>IF(AL9&lt;2,"",IF(AL8&lt;7,"",IF(U24=2,U30-W30,IF(W24=2,W30-U30,""))))</f>
        <v/>
      </c>
      <c r="AO25" s="1050" t="str">
        <f>IF(AL9&lt;2,"",IF(AL8&lt;8,"",IF(X24=2,X30-Z30,IF(Z24=2,Z30-X30,""))))</f>
        <v/>
      </c>
      <c r="AP25" s="1050" t="str">
        <f>IF(AL9&lt;2,"",IF(AL8&lt;9,"",IF(AA24=2,AA30-AC30,IF(AC24=2,AC30-AA30,""))))</f>
        <v/>
      </c>
      <c r="AQ25" s="1050" t="str">
        <f>IF(AL9&lt;2,"",IF(AL8&lt;10,"",IF(AD24=2,AD30-AF30,IF(AF24=2,AF30-AD30,""))))</f>
        <v/>
      </c>
      <c r="AR25" s="1045">
        <f>SUM(AH25:AQ25)</f>
        <v>28</v>
      </c>
    </row>
    <row r="26" spans="1:47" ht="15" x14ac:dyDescent="0.2">
      <c r="A26" s="845" t="str">
        <f>IF(AL7&gt;1,"Game 2","")</f>
        <v/>
      </c>
      <c r="B26" s="1051"/>
      <c r="C26" s="1052" t="s">
        <v>78</v>
      </c>
      <c r="D26" s="1053"/>
      <c r="E26" s="1051"/>
      <c r="F26" s="1052" t="str">
        <f>IF(AL8&gt;1,IF(AL7&gt;1,"/",""),"")</f>
        <v/>
      </c>
      <c r="G26" s="1053"/>
      <c r="H26" s="1051"/>
      <c r="I26" s="1052" t="str">
        <f>IF(AL8&gt;2,IF(AL7&gt;1,"/",""),"")</f>
        <v/>
      </c>
      <c r="J26" s="1053"/>
      <c r="K26" s="1032"/>
      <c r="L26" s="1051"/>
      <c r="M26" s="1052" t="str">
        <f>IF(AL8&gt;3,IF(AL7&gt;1,"/",""),"")</f>
        <v/>
      </c>
      <c r="N26" s="1053"/>
      <c r="O26" s="1051"/>
      <c r="P26" s="1052" t="str">
        <f>IF(AL8&gt;4,IF(AL7&gt;1,"/",""),"")</f>
        <v/>
      </c>
      <c r="Q26" s="1053"/>
      <c r="R26" s="1051"/>
      <c r="S26" s="1052" t="str">
        <f>IF(AL8&gt;5,IF(AL7&gt;1,"/",""),"")</f>
        <v/>
      </c>
      <c r="T26" s="1053"/>
      <c r="U26" s="1051"/>
      <c r="V26" s="1052" t="str">
        <f>IF(AL8&gt;6,IF(AL7&gt;1,"/",""),"")</f>
        <v/>
      </c>
      <c r="W26" s="1053"/>
      <c r="X26" s="1051"/>
      <c r="Y26" s="1052" t="str">
        <f>IF(AL8&gt;7,IF(AL7&gt;1,"/",""),"")</f>
        <v/>
      </c>
      <c r="Z26" s="1053"/>
      <c r="AA26" s="1051"/>
      <c r="AB26" s="1052" t="str">
        <f>IF(AL8&gt;8,IF(AL7&gt;1,"/",""),"")</f>
        <v/>
      </c>
      <c r="AC26" s="1053"/>
      <c r="AD26" s="1051"/>
      <c r="AE26" s="1052" t="str">
        <f>IF(AL8&gt;9,IF(AL7&gt;1,"/",""),"")</f>
        <v/>
      </c>
      <c r="AF26" s="1053"/>
      <c r="AG26" s="1049" t="str">
        <f>IF(AL9&gt;2,"Team 3","")</f>
        <v>Team 3</v>
      </c>
      <c r="AH26" s="1050">
        <f>IF(AL9&lt;3,"",IF(AL8&lt;1,"",IF(B24=3,B30-D30,IF(D24=3,D30-B30,""))))</f>
        <v>-3</v>
      </c>
      <c r="AI26" s="1050" t="str">
        <f>IF(AL9&lt;3,"",IF(AL8&lt;2,"",IF(E24=3,E30-G30,IF(G24=3,G30-E30,""))))</f>
        <v/>
      </c>
      <c r="AJ26" s="1050" t="str">
        <f>IF(AL9&lt;3,"",IF(AL8&lt;3,"",IF(H24=3,H30-J30,IF(J24=3,J30-H30,""))))</f>
        <v/>
      </c>
      <c r="AK26" s="1050">
        <f>IF(AL9&lt;3,"",IF(AL8&lt;4,"",IF(L24=3,L30-N30,IF(N24=3,N30-L30,""))))</f>
        <v>-1</v>
      </c>
      <c r="AL26" s="1050">
        <f>IF(AL9&lt;3,"",IF(AL8&lt;5,"",IF(O24=3,O30-Q30,IF(Q24=3,Q30-O30,""))))</f>
        <v>3</v>
      </c>
      <c r="AM26" s="1050" t="str">
        <f>IF(AL9&lt;3,"",IF(AL8&lt;6,"",IF(R24=3,R30-T30,IF(T24=3,T30-R30,""))))</f>
        <v/>
      </c>
      <c r="AN26" s="1050" t="str">
        <f>IF(AL9&lt;3,"",IF(AL8&lt;7,"",IF(U24=3,U30-W30,IF(W24=3,W30-U30,""))))</f>
        <v/>
      </c>
      <c r="AO26" s="1050" t="str">
        <f>IF(AL9&lt;3,"",IF(AL8&lt;8,"",IF(X24=3,X30-Z30,IF(Z24=3,Z30-X30,""))))</f>
        <v/>
      </c>
      <c r="AP26" s="1050" t="str">
        <f>IF(AL9&lt;3,"",IF(AL8&lt;9,"",IF(AA24=3,AA30-AC30,IF(AC24=3,AC30-AA30,""))))</f>
        <v/>
      </c>
      <c r="AQ26" s="1050" t="str">
        <f>IF(AL9&lt;3,"",IF(AL8&lt;9,"",IF(AD24=3,AD30-AF30,IF(AF24=3,AF30-AD30,""))))</f>
        <v/>
      </c>
      <c r="AR26" s="1045">
        <f>SUM(AH26:AQ26)</f>
        <v>-1</v>
      </c>
    </row>
    <row r="27" spans="1:47" ht="15" x14ac:dyDescent="0.2">
      <c r="A27" s="845" t="str">
        <f>IF(AL7&gt;2,"Game 3","")</f>
        <v/>
      </c>
      <c r="B27" s="1051"/>
      <c r="C27" s="1052" t="s">
        <v>78</v>
      </c>
      <c r="D27" s="1053"/>
      <c r="E27" s="1051"/>
      <c r="F27" s="1052" t="str">
        <f>IF(AL8&gt;1,IF(AL7&gt;2,"/",""),"")</f>
        <v/>
      </c>
      <c r="G27" s="1053"/>
      <c r="H27" s="1051"/>
      <c r="I27" s="1052" t="str">
        <f>IF(AL8&gt;2,IF(AL7&gt;2,"/",""),"")</f>
        <v/>
      </c>
      <c r="J27" s="1053"/>
      <c r="K27" s="1032"/>
      <c r="L27" s="1051"/>
      <c r="M27" s="1052" t="str">
        <f>IF(AL8&gt;3,IF(AL7&gt;2,"/",""),"")</f>
        <v/>
      </c>
      <c r="N27" s="1053"/>
      <c r="O27" s="1051"/>
      <c r="P27" s="1052" t="str">
        <f>IF(AL8&gt;4,IF(AL7&gt;2,"/",""),"")</f>
        <v/>
      </c>
      <c r="Q27" s="1053"/>
      <c r="R27" s="1051"/>
      <c r="S27" s="1052" t="str">
        <f>IF(AL8&gt;5,IF(AL7&gt;2,"/",""),"")</f>
        <v/>
      </c>
      <c r="T27" s="1053"/>
      <c r="U27" s="1051"/>
      <c r="V27" s="1052" t="str">
        <f>IF(AL8&gt;6,IF(AL7&gt;2,"/",""),"")</f>
        <v/>
      </c>
      <c r="W27" s="1053"/>
      <c r="X27" s="1051"/>
      <c r="Y27" s="1052" t="str">
        <f>IF(AL8&gt;7,IF(AL7&gt;2,"/",""),"")</f>
        <v/>
      </c>
      <c r="Z27" s="1053"/>
      <c r="AA27" s="1051"/>
      <c r="AB27" s="1052" t="str">
        <f>IF(AL8&gt;8,IF(AL7&gt;2,"/",""),"")</f>
        <v/>
      </c>
      <c r="AC27" s="1053"/>
      <c r="AD27" s="1051"/>
      <c r="AE27" s="1052" t="str">
        <f>IF(AL8&gt;9,IF(AL7&gt;2,"/",""),"")</f>
        <v/>
      </c>
      <c r="AF27" s="1053"/>
      <c r="AG27" s="1049" t="str">
        <f>IF(AL9&gt;3,"Team 4","")</f>
        <v>Team 4</v>
      </c>
      <c r="AH27" s="1050" t="str">
        <f>IF(AL9&lt;4,"",IF(AL8&lt;1,"",IF(B24=4,B30-D30,IF(D24=4,D30-B30,""))))</f>
        <v/>
      </c>
      <c r="AI27" s="1050">
        <f>IF(AL9&lt;4,"",IF(AL8&lt;2,"",IF(E24=4,E30-G30,IF(G24=4,G30-E30,""))))</f>
        <v>-12</v>
      </c>
      <c r="AJ27" s="1050">
        <f>IF(AL9&lt;4,"",IF(AL8&lt;3,"",IF(H24=4,H30-J30,IF(J24=4,J30-H30,""))))</f>
        <v>-15</v>
      </c>
      <c r="AK27" s="1050" t="str">
        <f>IF(AL9&lt;4,"",IF(AL8&lt;4,"",IF(L24=4,L30-N30,IF(N24=4,N30-L30,""))))</f>
        <v/>
      </c>
      <c r="AL27" s="1050">
        <f>IF(AL9&lt;4,"",IF(AL8&lt;5,"",IF(O24=4,O30-Q30,IF(Q24=4,Q30-O30,""))))</f>
        <v>-3</v>
      </c>
      <c r="AM27" s="1050" t="str">
        <f>IF(AL9&lt;4,"",IF(AL8&lt;6,"",IF(R24=4,R30-T30,IF(T24=4,T30-R30,""))))</f>
        <v/>
      </c>
      <c r="AN27" s="1050" t="str">
        <f>IF(AL9&lt;4,"",IF(AL8&lt;7,"",IF(U24=4,U30-W30,IF(W24=4,W30-U30,""))))</f>
        <v/>
      </c>
      <c r="AO27" s="1050" t="str">
        <f>IF(AL9&lt;4,"",IF(AL8&lt;8,"",IF(X24=4,X30-Z30,IF(Z24=4,Z30-X30,""))))</f>
        <v/>
      </c>
      <c r="AP27" s="1050" t="str">
        <f>IF(AL9&lt;4,"",IF(AL8&lt;9,"",IF(AA24=4,AA30-AC30,IF(AC24=4,AC30-AA30,""))))</f>
        <v/>
      </c>
      <c r="AQ27" s="1050" t="str">
        <f>IF(AL9&lt;4,"",IF(AL8&lt;10,"",IF(AD24=4,AD30-AF30,IF(AF24=4,AF30-AD30,""))))</f>
        <v/>
      </c>
      <c r="AR27" s="1045">
        <f>SUM(AH27:AQ27)</f>
        <v>-30</v>
      </c>
    </row>
    <row r="28" spans="1:47" ht="15" x14ac:dyDescent="0.2">
      <c r="A28" s="845" t="str">
        <f>IF(AL7&gt;3,"Game 4","")</f>
        <v/>
      </c>
      <c r="B28" s="1051"/>
      <c r="C28" s="1052" t="s">
        <v>78</v>
      </c>
      <c r="D28" s="1053"/>
      <c r="E28" s="1051"/>
      <c r="F28" s="1052" t="str">
        <f>IF(AL8&gt;1,IF(AL7&gt;3,"/",""),"")</f>
        <v/>
      </c>
      <c r="G28" s="1053"/>
      <c r="H28" s="1051"/>
      <c r="I28" s="1052" t="str">
        <f>IF(AL8&gt;2,IF(AL7&gt;3,"/",""),"")</f>
        <v/>
      </c>
      <c r="J28" s="1053"/>
      <c r="K28" s="1032"/>
      <c r="L28" s="1051"/>
      <c r="M28" s="1052" t="str">
        <f>IF(AL8&gt;3,IF(AL7&gt;3,"/",""),"")</f>
        <v/>
      </c>
      <c r="N28" s="1053"/>
      <c r="O28" s="1051"/>
      <c r="P28" s="1052" t="str">
        <f>IF(AL8&gt;4,IF(AL7&gt;3,"/",""),"")</f>
        <v/>
      </c>
      <c r="Q28" s="1053"/>
      <c r="R28" s="1051"/>
      <c r="S28" s="1052" t="str">
        <f>IF(AL8&gt;5,IF(AL7&gt;3,"/",""),"")</f>
        <v/>
      </c>
      <c r="T28" s="1053"/>
      <c r="U28" s="1051"/>
      <c r="V28" s="1052" t="str">
        <f>IF(AL8&gt;6,IF(AL7&gt;3,"/",""),"")</f>
        <v/>
      </c>
      <c r="W28" s="1053"/>
      <c r="X28" s="1051"/>
      <c r="Y28" s="1052" t="str">
        <f>IF(AL8&gt;7,IF(AL7&gt;3,"/",""),"")</f>
        <v/>
      </c>
      <c r="Z28" s="1053"/>
      <c r="AA28" s="1051"/>
      <c r="AB28" s="1052" t="str">
        <f>IF(AL8&gt;8,IF(AL7&gt;3,"/",""),"")</f>
        <v/>
      </c>
      <c r="AC28" s="1053"/>
      <c r="AD28" s="1051"/>
      <c r="AE28" s="1052" t="str">
        <f>IF(AL8&gt;9,IF(AL7&gt;3,"/",""),"")</f>
        <v/>
      </c>
      <c r="AF28" s="1053"/>
      <c r="AG28" s="1049" t="str">
        <f>IF(AL9&gt;4,"Team 5","")</f>
        <v/>
      </c>
      <c r="AH28" s="1054" t="str">
        <f>IF(AL9&lt;5,"",IF(AL8&lt;1,"",IF(B24=5,B30-D30,IF(D24=5,D30-B30,""))))</f>
        <v/>
      </c>
      <c r="AI28" s="1050" t="str">
        <f>IF(AL9&lt;5,"",IF(AL8&lt;2,"",IF(E24=5,E30-G30,IF(G24=5,G30-E30,""))))</f>
        <v/>
      </c>
      <c r="AJ28" s="1050" t="str">
        <f>IF(AL9&lt;5,"",IF(AL8&lt;3,"",IF(H24=5,H30-J30,IF(J24=5,J30-H30,""))))</f>
        <v/>
      </c>
      <c r="AK28" s="1050" t="str">
        <f>IF(AL9&lt;5,"",IF(AL8&lt;4,"",IF(L24=5,L30-N30,IF(N24=5,N30-L30,""))))</f>
        <v/>
      </c>
      <c r="AL28" s="1050" t="str">
        <f>IF(AL9&lt;5,"",IF(AL8&lt;5,"",IF(O24=5,O30-Q30,IF(Q24=5,Q30-O30,""))))</f>
        <v/>
      </c>
      <c r="AM28" s="1050" t="str">
        <f>IF(AL9&lt;5,"",IF(AL8&lt;6,"",IF(R24=5,R30-T30,IF(T24=5,T30-R30,""))))</f>
        <v/>
      </c>
      <c r="AN28" s="1050" t="str">
        <f>IF(AL9&lt;5,"",IF(AL8&lt;7,"",IF(U24=5,U30-W30,IF(W24=5,W30-U30,""))))</f>
        <v/>
      </c>
      <c r="AO28" s="1050" t="str">
        <f>IF(AL9&lt;5,"",IF(AL8&lt;8,"",IF(X24=5,X30-Z30,IF(Z24=5,Z30-X30,""))))</f>
        <v/>
      </c>
      <c r="AP28" s="1050" t="str">
        <f>IF(AL9&lt;5,"",IF(AL8&lt;9,"",IF(AA24=5,AA30-AC30,IF(AC24=5,AC30-AA30,""))))</f>
        <v/>
      </c>
      <c r="AQ28" s="1050" t="str">
        <f>IF(AL9&lt;5,"",IF(AL8&lt;10,"",IF(AD24=5,AD30-AF30,IF(AF24=5,AF30-AD30,""))))</f>
        <v/>
      </c>
      <c r="AR28" s="1045">
        <f>SUM(AH28:AQ28)</f>
        <v>0</v>
      </c>
    </row>
    <row r="29" spans="1:47" ht="15" x14ac:dyDescent="0.2">
      <c r="A29" s="845" t="str">
        <f>IF(AL7&gt;4,"Game 5","")</f>
        <v/>
      </c>
      <c r="B29" s="1051"/>
      <c r="C29" s="1052" t="s">
        <v>78</v>
      </c>
      <c r="D29" s="1053"/>
      <c r="E29" s="1051"/>
      <c r="F29" s="1052" t="str">
        <f>IF(AL8&gt;1,IF(AL7&gt;4,"/",""),"")</f>
        <v/>
      </c>
      <c r="G29" s="1053"/>
      <c r="H29" s="1051"/>
      <c r="I29" s="1052" t="str">
        <f>IF(AL8&gt;2,IF(AL7&gt;4,"/",""),"")</f>
        <v/>
      </c>
      <c r="J29" s="1053"/>
      <c r="K29" s="1055"/>
      <c r="L29" s="1051"/>
      <c r="M29" s="1052" t="str">
        <f>IF(AL8&gt;3,IF(AL7&gt;4,"/",""),"")</f>
        <v/>
      </c>
      <c r="N29" s="1053"/>
      <c r="O29" s="1051"/>
      <c r="P29" s="1052" t="str">
        <f>IF(AL8&gt;4,IF(AL7&gt;4,"/",""),"")</f>
        <v/>
      </c>
      <c r="Q29" s="1053"/>
      <c r="R29" s="1051"/>
      <c r="S29" s="1052" t="str">
        <f>IF(AL8&gt;5,IF(AL7&gt;4,"/",""),"")</f>
        <v/>
      </c>
      <c r="T29" s="1053"/>
      <c r="U29" s="1051"/>
      <c r="V29" s="1052" t="str">
        <f>IF(AL8&gt;6,IF(AL7&gt;4,"/",""),"")</f>
        <v/>
      </c>
      <c r="W29" s="1053"/>
      <c r="X29" s="1051"/>
      <c r="Y29" s="1052" t="str">
        <f>IF(AL8&gt;7,IF(AL7&gt;4,"/",""),"")</f>
        <v/>
      </c>
      <c r="Z29" s="1053"/>
      <c r="AA29" s="1051"/>
      <c r="AB29" s="1052" t="str">
        <f>IF(AL8&gt;8,IF(AL7&gt;4,"/",""),"")</f>
        <v/>
      </c>
      <c r="AC29" s="1053"/>
      <c r="AD29" s="1051"/>
      <c r="AE29" s="1052" t="str">
        <f>IF(AL8&gt;9,IF(AL7&gt;4,"/",""),"")</f>
        <v/>
      </c>
      <c r="AF29" s="1053"/>
      <c r="AG29" s="868"/>
      <c r="AH29" s="868"/>
      <c r="AI29" s="868"/>
      <c r="AJ29" s="868"/>
      <c r="AK29" s="868"/>
      <c r="AL29" s="868"/>
      <c r="AM29" s="868"/>
      <c r="AN29" s="868"/>
      <c r="AO29" s="868"/>
      <c r="AP29" s="868"/>
      <c r="AQ29" s="868"/>
      <c r="AR29" s="868"/>
    </row>
    <row r="30" spans="1:47" hidden="1" x14ac:dyDescent="0.2">
      <c r="A30" s="1056"/>
      <c r="B30" s="1056">
        <f>IF($AL7=5,SUM(B25:B29),IF($AL7=4,SUM(B25:B28),IF($AL7=3,SUM(B25:B27),IF($AL7=2,SUM(B25:B26),B25))))</f>
        <v>19</v>
      </c>
      <c r="C30" s="1056"/>
      <c r="D30" s="1056">
        <f>IF($AL7=5,SUM(D25:D29),IF($AL7=4,SUM(D25:D28),IF($AL7=3,SUM(D25:D27),IF($AL7=2,SUM(D25:D26),D25))))</f>
        <v>16</v>
      </c>
      <c r="E30" s="1056">
        <f>IF($AL7=5,SUM(E25:E29),IF($AL7=4,SUM(E25:E28),IF($AL7=3,SUM(E25:E27),IF($AL7=2,SUM(E25:E26),E25))))</f>
        <v>28</v>
      </c>
      <c r="F30" s="1056"/>
      <c r="G30" s="1056">
        <f>IF($AL7=5,SUM(G25:G29),IF($AL7=4,SUM(G25:G28),IF($AL7=3,SUM(G25:G27),IF($AL7=2,SUM(G25:G26),G25))))</f>
        <v>16</v>
      </c>
      <c r="H30" s="1056">
        <f>IF($AL7=5,SUM(H25:H29),IF($AL7=4,SUM(H25:H28),IF($AL7=3,SUM(H25:H27),IF($AL7=2,SUM(H25:H26),H25))))</f>
        <v>27</v>
      </c>
      <c r="I30" s="1056"/>
      <c r="J30" s="1056">
        <f>IF($AL7=5,SUM(J25:J29),IF($AL7=4,SUM(J25:J28),IF($AL7=3,SUM(J25:J27),IF($AL7=2,SUM(J25:J26),J25))))</f>
        <v>12</v>
      </c>
      <c r="K30" s="1056"/>
      <c r="L30" s="1056">
        <f>IF($AL7=5,SUM(L25:L29),IF($AL7=4,SUM(L25:L28),IF($AL7=3,SUM(L25:L27),IF($AL7=2,SUM(L25:L26),L25))))</f>
        <v>23</v>
      </c>
      <c r="M30" s="1056"/>
      <c r="N30" s="1056">
        <f>IF($AL7=5,SUM(N25:N29),IF($AL7=4,SUM(N25:N28),IF($AL7=3,SUM(N25:N27),IF($AL7=2,SUM(N25:N26),N25))))</f>
        <v>22</v>
      </c>
      <c r="O30" s="1056">
        <f>IF($AL7=5,SUM(O25:O29),IF($AL7=4,SUM(O25:O28),IF($AL7=3,SUM(O25:O27),IF($AL7=2,SUM(O25:O26),O25))))</f>
        <v>20</v>
      </c>
      <c r="P30" s="1056"/>
      <c r="Q30" s="1056">
        <f>IF($AL7=5,SUM(Q25:Q29),IF($AL7=4,SUM(Q25:Q28),IF($AL7=3,SUM(Q25:Q27),IF($AL7=2,SUM(Q25:Q26),Q25))))</f>
        <v>17</v>
      </c>
      <c r="R30" s="1056">
        <f>IF($AL7=5,SUM(R25:R29),IF($AL7=4,SUM(R25:R28),IF($AL7=3,SUM(R25:R27),IF($AL7=2,SUM(R25:R26),R25))))</f>
        <v>14</v>
      </c>
      <c r="S30" s="1056"/>
      <c r="T30" s="1056">
        <f>IF($AL7=5,SUM(T25:T29),IF($AL7=4,SUM(T25:T28),IF($AL7=3,SUM(T25:T27),IF($AL7=2,SUM(T25:T26),T25))))</f>
        <v>24</v>
      </c>
      <c r="U30" s="1056">
        <f>IF($AL7=5,SUM(U25:U29),IF($AL7=4,SUM(U25:U28),IF($AL7=3,SUM(U25:U27),IF($AL7=2,SUM(U25:U26),U25))))</f>
        <v>0</v>
      </c>
      <c r="V30" s="1056"/>
      <c r="W30" s="1056">
        <f>IF($AL7=5,SUM(W25:W29),IF($AL7=4,SUM(W25:W28),IF($AL7=3,SUM(W25:W27),IF($AL7=2,SUM(W25:W26),W25))))</f>
        <v>0</v>
      </c>
      <c r="X30" s="1056">
        <f>IF($AL7=5,SUM(X25:X29),IF($AL7=4,SUM(X25:X28),IF($AL7=3,SUM(X25:X27),IF($AL7=2,SUM(X25:X26),X25))))</f>
        <v>0</v>
      </c>
      <c r="Y30" s="1056"/>
      <c r="Z30" s="1056">
        <f>IF($AL7=5,SUM(Z25:Z29),IF($AL7=4,SUM(Z25:Z28),IF($AL7=3,SUM(Z25:Z27),IF($AL7=2,SUM(Z25:Z26),Z25))))</f>
        <v>0</v>
      </c>
      <c r="AA30" s="1056">
        <f>IF($AL7=5,SUM(AA25:AA29),IF($AL7=4,SUM(AA25:AA28),IF($AL7=3,SUM(AA25:AA27),IF($AL7=2,SUM(AA25:AA26),AA25))))</f>
        <v>0</v>
      </c>
      <c r="AB30" s="1056"/>
      <c r="AC30" s="1056">
        <f>IF($AL7=5,SUM(AC25:AC29),IF($AL7=4,SUM(AC25:AC28),IF($AL7=3,SUM(AC25:AC27),IF($AL7=2,SUM(AC25:AC26),AC25))))</f>
        <v>0</v>
      </c>
      <c r="AD30" s="1056">
        <f>IF($AL7=5,SUM(AD25:AD29),IF($AL7=4,SUM(AD25:AD28),IF($AL7=3,SUM(AD25:AD27),IF($AL7=2,SUM(AD25:AD26),AD25))))</f>
        <v>0</v>
      </c>
      <c r="AE30" s="1056"/>
      <c r="AF30" s="1056">
        <f>IF($AL7=5,SUM(AF25:AF29),IF($AL7=4,SUM(AF25:AF28),IF($AL7=3,SUM(AF25:AF27),IF($AL7=2,SUM(AF25:AF26),AF25))))</f>
        <v>0</v>
      </c>
      <c r="AG30" s="868"/>
      <c r="AH30" s="868"/>
      <c r="AI30" s="868"/>
      <c r="AJ30" s="868"/>
      <c r="AK30" s="868"/>
      <c r="AL30" s="868"/>
      <c r="AM30" s="868"/>
      <c r="AN30" s="868"/>
      <c r="AO30" s="868"/>
      <c r="AP30" s="868"/>
      <c r="AQ30" s="868"/>
      <c r="AR30" s="868"/>
    </row>
    <row r="31" spans="1:47" s="1057" customFormat="1" ht="12.75" hidden="1" customHeight="1" x14ac:dyDescent="0.2">
      <c r="A31" s="1057" t="s">
        <v>79</v>
      </c>
      <c r="B31" s="1058">
        <f>IF(AND(B25&gt;D25,$AL8&gt;0,ISNUMBER(B25),ISNUMBER(D25)),1,0)</f>
        <v>1</v>
      </c>
      <c r="C31" s="1058"/>
      <c r="D31" s="1059">
        <f>IF(AND(D25&gt;B25,$AL8&gt;0,ISNUMBER(B25),ISNUMBER(D25)),1,0)</f>
        <v>0</v>
      </c>
      <c r="E31" s="1058">
        <f>IF(AND(E25&gt;G25,$AL8&gt;1,ISNUMBER(E25),ISNUMBER(G25)),1,0)</f>
        <v>1</v>
      </c>
      <c r="F31" s="1058"/>
      <c r="G31" s="1059">
        <f>IF(AND(G25&gt;E25,$AL8&gt;1,ISNUMBER(E25),ISNUMBER(G25)),1,0)</f>
        <v>0</v>
      </c>
      <c r="H31" s="1058">
        <f>IF(AND(H25&gt;J25,$AL8&gt;2,ISNUMBER(H25),ISNUMBER(J25)),1,0)</f>
        <v>1</v>
      </c>
      <c r="I31" s="1058"/>
      <c r="J31" s="1059">
        <f>IF(AND(J25&gt;H25,$AL8&gt;2,ISNUMBER(H25),ISNUMBER(J25)),1,0)</f>
        <v>0</v>
      </c>
      <c r="K31" s="1060"/>
      <c r="L31" s="1058">
        <f>IF(AND(L25&gt;N25,$AL8&gt;3,ISNUMBER(L25),ISNUMBER(N25)),1,0)</f>
        <v>1</v>
      </c>
      <c r="M31" s="1058"/>
      <c r="N31" s="1059">
        <f>IF(AND(N25&gt;L25,$AL8&gt;3,ISNUMBER(L25),ISNUMBER(N25)),1,0)</f>
        <v>0</v>
      </c>
      <c r="O31" s="1058">
        <f>IF(AND(O25&gt;Q25,$AL8&gt;4,ISNUMBER(O25),ISNUMBER(Q25)),1,0)</f>
        <v>1</v>
      </c>
      <c r="P31" s="1058"/>
      <c r="Q31" s="1059">
        <f>IF(AND(Q25&gt;O25,$AL8&gt;4,ISNUMBER(O25),ISNUMBER(Q25)),1,0)</f>
        <v>0</v>
      </c>
      <c r="R31" s="1058">
        <f>IF(AND(R25&gt;T25,$AL8&gt;5,ISNUMBER(R25),ISNUMBER(T25)),1,0)</f>
        <v>0</v>
      </c>
      <c r="S31" s="1058"/>
      <c r="T31" s="1059">
        <f>IF(AND(T25&gt;R25,$AL8&gt;5,ISNUMBER(R25),ISNUMBER(T25)),1,0)</f>
        <v>1</v>
      </c>
      <c r="U31" s="1058">
        <f>IF(AND(U25&gt;W25,$AL8&gt;6,ISNUMBER(U25),ISNUMBER(W25)),1,0)</f>
        <v>0</v>
      </c>
      <c r="V31" s="1058"/>
      <c r="W31" s="1059">
        <f>IF(AND(W25&gt;U25,$AL8&gt;6,ISNUMBER(U25),ISNUMBER(W25)),1,0)</f>
        <v>0</v>
      </c>
      <c r="X31" s="1058">
        <f>IF(AND(X25&gt;Z25,$AL8&gt;7,ISNUMBER(X25),ISNUMBER(Z25)),1,0)</f>
        <v>0</v>
      </c>
      <c r="Y31" s="1058"/>
      <c r="Z31" s="1059">
        <f>IF(AND(Z25&gt;X25,$AL8&gt;7,ISNUMBER(X25),ISNUMBER(Z25)),1,0)</f>
        <v>0</v>
      </c>
      <c r="AA31" s="1058">
        <f>IF(AND(AA25&gt;AC25,$AL8&gt;8,ISNUMBER(AA25),ISNUMBER(AC25)),1,0)</f>
        <v>0</v>
      </c>
      <c r="AB31" s="1058"/>
      <c r="AC31" s="1059">
        <f>IF(AND(AC25&gt;AA25,$AL8&gt;8,ISNUMBER(AA25),ISNUMBER(AC25)),1,0)</f>
        <v>0</v>
      </c>
      <c r="AD31" s="1058">
        <f>IF(AND(AD25&gt;AF25,$AL8&gt;9,ISNUMBER(AD25),ISNUMBER(AF25)),1,0)</f>
        <v>0</v>
      </c>
      <c r="AE31" s="1058"/>
      <c r="AF31" s="1059">
        <f>IF(AND(AF25&gt;AD25,$AL8&gt;9,ISNUMBER(AD25),ISNUMBER(AF25)),1,0)</f>
        <v>0</v>
      </c>
    </row>
    <row r="32" spans="1:47" s="1057" customFormat="1" ht="12.75" hidden="1" customHeight="1" x14ac:dyDescent="0.2">
      <c r="A32" s="1057" t="s">
        <v>80</v>
      </c>
      <c r="B32" s="1058">
        <f>IF(AND(B26&gt;D26,$AL8&gt;0,$AL7&gt;1,ISNUMBER(B26),ISNUMBER(D26)),1,0)</f>
        <v>0</v>
      </c>
      <c r="C32" s="1058"/>
      <c r="D32" s="1059">
        <f>IF(AND(D26&gt;B26,$AL8&gt;0,$AL7&gt;1,ISNUMBER(B26),ISNUMBER(D26)),1,0)</f>
        <v>0</v>
      </c>
      <c r="E32" s="1058">
        <f>IF(AND(E26&gt;G26,$AL8&gt;1,$AL7&gt;1,ISNUMBER(E26),ISNUMBER(G26)),1,0)</f>
        <v>0</v>
      </c>
      <c r="F32" s="1058"/>
      <c r="G32" s="1059">
        <f>IF(AND(G26&gt;E26,$AL8&gt;1,$AL7&gt;1,ISNUMBER(E26),ISNUMBER(G26)),1,0)</f>
        <v>0</v>
      </c>
      <c r="H32" s="1058">
        <f>IF(AND(H26&gt;J26,$AL8&gt;2,$AL7&gt;1,ISNUMBER(H26),ISNUMBER(J26)),1,0)</f>
        <v>0</v>
      </c>
      <c r="I32" s="1058"/>
      <c r="J32" s="1059">
        <f>IF(AND(J26&gt;H26,$AL8&gt;2,$AL7&gt;1,ISNUMBER(H26),ISNUMBER(J26)),1,0)</f>
        <v>0</v>
      </c>
      <c r="K32" s="1060"/>
      <c r="L32" s="1058">
        <f>IF(AND(L26&gt;N26,$AL8&gt;3,$AL7&gt;1,ISNUMBER(L26),ISNUMBER(N26)),1,0)</f>
        <v>0</v>
      </c>
      <c r="M32" s="1058"/>
      <c r="N32" s="1059">
        <f>IF(AND(N26&gt;L26,$AL8&gt;3,$AL7&gt;1,ISNUMBER(L26),ISNUMBER(N26)),1,0)</f>
        <v>0</v>
      </c>
      <c r="O32" s="1058">
        <f>IF(AND(O26&gt;Q26,$AL8&gt;4,$AL7&gt;1,ISNUMBER(O26),ISNUMBER(Q26)),1,0)</f>
        <v>0</v>
      </c>
      <c r="P32" s="1058"/>
      <c r="Q32" s="1059">
        <f>IF(AND(Q26&gt;O26,$AL8&gt;4,$AL7&gt;1,ISNUMBER(O26),ISNUMBER(Q26)),1,0)</f>
        <v>0</v>
      </c>
      <c r="R32" s="1058">
        <f>IF(AND(R26&gt;T26,$AL8&gt;5,$AL7&gt;1,ISNUMBER(R26),ISNUMBER(T26)),1,0)</f>
        <v>0</v>
      </c>
      <c r="S32" s="1058"/>
      <c r="T32" s="1059">
        <f>IF(AND(T26&gt;R26,$AL8&gt;5,$AL7&gt;1,ISNUMBER(R26),ISNUMBER(T26)),1,0)</f>
        <v>0</v>
      </c>
      <c r="U32" s="1058">
        <f>IF(AND(U26&gt;W26,$AL8&gt;6,$AL7&gt;1,ISNUMBER(U26),ISNUMBER(W26)),1,0)</f>
        <v>0</v>
      </c>
      <c r="V32" s="1058"/>
      <c r="W32" s="1059">
        <f>IF(AND(W26&gt;U26,$AL8&gt;6,$AL7&gt;1,ISNUMBER(U26),ISNUMBER(W26)),1,0)</f>
        <v>0</v>
      </c>
      <c r="X32" s="1058">
        <f>IF(AND(X26&gt;Z26,$AL8&gt;7,$AL7&gt;1,ISNUMBER(X26),ISNUMBER(Z26)),1,0)</f>
        <v>0</v>
      </c>
      <c r="Y32" s="1058"/>
      <c r="Z32" s="1059">
        <f>IF(AND(Z26&gt;X26,$AL8&gt;7,$AL7&gt;1,ISNUMBER(X26),ISNUMBER(Z26)),1,0)</f>
        <v>0</v>
      </c>
      <c r="AA32" s="1058">
        <f>IF(AND(AA26&gt;AC26,$AL8&gt;8,$AL7&gt;1,ISNUMBER(AA26),ISNUMBER(AC26)),1,0)</f>
        <v>0</v>
      </c>
      <c r="AB32" s="1058"/>
      <c r="AC32" s="1059">
        <f>IF(AND(AC26&gt;AA26,$AL8&gt;8,$AL7&gt;1,ISNUMBER(AA26),ISNUMBER(AC26)),1,0)</f>
        <v>0</v>
      </c>
      <c r="AD32" s="1058">
        <f>IF(AND(AD26&gt;AF26,$AL8&gt;9,$AL7&gt;1,ISNUMBER(AD26),ISNUMBER(AF26)),1,0)</f>
        <v>0</v>
      </c>
      <c r="AE32" s="1058"/>
      <c r="AF32" s="1059">
        <f>IF(AND(AF26&gt;AD26,$AL8&gt;9,$AL7&gt;1,ISNUMBER(AD26),ISNUMBER(AF26)),1,0)</f>
        <v>0</v>
      </c>
    </row>
    <row r="33" spans="1:34" s="1057" customFormat="1" ht="12.75" hidden="1" customHeight="1" x14ac:dyDescent="0.2">
      <c r="A33" s="1057" t="s">
        <v>81</v>
      </c>
      <c r="B33" s="1058">
        <f>IF(AND(B27&gt;D27,$AL8&gt;0,$AL7&gt;2,ISNUMBER(B27),ISNUMBER(D27)),1,0)</f>
        <v>0</v>
      </c>
      <c r="C33" s="1058"/>
      <c r="D33" s="1059">
        <f>IF(AND(D27&gt;B27,$AL8&gt;0,$AL7&gt;2,ISNUMBER(B27),ISNUMBER(D27)),1,0)</f>
        <v>0</v>
      </c>
      <c r="E33" s="1058">
        <f>IF(AND(E27&gt;G27,$AL8&gt;1,$AL7&gt;2,ISNUMBER(E27),ISNUMBER(G27)),1,0)</f>
        <v>0</v>
      </c>
      <c r="F33" s="1058"/>
      <c r="G33" s="1059">
        <f>IF(AND(G27&gt;E27,$AL8&gt;1,$AL7&gt;2,ISNUMBER(E27),ISNUMBER(G27)),1,0)</f>
        <v>0</v>
      </c>
      <c r="H33" s="1058">
        <f>IF(AND(H27&gt;J27,$AL8&gt;2,$AL7&gt;2,ISNUMBER(H27),ISNUMBER(J27)),1,0)</f>
        <v>0</v>
      </c>
      <c r="I33" s="1058"/>
      <c r="J33" s="1059">
        <f>IF(AND(J27&gt;H27,$AL8&gt;2,$AL7&gt;2,ISNUMBER(H27),ISNUMBER(J27)),1,0)</f>
        <v>0</v>
      </c>
      <c r="K33" s="1060"/>
      <c r="L33" s="1058">
        <f>IF(AND(L27&gt;N27,$AL8&gt;3,$AL7&gt;2,ISNUMBER(L27),ISNUMBER(N27)),1,0)</f>
        <v>0</v>
      </c>
      <c r="M33" s="1058"/>
      <c r="N33" s="1059">
        <f>IF(AND(N27&gt;L27,$AL8&gt;3,$AL7&gt;2,ISNUMBER(L27),ISNUMBER(N27)),1,0)</f>
        <v>0</v>
      </c>
      <c r="O33" s="1058">
        <f>IF(AND(O27&gt;Q27,$AL8&gt;4,$AL7&gt;2,ISNUMBER(O27),ISNUMBER(Q27)),1,0)</f>
        <v>0</v>
      </c>
      <c r="P33" s="1058"/>
      <c r="Q33" s="1059">
        <f>IF(AND(Q27&gt;O27,$AL8&gt;4,$AL7&gt;2,ISNUMBER(O27),ISNUMBER(Q27)),1,0)</f>
        <v>0</v>
      </c>
      <c r="R33" s="1058">
        <f>IF(AND(R27&gt;T27,$AL8&gt;5,$AL7&gt;2,ISNUMBER(R27),ISNUMBER(T27)),1,0)</f>
        <v>0</v>
      </c>
      <c r="S33" s="1058"/>
      <c r="T33" s="1059">
        <f>IF(AND(T27&gt;R27,$AL8&gt;5,$AL7&gt;2,ISNUMBER(R27),ISNUMBER(T27)),1,0)</f>
        <v>0</v>
      </c>
      <c r="U33" s="1058">
        <f>IF(AND(U27&gt;W27,$AL8&gt;6,$AL7&gt;2,ISNUMBER(U27),ISNUMBER(W27)),1,0)</f>
        <v>0</v>
      </c>
      <c r="V33" s="1058"/>
      <c r="W33" s="1059">
        <f>IF(AND(W27&gt;U27,$AL8&gt;6,$AL7&gt;2,ISNUMBER(U27),ISNUMBER(W27)),1,0)</f>
        <v>0</v>
      </c>
      <c r="X33" s="1058">
        <f>IF(AND(X27&gt;Z27,$AL8&gt;7,$AL7&gt;2,ISNUMBER(X27),ISNUMBER(Z27)),1,0)</f>
        <v>0</v>
      </c>
      <c r="Y33" s="1058"/>
      <c r="Z33" s="1059">
        <f>IF(AND(Z27&gt;X27,$AL8&gt;7,$AL7&gt;2,ISNUMBER(X27),ISNUMBER(Z27)),1,0)</f>
        <v>0</v>
      </c>
      <c r="AA33" s="1058">
        <f>IF(AND(AA27&gt;AC27,$AL8&gt;8,$AL7&gt;2,ISNUMBER(AA27),ISNUMBER(AC27)),1,0)</f>
        <v>0</v>
      </c>
      <c r="AB33" s="1058"/>
      <c r="AC33" s="1059">
        <f>IF(AND(AC27&gt;AA27,$AL8&gt;8,$AL7&gt;2,ISNUMBER(AA27),ISNUMBER(AC27)),1,0)</f>
        <v>0</v>
      </c>
      <c r="AD33" s="1058">
        <f>IF(AND(AD27&gt;AF27,$AL8&gt;9,$AL7&gt;2,ISNUMBER(AD27),ISNUMBER(AF27)),1,0)</f>
        <v>0</v>
      </c>
      <c r="AE33" s="1058"/>
      <c r="AF33" s="1059">
        <f>IF(AND(AF27&gt;AD27,$AL8&gt;9,$AL7&gt;2,ISNUMBER(AD27),ISNUMBER(AF27)),1,0)</f>
        <v>0</v>
      </c>
    </row>
    <row r="34" spans="1:34" s="1057" customFormat="1" ht="12.75" hidden="1" customHeight="1" x14ac:dyDescent="0.2">
      <c r="A34" s="1057" t="s">
        <v>82</v>
      </c>
      <c r="B34" s="1058">
        <f>IF(AND(B28&gt;D28,$AL8&gt;0,$AL7&gt;3,ISNUMBER(B28),ISNUMBER(D28)),1,0)</f>
        <v>0</v>
      </c>
      <c r="C34" s="1058"/>
      <c r="D34" s="1059">
        <f>IF(AND(D28&gt;B28,$AL8&gt;0,$AL7&gt;3,ISNUMBER(B28),ISNUMBER(D28)),1,0)</f>
        <v>0</v>
      </c>
      <c r="E34" s="1058">
        <f>IF(AND(E28&gt;G28,$AL8&gt;1,$AL7&gt;3,ISNUMBER(E28),ISNUMBER(G28)),1,0)</f>
        <v>0</v>
      </c>
      <c r="F34" s="1058"/>
      <c r="G34" s="1059">
        <f>IF(AND(G28&gt;E28,$AL8&gt;1,$AL7&gt;3,ISNUMBER(E28),ISNUMBER(G28)),1,0)</f>
        <v>0</v>
      </c>
      <c r="H34" s="1058">
        <f>IF(AND(H28&gt;J28,$AL8&gt;2,$AL7&gt;3,ISNUMBER(H28),ISNUMBER(J28)),1,0)</f>
        <v>0</v>
      </c>
      <c r="I34" s="1058"/>
      <c r="J34" s="1059">
        <f>IF(AND(J28&gt;H28,$AL8&gt;2,$AL7&gt;3,ISNUMBER(H28),ISNUMBER(J28)),1,0)</f>
        <v>0</v>
      </c>
      <c r="K34" s="1060"/>
      <c r="L34" s="1058">
        <f>IF(AND(L28&gt;N28,$AL8&gt;3,$AL7&gt;3,ISNUMBER(L28),ISNUMBER(N28)),1,0)</f>
        <v>0</v>
      </c>
      <c r="M34" s="1058"/>
      <c r="N34" s="1059">
        <f>IF(AND(N28&gt;L28,$AL8&gt;3,$AL7&gt;3,ISNUMBER(L28),ISNUMBER(N28)),1,0)</f>
        <v>0</v>
      </c>
      <c r="O34" s="1058">
        <f>IF(AND(O28&gt;Q28,$AL8&gt;4,$AL7&gt;3,ISNUMBER(O28),ISNUMBER(Q28)),1,0)</f>
        <v>0</v>
      </c>
      <c r="P34" s="1058"/>
      <c r="Q34" s="1059">
        <f>IF(AND(Q28&gt;O28,$AL8&gt;4,$AL7&gt;3,ISNUMBER(O28),ISNUMBER(Q28)),1,0)</f>
        <v>0</v>
      </c>
      <c r="R34" s="1058">
        <f>IF(AND(R28&gt;T28,$AL8&gt;5,$AL7&gt;3,ISNUMBER(R28),ISNUMBER(T28)),1,0)</f>
        <v>0</v>
      </c>
      <c r="S34" s="1058"/>
      <c r="T34" s="1059">
        <f>IF(AND(T28&gt;R28,$AL8&gt;5,$AL7&gt;3,ISNUMBER(R28),ISNUMBER(T28)),1,0)</f>
        <v>0</v>
      </c>
      <c r="U34" s="1058">
        <f>IF(AND(U28&gt;W28,$AL8&gt;6,$AL7&gt;3,ISNUMBER(U28),ISNUMBER(W28)),1,0)</f>
        <v>0</v>
      </c>
      <c r="V34" s="1058"/>
      <c r="W34" s="1059">
        <f>IF(AND(W28&gt;U28,$AL8&gt;6,$AL7&gt;3,ISNUMBER(U28),ISNUMBER(W28)),1,0)</f>
        <v>0</v>
      </c>
      <c r="X34" s="1058">
        <f>IF(AND(X28&gt;Z28,$AL8&gt;7,$AL7&gt;3,ISNUMBER(X28),ISNUMBER(Z28)),1,0)</f>
        <v>0</v>
      </c>
      <c r="Y34" s="1058"/>
      <c r="Z34" s="1059">
        <f>IF(AND(Z28&gt;X28,$AL8&gt;7,$AL7&gt;3,ISNUMBER(X28),ISNUMBER(Z28)),1,0)</f>
        <v>0</v>
      </c>
      <c r="AA34" s="1058">
        <f>IF(AND(AA28&gt;AC28,$AL8&gt;8,$AL7&gt;3,ISNUMBER(AA28),ISNUMBER(AC28)),1,0)</f>
        <v>0</v>
      </c>
      <c r="AB34" s="1058"/>
      <c r="AC34" s="1059">
        <f>IF(AND(AC28&gt;AA28,$AL8&gt;8,$AL7&gt;3,ISNUMBER(AA28),ISNUMBER(AC28)),1,0)</f>
        <v>0</v>
      </c>
      <c r="AD34" s="1058">
        <f>IF(AND(AD28&gt;AF28,$AL8&gt;9,$AL7&gt;3,ISNUMBER(AD28),ISNUMBER(AF28)),1,0)</f>
        <v>0</v>
      </c>
      <c r="AE34" s="1058"/>
      <c r="AF34" s="1059">
        <f>IF(AND(AF28&gt;AD28,$AL8&gt;9,$AL7&gt;3,ISNUMBER(AD28),ISNUMBER(AF28)),1,0)</f>
        <v>0</v>
      </c>
    </row>
    <row r="35" spans="1:34" s="1057" customFormat="1" ht="12.75" hidden="1" customHeight="1" x14ac:dyDescent="0.2">
      <c r="A35" s="1057" t="s">
        <v>83</v>
      </c>
      <c r="B35" s="1058">
        <f>IF(AND(B29&gt;D29,$AL8&gt;0,$AL7&gt;4,ISNUMBER(B29),ISNUMBER(D29)),1,0)</f>
        <v>0</v>
      </c>
      <c r="C35" s="1058"/>
      <c r="D35" s="1059">
        <f>IF(AND(D29&gt;B29,$AL8&gt;0,$AL7&gt;4,ISNUMBER(B29),ISNUMBER(D29)),1,0)</f>
        <v>0</v>
      </c>
      <c r="E35" s="1058">
        <f>IF(AND(E29&gt;G29,$AL8&gt;1,$AL7&gt;4,ISNUMBER(E29),ISNUMBER(G29)),1,0)</f>
        <v>0</v>
      </c>
      <c r="F35" s="1058"/>
      <c r="G35" s="1059">
        <f>IF(AND(G29&gt;E29,$AL8&gt;1,$AL7&gt;4,ISNUMBER(E29),ISNUMBER(G29)),1,0)</f>
        <v>0</v>
      </c>
      <c r="H35" s="1058">
        <f>IF(AND(H29&gt;J29,$AL8&gt;2,$AL7&gt;4,ISNUMBER(H29),ISNUMBER(J29)),1,0)</f>
        <v>0</v>
      </c>
      <c r="I35" s="1058"/>
      <c r="J35" s="1059">
        <f>IF(AND(J29&gt;H29,$AL8&gt;2,$AL7&gt;4,ISNUMBER(H29),ISNUMBER(J29)),1,0)</f>
        <v>0</v>
      </c>
      <c r="K35" s="1060"/>
      <c r="L35" s="1058">
        <f>IF(AND(L29&gt;N29,$AL8&gt;3,$AL7&gt;4,ISNUMBER(L29),ISNUMBER(N29)),1,0)</f>
        <v>0</v>
      </c>
      <c r="M35" s="1058"/>
      <c r="N35" s="1059">
        <f>IF(AND(N29&gt;L29,$AL8&gt;3,$AL7&gt;4,ISNUMBER(L29),ISNUMBER(N29)),1,0)</f>
        <v>0</v>
      </c>
      <c r="O35" s="1058">
        <f>IF(AND(O29&gt;Q29,$AL8&gt;4,$AL7&gt;4,ISNUMBER(O29),ISNUMBER(Q29)),1,0)</f>
        <v>0</v>
      </c>
      <c r="P35" s="1058"/>
      <c r="Q35" s="1059">
        <f>IF(AND(Q29&gt;O29,$AL8&gt;4,$AL7&gt;4,ISNUMBER(O29),ISNUMBER(Q29)),1,0)</f>
        <v>0</v>
      </c>
      <c r="R35" s="1058">
        <f>IF(AND(R29&gt;T29,$AL8&gt;5,$AL7&gt;4,ISNUMBER(R29),ISNUMBER(T29)),1,0)</f>
        <v>0</v>
      </c>
      <c r="S35" s="1058"/>
      <c r="T35" s="1059">
        <f>IF(AND(T29&gt;R29,$AL8&gt;5,$AL7&gt;4,ISNUMBER(R29),ISNUMBER(T29)),1,0)</f>
        <v>0</v>
      </c>
      <c r="U35" s="1058">
        <f>IF(AND(U29&gt;W29,$AL8&gt;6,$AL7&gt;4,ISNUMBER(U29),ISNUMBER(W29)),1,0)</f>
        <v>0</v>
      </c>
      <c r="V35" s="1058"/>
      <c r="W35" s="1059">
        <f>IF(AND(W29&gt;U29,$AL8&gt;6,$AL7&gt;4,ISNUMBER(U29),ISNUMBER(W29)),1,0)</f>
        <v>0</v>
      </c>
      <c r="X35" s="1058">
        <f>IF(AND(X29&gt;Z29,$AL8&gt;7,$AL7&gt;4,ISNUMBER(X29),ISNUMBER(Z29)),1,0)</f>
        <v>0</v>
      </c>
      <c r="Y35" s="1058"/>
      <c r="Z35" s="1059">
        <f>IF(AND(Z29&gt;X29,$AL8&gt;7,$AL7&gt;4,ISNUMBER(X29),ISNUMBER(Z29)),1,0)</f>
        <v>0</v>
      </c>
      <c r="AA35" s="1058">
        <f>IF(AND(AA29&gt;AC29,$AL8&gt;8,$AL7&gt;4,ISNUMBER(AA29),ISNUMBER(AC29)),1,0)</f>
        <v>0</v>
      </c>
      <c r="AB35" s="1058"/>
      <c r="AC35" s="1059">
        <f>IF(AND(AC29&gt;AA29,$AL8&gt;8,$AL7&gt;4,ISNUMBER(AA29),ISNUMBER(AC29)),1,0)</f>
        <v>0</v>
      </c>
      <c r="AD35" s="1058">
        <f>IF(AND(AD29&gt;AF29,$AL8&gt;9,$AL7&gt;4,ISNUMBER(AD29),ISNUMBER(AF29)),1,0)</f>
        <v>0</v>
      </c>
      <c r="AE35" s="1058"/>
      <c r="AF35" s="1059">
        <f>IF(AND(AF29&gt;AD29,$AL8&gt;9,$AL7&gt;4,ISNUMBER(AD29),ISNUMBER(AF29)),1,0)</f>
        <v>0</v>
      </c>
    </row>
    <row r="36" spans="1:34" s="1057" customFormat="1" ht="38.25" hidden="1" customHeight="1" x14ac:dyDescent="0.2">
      <c r="A36" s="1061" t="s">
        <v>84</v>
      </c>
      <c r="B36" s="1057">
        <f>SUM(B31:B35)</f>
        <v>1</v>
      </c>
      <c r="D36" s="1060">
        <f>SUM(D31:D35)</f>
        <v>0</v>
      </c>
      <c r="E36" s="1057">
        <f>SUM(E31:E35)</f>
        <v>1</v>
      </c>
      <c r="G36" s="1060">
        <f>SUM(G31:G35)</f>
        <v>0</v>
      </c>
      <c r="H36" s="1057">
        <f>SUM(H31:H35)</f>
        <v>1</v>
      </c>
      <c r="J36" s="1060">
        <f>SUM(J31:J35)</f>
        <v>0</v>
      </c>
      <c r="K36" s="1060"/>
      <c r="L36" s="1057">
        <f>SUM(L31:L35)</f>
        <v>1</v>
      </c>
      <c r="N36" s="1060">
        <f>SUM(N31:N35)</f>
        <v>0</v>
      </c>
      <c r="O36" s="1057">
        <f>SUM(O31:O35)</f>
        <v>1</v>
      </c>
      <c r="Q36" s="1060">
        <f>SUM(Q31:Q35)</f>
        <v>0</v>
      </c>
      <c r="R36" s="1057">
        <f>SUM(R31:R35)</f>
        <v>0</v>
      </c>
      <c r="T36" s="1060">
        <f>SUM(T31:T35)</f>
        <v>1</v>
      </c>
      <c r="U36" s="1057">
        <f>SUM(U31:U35)</f>
        <v>0</v>
      </c>
      <c r="W36" s="1060">
        <f>SUM(W31:W35)</f>
        <v>0</v>
      </c>
      <c r="X36" s="1057">
        <f>SUM(X31:X35)</f>
        <v>0</v>
      </c>
      <c r="Z36" s="1060">
        <f>SUM(Z31:Z35)</f>
        <v>0</v>
      </c>
      <c r="AA36" s="1057">
        <f>SUM(AA31:AA35)</f>
        <v>0</v>
      </c>
      <c r="AC36" s="1060">
        <f>SUM(AC31:AC35)</f>
        <v>0</v>
      </c>
      <c r="AD36" s="1057">
        <f>SUM(AD31:AD35)</f>
        <v>0</v>
      </c>
      <c r="AF36" s="1060">
        <f>SUM(AF31:AF35)</f>
        <v>0</v>
      </c>
    </row>
    <row r="37" spans="1:34" s="1057" customFormat="1" ht="25.5" hidden="1" customHeight="1" x14ac:dyDescent="0.2">
      <c r="A37" s="1061" t="s">
        <v>85</v>
      </c>
      <c r="B37" s="1057">
        <f>IF(B36&gt;D36,IF(C71=AL7,1,IF(C71=AL7-1,1,0)),0)</f>
        <v>1</v>
      </c>
      <c r="C37" s="1057">
        <f>B37+D37</f>
        <v>1</v>
      </c>
      <c r="D37" s="1060">
        <f>IF(D36&gt;B36,IF(C71=AL7,1,IF(C71=AL7-1,1,0)),0)</f>
        <v>0</v>
      </c>
      <c r="E37" s="1057">
        <f>IF(E36&gt;G36,IF(F71=AL7,1,IF(F71=AL7-1,1,0)),0)</f>
        <v>1</v>
      </c>
      <c r="F37" s="1057">
        <f>E37+G37</f>
        <v>1</v>
      </c>
      <c r="G37" s="1060">
        <f>IF(G36&gt;E36,IF(F71=AL7,1,IF(F71=AL7-1,1,0)),0)</f>
        <v>0</v>
      </c>
      <c r="H37" s="1057">
        <f>IF(H36&gt;J36,IF(I71=AL7,1,IF(I71=AL7-1,1,0)),0)</f>
        <v>1</v>
      </c>
      <c r="I37" s="1057">
        <f>H37+J37</f>
        <v>1</v>
      </c>
      <c r="J37" s="1060">
        <f>IF(J36&gt;H36,IF(I71=AL7,1,IF(I71=AL7-1,1,0)),0)</f>
        <v>0</v>
      </c>
      <c r="K37" s="1060"/>
      <c r="L37" s="1057">
        <f>IF(L36&gt;N36,IF(M71=AL7,1,IF(M71=AL7-1,1,0)),0)</f>
        <v>1</v>
      </c>
      <c r="M37" s="1057">
        <f>L37+N37</f>
        <v>1</v>
      </c>
      <c r="N37" s="1060">
        <f>IF(N36&gt;L36,IF(M71=AL7,1,IF(M71=AL7-1,1,0)),0)</f>
        <v>0</v>
      </c>
      <c r="O37" s="1057">
        <f>IF(O36&gt;Q36,IF(P71=AL7,1,IF(P71=AL7-1,1,0)),0)</f>
        <v>1</v>
      </c>
      <c r="P37" s="1057">
        <f>O37+Q37</f>
        <v>1</v>
      </c>
      <c r="Q37" s="1060">
        <f>IF(Q36&gt;O36,IF(P71=AL7,1,IF(P71=AL7-1,1,0)),0)</f>
        <v>0</v>
      </c>
      <c r="R37" s="1057">
        <f>IF(R36&gt;T36,IF(S71=AL7,1,IF(S71=AL7-1,1,0)),0)</f>
        <v>0</v>
      </c>
      <c r="S37" s="1057">
        <f>R37+T37</f>
        <v>1</v>
      </c>
      <c r="T37" s="1060">
        <f>IF(T36&gt;R36,IF(S71=AL7,1,IF(S71=AL7-1,1,0)),0)</f>
        <v>1</v>
      </c>
      <c r="U37" s="1057">
        <f>IF(U36&gt;W36,IF(V71=AL7,1,IF(V71=AL7-1,1,0)),0)</f>
        <v>0</v>
      </c>
      <c r="V37" s="1057">
        <f>U37+W37</f>
        <v>0</v>
      </c>
      <c r="W37" s="1060">
        <f>IF(W36&gt;U36,IF(V71=AL7,1,IF(V71=AL7-1,1,0)),0)</f>
        <v>0</v>
      </c>
      <c r="X37" s="1057">
        <f>IF(X36&gt;Z36,IF(Y71=AL7,1,IF(Y71=AL7-1,1,0)),0)</f>
        <v>0</v>
      </c>
      <c r="Y37" s="1057">
        <f>X37+Z37</f>
        <v>0</v>
      </c>
      <c r="Z37" s="1060">
        <f>IF(Z36&gt;X36,IF(Y71=AL7,1,IF(Y71=AL7-1,1,0)),0)</f>
        <v>0</v>
      </c>
      <c r="AA37" s="1057">
        <f>IF(AA36&gt;AC36,IF(AB71=AL7,1,IF(AB71=AL7-1,1,0)),0)</f>
        <v>0</v>
      </c>
      <c r="AB37" s="1057">
        <f>AA37+AC37</f>
        <v>0</v>
      </c>
      <c r="AC37" s="1060">
        <f>IF(AC36&gt;AA36,IF(AB71=AL7,1,IF(AB71=AL7-1,1,0)),0)</f>
        <v>0</v>
      </c>
      <c r="AD37" s="1057">
        <f>IF(AD36&gt;AF36,IF(AE71=AL7,1,IF(AE71=AL7-1,1,0)),0)</f>
        <v>0</v>
      </c>
      <c r="AE37" s="1057">
        <f>AD37+AF37</f>
        <v>0</v>
      </c>
      <c r="AF37" s="1060">
        <f>IF(AF36&gt;AD36,IF(AE71=AL7,1,IF(AE71=AL7-1,1,0)),0)</f>
        <v>0</v>
      </c>
    </row>
    <row r="38" spans="1:34" s="1057" customFormat="1" ht="25.5" hidden="1" customHeight="1" x14ac:dyDescent="0.2">
      <c r="A38" s="1061"/>
      <c r="D38" s="1060"/>
      <c r="G38" s="1060"/>
      <c r="J38" s="1060"/>
      <c r="K38" s="1060"/>
      <c r="N38" s="1060"/>
      <c r="Q38" s="1060"/>
      <c r="T38" s="1060"/>
      <c r="W38" s="1060"/>
      <c r="Z38" s="1060"/>
      <c r="AC38" s="1060"/>
      <c r="AF38" s="1060"/>
    </row>
    <row r="39" spans="1:34" s="1057" customFormat="1" ht="12.75" hidden="1" customHeight="1" x14ac:dyDescent="0.2">
      <c r="A39" s="1057" t="s">
        <v>86</v>
      </c>
      <c r="B39" s="1057">
        <f>IF(B31=1,B25,0)</f>
        <v>19</v>
      </c>
      <c r="D39" s="1060">
        <f t="shared" ref="D39:E43" si="2">IF(D31=1,D25,0)</f>
        <v>0</v>
      </c>
      <c r="E39" s="1057">
        <f t="shared" si="2"/>
        <v>28</v>
      </c>
      <c r="G39" s="1060">
        <f t="shared" ref="G39:H43" si="3">IF(G31=1,G25,0)</f>
        <v>0</v>
      </c>
      <c r="H39" s="1057">
        <f t="shared" si="3"/>
        <v>27</v>
      </c>
      <c r="J39" s="1060">
        <f>IF(J31=1,J25,0)</f>
        <v>0</v>
      </c>
      <c r="K39" s="1060"/>
      <c r="L39" s="1057">
        <f>IF(L31=1,L25,0)</f>
        <v>23</v>
      </c>
      <c r="N39" s="1060">
        <f t="shared" ref="N39:O43" si="4">IF(N31=1,N25,0)</f>
        <v>0</v>
      </c>
      <c r="O39" s="1057">
        <f t="shared" si="4"/>
        <v>20</v>
      </c>
      <c r="Q39" s="1060">
        <f t="shared" ref="Q39:R43" si="5">IF(Q31=1,Q25,0)</f>
        <v>0</v>
      </c>
      <c r="R39" s="1057">
        <f t="shared" si="5"/>
        <v>0</v>
      </c>
      <c r="T39" s="1060">
        <f t="shared" ref="T39:U43" si="6">IF(T31=1,T25,0)</f>
        <v>24</v>
      </c>
      <c r="U39" s="1057">
        <f t="shared" si="6"/>
        <v>0</v>
      </c>
      <c r="W39" s="1060">
        <f t="shared" ref="W39:X43" si="7">IF(W31=1,W25,0)</f>
        <v>0</v>
      </c>
      <c r="X39" s="1057">
        <f t="shared" si="7"/>
        <v>0</v>
      </c>
      <c r="Z39" s="1060">
        <f t="shared" ref="Z39:AA43" si="8">IF(Z31=1,Z25,0)</f>
        <v>0</v>
      </c>
      <c r="AA39" s="1057">
        <f t="shared" si="8"/>
        <v>0</v>
      </c>
      <c r="AC39" s="1060">
        <f t="shared" ref="AC39:AD43" si="9">IF(AC31=1,AC25,0)</f>
        <v>0</v>
      </c>
      <c r="AD39" s="1057">
        <f t="shared" si="9"/>
        <v>0</v>
      </c>
      <c r="AF39" s="1060">
        <f>IF(AF31=1,AF25,0)</f>
        <v>0</v>
      </c>
    </row>
    <row r="40" spans="1:34" s="1057" customFormat="1" ht="12.75" hidden="1" customHeight="1" x14ac:dyDescent="0.2">
      <c r="A40" s="1057" t="s">
        <v>87</v>
      </c>
      <c r="B40" s="1057">
        <f>IF(B32=1,B26,0)</f>
        <v>0</v>
      </c>
      <c r="D40" s="1060">
        <f t="shared" si="2"/>
        <v>0</v>
      </c>
      <c r="E40" s="1057">
        <f t="shared" si="2"/>
        <v>0</v>
      </c>
      <c r="G40" s="1060">
        <f t="shared" si="3"/>
        <v>0</v>
      </c>
      <c r="H40" s="1057">
        <f t="shared" si="3"/>
        <v>0</v>
      </c>
      <c r="J40" s="1060">
        <f>IF(J32=1,J26,0)</f>
        <v>0</v>
      </c>
      <c r="K40" s="1060"/>
      <c r="L40" s="1057">
        <f>IF(L32=1,L26,0)</f>
        <v>0</v>
      </c>
      <c r="N40" s="1060">
        <f t="shared" si="4"/>
        <v>0</v>
      </c>
      <c r="O40" s="1057">
        <f t="shared" si="4"/>
        <v>0</v>
      </c>
      <c r="Q40" s="1060">
        <f t="shared" si="5"/>
        <v>0</v>
      </c>
      <c r="R40" s="1057">
        <f t="shared" si="5"/>
        <v>0</v>
      </c>
      <c r="T40" s="1060">
        <f t="shared" si="6"/>
        <v>0</v>
      </c>
      <c r="U40" s="1057">
        <f t="shared" si="6"/>
        <v>0</v>
      </c>
      <c r="W40" s="1060">
        <f t="shared" si="7"/>
        <v>0</v>
      </c>
      <c r="X40" s="1057">
        <f t="shared" si="7"/>
        <v>0</v>
      </c>
      <c r="Z40" s="1060">
        <f t="shared" si="8"/>
        <v>0</v>
      </c>
      <c r="AA40" s="1057">
        <f t="shared" si="8"/>
        <v>0</v>
      </c>
      <c r="AC40" s="1060">
        <f t="shared" si="9"/>
        <v>0</v>
      </c>
      <c r="AD40" s="1057">
        <f t="shared" si="9"/>
        <v>0</v>
      </c>
      <c r="AF40" s="1060">
        <f>IF(AF32=1,AF26,0)</f>
        <v>0</v>
      </c>
    </row>
    <row r="41" spans="1:34" s="1057" customFormat="1" ht="12.75" hidden="1" customHeight="1" x14ac:dyDescent="0.2">
      <c r="A41" s="1057" t="s">
        <v>88</v>
      </c>
      <c r="B41" s="1057">
        <f>IF(B33=1,B27,0)</f>
        <v>0</v>
      </c>
      <c r="D41" s="1060">
        <f t="shared" si="2"/>
        <v>0</v>
      </c>
      <c r="E41" s="1057">
        <f t="shared" si="2"/>
        <v>0</v>
      </c>
      <c r="G41" s="1060">
        <f t="shared" si="3"/>
        <v>0</v>
      </c>
      <c r="H41" s="1057">
        <f t="shared" si="3"/>
        <v>0</v>
      </c>
      <c r="J41" s="1060">
        <f>IF(J33=1,J27,0)</f>
        <v>0</v>
      </c>
      <c r="K41" s="1060"/>
      <c r="L41" s="1057">
        <f>IF(L33=1,L27,0)</f>
        <v>0</v>
      </c>
      <c r="N41" s="1060">
        <f t="shared" si="4"/>
        <v>0</v>
      </c>
      <c r="O41" s="1057">
        <f t="shared" si="4"/>
        <v>0</v>
      </c>
      <c r="Q41" s="1060">
        <f t="shared" si="5"/>
        <v>0</v>
      </c>
      <c r="R41" s="1057">
        <f t="shared" si="5"/>
        <v>0</v>
      </c>
      <c r="T41" s="1060">
        <f t="shared" si="6"/>
        <v>0</v>
      </c>
      <c r="U41" s="1057">
        <f t="shared" si="6"/>
        <v>0</v>
      </c>
      <c r="W41" s="1060">
        <f t="shared" si="7"/>
        <v>0</v>
      </c>
      <c r="X41" s="1057">
        <f t="shared" si="7"/>
        <v>0</v>
      </c>
      <c r="Z41" s="1060">
        <f t="shared" si="8"/>
        <v>0</v>
      </c>
      <c r="AA41" s="1057">
        <f t="shared" si="8"/>
        <v>0</v>
      </c>
      <c r="AC41" s="1060">
        <f t="shared" si="9"/>
        <v>0</v>
      </c>
      <c r="AD41" s="1057">
        <f t="shared" si="9"/>
        <v>0</v>
      </c>
      <c r="AF41" s="1060">
        <f>IF(AF33=1,AF27,0)</f>
        <v>0</v>
      </c>
    </row>
    <row r="42" spans="1:34" s="1057" customFormat="1" ht="12.75" hidden="1" customHeight="1" x14ac:dyDescent="0.2">
      <c r="A42" s="1057" t="s">
        <v>89</v>
      </c>
      <c r="B42" s="1057">
        <f>IF(B34=1,B28,0)</f>
        <v>0</v>
      </c>
      <c r="D42" s="1060">
        <f t="shared" si="2"/>
        <v>0</v>
      </c>
      <c r="E42" s="1057">
        <f t="shared" si="2"/>
        <v>0</v>
      </c>
      <c r="G42" s="1060">
        <f t="shared" si="3"/>
        <v>0</v>
      </c>
      <c r="H42" s="1057">
        <f t="shared" si="3"/>
        <v>0</v>
      </c>
      <c r="J42" s="1060">
        <f>IF(J34=1,J28,0)</f>
        <v>0</v>
      </c>
      <c r="K42" s="1060"/>
      <c r="L42" s="1057">
        <f>IF(L34=1,L28,0)</f>
        <v>0</v>
      </c>
      <c r="N42" s="1060">
        <f t="shared" si="4"/>
        <v>0</v>
      </c>
      <c r="O42" s="1057">
        <f t="shared" si="4"/>
        <v>0</v>
      </c>
      <c r="Q42" s="1060">
        <f t="shared" si="5"/>
        <v>0</v>
      </c>
      <c r="R42" s="1057">
        <f t="shared" si="5"/>
        <v>0</v>
      </c>
      <c r="T42" s="1060">
        <f t="shared" si="6"/>
        <v>0</v>
      </c>
      <c r="U42" s="1057">
        <f t="shared" si="6"/>
        <v>0</v>
      </c>
      <c r="W42" s="1060">
        <f t="shared" si="7"/>
        <v>0</v>
      </c>
      <c r="X42" s="1057">
        <f t="shared" si="7"/>
        <v>0</v>
      </c>
      <c r="Z42" s="1060">
        <f t="shared" si="8"/>
        <v>0</v>
      </c>
      <c r="AA42" s="1057">
        <f t="shared" si="8"/>
        <v>0</v>
      </c>
      <c r="AC42" s="1060">
        <f t="shared" si="9"/>
        <v>0</v>
      </c>
      <c r="AD42" s="1057">
        <f t="shared" si="9"/>
        <v>0</v>
      </c>
      <c r="AF42" s="1060">
        <f>IF(AF34=1,AF28,0)</f>
        <v>0</v>
      </c>
    </row>
    <row r="43" spans="1:34" s="1057" customFormat="1" ht="12.75" hidden="1" customHeight="1" x14ac:dyDescent="0.2">
      <c r="A43" s="1057" t="s">
        <v>90</v>
      </c>
      <c r="B43" s="1057">
        <f>IF(B35=1,B29,0)</f>
        <v>0</v>
      </c>
      <c r="D43" s="1060">
        <f t="shared" si="2"/>
        <v>0</v>
      </c>
      <c r="E43" s="1057">
        <f t="shared" si="2"/>
        <v>0</v>
      </c>
      <c r="G43" s="1060">
        <f t="shared" si="3"/>
        <v>0</v>
      </c>
      <c r="H43" s="1057">
        <f t="shared" si="3"/>
        <v>0</v>
      </c>
      <c r="J43" s="1060">
        <f>IF(J35=1,J29,0)</f>
        <v>0</v>
      </c>
      <c r="K43" s="1060"/>
      <c r="L43" s="1057">
        <f>IF(L35=1,L29,0)</f>
        <v>0</v>
      </c>
      <c r="N43" s="1060">
        <f t="shared" si="4"/>
        <v>0</v>
      </c>
      <c r="O43" s="1057">
        <f t="shared" si="4"/>
        <v>0</v>
      </c>
      <c r="Q43" s="1060">
        <f t="shared" si="5"/>
        <v>0</v>
      </c>
      <c r="R43" s="1057">
        <f t="shared" si="5"/>
        <v>0</v>
      </c>
      <c r="T43" s="1060">
        <f t="shared" si="6"/>
        <v>0</v>
      </c>
      <c r="U43" s="1057">
        <f t="shared" si="6"/>
        <v>0</v>
      </c>
      <c r="W43" s="1060">
        <f t="shared" si="7"/>
        <v>0</v>
      </c>
      <c r="X43" s="1057">
        <f t="shared" si="7"/>
        <v>0</v>
      </c>
      <c r="Z43" s="1060">
        <f t="shared" si="8"/>
        <v>0</v>
      </c>
      <c r="AA43" s="1057">
        <f t="shared" si="8"/>
        <v>0</v>
      </c>
      <c r="AC43" s="1060">
        <f t="shared" si="9"/>
        <v>0</v>
      </c>
      <c r="AD43" s="1057">
        <f t="shared" si="9"/>
        <v>0</v>
      </c>
      <c r="AF43" s="1060">
        <f>IF(AF35=1,AF29,0)</f>
        <v>0</v>
      </c>
    </row>
    <row r="44" spans="1:34" s="1057" customFormat="1" ht="38.25" hidden="1" customHeight="1" x14ac:dyDescent="0.2">
      <c r="A44" s="1061" t="s">
        <v>91</v>
      </c>
      <c r="B44" s="1057">
        <f>SUM(B39:D43)</f>
        <v>19</v>
      </c>
      <c r="D44" s="1060"/>
      <c r="E44" s="1057">
        <f>SUM(E39:G43)</f>
        <v>28</v>
      </c>
      <c r="G44" s="1060"/>
      <c r="H44" s="1057">
        <f>SUM(H39:J43)</f>
        <v>27</v>
      </c>
      <c r="J44" s="1060"/>
      <c r="K44" s="1060"/>
      <c r="L44" s="1057">
        <f>SUM(L39:N43)</f>
        <v>23</v>
      </c>
      <c r="N44" s="1060"/>
      <c r="O44" s="1057">
        <f>SUM(O39:Q43)</f>
        <v>20</v>
      </c>
      <c r="Q44" s="1060"/>
      <c r="R44" s="1057">
        <f>SUM(R39:T43)</f>
        <v>24</v>
      </c>
      <c r="T44" s="1060"/>
      <c r="U44" s="1057">
        <f>SUM(U39:W43)</f>
        <v>0</v>
      </c>
      <c r="W44" s="1060"/>
      <c r="X44" s="1057">
        <f>SUM(X39:Z43)</f>
        <v>0</v>
      </c>
      <c r="Z44" s="1060"/>
      <c r="AA44" s="1057">
        <f>SUM(AA39:AC43)</f>
        <v>0</v>
      </c>
      <c r="AC44" s="1060"/>
      <c r="AD44" s="1057">
        <f>SUM(AD39:AF43)</f>
        <v>0</v>
      </c>
      <c r="AF44" s="1060"/>
    </row>
    <row r="45" spans="1:34" s="1057" customFormat="1" ht="38.25" hidden="1" customHeight="1" x14ac:dyDescent="0.2">
      <c r="A45" s="1057" t="s">
        <v>92</v>
      </c>
      <c r="D45" s="1060"/>
      <c r="G45" s="1060"/>
      <c r="J45" s="1060"/>
      <c r="K45" s="1060"/>
      <c r="N45" s="1060"/>
      <c r="Q45" s="1060"/>
      <c r="T45" s="1060"/>
      <c r="W45" s="1060"/>
      <c r="Z45" s="1060"/>
      <c r="AC45" s="1060"/>
      <c r="AF45" s="1060"/>
      <c r="AG45" s="1061" t="s">
        <v>93</v>
      </c>
      <c r="AH45" s="1057" t="s">
        <v>94</v>
      </c>
    </row>
    <row r="46" spans="1:34" s="1057" customFormat="1" ht="12.75" hidden="1" customHeight="1" x14ac:dyDescent="0.2">
      <c r="A46" s="1057" t="s">
        <v>95</v>
      </c>
      <c r="B46" s="1057">
        <f>IF(B24=1,IF(B37=1,1,0),0)</f>
        <v>0</v>
      </c>
      <c r="D46" s="1060">
        <f>IF(D24=1,IF(D37=1,1,0),0)</f>
        <v>0</v>
      </c>
      <c r="E46" s="1057">
        <f>IF(E24=1,IF(E37=1,1,0),0)</f>
        <v>1</v>
      </c>
      <c r="G46" s="1060">
        <f>IF(G24=1,IF(G37=1,1,0),0)</f>
        <v>0</v>
      </c>
      <c r="H46" s="1057">
        <f>IF(H24=1,IF(H37=1,1,0),0)</f>
        <v>0</v>
      </c>
      <c r="J46" s="1060">
        <f>IF(J24=1,IF(J37=1,1,0),0)</f>
        <v>0</v>
      </c>
      <c r="K46" s="1060"/>
      <c r="L46" s="1057">
        <f>IF(L24=1,IF(L37=1,1,0),0)</f>
        <v>1</v>
      </c>
      <c r="N46" s="1060">
        <f>IF(N24=1,IF(N37=1,1,0),0)</f>
        <v>0</v>
      </c>
      <c r="O46" s="1057">
        <f>IF(O24=1,IF(O37=1,1,0),0)</f>
        <v>0</v>
      </c>
      <c r="Q46" s="1060">
        <f>IF(Q24=1,IF(Q37=1,1,0),0)</f>
        <v>0</v>
      </c>
      <c r="R46" s="1057">
        <f>IF(R24=1,IF(R37=1,1,0),0)</f>
        <v>0</v>
      </c>
      <c r="T46" s="1060">
        <f>IF(T24=1,IF(T37=1,1,0),0)</f>
        <v>0</v>
      </c>
      <c r="U46" s="1057">
        <f>IF(U24=1,IF(U37=1,1,0),0)</f>
        <v>0</v>
      </c>
      <c r="W46" s="1060">
        <f>IF(W24=1,IF(W37=1,1,0),0)</f>
        <v>0</v>
      </c>
      <c r="X46" s="1057">
        <f>IF(X24=1,IF(X37=1,1,0),0)</f>
        <v>0</v>
      </c>
      <c r="Z46" s="1060">
        <f>IF(Z24=1,IF(Z37=1,1,0),0)</f>
        <v>0</v>
      </c>
      <c r="AA46" s="1057">
        <f>IF(AA24=1,IF(AA37=1,1,0),0)</f>
        <v>0</v>
      </c>
      <c r="AC46" s="1060">
        <f>IF(AC24=1,IF(AC37=1,1,0),0)</f>
        <v>0</v>
      </c>
      <c r="AD46" s="1057">
        <f>IF(AD24=1,IF(AD37=1,1,0),0)</f>
        <v>0</v>
      </c>
      <c r="AF46" s="1060">
        <f>IF(AF24=1,IF(AF37=1,1,0),0)</f>
        <v>0</v>
      </c>
      <c r="AG46" s="1057">
        <f>SUM(B46:AF46)</f>
        <v>2</v>
      </c>
      <c r="AH46" s="1057">
        <f>AG52-AG46</f>
        <v>1</v>
      </c>
    </row>
    <row r="47" spans="1:34" s="1057" customFormat="1" ht="12.75" hidden="1" customHeight="1" x14ac:dyDescent="0.2">
      <c r="A47" s="1057" t="s">
        <v>96</v>
      </c>
      <c r="B47" s="1057">
        <f>IF(B24=2,IF(B37=1,1,0),0)</f>
        <v>1</v>
      </c>
      <c r="D47" s="1060">
        <f>IF(D24=2,IF(D37=1,1,0),0)</f>
        <v>0</v>
      </c>
      <c r="E47" s="1057">
        <f>IF(E24=2,IF(E37=1,1,0),0)</f>
        <v>0</v>
      </c>
      <c r="G47" s="1060">
        <f>IF(G24=2,IF(G37=1,1,0),0)</f>
        <v>0</v>
      </c>
      <c r="H47" s="1057">
        <f>IF(H24=2,IF(H37=1,1,0),0)</f>
        <v>1</v>
      </c>
      <c r="J47" s="1060">
        <f>IF(J24=2,IF(J37=1,1,0),0)</f>
        <v>0</v>
      </c>
      <c r="K47" s="1060"/>
      <c r="L47" s="1057">
        <f>IF(L24=2,IF(L37=1,1,0),0)</f>
        <v>0</v>
      </c>
      <c r="N47" s="1060">
        <f>IF(N24=2,IF(N37=1,1,0),0)</f>
        <v>0</v>
      </c>
      <c r="O47" s="1057">
        <f>IF(O24=2,IF(O37=1,1,0),0)</f>
        <v>0</v>
      </c>
      <c r="Q47" s="1060">
        <f>IF(Q24=2,IF(Q37=1,1,0),0)</f>
        <v>0</v>
      </c>
      <c r="R47" s="1057">
        <f>IF(R24=2,IF(R37=1,1,0),0)</f>
        <v>0</v>
      </c>
      <c r="T47" s="1060">
        <f>IF(T24=2,IF(T37=1,1,0),0)</f>
        <v>1</v>
      </c>
      <c r="U47" s="1057">
        <f>IF(U24=2,IF(U37=1,1,0),0)</f>
        <v>0</v>
      </c>
      <c r="W47" s="1060">
        <f>IF(W24=2,IF(W37=1,1,0),0)</f>
        <v>0</v>
      </c>
      <c r="X47" s="1057">
        <f>IF(X24=2,IF(X37=1,1,0),0)</f>
        <v>0</v>
      </c>
      <c r="Z47" s="1060">
        <f>IF(Z24=2,IF(Z37=1,1,0),0)</f>
        <v>0</v>
      </c>
      <c r="AA47" s="1057">
        <f>IF(AA24=2,IF(AA37=1,1,0),0)</f>
        <v>0</v>
      </c>
      <c r="AC47" s="1060">
        <f>IF(AC24=2,IF(AC37=1,1,0),0)</f>
        <v>0</v>
      </c>
      <c r="AD47" s="1057">
        <f>IF(AD24=2,IF(AD37=1,1,0),0)</f>
        <v>0</v>
      </c>
      <c r="AF47" s="1060">
        <f>IF(AF24=2,IF(AF37=1,1,0),0)</f>
        <v>0</v>
      </c>
      <c r="AG47" s="1057">
        <f>SUM(B47:AF47)</f>
        <v>3</v>
      </c>
      <c r="AH47" s="1057">
        <f>AG53-AG47</f>
        <v>0</v>
      </c>
    </row>
    <row r="48" spans="1:34" s="1057" customFormat="1" ht="12.75" hidden="1" customHeight="1" x14ac:dyDescent="0.2">
      <c r="A48" s="1057" t="s">
        <v>97</v>
      </c>
      <c r="B48" s="1057">
        <f>IF(B24=3,IF(B37=1,1,0),0)</f>
        <v>0</v>
      </c>
      <c r="D48" s="1060">
        <f>IF(D24=3,IF(D37=1,1,0),0)</f>
        <v>0</v>
      </c>
      <c r="E48" s="1057">
        <f>IF(E24=3,IF(E37=1,1,0),0)</f>
        <v>0</v>
      </c>
      <c r="G48" s="1060">
        <f>IF(G24=3,IF(G37=1,1,0),0)</f>
        <v>0</v>
      </c>
      <c r="H48" s="1057">
        <f>IF(H24=3,IF(H37=1,1,0),0)</f>
        <v>0</v>
      </c>
      <c r="J48" s="1060">
        <f>IF(J24=3,IF(J37=1,1,0),0)</f>
        <v>0</v>
      </c>
      <c r="K48" s="1060"/>
      <c r="L48" s="1057">
        <f>IF(L24=3,IF(L37=1,1,0),0)</f>
        <v>0</v>
      </c>
      <c r="N48" s="1060">
        <f>IF(N24=3,IF(N37=1,1,0),0)</f>
        <v>0</v>
      </c>
      <c r="O48" s="1057">
        <f>IF(O24=3,IF(O37=1,1,0),0)</f>
        <v>1</v>
      </c>
      <c r="Q48" s="1060">
        <f>IF(Q24=3,IF(Q37=1,1,0),0)</f>
        <v>0</v>
      </c>
      <c r="R48" s="1057">
        <f>IF(R24=3,IF(R37=1,1,0),0)</f>
        <v>0</v>
      </c>
      <c r="T48" s="1060">
        <f>IF(T24=3,IF(T37=1,1,0),0)</f>
        <v>0</v>
      </c>
      <c r="U48" s="1057">
        <f>IF(U24=3,IF(U37=1,1,0),0)</f>
        <v>0</v>
      </c>
      <c r="W48" s="1060">
        <f>IF(W24=3,IF(W37=1,1,0),0)</f>
        <v>0</v>
      </c>
      <c r="X48" s="1057">
        <f>IF(X24=3,IF(X37=1,1,0),0)</f>
        <v>0</v>
      </c>
      <c r="Z48" s="1060">
        <f>IF(Z24=3,IF(Z37=1,1,0),0)</f>
        <v>0</v>
      </c>
      <c r="AA48" s="1057">
        <f>IF(AA24=3,IF(AA37=1,1,0),0)</f>
        <v>0</v>
      </c>
      <c r="AC48" s="1060">
        <f>IF(AC24=3,IF(AC37=1,1,0),0)</f>
        <v>0</v>
      </c>
      <c r="AD48" s="1057">
        <f>IF(AD24=3,IF(AD37=1,1,0),0)</f>
        <v>0</v>
      </c>
      <c r="AF48" s="1060">
        <f>IF(AF24=3,IF(AF37=1,1,0),0)</f>
        <v>0</v>
      </c>
      <c r="AG48" s="1057">
        <f>SUM(B48:AF48)</f>
        <v>1</v>
      </c>
      <c r="AH48" s="1057">
        <f>AG54-AG48</f>
        <v>2</v>
      </c>
    </row>
    <row r="49" spans="1:38" s="1057" customFormat="1" ht="12.75" hidden="1" customHeight="1" x14ac:dyDescent="0.2">
      <c r="A49" s="1057" t="s">
        <v>98</v>
      </c>
      <c r="B49" s="1057">
        <f>IF(B24=4,IF(B37=1,1,0),0)</f>
        <v>0</v>
      </c>
      <c r="D49" s="1060">
        <f>IF(D24=4,IF(D37=1,1,0),0)</f>
        <v>0</v>
      </c>
      <c r="E49" s="1057">
        <f>IF(E24=4,IF(E37=1,1,0),0)</f>
        <v>0</v>
      </c>
      <c r="G49" s="1060">
        <f>IF(G24=4,IF(G37=1,1,0),0)</f>
        <v>0</v>
      </c>
      <c r="H49" s="1057">
        <f>IF(H24=4,IF(H37=1,1,0),0)</f>
        <v>0</v>
      </c>
      <c r="J49" s="1060">
        <f>IF(J24=4,IF(J37=1,1,0),0)</f>
        <v>0</v>
      </c>
      <c r="K49" s="1060"/>
      <c r="L49" s="1057">
        <f>IF(L24=4,IF(L37=1,1,0),0)</f>
        <v>0</v>
      </c>
      <c r="N49" s="1060">
        <f>IF(N24=4,IF(N37=1,1,0),0)</f>
        <v>0</v>
      </c>
      <c r="O49" s="1057">
        <f>IF(O24=4,IF(O37=1,1,0),0)</f>
        <v>0</v>
      </c>
      <c r="Q49" s="1060">
        <f>IF(Q24=4,IF(Q37=1,1,0),0)</f>
        <v>0</v>
      </c>
      <c r="R49" s="1057">
        <f>IF(R24=4,IF(R37=1,1,0),0)</f>
        <v>0</v>
      </c>
      <c r="T49" s="1060">
        <f>IF(T24=4,IF(T37=1,1,0),0)</f>
        <v>0</v>
      </c>
      <c r="U49" s="1057">
        <f>IF(U24=4,IF(U37=1,1,0),0)</f>
        <v>0</v>
      </c>
      <c r="W49" s="1060">
        <f>IF(W24=4,IF(W37=1,1,0),0)</f>
        <v>0</v>
      </c>
      <c r="X49" s="1057">
        <f>IF(X24=4,IF(X37=1,1,0),0)</f>
        <v>0</v>
      </c>
      <c r="Z49" s="1060">
        <f>IF(Z24=4,IF(Z37=1,1,0),0)</f>
        <v>0</v>
      </c>
      <c r="AA49" s="1057">
        <f>IF(AA24=4,IF(AA37=1,1,0),0)</f>
        <v>0</v>
      </c>
      <c r="AC49" s="1060">
        <f>IF(AC24=4,IF(AC37=1,1,0),0)</f>
        <v>0</v>
      </c>
      <c r="AD49" s="1057">
        <f>IF(AD24=4,IF(AD37=1,1,0),0)</f>
        <v>0</v>
      </c>
      <c r="AF49" s="1060">
        <f>IF(AF24=4,IF(AF37=1,1,0),0)</f>
        <v>0</v>
      </c>
      <c r="AG49" s="1057">
        <f>SUM(B49:AF49)</f>
        <v>0</v>
      </c>
      <c r="AH49" s="1057">
        <f>AG55-AG49</f>
        <v>3</v>
      </c>
    </row>
    <row r="50" spans="1:38" s="1057" customFormat="1" ht="12.75" hidden="1" customHeight="1" x14ac:dyDescent="0.2">
      <c r="A50" s="1057" t="s">
        <v>99</v>
      </c>
      <c r="B50" s="1057">
        <f>IF(B24=5,IF(B37=1,1,0),0)</f>
        <v>0</v>
      </c>
      <c r="D50" s="1060">
        <f>IF(D24=5,IF(D37=1,1,0),0)</f>
        <v>0</v>
      </c>
      <c r="E50" s="1057">
        <f>IF(E24=5,IF(E37=1,1,0),0)</f>
        <v>0</v>
      </c>
      <c r="G50" s="1060">
        <f>IF(G24=5,IF(G37=1,1,0),0)</f>
        <v>0</v>
      </c>
      <c r="H50" s="1057">
        <f>IF(H24=5,IF(H37=1,1,0),0)</f>
        <v>0</v>
      </c>
      <c r="J50" s="1060">
        <f>IF(J24=5,IF(J37=1,1,0),0)</f>
        <v>0</v>
      </c>
      <c r="K50" s="1060"/>
      <c r="L50" s="1057">
        <f>IF(L24=5,IF(L37=1,1,0),0)</f>
        <v>0</v>
      </c>
      <c r="N50" s="1060">
        <f>IF(N24=5,IF(N37=1,1,0),0)</f>
        <v>0</v>
      </c>
      <c r="O50" s="1057">
        <f>IF(O24=5,IF(O37=1,1,0),0)</f>
        <v>0</v>
      </c>
      <c r="Q50" s="1060">
        <f>IF(Q24=5,IF(Q37=1,1,0),0)</f>
        <v>0</v>
      </c>
      <c r="R50" s="1057">
        <f>IF(R24=5,IF(R37=1,1,0),0)</f>
        <v>0</v>
      </c>
      <c r="T50" s="1060">
        <f>IF(T24=5,IF(T37=1,1,0),0)</f>
        <v>0</v>
      </c>
      <c r="U50" s="1057">
        <f>IF(U24=5,IF(U37=1,1,0),0)</f>
        <v>0</v>
      </c>
      <c r="W50" s="1060">
        <f>IF(W24=5,IF(W37=1,1,0),0)</f>
        <v>0</v>
      </c>
      <c r="X50" s="1057">
        <f>IF(X24=5,IF(X37=1,1,0),0)</f>
        <v>0</v>
      </c>
      <c r="Z50" s="1060">
        <f>IF(Z24=5,IF(Z37=1,1,0),0)</f>
        <v>0</v>
      </c>
      <c r="AA50" s="1057">
        <f>IF(AA24=5,IF(AA37=1,1,0),0)</f>
        <v>0</v>
      </c>
      <c r="AC50" s="1060">
        <f>IF(AC24=5,IF(AC37=1,1,0),0)</f>
        <v>0</v>
      </c>
      <c r="AD50" s="1057">
        <f>IF(AD24=5,IF(AD37=1,1,0),0)</f>
        <v>0</v>
      </c>
      <c r="AF50" s="1060">
        <f>IF(AF24=5,IF(AF37=1,1,0),0)</f>
        <v>0</v>
      </c>
      <c r="AG50" s="1057">
        <f>SUM(B50:AF50)</f>
        <v>0</v>
      </c>
      <c r="AH50" s="1057">
        <f>AG56-AG50</f>
        <v>0</v>
      </c>
    </row>
    <row r="51" spans="1:38" s="1057" customFormat="1" ht="38.25" hidden="1" customHeight="1" x14ac:dyDescent="0.2">
      <c r="A51" s="1061"/>
      <c r="D51" s="1060"/>
      <c r="G51" s="1060"/>
      <c r="J51" s="1060"/>
      <c r="K51" s="1060"/>
      <c r="N51" s="1060"/>
      <c r="Q51" s="1060"/>
      <c r="T51" s="1060"/>
      <c r="W51" s="1060"/>
      <c r="Z51" s="1060"/>
      <c r="AC51" s="1060"/>
      <c r="AF51" s="1060"/>
      <c r="AG51" s="1061" t="s">
        <v>100</v>
      </c>
    </row>
    <row r="52" spans="1:38" s="1057" customFormat="1" ht="12.75" hidden="1" customHeight="1" x14ac:dyDescent="0.2">
      <c r="A52" s="1057" t="s">
        <v>101</v>
      </c>
      <c r="B52" s="1057">
        <f>IF(B24=1,IF(C37=1,1,0),0)</f>
        <v>0</v>
      </c>
      <c r="D52" s="1060">
        <f>IF(D24=1,IF(C37=1,1,0),0)</f>
        <v>0</v>
      </c>
      <c r="E52" s="1057">
        <f>IF(E24=1,IF(F37=1,1,0),0)</f>
        <v>1</v>
      </c>
      <c r="G52" s="1060">
        <f>IF(G24=1,IF(F37=1,1,0),0)</f>
        <v>0</v>
      </c>
      <c r="H52" s="1057">
        <f>IF(H24=1,IF(I37=1,1,0),0)</f>
        <v>0</v>
      </c>
      <c r="J52" s="1060">
        <f>IF(J24=1,IF(I37=1,1,0),0)</f>
        <v>0</v>
      </c>
      <c r="K52" s="1060"/>
      <c r="L52" s="1057">
        <f>IF(L24=1,IF(M37=1,1,0),0)</f>
        <v>1</v>
      </c>
      <c r="N52" s="1060">
        <f>IF(N24=1,IF(M37=1,1,0),0)</f>
        <v>0</v>
      </c>
      <c r="O52" s="1057">
        <f>IF(O24=1,IF(P37=1,1,0),0)</f>
        <v>0</v>
      </c>
      <c r="Q52" s="1060">
        <f>IF(Q24=1,IF(P37=1,1,0),0)</f>
        <v>0</v>
      </c>
      <c r="R52" s="1057">
        <f>IF(R24=1,IF(S37=1,1,0),0)</f>
        <v>1</v>
      </c>
      <c r="T52" s="1060">
        <f>IF(T24=1,IF(S37=1,1,0),0)</f>
        <v>0</v>
      </c>
      <c r="U52" s="1057">
        <f>IF(U24=1,IF(V37=1,1,0),0)</f>
        <v>0</v>
      </c>
      <c r="W52" s="1060">
        <f>IF(W24=1,IF(V37=1,1,0),0)</f>
        <v>0</v>
      </c>
      <c r="X52" s="1057">
        <f>IF(X24=1,IF(Y37=1,1,0),0)</f>
        <v>0</v>
      </c>
      <c r="Z52" s="1060">
        <f>IF(Z24=1,IF(Y37=1,1,0),0)</f>
        <v>0</v>
      </c>
      <c r="AA52" s="1057">
        <f>IF(AA24=1,IF(AB37=1,1,0),0)</f>
        <v>0</v>
      </c>
      <c r="AC52" s="1060">
        <f>IF(AC24=1,IF(AB37=1,1,0),0)</f>
        <v>0</v>
      </c>
      <c r="AD52" s="1057">
        <f>IF(AD24=1,IF(AE37=1,1,0),0)</f>
        <v>0</v>
      </c>
      <c r="AF52" s="1060">
        <f>IF(AF24=1,IF(AE37=1,1,0),0)</f>
        <v>0</v>
      </c>
      <c r="AG52" s="1057">
        <f>SUM(B52:AF52)</f>
        <v>3</v>
      </c>
    </row>
    <row r="53" spans="1:38" s="1057" customFormat="1" ht="12.75" hidden="1" customHeight="1" x14ac:dyDescent="0.2">
      <c r="A53" s="1057" t="s">
        <v>102</v>
      </c>
      <c r="B53" s="1057">
        <f>IF(B24=2,IF(C37=1,1,0),0)</f>
        <v>1</v>
      </c>
      <c r="D53" s="1060">
        <f>IF(D24=2,IF(C37=1,1,0),0)</f>
        <v>0</v>
      </c>
      <c r="E53" s="1057">
        <f>IF(E24=2,IF(F37=1,1,0),0)</f>
        <v>0</v>
      </c>
      <c r="G53" s="1060">
        <f>IF(G24=2,IF(F37=1,1,0),0)</f>
        <v>0</v>
      </c>
      <c r="H53" s="1057">
        <f>IF(H24=2,IF(I37=1,1,0),0)</f>
        <v>1</v>
      </c>
      <c r="J53" s="1060">
        <f>IF(J24=2,IF(I37=1,1,0),0)</f>
        <v>0</v>
      </c>
      <c r="K53" s="1060"/>
      <c r="L53" s="1057">
        <f>IF(L24=2,IF(M37=1,1,0),0)</f>
        <v>0</v>
      </c>
      <c r="N53" s="1060">
        <f>IF(N24=2,IF(M37=1,1,0),0)</f>
        <v>0</v>
      </c>
      <c r="O53" s="1057">
        <f>IF(O24=2,IF(P37=1,1,0),0)</f>
        <v>0</v>
      </c>
      <c r="Q53" s="1060">
        <f>IF(Q24=2,IF(P37=1,1,0),0)</f>
        <v>0</v>
      </c>
      <c r="R53" s="1057">
        <f>IF(R24=2,IF(S37=1,1,0),0)</f>
        <v>0</v>
      </c>
      <c r="T53" s="1060">
        <f>IF(T24=2,IF(S37=1,1,0),0)</f>
        <v>1</v>
      </c>
      <c r="U53" s="1057">
        <f>IF(U24=2,IF(V37=1,1,0),0)</f>
        <v>0</v>
      </c>
      <c r="W53" s="1060">
        <f>IF(W24=2,IF(V37=1,1,0),0)</f>
        <v>0</v>
      </c>
      <c r="X53" s="1057">
        <f>IF(X24=2,IF(Y37=1,1,0),0)</f>
        <v>0</v>
      </c>
      <c r="Z53" s="1060">
        <f>IF(Z24=2,IF(Y37=1,1,0),0)</f>
        <v>0</v>
      </c>
      <c r="AA53" s="1057">
        <f>IF(AA24=2,IF(AB37=1,1,0),0)</f>
        <v>0</v>
      </c>
      <c r="AC53" s="1060">
        <f>IF(AC24=2,IF(AB37=1,1,0),0)</f>
        <v>0</v>
      </c>
      <c r="AD53" s="1057">
        <f>IF(AD24=2,IF(AE37=1,1,0),0)</f>
        <v>0</v>
      </c>
      <c r="AF53" s="1060">
        <f>IF(AF24=2,IF(AE37=1,1,0),0)</f>
        <v>0</v>
      </c>
      <c r="AG53" s="1057">
        <f>SUM(B53:AF53)</f>
        <v>3</v>
      </c>
    </row>
    <row r="54" spans="1:38" s="1057" customFormat="1" ht="12.75" hidden="1" customHeight="1" x14ac:dyDescent="0.2">
      <c r="A54" s="1057" t="s">
        <v>103</v>
      </c>
      <c r="B54" s="1057">
        <f>IF(B24=3,IF(C37=1,1,0),0)</f>
        <v>0</v>
      </c>
      <c r="D54" s="1060">
        <f>IF(D24=3,IF(C37=1,1,0),0)</f>
        <v>1</v>
      </c>
      <c r="E54" s="1057">
        <f>IF(E24=3,IF(F37=1,1,0),0)</f>
        <v>0</v>
      </c>
      <c r="G54" s="1060">
        <f>IF(G24=3,IF(F37=1,1,0),0)</f>
        <v>0</v>
      </c>
      <c r="H54" s="1057">
        <f>IF(H24=3,IF(I37=1,1,0),0)</f>
        <v>0</v>
      </c>
      <c r="J54" s="1060">
        <f>IF(J24=3,IF(I37=1,1,0),0)</f>
        <v>0</v>
      </c>
      <c r="K54" s="1060"/>
      <c r="L54" s="1057">
        <f>IF(L24=3,IF(M37=1,1,0),0)</f>
        <v>0</v>
      </c>
      <c r="N54" s="1060">
        <f>IF(N24=3,IF(M37=1,1,0),0)</f>
        <v>1</v>
      </c>
      <c r="O54" s="1057">
        <f>IF(O24=3,IF(P37=1,1,0),0)</f>
        <v>1</v>
      </c>
      <c r="Q54" s="1060">
        <f>IF(Q24=3,IF(P37=1,1,0),0)</f>
        <v>0</v>
      </c>
      <c r="R54" s="1057">
        <f>IF(R24=3,IF(S37=1,1,0),0)</f>
        <v>0</v>
      </c>
      <c r="T54" s="1060">
        <f>IF(T24=3,IF(S37=1,1,0),0)</f>
        <v>0</v>
      </c>
      <c r="U54" s="1057">
        <f>IF(U24=3,IF(V37=1,1,0),0)</f>
        <v>0</v>
      </c>
      <c r="W54" s="1060">
        <f>IF(W24=3,IF(V37=1,1,0),0)</f>
        <v>0</v>
      </c>
      <c r="X54" s="1057">
        <f>IF(X24=3,IF(Y37=1,1,0),0)</f>
        <v>0</v>
      </c>
      <c r="Z54" s="1060">
        <f>IF(Z24=3,IF(Y37=1,1,0),0)</f>
        <v>0</v>
      </c>
      <c r="AA54" s="1057">
        <f>IF(AA24=3,IF(AB37=1,1,0),0)</f>
        <v>0</v>
      </c>
      <c r="AC54" s="1060">
        <f>IF(AC24=3,IF(AB37=1,1,0),0)</f>
        <v>0</v>
      </c>
      <c r="AD54" s="1057">
        <f>IF(AD24=3,IF(AE37=1,1,0),0)</f>
        <v>0</v>
      </c>
      <c r="AF54" s="1060">
        <f>IF(AF24=3,IF(AE37=1,1,0),0)</f>
        <v>0</v>
      </c>
      <c r="AG54" s="1057">
        <f>SUM(B54:AF54)</f>
        <v>3</v>
      </c>
    </row>
    <row r="55" spans="1:38" s="1057" customFormat="1" ht="12.75" hidden="1" customHeight="1" x14ac:dyDescent="0.2">
      <c r="A55" s="1057" t="s">
        <v>104</v>
      </c>
      <c r="B55" s="1057">
        <f>IF(B24=4,IF(C37=1,1,0),0)</f>
        <v>0</v>
      </c>
      <c r="D55" s="1060">
        <f>IF(D24=4,IF(C37=1,1,0),0)</f>
        <v>0</v>
      </c>
      <c r="E55" s="1057">
        <f>IF(E24=4,IF(F37=1,1,0),0)</f>
        <v>0</v>
      </c>
      <c r="G55" s="1060">
        <f>IF(G24=4,IF(F37=1,1,0),0)</f>
        <v>1</v>
      </c>
      <c r="H55" s="1057">
        <f>IF(H24=4,IF(I37=1,1,0),0)</f>
        <v>0</v>
      </c>
      <c r="J55" s="1060">
        <f>IF(J24=4,IF(I37=1,1,0),0)</f>
        <v>1</v>
      </c>
      <c r="K55" s="1060"/>
      <c r="L55" s="1057">
        <f>IF(L24=4,IF(M37=1,1,0),0)</f>
        <v>0</v>
      </c>
      <c r="N55" s="1060">
        <f>IF(N24=4,IF(M37=1,1,0),0)</f>
        <v>0</v>
      </c>
      <c r="O55" s="1057">
        <f>IF(O24=4,IF(P37=1,1,0),0)</f>
        <v>0</v>
      </c>
      <c r="Q55" s="1060">
        <f>IF(Q24=4,IF(P37=1,1,0),0)</f>
        <v>1</v>
      </c>
      <c r="R55" s="1057">
        <f>IF(R24=4,IF(S37=1,1,0),0)</f>
        <v>0</v>
      </c>
      <c r="T55" s="1060">
        <f>IF(T24=4,IF(S37=1,1,0),0)</f>
        <v>0</v>
      </c>
      <c r="U55" s="1057">
        <f>IF(U24=4,IF(V37=1,1,0),0)</f>
        <v>0</v>
      </c>
      <c r="W55" s="1060">
        <f>IF(W24=4,IF(V37=1,1,0),0)</f>
        <v>0</v>
      </c>
      <c r="X55" s="1057">
        <f>IF(X24=4,IF(Y37=1,1,0),0)</f>
        <v>0</v>
      </c>
      <c r="Z55" s="1060">
        <f>IF(Z24=4,IF(Y37=1,1,0),0)</f>
        <v>0</v>
      </c>
      <c r="AA55" s="1057">
        <f>IF(AA24=4,IF(AB37=1,1,0),0)</f>
        <v>0</v>
      </c>
      <c r="AC55" s="1060">
        <f>IF(AC24=4,IF(AB37=1,1,0),0)</f>
        <v>0</v>
      </c>
      <c r="AD55" s="1057">
        <f>IF(AD24=4,IF(AE37=1,1,0),0)</f>
        <v>0</v>
      </c>
      <c r="AF55" s="1060">
        <f>IF(AF24=4,IF(AE37=1,1,0),0)</f>
        <v>0</v>
      </c>
      <c r="AG55" s="1057">
        <f>SUM(B55:AF55)</f>
        <v>3</v>
      </c>
    </row>
    <row r="56" spans="1:38" s="1057" customFormat="1" ht="12.75" hidden="1" customHeight="1" x14ac:dyDescent="0.2">
      <c r="A56" s="1057" t="s">
        <v>105</v>
      </c>
      <c r="B56" s="1057">
        <f>IF(B24=5,IF(C37=1,1,0),0)</f>
        <v>0</v>
      </c>
      <c r="D56" s="1060">
        <f>IF(D24=5,IF(C37=1,1,0),0)</f>
        <v>0</v>
      </c>
      <c r="E56" s="1057">
        <f>IF(E24=5,IF(F37=1,1,0),0)</f>
        <v>0</v>
      </c>
      <c r="G56" s="1060">
        <f>IF(G24=5,IF(F37=1,1,0),0)</f>
        <v>0</v>
      </c>
      <c r="H56" s="1057">
        <f>IF(H24=5,IF(I37=1,1,0),0)</f>
        <v>0</v>
      </c>
      <c r="J56" s="1060">
        <f>IF(J24=5,IF(I37=1,1,0),0)</f>
        <v>0</v>
      </c>
      <c r="K56" s="1060"/>
      <c r="L56" s="1057">
        <f>IF(L24=5,IF(M37=1,1,0),0)</f>
        <v>0</v>
      </c>
      <c r="N56" s="1060">
        <f>IF(N24=5,IF(M37=1,1,0),0)</f>
        <v>0</v>
      </c>
      <c r="O56" s="1057">
        <f>IF(O24=5,IF(P37=1,1,0),0)</f>
        <v>0</v>
      </c>
      <c r="Q56" s="1060">
        <f>IF(Q24=5,IF(P37=1,1,0),0)</f>
        <v>0</v>
      </c>
      <c r="R56" s="1057">
        <f>IF(R24=5,IF(S37=1,1,0),0)</f>
        <v>0</v>
      </c>
      <c r="T56" s="1060">
        <f>IF(T24=5,IF(S37=1,1,0),0)</f>
        <v>0</v>
      </c>
      <c r="U56" s="1057">
        <f>IF(U24=5,IF(V37=1,1,0),0)</f>
        <v>0</v>
      </c>
      <c r="W56" s="1060">
        <f>IF(W24=5,IF(V37=1,1,0),0)</f>
        <v>0</v>
      </c>
      <c r="X56" s="1057">
        <f>IF(X24=5,IF(Y37=1,1,0),0)</f>
        <v>0</v>
      </c>
      <c r="Z56" s="1060">
        <f>IF(Z24=5,IF(Y37=1,1,0),0)</f>
        <v>0</v>
      </c>
      <c r="AA56" s="1057">
        <f>IF(AA24=5,IF(AB37=1,1,0),0)</f>
        <v>0</v>
      </c>
      <c r="AC56" s="1060">
        <f>IF(AC24=5,IF(AB37=1,1,0),0)</f>
        <v>0</v>
      </c>
      <c r="AD56" s="1057">
        <f>IF(AD24=5,IF(AE37=1,1,0),0)</f>
        <v>0</v>
      </c>
      <c r="AF56" s="1060">
        <f>IF(AF24=5,IF(AE37=1,1,0),0)</f>
        <v>0</v>
      </c>
      <c r="AG56" s="1057">
        <f>SUM(B56:AF56)</f>
        <v>0</v>
      </c>
    </row>
    <row r="57" spans="1:38" s="1057" customFormat="1" ht="38.25" hidden="1" customHeight="1" x14ac:dyDescent="0.2">
      <c r="A57" s="1061"/>
      <c r="D57" s="1060"/>
      <c r="G57" s="1060"/>
      <c r="J57" s="1060"/>
      <c r="K57" s="1060"/>
      <c r="N57" s="1060"/>
      <c r="Q57" s="1060"/>
      <c r="T57" s="1060"/>
      <c r="W57" s="1060"/>
      <c r="Z57" s="1060"/>
      <c r="AC57" s="1060"/>
      <c r="AF57" s="1060"/>
      <c r="AG57" s="1061" t="s">
        <v>106</v>
      </c>
      <c r="AH57" s="1062"/>
      <c r="AI57" s="1062"/>
      <c r="AJ57" s="1062"/>
      <c r="AK57" s="1062"/>
      <c r="AL57" s="1062"/>
    </row>
    <row r="58" spans="1:38" s="1057" customFormat="1" ht="12.75" hidden="1" customHeight="1" x14ac:dyDescent="0.2">
      <c r="A58" s="1057" t="s">
        <v>101</v>
      </c>
      <c r="B58" s="1057">
        <f>IF(B24=1,B44,0)</f>
        <v>0</v>
      </c>
      <c r="D58" s="1060">
        <f>IF(D24=1,B44,0)</f>
        <v>0</v>
      </c>
      <c r="E58" s="1057">
        <f>IF(E24=1,E44,0)</f>
        <v>28</v>
      </c>
      <c r="G58" s="1060">
        <f>IF(G24=1,E44,0)</f>
        <v>0</v>
      </c>
      <c r="H58" s="1057">
        <f>IF(H24=1,H44,0)</f>
        <v>0</v>
      </c>
      <c r="J58" s="1060">
        <f>IF(J24=1,H44,0)</f>
        <v>0</v>
      </c>
      <c r="K58" s="1060"/>
      <c r="L58" s="1057">
        <f>IF(L24=1,L44,0)</f>
        <v>23</v>
      </c>
      <c r="N58" s="1060">
        <f>IF(N24=1,L44,0)</f>
        <v>0</v>
      </c>
      <c r="O58" s="1057">
        <f>IF(O24=1,O44,0)</f>
        <v>0</v>
      </c>
      <c r="Q58" s="1060">
        <f>IF(Q24=1,O44,0)</f>
        <v>0</v>
      </c>
      <c r="R58" s="1057">
        <f>IF(R24=1,R44,0)</f>
        <v>24</v>
      </c>
      <c r="T58" s="1060">
        <f>IF(T24=1,R44,0)</f>
        <v>0</v>
      </c>
      <c r="U58" s="1057">
        <f>IF(U24=1,U44,0)</f>
        <v>0</v>
      </c>
      <c r="W58" s="1060">
        <f>IF(W24=1,U44,0)</f>
        <v>0</v>
      </c>
      <c r="X58" s="1057">
        <f>IF(X24=1,X44,0)</f>
        <v>0</v>
      </c>
      <c r="Z58" s="1060">
        <f>IF(Z24=1,X44,0)</f>
        <v>0</v>
      </c>
      <c r="AA58" s="1057">
        <f>IF(AA24=1,AA44,0)</f>
        <v>0</v>
      </c>
      <c r="AC58" s="1060">
        <f>IF(AC24=1,AA44,0)</f>
        <v>0</v>
      </c>
      <c r="AD58" s="1057">
        <f>IF(AD24=1,AD44,0)</f>
        <v>0</v>
      </c>
      <c r="AF58" s="1060">
        <f>IF(AF24=1,AD44,0)</f>
        <v>0</v>
      </c>
      <c r="AG58" s="1057">
        <f>SUM(B58:AF58)</f>
        <v>75</v>
      </c>
    </row>
    <row r="59" spans="1:38" s="1057" customFormat="1" ht="12.75" hidden="1" customHeight="1" x14ac:dyDescent="0.2">
      <c r="A59" s="1057" t="s">
        <v>102</v>
      </c>
      <c r="B59" s="1057">
        <f>IF(B24=2,B44,0)</f>
        <v>19</v>
      </c>
      <c r="D59" s="1060">
        <f>IF(D24=2,B44,0)</f>
        <v>0</v>
      </c>
      <c r="E59" s="1057">
        <f>IF(E24=2,E44,0)</f>
        <v>0</v>
      </c>
      <c r="G59" s="1060">
        <f>IF(G24=2,E44,0)</f>
        <v>0</v>
      </c>
      <c r="H59" s="1057">
        <f>IF(H24=2,H44,0)</f>
        <v>27</v>
      </c>
      <c r="J59" s="1060">
        <f>IF(J24=2,H44,0)</f>
        <v>0</v>
      </c>
      <c r="K59" s="1060"/>
      <c r="L59" s="1057">
        <f>IF(L24=2,L44,0)</f>
        <v>0</v>
      </c>
      <c r="N59" s="1060">
        <f>IF(N24=2,L44,0)</f>
        <v>0</v>
      </c>
      <c r="O59" s="1057">
        <f>IF(O24=2,O44,0)</f>
        <v>0</v>
      </c>
      <c r="Q59" s="1060">
        <f>IF(Q24=2,O44,0)</f>
        <v>0</v>
      </c>
      <c r="R59" s="1057">
        <f>IF(R24=2,R44,0)</f>
        <v>0</v>
      </c>
      <c r="T59" s="1060">
        <f>IF(T24=2,R44,0)</f>
        <v>24</v>
      </c>
      <c r="U59" s="1057">
        <f>IF(U24=2,U44,0)</f>
        <v>0</v>
      </c>
      <c r="W59" s="1060">
        <f>IF(W24=2,U44,0)</f>
        <v>0</v>
      </c>
      <c r="X59" s="1057">
        <f>IF(X24=2,X44,0)</f>
        <v>0</v>
      </c>
      <c r="Z59" s="1060">
        <f>IF(Z24=2,X44,0)</f>
        <v>0</v>
      </c>
      <c r="AA59" s="1057">
        <f>IF(AA24=2,AA44,0)</f>
        <v>0</v>
      </c>
      <c r="AC59" s="1060">
        <f>IF(AC24=2,AA44,0)</f>
        <v>0</v>
      </c>
      <c r="AD59" s="1057">
        <f>IF(AD24=2,AD44,0)</f>
        <v>0</v>
      </c>
      <c r="AF59" s="1060">
        <f>IF(AF24=2,AD44,0)</f>
        <v>0</v>
      </c>
      <c r="AG59" s="1057">
        <f>SUM(B59:AF59)</f>
        <v>70</v>
      </c>
    </row>
    <row r="60" spans="1:38" s="1057" customFormat="1" ht="12.75" hidden="1" customHeight="1" x14ac:dyDescent="0.2">
      <c r="A60" s="1057" t="s">
        <v>103</v>
      </c>
      <c r="B60" s="1057">
        <f>IF(B24=3,B44,0)</f>
        <v>0</v>
      </c>
      <c r="D60" s="1060">
        <f>IF(D24=3,B44,0)</f>
        <v>19</v>
      </c>
      <c r="E60" s="1057">
        <f>IF(E24=3,E44,0)</f>
        <v>0</v>
      </c>
      <c r="G60" s="1060">
        <f>IF(G24=3,E44,0)</f>
        <v>0</v>
      </c>
      <c r="H60" s="1057">
        <f>IF(H24=3,H44,0)</f>
        <v>0</v>
      </c>
      <c r="J60" s="1060">
        <f>IF(J24=3,H44,0)</f>
        <v>0</v>
      </c>
      <c r="K60" s="1060"/>
      <c r="L60" s="1057">
        <f>IF(L24=3,L44,0)</f>
        <v>0</v>
      </c>
      <c r="N60" s="1060">
        <f>IF(N24=3,L44,0)</f>
        <v>23</v>
      </c>
      <c r="O60" s="1057">
        <f>IF(O24=3,O44,0)</f>
        <v>20</v>
      </c>
      <c r="Q60" s="1060">
        <f>IF(Q24=3,O44,0)</f>
        <v>0</v>
      </c>
      <c r="R60" s="1057">
        <f>IF(R24=3,R44,0)</f>
        <v>0</v>
      </c>
      <c r="T60" s="1060">
        <f>IF(T24=3,R44,0)</f>
        <v>0</v>
      </c>
      <c r="U60" s="1057">
        <f>IF(U24=3,U44,0)</f>
        <v>0</v>
      </c>
      <c r="W60" s="1060">
        <f>IF(W24=3,U44,0)</f>
        <v>0</v>
      </c>
      <c r="X60" s="1057">
        <f>IF(X24=3,X44,0)</f>
        <v>0</v>
      </c>
      <c r="Z60" s="1060">
        <f>IF(Z24=3,X44,0)</f>
        <v>0</v>
      </c>
      <c r="AA60" s="1057">
        <f>IF(AA24=3,AA44,0)</f>
        <v>0</v>
      </c>
      <c r="AC60" s="1060">
        <f>IF(AC24=3,AA44,0)</f>
        <v>0</v>
      </c>
      <c r="AD60" s="1057">
        <f>IF(AD24=3,AD44,0)</f>
        <v>0</v>
      </c>
      <c r="AF60" s="1060">
        <f>IF(AF24=3,AD44,0)</f>
        <v>0</v>
      </c>
      <c r="AG60" s="1057">
        <f>SUM(B60:AF60)</f>
        <v>62</v>
      </c>
    </row>
    <row r="61" spans="1:38" s="1057" customFormat="1" ht="12.75" hidden="1" customHeight="1" x14ac:dyDescent="0.2">
      <c r="A61" s="1057" t="s">
        <v>104</v>
      </c>
      <c r="B61" s="1057">
        <f>IF(B24=4,B44,0)</f>
        <v>0</v>
      </c>
      <c r="D61" s="1060">
        <f>IF(D24=4,B44,0)</f>
        <v>0</v>
      </c>
      <c r="E61" s="1057">
        <f>IF(E24=4,E44,0)</f>
        <v>0</v>
      </c>
      <c r="G61" s="1060">
        <f>IF(G24=4,E44,0)</f>
        <v>28</v>
      </c>
      <c r="H61" s="1057">
        <f>IF(H24=4,H44,0)</f>
        <v>0</v>
      </c>
      <c r="J61" s="1060">
        <f>IF(J24=4,H44,0)</f>
        <v>27</v>
      </c>
      <c r="K61" s="1060"/>
      <c r="L61" s="1057">
        <f>IF(L24=4,L44,0)</f>
        <v>0</v>
      </c>
      <c r="N61" s="1060">
        <f>IF(N24=4,L44,0)</f>
        <v>0</v>
      </c>
      <c r="O61" s="1057">
        <f>IF(O24=4,O44,0)</f>
        <v>0</v>
      </c>
      <c r="Q61" s="1060">
        <f>IF(Q24=4,O44,0)</f>
        <v>20</v>
      </c>
      <c r="R61" s="1057">
        <f>IF(R24=4,R44,0)</f>
        <v>0</v>
      </c>
      <c r="T61" s="1060">
        <f>IF(T24=4,R44,0)</f>
        <v>0</v>
      </c>
      <c r="U61" s="1057">
        <f>IF(U24=4,U44,0)</f>
        <v>0</v>
      </c>
      <c r="W61" s="1060">
        <f>IF(W24=4,U44,0)</f>
        <v>0</v>
      </c>
      <c r="X61" s="1057">
        <f>IF(X24=4,X44,0)</f>
        <v>0</v>
      </c>
      <c r="Z61" s="1060">
        <f>IF(Z24=4,X44,0)</f>
        <v>0</v>
      </c>
      <c r="AA61" s="1057">
        <f>IF(AA24=4,AA44,0)</f>
        <v>0</v>
      </c>
      <c r="AC61" s="1060">
        <f>IF(AC24=4,AA44,0)</f>
        <v>0</v>
      </c>
      <c r="AD61" s="1057">
        <f>IF(AD24=4,AD44,0)</f>
        <v>0</v>
      </c>
      <c r="AF61" s="1060">
        <f>IF(AF24=4,AD44,0)</f>
        <v>0</v>
      </c>
      <c r="AG61" s="1057">
        <f>SUM(B61:AF61)</f>
        <v>75</v>
      </c>
    </row>
    <row r="62" spans="1:38" s="1057" customFormat="1" ht="12.75" hidden="1" customHeight="1" x14ac:dyDescent="0.2">
      <c r="A62" s="1057" t="s">
        <v>105</v>
      </c>
      <c r="B62" s="1057">
        <f>IF(B24=5,B44,0)</f>
        <v>0</v>
      </c>
      <c r="D62" s="1060">
        <f>IF(D24=5,B44,0)</f>
        <v>0</v>
      </c>
      <c r="E62" s="1057">
        <f>IF(E24=5,E44,0)</f>
        <v>0</v>
      </c>
      <c r="G62" s="1060">
        <f>IF(G24=5,E44,0)</f>
        <v>0</v>
      </c>
      <c r="H62" s="1057">
        <f>IF(H24=5,H44,0)</f>
        <v>0</v>
      </c>
      <c r="J62" s="1060">
        <f>IF(J24=5,H44,0)</f>
        <v>0</v>
      </c>
      <c r="K62" s="1060"/>
      <c r="L62" s="1057">
        <f>IF(L24=5,L44,0)</f>
        <v>0</v>
      </c>
      <c r="N62" s="1060">
        <f>IF(N24=5,L44,0)</f>
        <v>0</v>
      </c>
      <c r="O62" s="1057">
        <f>IF(O24=5,O44,0)</f>
        <v>0</v>
      </c>
      <c r="Q62" s="1060">
        <f>IF(Q24=5,O44,0)</f>
        <v>0</v>
      </c>
      <c r="R62" s="1057">
        <f>IF(R24=5,R44,0)</f>
        <v>0</v>
      </c>
      <c r="T62" s="1060">
        <f>IF(T24=5,R44,0)</f>
        <v>0</v>
      </c>
      <c r="U62" s="1057">
        <f>IF(U24=5,U44,0)</f>
        <v>0</v>
      </c>
      <c r="W62" s="1060">
        <f>IF(W24=5,U44,0)</f>
        <v>0</v>
      </c>
      <c r="X62" s="1057">
        <f>IF(X24=5,X44,0)</f>
        <v>0</v>
      </c>
      <c r="Z62" s="1060">
        <f>IF(Z24=5,X44,0)</f>
        <v>0</v>
      </c>
      <c r="AA62" s="1057">
        <f>IF(AA24=5,AA44,0)</f>
        <v>0</v>
      </c>
      <c r="AC62" s="1060">
        <f>IF(AC24=5,AA44,0)</f>
        <v>0</v>
      </c>
      <c r="AD62" s="1057">
        <f>IF(AD24=5,AD44,0)</f>
        <v>0</v>
      </c>
      <c r="AF62" s="1060">
        <f>IF(AF24=5,AD44,0)</f>
        <v>0</v>
      </c>
      <c r="AG62" s="1057">
        <f>SUM(B62:AF62)</f>
        <v>0</v>
      </c>
    </row>
    <row r="63" spans="1:38" s="1057" customFormat="1" ht="38.25" hidden="1" customHeight="1" x14ac:dyDescent="0.2">
      <c r="A63" s="1057" t="s">
        <v>107</v>
      </c>
      <c r="D63" s="1060"/>
      <c r="G63" s="1060"/>
      <c r="J63" s="1060"/>
      <c r="K63" s="1060"/>
      <c r="N63" s="1060"/>
      <c r="Q63" s="1060"/>
      <c r="T63" s="1060"/>
      <c r="W63" s="1060"/>
      <c r="Z63" s="1060"/>
      <c r="AC63" s="1060"/>
      <c r="AF63" s="1060"/>
      <c r="AG63" s="1061" t="s">
        <v>108</v>
      </c>
      <c r="AH63" s="1057" t="s">
        <v>109</v>
      </c>
    </row>
    <row r="64" spans="1:38" s="1057" customFormat="1" ht="12.75" hidden="1" customHeight="1" x14ac:dyDescent="0.2">
      <c r="A64" s="1057" t="s">
        <v>95</v>
      </c>
      <c r="B64" s="1057">
        <f>IF(B24=1,SUMIF(B31:B35,"&gt;0"),0)</f>
        <v>0</v>
      </c>
      <c r="D64" s="1060">
        <f>IF(D24=1,SUMIF(D31:D35,"&gt;0"),0)</f>
        <v>0</v>
      </c>
      <c r="E64" s="1057">
        <f>IF(E24=1,SUMIF(E31:E35,"&gt;0"),0)</f>
        <v>1</v>
      </c>
      <c r="G64" s="1060">
        <f>IF(G24=1,SUMIF(G31:G35,"&gt;0"),0)</f>
        <v>0</v>
      </c>
      <c r="H64" s="1057">
        <f>IF(H24=1,SUMIF(H31:H35,"&gt;0"),0)</f>
        <v>0</v>
      </c>
      <c r="J64" s="1060">
        <f>IF(J24=1,SUMIF(J31:J35,"&gt;0"),0)</f>
        <v>0</v>
      </c>
      <c r="K64" s="1060"/>
      <c r="L64" s="1057">
        <f>IF(L24=1,SUMIF(L31:L35,"&gt;0"),0)</f>
        <v>1</v>
      </c>
      <c r="N64" s="1060">
        <f>IF(N24=1,SUMIF(N31:N35,"&gt;0"),0)</f>
        <v>0</v>
      </c>
      <c r="O64" s="1057">
        <f>IF(O24=1,SUMIF(O31:O35,"&gt;0"),0)</f>
        <v>0</v>
      </c>
      <c r="Q64" s="1060">
        <f>IF(Q24=1,SUMIF(Q31:Q35,"&gt;0"),0)</f>
        <v>0</v>
      </c>
      <c r="R64" s="1057">
        <f>IF(R24=1,SUMIF(R31:R35,"&gt;0"),0)</f>
        <v>0</v>
      </c>
      <c r="T64" s="1060">
        <f>IF(T24=1,SUMIF(T31:T35,"&gt;0"),0)</f>
        <v>0</v>
      </c>
      <c r="U64" s="1057">
        <f>IF(U24=1,SUMIF(U31:U35,"&gt;0"),0)</f>
        <v>0</v>
      </c>
      <c r="W64" s="1060">
        <f>IF(W24=1,SUMIF(W31:W35,"&gt;0"),0)</f>
        <v>0</v>
      </c>
      <c r="X64" s="1057">
        <f>IF(X24=1,SUMIF(X31:X35,"&gt;0"),0)</f>
        <v>0</v>
      </c>
      <c r="Z64" s="1060">
        <f>IF(Z24=1,SUMIF(Z31:Z35,"&gt;0"),0)</f>
        <v>0</v>
      </c>
      <c r="AA64" s="1057">
        <f>IF(AA24=1,SUMIF(AA31:AA35,"&gt;0"),0)</f>
        <v>0</v>
      </c>
      <c r="AC64" s="1060">
        <f>IF(AC24=1,SUMIF(AC31:AC35,"&gt;0"),0)</f>
        <v>0</v>
      </c>
      <c r="AD64" s="1057">
        <f>IF(AD24=1,SUMIF(AD31:AD35,"&gt;0"),0)</f>
        <v>0</v>
      </c>
      <c r="AF64" s="1060">
        <f>IF(AF24=1,SUMIF(AF31:AF35,"&gt;0"),0)</f>
        <v>0</v>
      </c>
      <c r="AG64" s="1057">
        <f>SUM(B64:AF64)</f>
        <v>2</v>
      </c>
      <c r="AH64" s="1057">
        <f>AG72-AG64</f>
        <v>1</v>
      </c>
    </row>
    <row r="65" spans="1:81" s="1057" customFormat="1" ht="12.75" hidden="1" customHeight="1" x14ac:dyDescent="0.2">
      <c r="A65" s="1057" t="s">
        <v>96</v>
      </c>
      <c r="B65" s="1057">
        <f>IF(B24=2,SUMIF(B31:B35,"&gt;0"),0)</f>
        <v>1</v>
      </c>
      <c r="D65" s="1060">
        <f>IF(D24=2,SUMIF(D31:D35,"&gt;0"),0)</f>
        <v>0</v>
      </c>
      <c r="E65" s="1057">
        <f>IF(E24=2,SUMIF(E31:E35,"&gt;0"),0)</f>
        <v>0</v>
      </c>
      <c r="G65" s="1060">
        <f>IF(G24=2,SUMIF(G31:G35,"&gt;0"),0)</f>
        <v>0</v>
      </c>
      <c r="H65" s="1057">
        <f>IF(H24=2,SUMIF(H31:H35,"&gt;0"),0)</f>
        <v>1</v>
      </c>
      <c r="J65" s="1060">
        <f>IF(J24=2,SUMIF(J31:J35,"&gt;0"),0)</f>
        <v>0</v>
      </c>
      <c r="K65" s="1060"/>
      <c r="L65" s="1057">
        <f>IF(L24=2,SUMIF(L31:L35,"&gt;0"),0)</f>
        <v>0</v>
      </c>
      <c r="N65" s="1060">
        <f>IF(N24=2,SUMIF(N31:N35,"&gt;0"),0)</f>
        <v>0</v>
      </c>
      <c r="O65" s="1057">
        <f>IF(O24=2,SUMIF(O31:O35,"&gt;0"),0)</f>
        <v>0</v>
      </c>
      <c r="Q65" s="1060">
        <f>IF(Q24=2,SUMIF(Q31:Q35,"&gt;0"),0)</f>
        <v>0</v>
      </c>
      <c r="R65" s="1057">
        <f>IF(R24=2,SUMIF(R31:R35,"&gt;0"),0)</f>
        <v>0</v>
      </c>
      <c r="T65" s="1060">
        <f>IF(T24=2,SUMIF(T31:T35,"&gt;0"),0)</f>
        <v>1</v>
      </c>
      <c r="U65" s="1057">
        <f>IF(U24=2,SUMIF(U31:U35,"&gt;0"),0)</f>
        <v>0</v>
      </c>
      <c r="W65" s="1060">
        <f>IF(W24=2,SUMIF(W31:W35,"&gt;0"),0)</f>
        <v>0</v>
      </c>
      <c r="X65" s="1057">
        <f>IF(X24=2,SUMIF(X31:X35,"&gt;0"),0)</f>
        <v>0</v>
      </c>
      <c r="Z65" s="1060">
        <f>IF(Z24=2,SUMIF(Z31:Z35,"&gt;0"),0)</f>
        <v>0</v>
      </c>
      <c r="AA65" s="1057">
        <f>IF(AA24=2,SUMIF(AA31:AA35,"&gt;0"),0)</f>
        <v>0</v>
      </c>
      <c r="AC65" s="1060">
        <f>IF(AC24=2,SUMIF(AC31:AC35,"&gt;0"),0)</f>
        <v>0</v>
      </c>
      <c r="AD65" s="1057">
        <f>IF(AD24=2,SUMIF(AD31:AD35,"&gt;0"),0)</f>
        <v>0</v>
      </c>
      <c r="AF65" s="1060">
        <f>IF(AF24=2,SUMIF(AF31:AF35,"&gt;0"),0)</f>
        <v>0</v>
      </c>
      <c r="AG65" s="1057">
        <f>SUM(B65:AF65)</f>
        <v>3</v>
      </c>
      <c r="AH65" s="1057">
        <f>AG73-AG65</f>
        <v>0</v>
      </c>
    </row>
    <row r="66" spans="1:81" s="1057" customFormat="1" ht="12.75" hidden="1" customHeight="1" x14ac:dyDescent="0.2">
      <c r="A66" s="1057" t="s">
        <v>97</v>
      </c>
      <c r="B66" s="1057">
        <f>IF(B24=3,SUMIF(B31:B35,"&gt;0"),0)</f>
        <v>0</v>
      </c>
      <c r="D66" s="1060">
        <f>IF(D24=3,SUMIF(D31:D35,"&gt;0"),0)</f>
        <v>0</v>
      </c>
      <c r="E66" s="1057">
        <f>IF(E24=3,SUMIF(E31:E35,"&gt;0"),0)</f>
        <v>0</v>
      </c>
      <c r="G66" s="1060">
        <f>IF(G24=3,SUMIF(G31:G35,"&gt;0"),0)</f>
        <v>0</v>
      </c>
      <c r="H66" s="1057">
        <f>IF(H24=3,SUMIF(H31:H35,"&gt;0"),0)</f>
        <v>0</v>
      </c>
      <c r="J66" s="1060">
        <f>IF(J24=3,SUMIF(J31:J35,"&gt;0"),0)</f>
        <v>0</v>
      </c>
      <c r="K66" s="1060"/>
      <c r="L66" s="1057">
        <f>IF(L24=3,SUMIF(L31:L35,"&gt;0"),0)</f>
        <v>0</v>
      </c>
      <c r="N66" s="1060">
        <f>IF(N24=3,SUMIF(N31:N35,"&gt;0"),0)</f>
        <v>0</v>
      </c>
      <c r="O66" s="1057">
        <f>IF(O24=3,SUMIF(O31:O35,"&gt;0"),0)</f>
        <v>1</v>
      </c>
      <c r="Q66" s="1060">
        <f>IF(Q24=3,SUMIF(Q31:Q35,"&gt;0"),0)</f>
        <v>0</v>
      </c>
      <c r="R66" s="1057">
        <f>IF(R24=3,SUMIF(R31:R35,"&gt;0"),0)</f>
        <v>0</v>
      </c>
      <c r="T66" s="1060">
        <f>IF(T24=3,SUMIF(T31:T35,"&gt;0"),0)</f>
        <v>0</v>
      </c>
      <c r="U66" s="1057">
        <f>IF(U24=3,SUMIF(U31:U35,"&gt;0"),0)</f>
        <v>0</v>
      </c>
      <c r="W66" s="1060">
        <f>IF(W24=3,SUMIF(W31:W35,"&gt;0"),0)</f>
        <v>0</v>
      </c>
      <c r="X66" s="1057">
        <f>IF(X24=3,SUMIF(X31:X35,"&gt;0"),0)</f>
        <v>0</v>
      </c>
      <c r="Z66" s="1060">
        <f>IF(Z24=3,SUMIF(Z31:Z35,"&gt;0"),0)</f>
        <v>0</v>
      </c>
      <c r="AA66" s="1057">
        <f>IF(AA24=3,SUMIF(AA31:AA35,"&gt;0"),0)</f>
        <v>0</v>
      </c>
      <c r="AC66" s="1060">
        <f>IF(AC24=3,SUMIF(AC31:AC35,"&gt;0"),0)</f>
        <v>0</v>
      </c>
      <c r="AD66" s="1057">
        <f>IF(AD24=3,SUMIF(AD31:AD35,"&gt;0"),0)</f>
        <v>0</v>
      </c>
      <c r="AF66" s="1060">
        <f>IF(AF24=3,SUMIF(AF31:AF35,"&gt;0"),0)</f>
        <v>0</v>
      </c>
      <c r="AG66" s="1057">
        <f>SUM(B66:AF66)</f>
        <v>1</v>
      </c>
      <c r="AH66" s="1057">
        <f>AG74-AG66</f>
        <v>2</v>
      </c>
    </row>
    <row r="67" spans="1:81" s="1057" customFormat="1" ht="12.75" hidden="1" customHeight="1" x14ac:dyDescent="0.2">
      <c r="A67" s="1057" t="s">
        <v>98</v>
      </c>
      <c r="B67" s="1057">
        <f>IF(B24=4,SUMIF(B31:B35,"&gt;0"),0)</f>
        <v>0</v>
      </c>
      <c r="D67" s="1060">
        <f>IF(D24=4,SUMIF(D31:D35,"&gt;0"),0)</f>
        <v>0</v>
      </c>
      <c r="E67" s="1057">
        <f>IF(E24=4,SUMIF(E31:E35,"&gt;0"),0)</f>
        <v>0</v>
      </c>
      <c r="G67" s="1060">
        <f>IF(G24=4,SUMIF(G31:G35,"&gt;0"),0)</f>
        <v>0</v>
      </c>
      <c r="H67" s="1057">
        <f>IF(H24=4,SUMIF(H31:H35,"&gt;0"),0)</f>
        <v>0</v>
      </c>
      <c r="J67" s="1060">
        <f>IF(J24=4,SUMIF(J31:J35,"&gt;0"),0)</f>
        <v>0</v>
      </c>
      <c r="K67" s="1060"/>
      <c r="L67" s="1057">
        <f>IF(L24=4,SUMIF(L31:L35,"&gt;0"),0)</f>
        <v>0</v>
      </c>
      <c r="N67" s="1060">
        <f>IF(N24=4,SUMIF(N31:N35,"&gt;0"),0)</f>
        <v>0</v>
      </c>
      <c r="O67" s="1057">
        <f>IF(O24=4,SUMIF(O31:O35,"&gt;0"),0)</f>
        <v>0</v>
      </c>
      <c r="Q67" s="1060">
        <f>IF(Q24=4,SUMIF(Q31:Q35,"&gt;0"),0)</f>
        <v>0</v>
      </c>
      <c r="R67" s="1057">
        <f>IF(R24=4,SUMIF(R31:R35,"&gt;0"),0)</f>
        <v>0</v>
      </c>
      <c r="T67" s="1060">
        <f>IF(T24=4,SUMIF(T31:T35,"&gt;0"),0)</f>
        <v>0</v>
      </c>
      <c r="U67" s="1057">
        <f>IF(U24=4,SUMIF(U31:U35,"&gt;0"),0)</f>
        <v>0</v>
      </c>
      <c r="W67" s="1060">
        <f>IF(W24=4,SUMIF(W31:W35,"&gt;0"),0)</f>
        <v>0</v>
      </c>
      <c r="X67" s="1057">
        <f>IF(X24=4,SUMIF(X31:X35,"&gt;0"),0)</f>
        <v>0</v>
      </c>
      <c r="Z67" s="1060">
        <f>IF(Z24=4,SUMIF(Z31:Z35,"&gt;0"),0)</f>
        <v>0</v>
      </c>
      <c r="AA67" s="1057">
        <f>IF(AA24=4,SUMIF(AA31:AA35,"&gt;0"),0)</f>
        <v>0</v>
      </c>
      <c r="AC67" s="1060">
        <f>IF(AC24=4,SUMIF(AC31:AC35,"&gt;0"),0)</f>
        <v>0</v>
      </c>
      <c r="AD67" s="1057">
        <f>IF(AD24=4,SUMIF(AD31:AD35,"&gt;0"),0)</f>
        <v>0</v>
      </c>
      <c r="AF67" s="1060">
        <f>IF(AF24=4,SUMIF(AF31:AF35,"&gt;0"),0)</f>
        <v>0</v>
      </c>
      <c r="AG67" s="1057">
        <f>SUM(B67:AF67)</f>
        <v>0</v>
      </c>
      <c r="AH67" s="1057">
        <f>AG75-AG67</f>
        <v>3</v>
      </c>
    </row>
    <row r="68" spans="1:81" s="1057" customFormat="1" ht="12.75" hidden="1" customHeight="1" x14ac:dyDescent="0.2">
      <c r="A68" s="1057" t="s">
        <v>99</v>
      </c>
      <c r="B68" s="1057">
        <f>IF(B24=5,SUMIF(B31:B35,"&gt;0"),0)</f>
        <v>0</v>
      </c>
      <c r="D68" s="1060">
        <f>IF(D24=5,SUMIF(D31:D35,"&gt;0"),0)</f>
        <v>0</v>
      </c>
      <c r="E68" s="1057">
        <f>IF(E24=5,SUMIF(E31:E35,"&gt;0"),0)</f>
        <v>0</v>
      </c>
      <c r="G68" s="1060">
        <f>IF(G24=5,SUMIF(G31:G35,"&gt;0"),0)</f>
        <v>0</v>
      </c>
      <c r="H68" s="1057">
        <f>IF(H24=5,SUMIF(H31:H35,"&gt;0"),0)</f>
        <v>0</v>
      </c>
      <c r="J68" s="1060">
        <f>IF(J24=5,SUMIF(J31:J35,"&gt;0"),0)</f>
        <v>0</v>
      </c>
      <c r="K68" s="1060"/>
      <c r="L68" s="1057">
        <f>IF(L24=5,SUMIF(L31:L35,"&gt;0"),0)</f>
        <v>0</v>
      </c>
      <c r="N68" s="1060">
        <f>IF(N24=5,SUMIF(N31:N35,"&gt;0"),0)</f>
        <v>0</v>
      </c>
      <c r="O68" s="1057">
        <f>IF(O24=5,SUMIF(O31:O35,"&gt;0"),0)</f>
        <v>0</v>
      </c>
      <c r="Q68" s="1060">
        <f>IF(Q24=5,SUMIF(Q31:Q35,"&gt;0"),0)</f>
        <v>0</v>
      </c>
      <c r="R68" s="1057">
        <f>IF(R24=5,SUMIF(R31:R35,"&gt;0"),0)</f>
        <v>0</v>
      </c>
      <c r="T68" s="1060">
        <f>IF(T24=5,SUMIF(T31:T35,"&gt;0"),0)</f>
        <v>0</v>
      </c>
      <c r="U68" s="1057">
        <f>IF(U24=5,SUMIF(U31:U35,"&gt;0"),0)</f>
        <v>0</v>
      </c>
      <c r="W68" s="1060">
        <f>IF(W24=5,SUMIF(W31:W35,"&gt;0"),0)</f>
        <v>0</v>
      </c>
      <c r="X68" s="1057">
        <f>IF(X24=5,SUMIF(X31:X35,"&gt;0"),0)</f>
        <v>0</v>
      </c>
      <c r="Z68" s="1060">
        <f>IF(Z24=5,SUMIF(Z31:Z35,"&gt;0"),0)</f>
        <v>0</v>
      </c>
      <c r="AA68" s="1057">
        <f>IF(AA24=5,SUMIF(AA31:AA35,"&gt;0"),0)</f>
        <v>0</v>
      </c>
      <c r="AC68" s="1060">
        <f>IF(AC24=5,SUMIF(AC31:AC35,"&gt;0"),0)</f>
        <v>0</v>
      </c>
      <c r="AD68" s="1057">
        <f>IF(AD24=5,SUMIF(AD31:AD35,"&gt;0"),0)</f>
        <v>0</v>
      </c>
      <c r="AF68" s="1060">
        <f>IF(AF24=5,SUMIF(AF31:AF35,"&gt;0"),0)</f>
        <v>0</v>
      </c>
      <c r="AG68" s="1057">
        <f>SUM(B68:AF68)</f>
        <v>0</v>
      </c>
      <c r="AH68" s="1057">
        <f>AG76-AG68</f>
        <v>0</v>
      </c>
    </row>
    <row r="69" spans="1:81" s="1057" customFormat="1" ht="12.75" hidden="1" customHeight="1" x14ac:dyDescent="0.2">
      <c r="D69" s="1060"/>
      <c r="G69" s="1060"/>
      <c r="J69" s="1060"/>
      <c r="K69" s="1060"/>
      <c r="N69" s="1060"/>
      <c r="Q69" s="1060"/>
      <c r="T69" s="1060"/>
      <c r="W69" s="1060"/>
      <c r="Z69" s="1060"/>
      <c r="AC69" s="1060"/>
      <c r="AF69" s="1060"/>
    </row>
    <row r="70" spans="1:81" s="1057" customFormat="1" ht="12.75" hidden="1" customHeight="1" x14ac:dyDescent="0.2">
      <c r="D70" s="1060"/>
      <c r="G70" s="1060"/>
      <c r="J70" s="1060"/>
      <c r="K70" s="1060"/>
      <c r="N70" s="1060"/>
      <c r="Q70" s="1060"/>
      <c r="T70" s="1060"/>
      <c r="W70" s="1060"/>
      <c r="Z70" s="1060"/>
      <c r="AC70" s="1060"/>
      <c r="AF70" s="1060"/>
    </row>
    <row r="71" spans="1:81" s="1057" customFormat="1" ht="51" hidden="1" customHeight="1" x14ac:dyDescent="0.2">
      <c r="A71" s="1061" t="s">
        <v>110</v>
      </c>
      <c r="C71" s="1057">
        <f>SUMIF(B64:D68,"&gt;0")</f>
        <v>1</v>
      </c>
      <c r="D71" s="1060"/>
      <c r="F71" s="1057">
        <f>SUMIF(E64:G68,"&gt;0")</f>
        <v>1</v>
      </c>
      <c r="G71" s="1060"/>
      <c r="I71" s="1057">
        <f>SUMIF(H64:J68,"&gt;0")</f>
        <v>1</v>
      </c>
      <c r="J71" s="1060"/>
      <c r="K71" s="1060"/>
      <c r="M71" s="1057">
        <f>SUMIF(L64:N68,"&gt;0")</f>
        <v>1</v>
      </c>
      <c r="N71" s="1060"/>
      <c r="P71" s="1057">
        <f>SUMIF(O64:Q68,"&gt;0")</f>
        <v>1</v>
      </c>
      <c r="Q71" s="1060"/>
      <c r="S71" s="1057">
        <f>SUMIF(R64:T68,"&gt;0")</f>
        <v>1</v>
      </c>
      <c r="T71" s="1060"/>
      <c r="V71" s="1057">
        <f>SUMIF(U64:W68,"&gt;0")</f>
        <v>0</v>
      </c>
      <c r="W71" s="1060"/>
      <c r="Y71" s="1057">
        <f>SUMIF(X64:Z68,"&gt;0")</f>
        <v>0</v>
      </c>
      <c r="Z71" s="1060"/>
      <c r="AB71" s="1057">
        <f>SUMIF(AA64:AC68,"&gt;0")</f>
        <v>0</v>
      </c>
      <c r="AC71" s="1060"/>
      <c r="AE71" s="1057">
        <f>SUMIF(AD64:AF68,"&gt;0")</f>
        <v>0</v>
      </c>
      <c r="AF71" s="1060"/>
      <c r="AG71" s="1061" t="s">
        <v>111</v>
      </c>
    </row>
    <row r="72" spans="1:81" s="1057" customFormat="1" ht="12.75" hidden="1" customHeight="1" x14ac:dyDescent="0.2">
      <c r="A72" s="1057" t="s">
        <v>101</v>
      </c>
      <c r="B72" s="1057">
        <f>IF(B24=1,C71,0)</f>
        <v>0</v>
      </c>
      <c r="D72" s="1060">
        <f>IF(D24=1,C71,0)</f>
        <v>0</v>
      </c>
      <c r="E72" s="1057">
        <f>IF(E24=1,F71,0)</f>
        <v>1</v>
      </c>
      <c r="G72" s="1060">
        <f>IF(G24=1,F71,0)</f>
        <v>0</v>
      </c>
      <c r="H72" s="1057">
        <f>IF(H24=1,I71,0)</f>
        <v>0</v>
      </c>
      <c r="J72" s="1060">
        <f>IF(J24=1,I71,0)</f>
        <v>0</v>
      </c>
      <c r="K72" s="1060"/>
      <c r="L72" s="1057">
        <f>IF(L24=1,M71,0)</f>
        <v>1</v>
      </c>
      <c r="N72" s="1060">
        <f>IF(N24=1,M71,0)</f>
        <v>0</v>
      </c>
      <c r="O72" s="1057">
        <f>IF(O24=1,P71,0)</f>
        <v>0</v>
      </c>
      <c r="Q72" s="1060">
        <f>IF(Q24=1,P71,0)</f>
        <v>0</v>
      </c>
      <c r="R72" s="1057">
        <f>IF(R24=1,S71,0)</f>
        <v>1</v>
      </c>
      <c r="T72" s="1060">
        <f>IF(T24=1,S71,0)</f>
        <v>0</v>
      </c>
      <c r="U72" s="1057">
        <f>IF(U24=1,V71,0)</f>
        <v>0</v>
      </c>
      <c r="W72" s="1060">
        <f>IF(W24=1,V71,0)</f>
        <v>0</v>
      </c>
      <c r="X72" s="1057">
        <f>IF(X24=1,Y71,0)</f>
        <v>0</v>
      </c>
      <c r="Z72" s="1060">
        <f>IF(Z24=1,Y71,0)</f>
        <v>0</v>
      </c>
      <c r="AA72" s="1057">
        <f>IF(AA24=1,AB71,0)</f>
        <v>0</v>
      </c>
      <c r="AC72" s="1060">
        <f>IF(AC24=1,AB71,0)</f>
        <v>0</v>
      </c>
      <c r="AD72" s="1057">
        <f>IF(AD24=1,AE71,0)</f>
        <v>0</v>
      </c>
      <c r="AF72" s="1060">
        <f>IF(AF24=1,AE71,0)</f>
        <v>0</v>
      </c>
      <c r="AG72" s="1057">
        <f>SUM(B72:AF72)</f>
        <v>3</v>
      </c>
    </row>
    <row r="73" spans="1:81" s="1057" customFormat="1" ht="12.75" hidden="1" customHeight="1" x14ac:dyDescent="0.2">
      <c r="A73" s="1057" t="s">
        <v>102</v>
      </c>
      <c r="B73" s="1057">
        <f>IF(B24=2,C71,0)</f>
        <v>1</v>
      </c>
      <c r="D73" s="1060">
        <f>IF(D24=2,C71,0)</f>
        <v>0</v>
      </c>
      <c r="E73" s="1057">
        <f>IF(E24=2,F71,0)</f>
        <v>0</v>
      </c>
      <c r="G73" s="1060">
        <f>IF(G24=2,F71,0)</f>
        <v>0</v>
      </c>
      <c r="H73" s="1057">
        <f>IF(H24=2,I71,0)</f>
        <v>1</v>
      </c>
      <c r="J73" s="1060">
        <f>IF(J24=2,I71,0)</f>
        <v>0</v>
      </c>
      <c r="K73" s="1060"/>
      <c r="L73" s="1057">
        <f>IF(L24=2,M71,0)</f>
        <v>0</v>
      </c>
      <c r="N73" s="1060">
        <f>IF(N24=2,M71,0)</f>
        <v>0</v>
      </c>
      <c r="O73" s="1057">
        <f>IF(O24=2,P71,0)</f>
        <v>0</v>
      </c>
      <c r="Q73" s="1060">
        <f>IF(Q24=2,P71,0)</f>
        <v>0</v>
      </c>
      <c r="R73" s="1057">
        <f>IF(R24=2,S71,0)</f>
        <v>0</v>
      </c>
      <c r="T73" s="1060">
        <f>IF(T24=2,S71,0)</f>
        <v>1</v>
      </c>
      <c r="U73" s="1057">
        <f>IF(U24=2,V71,0)</f>
        <v>0</v>
      </c>
      <c r="W73" s="1060">
        <f>IF(W24=2,V71,0)</f>
        <v>0</v>
      </c>
      <c r="X73" s="1057">
        <f>IF(X24=2,Y71,0)</f>
        <v>0</v>
      </c>
      <c r="Z73" s="1060">
        <f>IF(Z24=2,Y71,0)</f>
        <v>0</v>
      </c>
      <c r="AA73" s="1057">
        <f>IF(AA24=2,AB71,0)</f>
        <v>0</v>
      </c>
      <c r="AC73" s="1060">
        <f>IF(AC24=2,AB71,0)</f>
        <v>0</v>
      </c>
      <c r="AD73" s="1057">
        <f>IF(AD24=2,AE71,0)</f>
        <v>0</v>
      </c>
      <c r="AF73" s="1060">
        <f>IF(AF24=2,AE71,0)</f>
        <v>0</v>
      </c>
      <c r="AG73" s="1057">
        <f>SUM(B73:AF73)</f>
        <v>3</v>
      </c>
    </row>
    <row r="74" spans="1:81" s="1057" customFormat="1" ht="12.75" hidden="1" customHeight="1" x14ac:dyDescent="0.2">
      <c r="A74" s="1057" t="s">
        <v>103</v>
      </c>
      <c r="B74" s="1057">
        <f>IF(B24=3,C71,0)</f>
        <v>0</v>
      </c>
      <c r="D74" s="1060">
        <f>IF(D24=3,C71,0)</f>
        <v>1</v>
      </c>
      <c r="E74" s="1057">
        <f>IF(E24=3,F71,0)</f>
        <v>0</v>
      </c>
      <c r="G74" s="1060">
        <f>IF(G24=3,F71,0)</f>
        <v>0</v>
      </c>
      <c r="H74" s="1057">
        <f>IF(H24=3,I71,0)</f>
        <v>0</v>
      </c>
      <c r="J74" s="1060">
        <f>IF(J24=3,I71,0)</f>
        <v>0</v>
      </c>
      <c r="K74" s="1060"/>
      <c r="L74" s="1057">
        <f>IF(L24=3,M71,0)</f>
        <v>0</v>
      </c>
      <c r="N74" s="1060">
        <f>IF(N24=3,M71,0)</f>
        <v>1</v>
      </c>
      <c r="O74" s="1057">
        <f>IF(O24=3,P71,0)</f>
        <v>1</v>
      </c>
      <c r="Q74" s="1060">
        <f>IF(Q24=3,P71,0)</f>
        <v>0</v>
      </c>
      <c r="R74" s="1057">
        <f>IF(R24=3,S71,0)</f>
        <v>0</v>
      </c>
      <c r="T74" s="1060">
        <f>IF(T24=3,S71,0)</f>
        <v>0</v>
      </c>
      <c r="U74" s="1057">
        <f>IF(U24=3,V71,0)</f>
        <v>0</v>
      </c>
      <c r="W74" s="1060">
        <f>IF(W24=3,V71,0)</f>
        <v>0</v>
      </c>
      <c r="X74" s="1057">
        <f>IF(X24=3,Y71,0)</f>
        <v>0</v>
      </c>
      <c r="Z74" s="1060">
        <f>IF(Z24=3,Y71,0)</f>
        <v>0</v>
      </c>
      <c r="AA74" s="1057">
        <f>IF(AA24=3,AB71,0)</f>
        <v>0</v>
      </c>
      <c r="AC74" s="1060">
        <f>IF(AC24=3,AB71,0)</f>
        <v>0</v>
      </c>
      <c r="AD74" s="1057">
        <f>IF(AD24=3,AE71,0)</f>
        <v>0</v>
      </c>
      <c r="AF74" s="1060">
        <f>IF(AF24=3,AE71,0)</f>
        <v>0</v>
      </c>
      <c r="AG74" s="1057">
        <f>SUM(B74:AF74)</f>
        <v>3</v>
      </c>
    </row>
    <row r="75" spans="1:81" s="1057" customFormat="1" ht="12.75" hidden="1" customHeight="1" x14ac:dyDescent="0.2">
      <c r="A75" s="1057" t="s">
        <v>104</v>
      </c>
      <c r="B75" s="1057">
        <f>IF(B24=4,C71,0)</f>
        <v>0</v>
      </c>
      <c r="D75" s="1060">
        <f>IF(D24=4,C71,0)</f>
        <v>0</v>
      </c>
      <c r="E75" s="1057">
        <f>IF(E24=4,F71,0)</f>
        <v>0</v>
      </c>
      <c r="G75" s="1060">
        <f>IF(G24=4,F71,0)</f>
        <v>1</v>
      </c>
      <c r="H75" s="1057">
        <f>IF(H24=4,I71,0)</f>
        <v>0</v>
      </c>
      <c r="J75" s="1060">
        <f>IF(J24=4,I71,0)</f>
        <v>1</v>
      </c>
      <c r="K75" s="1060"/>
      <c r="L75" s="1057">
        <f>IF(L24=4,M71,0)</f>
        <v>0</v>
      </c>
      <c r="N75" s="1060">
        <f>IF(N24=4,M71,0)</f>
        <v>0</v>
      </c>
      <c r="O75" s="1057">
        <f>IF(O24=4,P71,0)</f>
        <v>0</v>
      </c>
      <c r="Q75" s="1060">
        <f>IF(Q24=4,P71,0)</f>
        <v>1</v>
      </c>
      <c r="R75" s="1057">
        <f>IF(R24=4,S71,0)</f>
        <v>0</v>
      </c>
      <c r="T75" s="1060">
        <f>IF(T24=4,S71,0)</f>
        <v>0</v>
      </c>
      <c r="U75" s="1057">
        <f>IF(U24=4,V71,0)</f>
        <v>0</v>
      </c>
      <c r="W75" s="1060">
        <f>IF(W24=4,V71,0)</f>
        <v>0</v>
      </c>
      <c r="X75" s="1057">
        <f>IF(X24=4,Y71,0)</f>
        <v>0</v>
      </c>
      <c r="Z75" s="1060">
        <f>IF(Z24=4,Y71,0)</f>
        <v>0</v>
      </c>
      <c r="AA75" s="1057">
        <f>IF(AA24=4,AB71,0)</f>
        <v>0</v>
      </c>
      <c r="AC75" s="1060">
        <f>IF(AC24=4,AB71,0)</f>
        <v>0</v>
      </c>
      <c r="AD75" s="1057">
        <f>IF(AD24=4,AE71,0)</f>
        <v>0</v>
      </c>
      <c r="AF75" s="1060">
        <f>IF(AF24=4,AE71,0)</f>
        <v>0</v>
      </c>
      <c r="AG75" s="1057">
        <f>SUM(B75:AF75)</f>
        <v>3</v>
      </c>
    </row>
    <row r="76" spans="1:81" s="1057" customFormat="1" ht="12.75" hidden="1" customHeight="1" x14ac:dyDescent="0.2">
      <c r="A76" s="1057" t="s">
        <v>105</v>
      </c>
      <c r="B76" s="1057">
        <f>IF(B24=5,C71,0)</f>
        <v>0</v>
      </c>
      <c r="D76" s="1060">
        <f>IF(D24=5,C71,0)</f>
        <v>0</v>
      </c>
      <c r="E76" s="1057">
        <f>IF(E24=5,F71,0)</f>
        <v>0</v>
      </c>
      <c r="G76" s="1060">
        <f>IF(G24=5,F71,0)</f>
        <v>0</v>
      </c>
      <c r="H76" s="1057">
        <f>IF(H24=5,I71,0)</f>
        <v>0</v>
      </c>
      <c r="J76" s="1060">
        <f>IF(J24=5,I71,0)</f>
        <v>0</v>
      </c>
      <c r="K76" s="1060"/>
      <c r="L76" s="1057">
        <f>IF(L24=5,M71,0)</f>
        <v>0</v>
      </c>
      <c r="N76" s="1060">
        <f>IF(N24=5,M71,0)</f>
        <v>0</v>
      </c>
      <c r="O76" s="1057">
        <f>IF(O24=5,P71,0)</f>
        <v>0</v>
      </c>
      <c r="Q76" s="1060">
        <f>IF(Q24=5,P71,0)</f>
        <v>0</v>
      </c>
      <c r="R76" s="1057">
        <f>IF(R24=5,S71,0)</f>
        <v>0</v>
      </c>
      <c r="T76" s="1060">
        <f>IF(T24=5,S71,0)</f>
        <v>0</v>
      </c>
      <c r="U76" s="1057">
        <f>IF(U24=5,V71,0)</f>
        <v>0</v>
      </c>
      <c r="W76" s="1060">
        <f>IF(W24=5,V71,0)</f>
        <v>0</v>
      </c>
      <c r="X76" s="1057">
        <f>IF(X24=5,Y71,0)</f>
        <v>0</v>
      </c>
      <c r="Z76" s="1060">
        <f>IF(Z24=5,Y71,0)</f>
        <v>0</v>
      </c>
      <c r="AA76" s="1057">
        <f>IF(AA24=5,AB71,0)</f>
        <v>0</v>
      </c>
      <c r="AC76" s="1060">
        <f>IF(AC24=5,AB71,0)</f>
        <v>0</v>
      </c>
      <c r="AD76" s="1057">
        <f>IF(AD24=5,AE71,0)</f>
        <v>0</v>
      </c>
      <c r="AF76" s="1060">
        <f>IF(AF24=5,AE71,0)</f>
        <v>0</v>
      </c>
      <c r="AG76" s="1057">
        <f>SUM(B76:AF76)</f>
        <v>0</v>
      </c>
    </row>
    <row r="77" spans="1:81" hidden="1" x14ac:dyDescent="0.2">
      <c r="A77" s="1063"/>
      <c r="B77" s="1063"/>
      <c r="C77" s="1063"/>
      <c r="D77" s="1063"/>
      <c r="E77" s="1063"/>
      <c r="F77" s="1063"/>
      <c r="G77" s="1063"/>
      <c r="H77" s="1063"/>
      <c r="I77" s="1063"/>
      <c r="J77" s="1063"/>
      <c r="K77" s="1063"/>
      <c r="L77" s="1063"/>
      <c r="M77" s="1063"/>
      <c r="N77" s="1063"/>
      <c r="O77" s="1063"/>
      <c r="P77" s="1063"/>
      <c r="Q77" s="1063"/>
      <c r="R77" s="1063"/>
      <c r="S77" s="1063"/>
      <c r="T77" s="1063"/>
      <c r="U77" s="1063"/>
      <c r="V77" s="1063"/>
      <c r="W77" s="1063"/>
      <c r="X77" s="1063"/>
      <c r="Y77" s="1063"/>
      <c r="Z77" s="1063"/>
      <c r="AA77" s="1063"/>
      <c r="AB77" s="1063"/>
      <c r="AC77" s="1063"/>
      <c r="AD77" s="1063"/>
      <c r="AE77" s="1063"/>
      <c r="AF77" s="1063"/>
      <c r="AG77" s="1063"/>
      <c r="AH77" s="1063"/>
      <c r="AI77" s="1063"/>
      <c r="AJ77" s="1063"/>
      <c r="AK77" s="1063"/>
      <c r="AL77" s="1063"/>
      <c r="AM77" s="1063"/>
      <c r="AN77" s="1063"/>
      <c r="AO77" s="1064"/>
      <c r="AP77" s="1064"/>
      <c r="AQ77" s="1064"/>
      <c r="AR77" s="1064"/>
      <c r="AS77" s="1065"/>
      <c r="AT77" s="1065"/>
      <c r="AU77" s="1065"/>
      <c r="AV77" s="1065"/>
      <c r="AW77" s="1066"/>
      <c r="BB77" s="1066"/>
      <c r="BE77" s="1066"/>
      <c r="BH77" s="1066"/>
      <c r="BK77" s="1066"/>
      <c r="BN77" s="1066"/>
      <c r="BQ77" s="1066"/>
      <c r="BT77" s="1066"/>
      <c r="BW77" s="1066"/>
      <c r="BZ77" s="1066"/>
      <c r="CC77" s="1066"/>
    </row>
    <row r="78" spans="1:81" s="1065" customFormat="1" hidden="1" x14ac:dyDescent="0.2">
      <c r="A78" s="1067"/>
      <c r="B78" s="1067"/>
      <c r="C78" s="1067" t="s">
        <v>112</v>
      </c>
      <c r="D78" s="1067">
        <v>1</v>
      </c>
      <c r="E78" s="1067"/>
      <c r="F78" s="1067"/>
      <c r="G78" s="1067">
        <v>2</v>
      </c>
      <c r="H78" s="1067"/>
      <c r="I78" s="1067"/>
      <c r="J78" s="1067">
        <v>3</v>
      </c>
      <c r="K78" s="1067"/>
      <c r="L78" s="1067"/>
      <c r="M78" s="1067"/>
      <c r="N78" s="1067">
        <v>4</v>
      </c>
      <c r="O78" s="1067"/>
      <c r="P78" s="1067"/>
      <c r="Q78" s="1067">
        <v>5</v>
      </c>
      <c r="R78" s="1067"/>
      <c r="S78" s="1067"/>
      <c r="T78" s="1067">
        <v>6</v>
      </c>
      <c r="U78" s="1067"/>
      <c r="V78" s="1067"/>
      <c r="W78" s="1067">
        <v>7</v>
      </c>
      <c r="X78" s="1067"/>
      <c r="Y78" s="1067"/>
      <c r="Z78" s="1067">
        <v>8</v>
      </c>
      <c r="AA78" s="1067"/>
      <c r="AB78" s="1067"/>
      <c r="AC78" s="1067">
        <v>9</v>
      </c>
      <c r="AD78" s="1067"/>
      <c r="AE78" s="1067"/>
      <c r="AF78" s="1067">
        <v>10</v>
      </c>
      <c r="AG78" s="846"/>
      <c r="AH78" s="1067"/>
      <c r="AJ78" s="1068"/>
      <c r="AK78" s="846"/>
      <c r="AL78" s="846"/>
      <c r="AM78" s="846"/>
      <c r="AN78" s="846"/>
      <c r="AO78" s="846"/>
      <c r="AP78" s="846"/>
      <c r="AT78" s="1068" t="s">
        <v>113</v>
      </c>
      <c r="AW78" s="1069"/>
      <c r="BB78" s="1069"/>
      <c r="BE78" s="1069"/>
      <c r="BH78" s="1069"/>
      <c r="BK78" s="1069"/>
      <c r="BN78" s="1069"/>
      <c r="BQ78" s="1069"/>
      <c r="BT78" s="1069"/>
      <c r="BW78" s="1069"/>
      <c r="BZ78" s="1069"/>
      <c r="CC78" s="1069"/>
    </row>
    <row r="79" spans="1:81" s="1065" customFormat="1" hidden="1" x14ac:dyDescent="0.2">
      <c r="A79" s="1070">
        <v>1</v>
      </c>
      <c r="B79" s="1070" t="str">
        <f>E8</f>
        <v>Kershaw Dev 12 Black</v>
      </c>
      <c r="C79" s="1070">
        <f>VLOOKUP(B79,AU$3:AY$33,3,FALSE)</f>
        <v>1200</v>
      </c>
      <c r="D79" s="1070">
        <f>IF(B72,B87,IF(D72,D87,C79))</f>
        <v>1200</v>
      </c>
      <c r="E79" s="1070"/>
      <c r="F79" s="1070"/>
      <c r="G79" s="1070">
        <f>IF(E72,E87,IF(G72,G87,D79))</f>
        <v>1213.932163347901</v>
      </c>
      <c r="H79" s="1070"/>
      <c r="I79" s="1070"/>
      <c r="J79" s="1070">
        <f>IF(H72,H87,IF(J72,J87,G79))</f>
        <v>1213.932163347901</v>
      </c>
      <c r="K79" s="1070"/>
      <c r="L79" s="1070"/>
      <c r="M79" s="1070"/>
      <c r="N79" s="1070">
        <f>IF(L72,L87,IF(N72,N87,J79))</f>
        <v>1229.6835913587652</v>
      </c>
      <c r="O79" s="1070"/>
      <c r="P79" s="1070"/>
      <c r="Q79" s="1070">
        <f>IF(O72,O87,IF(Q72,Q87,N79))</f>
        <v>1229.6835913587652</v>
      </c>
      <c r="R79" s="1070"/>
      <c r="S79" s="1070"/>
      <c r="T79" s="1070">
        <f>IF(R72,R87,IF(T72,T87,Q79))</f>
        <v>1212.6846745768064</v>
      </c>
      <c r="U79" s="1070"/>
      <c r="V79" s="1070"/>
      <c r="W79" s="1070">
        <f>IF(U72,U87,IF(W72,W87,T79))</f>
        <v>1212.6846745768064</v>
      </c>
      <c r="X79" s="1070"/>
      <c r="Y79" s="1070"/>
      <c r="Z79" s="1070">
        <f>IF(X72,X87,IF(Z72,Z87,W79))</f>
        <v>1212.6846745768064</v>
      </c>
      <c r="AA79" s="1070"/>
      <c r="AB79" s="1070"/>
      <c r="AC79" s="1070">
        <f>IF(AA72,AA87,IF(AC72,AC87,Z79))</f>
        <v>1212.6846745768064</v>
      </c>
      <c r="AD79" s="1070"/>
      <c r="AE79" s="1070"/>
      <c r="AF79" s="1070">
        <f>IF(AD72,AD87,IF(AF72,AF87,AC79))</f>
        <v>1212.6846745768064</v>
      </c>
      <c r="AG79" s="846"/>
      <c r="AH79" s="846"/>
      <c r="AK79" s="846"/>
      <c r="AL79" s="846"/>
      <c r="AM79" s="846"/>
      <c r="AN79" s="846"/>
      <c r="AO79" s="846"/>
      <c r="AP79" s="846"/>
      <c r="AT79" s="1065" t="str">
        <f>B79</f>
        <v>Kershaw Dev 12 Black</v>
      </c>
      <c r="AU79" s="1065">
        <f>AF79</f>
        <v>1212.6846745768064</v>
      </c>
      <c r="AW79" s="1069"/>
      <c r="BB79" s="1069"/>
      <c r="BE79" s="1069"/>
      <c r="BH79" s="1069"/>
      <c r="BK79" s="1069"/>
      <c r="BN79" s="1069"/>
      <c r="BQ79" s="1069"/>
      <c r="BT79" s="1069"/>
      <c r="BW79" s="1069"/>
      <c r="BZ79" s="1069"/>
      <c r="CC79" s="1069"/>
    </row>
    <row r="80" spans="1:81" s="1065" customFormat="1" hidden="1" x14ac:dyDescent="0.2">
      <c r="A80" s="1070">
        <v>2</v>
      </c>
      <c r="B80" s="1070" t="str">
        <f>E10</f>
        <v>SC Midlands KP Garnet</v>
      </c>
      <c r="C80" s="1070">
        <f>VLOOKUP(B80,AU$3:AY$33,3,FALSE)</f>
        <v>1176.0869382150693</v>
      </c>
      <c r="D80" s="1070">
        <f>IF(B73,B87,IF(D73,D87,C80))</f>
        <v>1194.4084192262685</v>
      </c>
      <c r="E80" s="1070"/>
      <c r="F80" s="1070"/>
      <c r="G80" s="1070">
        <f>IF(E73,E87,IF(G73,G87,D80))</f>
        <v>1194.4084192262685</v>
      </c>
      <c r="H80" s="1070"/>
      <c r="I80" s="1070"/>
      <c r="J80" s="1070">
        <f>IF(H73,H87,IF(J73,J87,G80))</f>
        <v>1207.9641403526343</v>
      </c>
      <c r="K80" s="1070"/>
      <c r="L80" s="1070"/>
      <c r="M80" s="1070"/>
      <c r="N80" s="1070">
        <f>IF(L73,L87,IF(N73,N87,J80))</f>
        <v>1207.9641403526343</v>
      </c>
      <c r="O80" s="1070"/>
      <c r="P80" s="1070"/>
      <c r="Q80" s="1070">
        <f>IF(O73,O87,IF(Q73,Q87,N80))</f>
        <v>1207.9641403526343</v>
      </c>
      <c r="R80" s="1070"/>
      <c r="S80" s="1070"/>
      <c r="T80" s="1070">
        <f>IF(R73,R87,IF(T73,T87,Q80))</f>
        <v>1224.9630571345931</v>
      </c>
      <c r="U80" s="1070"/>
      <c r="V80" s="1070"/>
      <c r="W80" s="1070">
        <f>IF(U73,U87,IF(W73,W87,T80))</f>
        <v>1224.9630571345931</v>
      </c>
      <c r="X80" s="1070"/>
      <c r="Y80" s="1070"/>
      <c r="Z80" s="1070">
        <f>IF(X73,X87,IF(Z73,Z87,W80))</f>
        <v>1224.9630571345931</v>
      </c>
      <c r="AA80" s="1070"/>
      <c r="AB80" s="1070"/>
      <c r="AC80" s="1070">
        <f>IF(AA73,AA87,IF(AC73,AC87,Z80))</f>
        <v>1224.9630571345931</v>
      </c>
      <c r="AD80" s="1070"/>
      <c r="AE80" s="1070"/>
      <c r="AF80" s="1070">
        <f>IF(AD73,AD87,IF(AF73,AF87,AC80))</f>
        <v>1224.9630571345931</v>
      </c>
      <c r="AG80" s="846"/>
      <c r="AH80" s="846"/>
      <c r="AK80" s="846"/>
      <c r="AM80" s="846"/>
      <c r="AN80" s="846"/>
      <c r="AO80" s="846"/>
      <c r="AP80" s="846"/>
      <c r="AT80" s="1065" t="str">
        <f>B80</f>
        <v>SC Midlands KP Garnet</v>
      </c>
      <c r="AU80" s="1065">
        <f>AF80</f>
        <v>1224.9630571345931</v>
      </c>
      <c r="AW80" s="1069"/>
      <c r="BB80" s="1069"/>
      <c r="BE80" s="1069"/>
      <c r="BH80" s="1069"/>
      <c r="BK80" s="1069"/>
      <c r="BN80" s="1069"/>
      <c r="BQ80" s="1069"/>
      <c r="BT80" s="1069"/>
      <c r="BW80" s="1069"/>
      <c r="BZ80" s="1069"/>
      <c r="CC80" s="1069"/>
    </row>
    <row r="81" spans="1:81" s="1065" customFormat="1" hidden="1" x14ac:dyDescent="0.2">
      <c r="A81" s="1070">
        <v>3</v>
      </c>
      <c r="B81" s="1070" t="str">
        <f>E12</f>
        <v>SC Midlands KP Silver</v>
      </c>
      <c r="C81" s="1070">
        <f>VLOOKUP(B81,AU$3:AY$33,3,FALSE)</f>
        <v>1226.8555378745032</v>
      </c>
      <c r="D81" s="1070">
        <f>IF(B74,B87,IF(D74,D87,C81))</f>
        <v>1208.5340568633039</v>
      </c>
      <c r="E81" s="1070"/>
      <c r="F81" s="1070"/>
      <c r="G81" s="1070">
        <f>IF(E74,E87,IF(G74,G87,D81))</f>
        <v>1208.5340568633039</v>
      </c>
      <c r="H81" s="1070"/>
      <c r="I81" s="1070"/>
      <c r="J81" s="1070">
        <f>IF(H74,H87,IF(J74,J87,G81))</f>
        <v>1208.5340568633039</v>
      </c>
      <c r="K81" s="1070"/>
      <c r="L81" s="1070"/>
      <c r="M81" s="1070"/>
      <c r="N81" s="1070">
        <f>IF(L74,L87,IF(N74,N87,J81))</f>
        <v>1192.7826288524398</v>
      </c>
      <c r="O81" s="1070"/>
      <c r="P81" s="1070"/>
      <c r="Q81" s="1070">
        <f>IF(O74,O87,IF(Q74,Q87,N81))</f>
        <v>1205.8047865865301</v>
      </c>
      <c r="R81" s="1070"/>
      <c r="S81" s="1070"/>
      <c r="T81" s="1070">
        <f>IF(R74,R87,IF(T74,T87,Q81))</f>
        <v>1205.8047865865301</v>
      </c>
      <c r="U81" s="1070"/>
      <c r="V81" s="1070"/>
      <c r="W81" s="1070">
        <f>IF(U74,U87,IF(W74,W87,T81))</f>
        <v>1205.8047865865301</v>
      </c>
      <c r="X81" s="1070"/>
      <c r="Y81" s="1070"/>
      <c r="Z81" s="1070">
        <f>IF(X74,X87,IF(Z74,Z87,W81))</f>
        <v>1205.8047865865301</v>
      </c>
      <c r="AA81" s="1070"/>
      <c r="AB81" s="1070"/>
      <c r="AC81" s="1070">
        <f>IF(AA74,AA87,IF(AC74,AC87,Z81))</f>
        <v>1205.8047865865301</v>
      </c>
      <c r="AD81" s="1070"/>
      <c r="AE81" s="1070"/>
      <c r="AF81" s="1070">
        <f>IF(AD74,AD87,IF(AF74,AF87,AC81))</f>
        <v>1205.8047865865301</v>
      </c>
      <c r="AG81" s="846"/>
      <c r="AH81" s="846"/>
      <c r="AK81" s="846"/>
      <c r="AM81" s="846"/>
      <c r="AN81" s="846"/>
      <c r="AO81" s="846"/>
      <c r="AP81" s="846"/>
      <c r="AT81" s="1065" t="str">
        <f>B81</f>
        <v>SC Midlands KP Silver</v>
      </c>
      <c r="AU81" s="1065">
        <f>AF81</f>
        <v>1205.8047865865301</v>
      </c>
      <c r="AW81" s="1069"/>
      <c r="BB81" s="1069"/>
      <c r="BE81" s="1069"/>
      <c r="BH81" s="1069"/>
      <c r="BK81" s="1069"/>
      <c r="BN81" s="1069"/>
      <c r="BQ81" s="1069"/>
      <c r="BT81" s="1069"/>
      <c r="BW81" s="1069"/>
      <c r="BZ81" s="1069"/>
      <c r="CC81" s="1069"/>
    </row>
    <row r="82" spans="1:81" s="1065" customFormat="1" hidden="1" x14ac:dyDescent="0.2">
      <c r="A82" s="1070">
        <v>4</v>
      </c>
      <c r="B82" s="1070" t="str">
        <f>E14</f>
        <v>Foothills Skylar</v>
      </c>
      <c r="C82" s="1070">
        <f>VLOOKUP(B82,AU$3:AY$33,3,FALSE)</f>
        <v>1154.8449608707572</v>
      </c>
      <c r="D82" s="1070">
        <f>IF(B75,B87,IF(D75,D87,C82))</f>
        <v>1154.8449608707572</v>
      </c>
      <c r="E82" s="1070"/>
      <c r="F82" s="1070"/>
      <c r="G82" s="1070">
        <f>IF(E75,E87,IF(G75,G87,D82))</f>
        <v>1140.9127975228562</v>
      </c>
      <c r="H82" s="1070"/>
      <c r="I82" s="1070"/>
      <c r="J82" s="1070">
        <f>IF(H75,H87,IF(J75,J87,G82))</f>
        <v>1127.3570763964904</v>
      </c>
      <c r="K82" s="1070"/>
      <c r="L82" s="1070"/>
      <c r="M82" s="1070"/>
      <c r="N82" s="1070">
        <f>IF(L75,L87,IF(N75,N87,J82))</f>
        <v>1127.3570763964904</v>
      </c>
      <c r="O82" s="1070"/>
      <c r="P82" s="1070"/>
      <c r="Q82" s="1070">
        <f>IF(O75,O87,IF(Q75,Q87,N82))</f>
        <v>1114.3349186624</v>
      </c>
      <c r="R82" s="1070"/>
      <c r="S82" s="1070"/>
      <c r="T82" s="1070">
        <f>IF(R75,R87,IF(T75,T87,Q82))</f>
        <v>1114.3349186624</v>
      </c>
      <c r="U82" s="1070"/>
      <c r="V82" s="1070"/>
      <c r="W82" s="1070">
        <f>IF(U75,U87,IF(W75,W87,T82))</f>
        <v>1114.3349186624</v>
      </c>
      <c r="X82" s="1070"/>
      <c r="Y82" s="1070"/>
      <c r="Z82" s="1070">
        <f>IF(X75,X87,IF(Z75,Z87,W82))</f>
        <v>1114.3349186624</v>
      </c>
      <c r="AA82" s="1070"/>
      <c r="AB82" s="1070"/>
      <c r="AC82" s="1070">
        <f>IF(AA75,AA87,IF(AC75,AC87,Z82))</f>
        <v>1114.3349186624</v>
      </c>
      <c r="AD82" s="1070"/>
      <c r="AE82" s="1070"/>
      <c r="AF82" s="1070">
        <f>IF(AD75,AD87,IF(AF75,AF87,AC82))</f>
        <v>1114.3349186624</v>
      </c>
      <c r="AG82" s="846"/>
      <c r="AH82" s="846"/>
      <c r="AK82" s="846"/>
      <c r="AM82" s="846"/>
      <c r="AN82" s="846"/>
      <c r="AO82" s="846"/>
      <c r="AP82" s="846"/>
      <c r="AT82" s="1065" t="str">
        <f>B82</f>
        <v>Foothills Skylar</v>
      </c>
      <c r="AU82" s="1065">
        <f>AF82</f>
        <v>1114.3349186624</v>
      </c>
      <c r="AW82" s="1069"/>
      <c r="BB82" s="1069"/>
      <c r="BE82" s="1069"/>
      <c r="BH82" s="1069"/>
      <c r="BK82" s="1069"/>
      <c r="BN82" s="1069"/>
      <c r="BQ82" s="1069"/>
      <c r="BT82" s="1069"/>
      <c r="BW82" s="1069"/>
      <c r="BZ82" s="1069"/>
      <c r="CC82" s="1069"/>
    </row>
    <row r="83" spans="1:81" s="1065" customFormat="1" hidden="1" x14ac:dyDescent="0.2">
      <c r="A83" s="1070">
        <v>5</v>
      </c>
      <c r="B83" s="1070">
        <f>E16</f>
        <v>0</v>
      </c>
      <c r="C83" s="1070" t="e">
        <f>VLOOKUP(B83,AU$3:AY$33,3,FALSE)</f>
        <v>#N/A</v>
      </c>
      <c r="D83" s="1070" t="e">
        <f>IF(B76,B87,IF(D76,D87,C83))</f>
        <v>#N/A</v>
      </c>
      <c r="E83" s="1070"/>
      <c r="F83" s="1070"/>
      <c r="G83" s="1070" t="e">
        <f>IF(E76,E87,IF(G76,G87,D83))</f>
        <v>#N/A</v>
      </c>
      <c r="H83" s="1070"/>
      <c r="I83" s="1070"/>
      <c r="J83" s="1070" t="e">
        <f>IF(H76,H87,IF(J76,J87,G83))</f>
        <v>#N/A</v>
      </c>
      <c r="K83" s="1070"/>
      <c r="L83" s="1070"/>
      <c r="M83" s="1070"/>
      <c r="N83" s="1070" t="e">
        <f>IF(L76,L87,IF(N76,N87,J83))</f>
        <v>#N/A</v>
      </c>
      <c r="O83" s="1070"/>
      <c r="P83" s="1070"/>
      <c r="Q83" s="1070" t="e">
        <f>IF(O76,O87,IF(Q76,Q87,N83))</f>
        <v>#N/A</v>
      </c>
      <c r="R83" s="1070"/>
      <c r="S83" s="1070"/>
      <c r="T83" s="1070" t="e">
        <f>IF(R76,R87,IF(T76,T87,Q83))</f>
        <v>#N/A</v>
      </c>
      <c r="U83" s="1070"/>
      <c r="V83" s="1070"/>
      <c r="W83" s="1070" t="e">
        <f>IF(U76,U87,IF(W76,W87,T83))</f>
        <v>#N/A</v>
      </c>
      <c r="X83" s="1070"/>
      <c r="Y83" s="1070"/>
      <c r="Z83" s="1070" t="e">
        <f>IF(X76,X87,IF(Z76,Z87,W83))</f>
        <v>#N/A</v>
      </c>
      <c r="AA83" s="1070"/>
      <c r="AB83" s="1070"/>
      <c r="AC83" s="1070" t="e">
        <f>IF(AA76,AA87,IF(AC76,AC87,Z83))</f>
        <v>#N/A</v>
      </c>
      <c r="AD83" s="1070"/>
      <c r="AE83" s="1070"/>
      <c r="AF83" s="1070" t="e">
        <f>IF(AD76,AD87,IF(AF76,AF87,AC83))</f>
        <v>#N/A</v>
      </c>
      <c r="AG83" s="846"/>
      <c r="AH83" s="846"/>
      <c r="AK83" s="846"/>
      <c r="AM83" s="846"/>
      <c r="AN83" s="846"/>
      <c r="AO83" s="846"/>
      <c r="AP83" s="846"/>
      <c r="AT83" s="1065">
        <f>B83</f>
        <v>0</v>
      </c>
      <c r="AU83" s="1065" t="e">
        <f>AF83</f>
        <v>#N/A</v>
      </c>
      <c r="AW83" s="1069"/>
      <c r="BB83" s="1069"/>
      <c r="BE83" s="1069"/>
      <c r="BH83" s="1069"/>
      <c r="BK83" s="1069"/>
      <c r="BN83" s="1069"/>
      <c r="BQ83" s="1069"/>
      <c r="BT83" s="1069"/>
      <c r="BW83" s="1069"/>
      <c r="BZ83" s="1069"/>
      <c r="CC83" s="1069"/>
    </row>
    <row r="84" spans="1:81" s="1065" customFormat="1" hidden="1" x14ac:dyDescent="0.2">
      <c r="A84" s="1070"/>
      <c r="B84" s="1070"/>
      <c r="C84" s="1070"/>
      <c r="D84" s="1070"/>
      <c r="E84" s="1070"/>
      <c r="F84" s="1070"/>
      <c r="G84" s="1070"/>
      <c r="H84" s="1070"/>
      <c r="I84" s="1070"/>
      <c r="J84" s="1070"/>
      <c r="K84" s="1070"/>
      <c r="L84" s="1070"/>
      <c r="M84" s="1070"/>
      <c r="N84" s="1070"/>
      <c r="O84" s="1070"/>
      <c r="P84" s="1070"/>
      <c r="Q84" s="1070"/>
      <c r="R84" s="1070"/>
      <c r="S84" s="1070"/>
      <c r="T84" s="1070"/>
      <c r="U84" s="1070"/>
      <c r="V84" s="1070"/>
      <c r="W84" s="1070"/>
      <c r="X84" s="1070"/>
      <c r="Y84" s="1070"/>
      <c r="Z84" s="1070"/>
      <c r="AA84" s="1070"/>
      <c r="AB84" s="1070"/>
      <c r="AC84" s="1070"/>
      <c r="AD84" s="1070"/>
      <c r="AE84" s="1070"/>
      <c r="AF84" s="1070"/>
      <c r="AG84" s="846"/>
      <c r="AH84" s="846"/>
      <c r="AK84" s="846"/>
      <c r="AM84" s="846"/>
      <c r="AN84" s="846"/>
      <c r="AO84" s="846"/>
      <c r="AP84" s="846"/>
      <c r="AW84" s="1069"/>
      <c r="BB84" s="1069"/>
      <c r="BE84" s="1069"/>
      <c r="BH84" s="1069"/>
      <c r="BK84" s="1069"/>
      <c r="BN84" s="1069"/>
      <c r="BQ84" s="1069"/>
      <c r="BT84" s="1069"/>
      <c r="BW84" s="1069"/>
      <c r="BZ84" s="1069"/>
      <c r="CC84" s="1069"/>
    </row>
    <row r="85" spans="1:81" s="1065" customFormat="1" hidden="1" x14ac:dyDescent="0.2">
      <c r="A85" s="1070" t="s">
        <v>114</v>
      </c>
      <c r="B85" s="1070">
        <f>VLOOKUP(B24,$A79:$AF83,3,FALSE)</f>
        <v>1176.0869382150693</v>
      </c>
      <c r="C85" s="1070">
        <v>1</v>
      </c>
      <c r="D85" s="1070">
        <f>VLOOKUP(D24,$A79:$AF83,3,FALSE)</f>
        <v>1226.8555378745032</v>
      </c>
      <c r="E85" s="1070">
        <f>VLOOKUP(E24,$A79:$AF83,4,FALSE)</f>
        <v>1200</v>
      </c>
      <c r="F85" s="1070">
        <v>2</v>
      </c>
      <c r="G85" s="1070">
        <f>VLOOKUP(G24,$A79:$AF83,4,FALSE)</f>
        <v>1154.8449608707572</v>
      </c>
      <c r="H85" s="1070">
        <f>VLOOKUP(H24,$A79:$AF83,7,FALSE)</f>
        <v>1194.4084192262685</v>
      </c>
      <c r="I85" s="1070">
        <v>3</v>
      </c>
      <c r="J85" s="1070">
        <f>VLOOKUP(J24,$A79:$AF83,7,FALSE)</f>
        <v>1140.9127975228562</v>
      </c>
      <c r="K85" s="1070"/>
      <c r="L85" s="1070">
        <f>VLOOKUP(L24,$A79:$AF83,10,FALSE)</f>
        <v>1213.932163347901</v>
      </c>
      <c r="M85" s="1070">
        <v>4</v>
      </c>
      <c r="N85" s="1070">
        <f>VLOOKUP(N24,$A79:$AF83,10,FALSE)</f>
        <v>1208.5340568633039</v>
      </c>
      <c r="O85" s="1070">
        <f>VLOOKUP(O24,$A79:$AF83,14,FALSE)</f>
        <v>1192.7826288524398</v>
      </c>
      <c r="P85" s="1070">
        <v>5</v>
      </c>
      <c r="Q85" s="1070">
        <f>VLOOKUP(Q24,$A79:$AF83,14,FALSE)</f>
        <v>1127.3570763964904</v>
      </c>
      <c r="R85" s="1070">
        <f>VLOOKUP(R24,$A79:$AF83,17,FALSE)</f>
        <v>1229.6835913587652</v>
      </c>
      <c r="S85" s="1070">
        <v>6</v>
      </c>
      <c r="T85" s="1070">
        <f>VLOOKUP(T24,$A79:$AF83,17,FALSE)</f>
        <v>1207.9641403526343</v>
      </c>
      <c r="U85" s="1070" t="e">
        <f>VLOOKUP(U24,$A79:$AF83,20,FALSE)</f>
        <v>#N/A</v>
      </c>
      <c r="V85" s="1070">
        <v>7</v>
      </c>
      <c r="W85" s="1070" t="e">
        <f>VLOOKUP(W24,$A79:$AF83,20,FALSE)</f>
        <v>#N/A</v>
      </c>
      <c r="X85" s="1070" t="e">
        <f>VLOOKUP(X24,$A79:$AF83,23,FALSE)</f>
        <v>#N/A</v>
      </c>
      <c r="Y85" s="1070">
        <v>8</v>
      </c>
      <c r="Z85" s="1070" t="e">
        <f>VLOOKUP(Z24,$A79:$AF83,23,FALSE)</f>
        <v>#N/A</v>
      </c>
      <c r="AA85" s="1070" t="e">
        <f>VLOOKUP(AA24,$A79:$AF83,26,FALSE)</f>
        <v>#N/A</v>
      </c>
      <c r="AB85" s="1070">
        <v>9</v>
      </c>
      <c r="AC85" s="1070" t="e">
        <f>VLOOKUP(AC24,$A79:$AF83,26,FALSE)</f>
        <v>#N/A</v>
      </c>
      <c r="AD85" s="1070" t="e">
        <f>VLOOKUP(AD24,$A79:$AF83,29,FALSE)</f>
        <v>#N/A</v>
      </c>
      <c r="AE85" s="1070">
        <v>10</v>
      </c>
      <c r="AF85" s="1070" t="e">
        <f>VLOOKUP(AF24,$A79:$AF83,29,FALSE)</f>
        <v>#N/A</v>
      </c>
      <c r="AG85" s="846"/>
      <c r="AH85" s="1063"/>
      <c r="AI85" s="1063"/>
      <c r="AJ85" s="1063"/>
      <c r="AK85" s="1063"/>
      <c r="AL85" s="1063"/>
      <c r="AM85" s="1063"/>
      <c r="AN85" s="1063"/>
      <c r="AO85" s="1064"/>
      <c r="AP85" s="1064"/>
      <c r="AQ85" s="1064"/>
      <c r="AR85" s="1064"/>
      <c r="AW85" s="1069"/>
      <c r="BB85" s="1069"/>
      <c r="BE85" s="1069"/>
      <c r="BH85" s="1069"/>
      <c r="BK85" s="1069"/>
      <c r="BN85" s="1069"/>
      <c r="BQ85" s="1069"/>
      <c r="BT85" s="1069"/>
      <c r="BW85" s="1069"/>
      <c r="BZ85" s="1069"/>
      <c r="CC85" s="1069"/>
    </row>
    <row r="86" spans="1:81" s="1075" customFormat="1" hidden="1" x14ac:dyDescent="0.2">
      <c r="A86" s="1071" t="s">
        <v>115</v>
      </c>
      <c r="B86" s="1071">
        <f>1/(1+(10^-((B85-D85)/400)))*(B36+D36)</f>
        <v>0.42745371840002599</v>
      </c>
      <c r="C86" s="1071"/>
      <c r="D86" s="1071">
        <f>1/(1+(10^-((D85-B85)/400)))*(B36+D36)</f>
        <v>0.57254628159997401</v>
      </c>
      <c r="E86" s="1071">
        <f>1/(1+(10^-((E85-G85)/400)))*(E36+G36)</f>
        <v>0.56461989537809076</v>
      </c>
      <c r="F86" s="1071"/>
      <c r="G86" s="1071">
        <f>1/(1+(10^-((G85-E85)/400)))*(E36+G36)</f>
        <v>0.43538010462190918</v>
      </c>
      <c r="H86" s="1071">
        <f>1/(1+(10^-((H85-J85)/400)))*(H36+J36)</f>
        <v>0.5763837148010692</v>
      </c>
      <c r="I86" s="1071"/>
      <c r="J86" s="1071">
        <f>1/(1+(10^-((J85-H85)/400)))*(H36+J36)</f>
        <v>0.42361628519893069</v>
      </c>
      <c r="K86" s="1071"/>
      <c r="L86" s="1071">
        <f>1/(1+(10^-((L85-N85)/400)))*(L36+N36)</f>
        <v>0.50776787466049134</v>
      </c>
      <c r="M86" s="1071"/>
      <c r="N86" s="1071">
        <f>1/(1+(10^-((N85-L85)/400)))*(L36+N36)</f>
        <v>0.49223212533950861</v>
      </c>
      <c r="O86" s="1071">
        <f>1/(1+(10^-((O85-Q85)/400)))*(O36+Q36)</f>
        <v>0.59305757080967791</v>
      </c>
      <c r="P86" s="1071"/>
      <c r="Q86" s="1071">
        <f>1/(1+(10^-((Q85-O85)/400)))*(O36+Q36)</f>
        <v>0.40694242919032203</v>
      </c>
      <c r="R86" s="1071">
        <f>1/(1+(10^-((R85-T85)/400)))*(R36+T36)</f>
        <v>0.53121614943620932</v>
      </c>
      <c r="S86" s="1071"/>
      <c r="T86" s="1071">
        <f>1/(1+(10^-((T85-R85)/400)))*(R36+T36)</f>
        <v>0.46878385056379063</v>
      </c>
      <c r="U86" s="1071" t="e">
        <f>1/(1+(10^-((U85-W85)/400)))*(U36+W36)</f>
        <v>#N/A</v>
      </c>
      <c r="V86" s="1071"/>
      <c r="W86" s="1071" t="e">
        <f>1/(1+(10^-((W85-U85)/400)))*(U36+W36)</f>
        <v>#N/A</v>
      </c>
      <c r="X86" s="1071" t="e">
        <f>1/(1+(10^-((X85-Z85)/400)))*(X36+Z36)</f>
        <v>#N/A</v>
      </c>
      <c r="Y86" s="1071"/>
      <c r="Z86" s="1071" t="e">
        <f>1/(1+(10^-((Z85-X85)/400)))*(X36+Z36)</f>
        <v>#N/A</v>
      </c>
      <c r="AA86" s="1071" t="e">
        <f>1/(1+(10^-((AA85-AC85)/400)))*(AA36+AC36)</f>
        <v>#N/A</v>
      </c>
      <c r="AB86" s="1071"/>
      <c r="AC86" s="1071" t="e">
        <f>1/(1+(10^-((AC85-AA85)/400)))*(AA36+AC36)</f>
        <v>#N/A</v>
      </c>
      <c r="AD86" s="1071" t="e">
        <f>1/(1+(10^-((AD85-AF85)/400)))*(AD36+AF36)</f>
        <v>#N/A</v>
      </c>
      <c r="AE86" s="1071"/>
      <c r="AF86" s="1071" t="e">
        <f>1/(1+(10^-((AF85-AD85)/400)))*(AD36+AF36)</f>
        <v>#N/A</v>
      </c>
      <c r="AG86" s="1072"/>
      <c r="AH86" s="1073"/>
      <c r="AI86" s="1073"/>
      <c r="AJ86" s="1073"/>
      <c r="AK86" s="1073"/>
      <c r="AL86" s="1073"/>
      <c r="AM86" s="1073"/>
      <c r="AN86" s="1073"/>
      <c r="AO86" s="1074"/>
      <c r="AP86" s="1074"/>
      <c r="AQ86" s="1074"/>
      <c r="AR86" s="1074"/>
      <c r="AW86" s="1076"/>
      <c r="BB86" s="1076"/>
      <c r="BE86" s="1076"/>
      <c r="BH86" s="1076"/>
      <c r="BK86" s="1076"/>
      <c r="BN86" s="1076"/>
      <c r="BQ86" s="1076"/>
      <c r="BT86" s="1076"/>
      <c r="BW86" s="1076"/>
      <c r="BZ86" s="1076"/>
      <c r="CC86" s="1076"/>
    </row>
    <row r="87" spans="1:81" s="1081" customFormat="1" hidden="1" x14ac:dyDescent="0.2">
      <c r="A87" s="1077" t="s">
        <v>116</v>
      </c>
      <c r="B87" s="1077">
        <f>B85+(B36-B86)*$BA$1</f>
        <v>1194.4084192262685</v>
      </c>
      <c r="C87" s="1077"/>
      <c r="D87" s="1077">
        <f>D85+(D36-D86)*$BA$1</f>
        <v>1208.5340568633039</v>
      </c>
      <c r="E87" s="1077">
        <f>E85+(E36-E86)*$BA$1</f>
        <v>1213.932163347901</v>
      </c>
      <c r="F87" s="1077"/>
      <c r="G87" s="1077">
        <f>G85+(G36-G86)*$BA$1</f>
        <v>1140.9127975228562</v>
      </c>
      <c r="H87" s="1077">
        <f>H85+(H36-H86)*$BA$1</f>
        <v>1207.9641403526343</v>
      </c>
      <c r="I87" s="1077"/>
      <c r="J87" s="1077">
        <f>J85+(J36-J86)*$BA$1</f>
        <v>1127.3570763964904</v>
      </c>
      <c r="K87" s="1077"/>
      <c r="L87" s="1077">
        <f>L85+(L36-L86)*$BA$1</f>
        <v>1229.6835913587652</v>
      </c>
      <c r="M87" s="1077"/>
      <c r="N87" s="1077">
        <f>N85+(N36-N86)*$BA$1</f>
        <v>1192.7826288524398</v>
      </c>
      <c r="O87" s="1077">
        <f>O85+(O36-O86)*$BA$1</f>
        <v>1205.8047865865301</v>
      </c>
      <c r="P87" s="1077"/>
      <c r="Q87" s="1077">
        <f>Q85+(Q36-Q86)*$BA$1</f>
        <v>1114.3349186624</v>
      </c>
      <c r="R87" s="1077">
        <f>R85+(R36-R86)*$BA$1</f>
        <v>1212.6846745768064</v>
      </c>
      <c r="S87" s="1077"/>
      <c r="T87" s="1077">
        <f>T85+(T36-T86)*$BA$1</f>
        <v>1224.9630571345931</v>
      </c>
      <c r="U87" s="1077" t="e">
        <f>U85+(U36-U86)*$BA$1</f>
        <v>#N/A</v>
      </c>
      <c r="V87" s="1077"/>
      <c r="W87" s="1077" t="e">
        <f>W85+(W36-W86)*$BA$1</f>
        <v>#N/A</v>
      </c>
      <c r="X87" s="1077" t="e">
        <f>X85+(X36-X86)*$BA$1</f>
        <v>#N/A</v>
      </c>
      <c r="Y87" s="1077"/>
      <c r="Z87" s="1077" t="e">
        <f>Z85+(Z36-Z86)*$BA$1</f>
        <v>#N/A</v>
      </c>
      <c r="AA87" s="1077" t="e">
        <f>AA85+(AA36-AA86)*$BA$1</f>
        <v>#N/A</v>
      </c>
      <c r="AB87" s="1077"/>
      <c r="AC87" s="1077" t="e">
        <f>AC85+(AC36-AC86)*$BA$1</f>
        <v>#N/A</v>
      </c>
      <c r="AD87" s="1077" t="e">
        <f>AD85+(AD36-AD86)*$BA$1</f>
        <v>#N/A</v>
      </c>
      <c r="AE87" s="1077"/>
      <c r="AF87" s="1077" t="e">
        <f>AF85+(AF36-AF86)*$BA$1</f>
        <v>#N/A</v>
      </c>
      <c r="AG87" s="1078"/>
      <c r="AH87" s="1079"/>
      <c r="AI87" s="1079"/>
      <c r="AJ87" s="1079"/>
      <c r="AK87" s="1079"/>
      <c r="AL87" s="1079"/>
      <c r="AM87" s="1079"/>
      <c r="AN87" s="1079"/>
      <c r="AO87" s="1080"/>
      <c r="AP87" s="1080"/>
      <c r="AQ87" s="1080"/>
      <c r="AR87" s="1080"/>
      <c r="AW87" s="1082"/>
      <c r="BB87" s="1082"/>
      <c r="BE87" s="1082"/>
      <c r="BH87" s="1082"/>
      <c r="BK87" s="1082"/>
      <c r="BN87" s="1082"/>
      <c r="BQ87" s="1082"/>
      <c r="BT87" s="1082"/>
      <c r="BW87" s="1082"/>
      <c r="BZ87" s="1082"/>
      <c r="CC87" s="1082"/>
    </row>
    <row r="88" spans="1:81" s="1081" customFormat="1" hidden="1" x14ac:dyDescent="0.2">
      <c r="A88" s="1077"/>
      <c r="B88" s="1077"/>
      <c r="C88" s="1077"/>
      <c r="D88" s="1077"/>
      <c r="E88" s="1077"/>
      <c r="F88" s="1077"/>
      <c r="G88" s="1077"/>
      <c r="H88" s="1077"/>
      <c r="I88" s="1077"/>
      <c r="J88" s="1077"/>
      <c r="K88" s="1077"/>
      <c r="L88" s="1077"/>
      <c r="M88" s="1077"/>
      <c r="N88" s="1077"/>
      <c r="O88" s="1077"/>
      <c r="P88" s="1077"/>
      <c r="Q88" s="1077"/>
      <c r="R88" s="1077"/>
      <c r="S88" s="1077"/>
      <c r="T88" s="1077"/>
      <c r="U88" s="1077"/>
      <c r="V88" s="1077"/>
      <c r="W88" s="1077"/>
      <c r="X88" s="1077"/>
      <c r="Y88" s="1077"/>
      <c r="Z88" s="1077"/>
      <c r="AA88" s="1077"/>
      <c r="AB88" s="1077"/>
      <c r="AC88" s="1077"/>
      <c r="AD88" s="1077"/>
      <c r="AE88" s="1077"/>
      <c r="AF88" s="1077"/>
      <c r="AG88" s="1078"/>
      <c r="AH88" s="1079"/>
      <c r="AI88" s="1079"/>
      <c r="AJ88" s="1079"/>
      <c r="AK88" s="1079"/>
      <c r="AL88" s="1079"/>
      <c r="AM88" s="1079"/>
      <c r="AN88" s="1079"/>
      <c r="AO88" s="1080"/>
      <c r="AP88" s="1080"/>
      <c r="AQ88" s="1080"/>
      <c r="AR88" s="1080"/>
      <c r="AW88" s="1082"/>
      <c r="BB88" s="1082"/>
      <c r="BE88" s="1082"/>
      <c r="BH88" s="1082"/>
      <c r="BK88" s="1082"/>
      <c r="BN88" s="1082"/>
      <c r="BQ88" s="1082"/>
      <c r="BT88" s="1082"/>
      <c r="BW88" s="1082"/>
      <c r="BZ88" s="1082"/>
      <c r="CC88" s="1082"/>
    </row>
    <row r="89" spans="1:81" s="1065" customFormat="1" x14ac:dyDescent="0.2">
      <c r="A89" s="1083" t="str">
        <f>IF($AL10=1,"Pool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89" s="1083"/>
      <c r="C89" s="1083"/>
      <c r="D89" s="1083"/>
      <c r="E89" s="1083"/>
      <c r="F89" s="1083"/>
      <c r="G89" s="1083"/>
      <c r="H89" s="1083"/>
      <c r="I89" s="1083"/>
      <c r="J89" s="1083"/>
      <c r="K89" s="1083"/>
      <c r="L89" s="1083"/>
      <c r="M89" s="1083"/>
      <c r="N89" s="1083"/>
      <c r="O89" s="1083"/>
      <c r="P89" s="1083"/>
      <c r="Q89" s="1083"/>
      <c r="R89" s="1083"/>
      <c r="S89" s="1083"/>
      <c r="T89" s="1083"/>
      <c r="U89" s="1083"/>
      <c r="V89" s="1083"/>
      <c r="W89" s="1083"/>
      <c r="X89" s="1083"/>
      <c r="Y89" s="1083"/>
      <c r="Z89" s="1083"/>
      <c r="AA89" s="1083"/>
      <c r="AB89" s="1083"/>
      <c r="AC89" s="1083"/>
      <c r="AD89" s="1083"/>
      <c r="AE89" s="1083"/>
      <c r="AF89" s="1083"/>
      <c r="AG89" s="1083"/>
      <c r="AH89" s="1083"/>
      <c r="AI89" s="1083"/>
      <c r="AJ89" s="1083"/>
      <c r="AK89" s="1083"/>
      <c r="AL89" s="1083"/>
      <c r="AM89" s="1083"/>
      <c r="AN89" s="1084"/>
      <c r="AO89" s="1084"/>
      <c r="AP89" s="1084"/>
      <c r="AQ89" s="1084"/>
    </row>
    <row r="90" spans="1:81" s="1065" customFormat="1" ht="13.5" thickBot="1" x14ac:dyDescent="0.25">
      <c r="A90" s="1085"/>
      <c r="B90" s="1085"/>
      <c r="C90" s="1085"/>
      <c r="D90" s="1085"/>
      <c r="E90" s="1085"/>
      <c r="F90" s="1085"/>
      <c r="G90" s="1085"/>
      <c r="H90" s="1085"/>
      <c r="I90" s="1085"/>
      <c r="J90" s="1085"/>
      <c r="K90" s="1085"/>
      <c r="L90" s="1085"/>
      <c r="M90" s="1085"/>
      <c r="N90" s="1085"/>
      <c r="O90" s="1085"/>
      <c r="P90" s="1085"/>
      <c r="Q90" s="1085"/>
      <c r="R90" s="1085"/>
      <c r="S90" s="1085"/>
      <c r="T90" s="1085"/>
      <c r="U90" s="1085"/>
      <c r="V90" s="1085"/>
      <c r="W90" s="1085"/>
      <c r="X90" s="1085"/>
      <c r="Y90" s="1085"/>
      <c r="Z90" s="1085"/>
      <c r="AA90" s="1085"/>
      <c r="AB90" s="1085"/>
      <c r="AC90" s="1085"/>
      <c r="AD90" s="1085"/>
      <c r="AE90" s="1085"/>
      <c r="AF90" s="1085"/>
      <c r="AG90" s="1085"/>
      <c r="AH90" s="1085"/>
      <c r="AI90" s="1085"/>
      <c r="AJ90" s="1085"/>
      <c r="AK90" s="1085"/>
      <c r="AL90" s="1085"/>
      <c r="AM90" s="1085"/>
      <c r="AN90" s="1085"/>
      <c r="AO90" s="1085"/>
      <c r="AP90" s="1085"/>
      <c r="AQ90" s="1085"/>
      <c r="AR90" s="1085"/>
    </row>
    <row r="91" spans="1:81" ht="24" customHeight="1" thickBot="1" x14ac:dyDescent="0.25">
      <c r="A91" s="919" t="s">
        <v>33</v>
      </c>
      <c r="B91" s="920" t="s">
        <v>117</v>
      </c>
      <c r="C91" s="921" t="s">
        <v>35</v>
      </c>
      <c r="D91" s="922"/>
      <c r="E91" s="922"/>
      <c r="F91" s="922"/>
      <c r="G91" s="922"/>
      <c r="H91" s="923"/>
      <c r="I91" s="924">
        <v>2</v>
      </c>
      <c r="J91" s="925"/>
      <c r="K91" s="926" t="str">
        <f>"Pool "&amp;B91&amp;" - Round 1 - Court "&amp;I91</f>
        <v>Pool B - Round 1 - Court 2</v>
      </c>
      <c r="L91" s="927"/>
      <c r="M91" s="927"/>
      <c r="N91" s="927"/>
      <c r="O91" s="927"/>
      <c r="P91" s="927"/>
      <c r="Q91" s="927"/>
      <c r="R91" s="927"/>
      <c r="S91" s="927"/>
      <c r="T91" s="927"/>
      <c r="U91" s="927"/>
      <c r="V91" s="927"/>
      <c r="W91" s="927"/>
      <c r="X91" s="927"/>
      <c r="Y91" s="927"/>
      <c r="Z91" s="927"/>
      <c r="AA91" s="927"/>
      <c r="AB91" s="927"/>
      <c r="AC91" s="927"/>
      <c r="AD91" s="927"/>
      <c r="AE91" s="927"/>
      <c r="AF91" s="927"/>
      <c r="AG91" s="927"/>
      <c r="AH91" s="927"/>
      <c r="AI91" s="927"/>
      <c r="AJ91" s="928"/>
      <c r="AK91" s="868"/>
      <c r="AL91" s="868"/>
      <c r="AM91" s="868"/>
      <c r="AN91" s="868"/>
      <c r="AO91" s="868"/>
      <c r="AP91" s="868"/>
      <c r="AQ91" s="868"/>
      <c r="AR91" s="868"/>
    </row>
    <row r="92" spans="1:81" ht="27" customHeight="1" thickBot="1" x14ac:dyDescent="0.25">
      <c r="A92" s="930" t="s">
        <v>38</v>
      </c>
      <c r="B92" s="902" t="s">
        <v>10</v>
      </c>
      <c r="C92" s="931"/>
      <c r="D92" s="931"/>
      <c r="E92" s="931"/>
      <c r="F92" s="931"/>
      <c r="G92" s="931"/>
      <c r="H92" s="931"/>
      <c r="I92" s="931"/>
      <c r="J92" s="931"/>
      <c r="K92" s="931"/>
      <c r="L92" s="931"/>
      <c r="M92" s="902" t="str">
        <f>IF($AL95=0,"Games Won","Matches Won")</f>
        <v>Matches Won</v>
      </c>
      <c r="N92" s="931"/>
      <c r="O92" s="931"/>
      <c r="P92" s="931"/>
      <c r="Q92" s="931"/>
      <c r="R92" s="932"/>
      <c r="S92" s="902" t="str">
        <f>IF($AL95=0,"Games Lost","Matches Lost")</f>
        <v>Matches Lost</v>
      </c>
      <c r="T92" s="933"/>
      <c r="U92" s="933"/>
      <c r="V92" s="933"/>
      <c r="W92" s="934"/>
      <c r="X92" s="935" t="s">
        <v>39</v>
      </c>
      <c r="Y92" s="936"/>
      <c r="Z92" s="937"/>
      <c r="AA92" s="935" t="s">
        <v>40</v>
      </c>
      <c r="AB92" s="936"/>
      <c r="AC92" s="937"/>
      <c r="AD92" s="938" t="s">
        <v>41</v>
      </c>
      <c r="AE92" s="939"/>
      <c r="AF92" s="940"/>
      <c r="AG92" s="941" t="s">
        <v>42</v>
      </c>
      <c r="AH92" s="942" t="s">
        <v>9</v>
      </c>
      <c r="AI92" s="943" t="s">
        <v>43</v>
      </c>
      <c r="AJ92" s="944"/>
      <c r="AK92" s="945"/>
      <c r="AL92" s="946">
        <v>1</v>
      </c>
      <c r="AM92" s="947" t="s">
        <v>44</v>
      </c>
      <c r="AN92" s="947"/>
      <c r="AO92" s="947"/>
      <c r="AP92" s="947"/>
      <c r="AQ92" s="947"/>
      <c r="AR92" s="947"/>
      <c r="AS92" s="948"/>
    </row>
    <row r="93" spans="1:81" ht="18.75" customHeight="1" x14ac:dyDescent="0.2">
      <c r="A93" s="949" t="str">
        <f>IF($AL94&gt;0,"1","")</f>
        <v>1</v>
      </c>
      <c r="B93" s="950" t="s">
        <v>10</v>
      </c>
      <c r="C93" s="951"/>
      <c r="D93" s="952"/>
      <c r="E93" s="953" t="str">
        <f>AU4</f>
        <v>Intense Kids power Gvl</v>
      </c>
      <c r="F93" s="954"/>
      <c r="G93" s="954"/>
      <c r="H93" s="954"/>
      <c r="I93" s="954"/>
      <c r="J93" s="954"/>
      <c r="K93" s="954"/>
      <c r="L93" s="955"/>
      <c r="M93" s="956">
        <f>IF($AL95=0,AG149,AG131)</f>
        <v>3</v>
      </c>
      <c r="N93" s="957"/>
      <c r="O93" s="957"/>
      <c r="P93" s="957"/>
      <c r="Q93" s="957"/>
      <c r="R93" s="932"/>
      <c r="S93" s="956">
        <f>IF($AL95=0,AH149,AH131)</f>
        <v>1</v>
      </c>
      <c r="T93" s="957"/>
      <c r="U93" s="957"/>
      <c r="V93" s="957"/>
      <c r="W93" s="957"/>
      <c r="X93" s="956">
        <f>AR109</f>
        <v>29</v>
      </c>
      <c r="Y93" s="957"/>
      <c r="Z93" s="957"/>
      <c r="AA93" s="958">
        <f>IF(AG143&gt;0,(AR109/AG143),0)</f>
        <v>0.30526315789473685</v>
      </c>
      <c r="AB93" s="959"/>
      <c r="AC93" s="959"/>
      <c r="AD93" s="960">
        <f>IF(AG157=0,0,(AG149/AG157))</f>
        <v>0.75</v>
      </c>
      <c r="AE93" s="961"/>
      <c r="AF93" s="962"/>
      <c r="AG93" s="963">
        <v>1</v>
      </c>
      <c r="AH93" s="963">
        <v>4</v>
      </c>
      <c r="AI93" s="964"/>
      <c r="AJ93" s="965"/>
      <c r="AK93" s="945"/>
      <c r="AL93" s="946">
        <v>6</v>
      </c>
      <c r="AM93" s="947" t="s">
        <v>47</v>
      </c>
      <c r="AN93" s="947"/>
      <c r="AO93" s="947"/>
      <c r="AP93" s="947"/>
      <c r="AQ93" s="947"/>
      <c r="AR93" s="947"/>
      <c r="AS93" s="948"/>
    </row>
    <row r="94" spans="1:81" ht="18.75" customHeight="1" thickBot="1" x14ac:dyDescent="0.25">
      <c r="A94" s="966"/>
      <c r="B94" s="967" t="s">
        <v>11</v>
      </c>
      <c r="C94" s="968"/>
      <c r="D94" s="969"/>
      <c r="E94" s="970" t="str">
        <f>AV4</f>
        <v>fj2inten2pm</v>
      </c>
      <c r="F94" s="971"/>
      <c r="G94" s="971"/>
      <c r="H94" s="971"/>
      <c r="I94" s="971"/>
      <c r="J94" s="971"/>
      <c r="K94" s="971"/>
      <c r="L94" s="971"/>
      <c r="M94" s="972"/>
      <c r="N94" s="973"/>
      <c r="O94" s="973"/>
      <c r="P94" s="973"/>
      <c r="Q94" s="973"/>
      <c r="R94" s="932"/>
      <c r="S94" s="972"/>
      <c r="T94" s="973"/>
      <c r="U94" s="973"/>
      <c r="V94" s="973"/>
      <c r="W94" s="973"/>
      <c r="X94" s="972"/>
      <c r="Y94" s="973"/>
      <c r="Z94" s="973"/>
      <c r="AA94" s="974"/>
      <c r="AB94" s="975"/>
      <c r="AC94" s="975"/>
      <c r="AD94" s="976"/>
      <c r="AE94" s="977"/>
      <c r="AF94" s="978"/>
      <c r="AG94" s="979"/>
      <c r="AH94" s="979"/>
      <c r="AI94" s="980"/>
      <c r="AJ94" s="981"/>
      <c r="AK94" s="945"/>
      <c r="AL94" s="946">
        <v>3</v>
      </c>
      <c r="AM94" s="947" t="s">
        <v>50</v>
      </c>
      <c r="AN94" s="945"/>
      <c r="AO94" s="945"/>
      <c r="AP94" s="945"/>
      <c r="AQ94" s="945"/>
      <c r="AR94" s="945"/>
      <c r="AS94" s="845"/>
    </row>
    <row r="95" spans="1:81" ht="18.75" customHeight="1" x14ac:dyDescent="0.2">
      <c r="A95" s="949" t="str">
        <f>IF($AL94&gt;1,"2","")</f>
        <v>2</v>
      </c>
      <c r="B95" s="950" t="s">
        <v>10</v>
      </c>
      <c r="C95" s="951"/>
      <c r="D95" s="952"/>
      <c r="E95" s="953" t="str">
        <f>AU5</f>
        <v>SC Midlands KP Black</v>
      </c>
      <c r="F95" s="954"/>
      <c r="G95" s="954"/>
      <c r="H95" s="954"/>
      <c r="I95" s="954"/>
      <c r="J95" s="954"/>
      <c r="K95" s="954"/>
      <c r="L95" s="955"/>
      <c r="M95" s="956">
        <f>IF($AL95=0,AG150,AG132)</f>
        <v>3</v>
      </c>
      <c r="N95" s="957"/>
      <c r="O95" s="957"/>
      <c r="P95" s="957"/>
      <c r="Q95" s="957"/>
      <c r="R95" s="932"/>
      <c r="S95" s="956">
        <f>IF($AL95=0,AH150,AH132)</f>
        <v>1</v>
      </c>
      <c r="T95" s="957"/>
      <c r="U95" s="957"/>
      <c r="V95" s="957"/>
      <c r="W95" s="957"/>
      <c r="X95" s="956">
        <f>AR110</f>
        <v>14</v>
      </c>
      <c r="Y95" s="957"/>
      <c r="Z95" s="957"/>
      <c r="AA95" s="958">
        <f>IF(AG144&gt;0,(AR110/AG144),0)</f>
        <v>0.16091954022988506</v>
      </c>
      <c r="AB95" s="959"/>
      <c r="AC95" s="959"/>
      <c r="AD95" s="960">
        <f>IF(AG158=0,0,(AG150/AG158))</f>
        <v>0.75</v>
      </c>
      <c r="AE95" s="961"/>
      <c r="AF95" s="962"/>
      <c r="AG95" s="963">
        <v>2</v>
      </c>
      <c r="AH95" s="963">
        <v>4</v>
      </c>
      <c r="AI95" s="964"/>
      <c r="AJ95" s="965"/>
      <c r="AK95" s="945"/>
      <c r="AL95" s="946">
        <v>1</v>
      </c>
      <c r="AM95" s="947" t="s">
        <v>53</v>
      </c>
      <c r="AN95" s="947"/>
      <c r="AO95" s="947"/>
      <c r="AP95" s="947"/>
      <c r="AQ95" s="947"/>
      <c r="AR95" s="947"/>
      <c r="AS95" s="948"/>
    </row>
    <row r="96" spans="1:81" ht="18.75" customHeight="1" thickBot="1" x14ac:dyDescent="0.25">
      <c r="A96" s="966"/>
      <c r="B96" s="988" t="s">
        <v>11</v>
      </c>
      <c r="C96" s="989"/>
      <c r="D96" s="989"/>
      <c r="E96" s="970" t="str">
        <f>AV5</f>
        <v>fj1scmid1pm</v>
      </c>
      <c r="F96" s="971"/>
      <c r="G96" s="971"/>
      <c r="H96" s="971"/>
      <c r="I96" s="971"/>
      <c r="J96" s="971"/>
      <c r="K96" s="971"/>
      <c r="L96" s="971"/>
      <c r="M96" s="972"/>
      <c r="N96" s="973"/>
      <c r="O96" s="973"/>
      <c r="P96" s="973"/>
      <c r="Q96" s="973"/>
      <c r="R96" s="932"/>
      <c r="S96" s="972"/>
      <c r="T96" s="973"/>
      <c r="U96" s="973"/>
      <c r="V96" s="973"/>
      <c r="W96" s="973"/>
      <c r="X96" s="972"/>
      <c r="Y96" s="973"/>
      <c r="Z96" s="973"/>
      <c r="AA96" s="974"/>
      <c r="AB96" s="975"/>
      <c r="AC96" s="975"/>
      <c r="AD96" s="976"/>
      <c r="AE96" s="977"/>
      <c r="AF96" s="978"/>
      <c r="AG96" s="979"/>
      <c r="AH96" s="979"/>
      <c r="AI96" s="980"/>
      <c r="AJ96" s="981"/>
      <c r="AK96" s="945"/>
      <c r="AL96" s="946">
        <v>1</v>
      </c>
      <c r="AM96" s="947" t="s">
        <v>56</v>
      </c>
      <c r="AN96" s="945"/>
      <c r="AO96" s="945"/>
      <c r="AP96" s="945"/>
      <c r="AQ96" s="945"/>
      <c r="AR96" s="945"/>
      <c r="AS96" s="845"/>
    </row>
    <row r="97" spans="1:45" ht="18.75" customHeight="1" x14ac:dyDescent="0.2">
      <c r="A97" s="949" t="str">
        <f>IF($AL94&gt;2,"3","")</f>
        <v>3</v>
      </c>
      <c r="B97" s="990" t="s">
        <v>10</v>
      </c>
      <c r="C97" s="991"/>
      <c r="D97" s="991"/>
      <c r="E97" s="953" t="str">
        <f>AU8</f>
        <v>Columbia SC Starlings 12</v>
      </c>
      <c r="F97" s="954"/>
      <c r="G97" s="954"/>
      <c r="H97" s="954"/>
      <c r="I97" s="954"/>
      <c r="J97" s="954"/>
      <c r="K97" s="954"/>
      <c r="L97" s="955"/>
      <c r="M97" s="956">
        <f>IF($AL95=0,AG151,AG133)</f>
        <v>0</v>
      </c>
      <c r="N97" s="957"/>
      <c r="O97" s="957"/>
      <c r="P97" s="957"/>
      <c r="Q97" s="957"/>
      <c r="R97" s="932"/>
      <c r="S97" s="956">
        <f>IF($AL95=0,AH151,AH133)</f>
        <v>4</v>
      </c>
      <c r="T97" s="957"/>
      <c r="U97" s="957"/>
      <c r="V97" s="957"/>
      <c r="W97" s="957"/>
      <c r="X97" s="956">
        <f>AR111</f>
        <v>-43</v>
      </c>
      <c r="Y97" s="957"/>
      <c r="Z97" s="957"/>
      <c r="AA97" s="958">
        <f>IF(AG145&gt;0,(AR111/AG145),0)</f>
        <v>-0.4777777777777778</v>
      </c>
      <c r="AB97" s="959"/>
      <c r="AC97" s="959"/>
      <c r="AD97" s="960">
        <f>IF(AG159=0,0,(AG151/AG159))</f>
        <v>0</v>
      </c>
      <c r="AE97" s="961"/>
      <c r="AF97" s="962"/>
      <c r="AG97" s="963">
        <v>3</v>
      </c>
      <c r="AH97" s="963">
        <v>1</v>
      </c>
      <c r="AI97" s="964"/>
      <c r="AJ97" s="965"/>
      <c r="AK97" s="992"/>
      <c r="AL97" s="946">
        <v>4</v>
      </c>
      <c r="AM97" s="993" t="s">
        <v>59</v>
      </c>
      <c r="AN97" s="947"/>
      <c r="AO97" s="947"/>
      <c r="AP97" s="947"/>
      <c r="AQ97" s="947"/>
      <c r="AR97" s="947"/>
      <c r="AS97" s="948"/>
    </row>
    <row r="98" spans="1:45" ht="18.75" customHeight="1" thickBot="1" x14ac:dyDescent="0.25">
      <c r="A98" s="966"/>
      <c r="B98" s="988" t="s">
        <v>11</v>
      </c>
      <c r="C98" s="989"/>
      <c r="D98" s="989"/>
      <c r="E98" s="970" t="str">
        <f>AV8</f>
        <v>fj2starl1pm</v>
      </c>
      <c r="F98" s="971"/>
      <c r="G98" s="971"/>
      <c r="H98" s="971"/>
      <c r="I98" s="971"/>
      <c r="J98" s="971"/>
      <c r="K98" s="971"/>
      <c r="L98" s="971"/>
      <c r="M98" s="972"/>
      <c r="N98" s="973"/>
      <c r="O98" s="973"/>
      <c r="P98" s="973"/>
      <c r="Q98" s="973"/>
      <c r="R98" s="932"/>
      <c r="S98" s="972"/>
      <c r="T98" s="973"/>
      <c r="U98" s="973"/>
      <c r="V98" s="973"/>
      <c r="W98" s="973"/>
      <c r="X98" s="972"/>
      <c r="Y98" s="973"/>
      <c r="Z98" s="973"/>
      <c r="AA98" s="974"/>
      <c r="AB98" s="975"/>
      <c r="AC98" s="975"/>
      <c r="AD98" s="976"/>
      <c r="AE98" s="977"/>
      <c r="AF98" s="978"/>
      <c r="AG98" s="979"/>
      <c r="AH98" s="979"/>
      <c r="AI98" s="980"/>
      <c r="AJ98" s="981"/>
      <c r="AK98" s="992"/>
      <c r="AL98" s="1000"/>
      <c r="AM98" s="1001"/>
      <c r="AN98" s="1001"/>
      <c r="AO98" s="1001"/>
      <c r="AP98" s="1001"/>
      <c r="AQ98" s="1001"/>
      <c r="AR98" s="945"/>
      <c r="AS98" s="845"/>
    </row>
    <row r="99" spans="1:45" ht="18.75" customHeight="1" x14ac:dyDescent="0.2">
      <c r="A99" s="949" t="str">
        <f>IF($AL94&gt;3,"4","")</f>
        <v/>
      </c>
      <c r="B99" s="990" t="s">
        <v>10</v>
      </c>
      <c r="C99" s="991"/>
      <c r="D99" s="991"/>
      <c r="E99" s="953">
        <f>AU10</f>
        <v>0</v>
      </c>
      <c r="F99" s="954"/>
      <c r="G99" s="954"/>
      <c r="H99" s="954"/>
      <c r="I99" s="954"/>
      <c r="J99" s="954"/>
      <c r="K99" s="954"/>
      <c r="L99" s="955"/>
      <c r="M99" s="956">
        <f>IF($AL95=0,AG152,AG134)</f>
        <v>0</v>
      </c>
      <c r="N99" s="957"/>
      <c r="O99" s="957"/>
      <c r="P99" s="957"/>
      <c r="Q99" s="957"/>
      <c r="R99" s="932"/>
      <c r="S99" s="956">
        <f>IF($AL95=0,AH152,AH134)</f>
        <v>0</v>
      </c>
      <c r="T99" s="957"/>
      <c r="U99" s="957"/>
      <c r="V99" s="957"/>
      <c r="W99" s="957"/>
      <c r="X99" s="956">
        <f>AR112</f>
        <v>0</v>
      </c>
      <c r="Y99" s="957"/>
      <c r="Z99" s="957"/>
      <c r="AA99" s="958">
        <f>IF(AG146&gt;0,(AR112/AG146),0)</f>
        <v>0</v>
      </c>
      <c r="AB99" s="959"/>
      <c r="AC99" s="959"/>
      <c r="AD99" s="960">
        <f>IF(AG160=0,0,(AG152/AG160))</f>
        <v>0</v>
      </c>
      <c r="AE99" s="961"/>
      <c r="AF99" s="962"/>
      <c r="AG99" s="963"/>
      <c r="AH99" s="963"/>
      <c r="AI99" s="964"/>
      <c r="AJ99" s="965"/>
      <c r="AK99" s="868"/>
      <c r="AL99" s="1001"/>
      <c r="AM99" s="1001"/>
      <c r="AN99" s="1001"/>
      <c r="AO99" s="1001"/>
      <c r="AP99" s="1001"/>
      <c r="AQ99" s="1001"/>
      <c r="AR99" s="947"/>
      <c r="AS99" s="948"/>
    </row>
    <row r="100" spans="1:45" ht="18.75" customHeight="1" thickBot="1" x14ac:dyDescent="0.25">
      <c r="A100" s="966"/>
      <c r="B100" s="988" t="s">
        <v>11</v>
      </c>
      <c r="C100" s="989"/>
      <c r="D100" s="989"/>
      <c r="E100" s="970">
        <f>AV10</f>
        <v>0</v>
      </c>
      <c r="F100" s="971"/>
      <c r="G100" s="971"/>
      <c r="H100" s="971"/>
      <c r="I100" s="971"/>
      <c r="J100" s="971"/>
      <c r="K100" s="971"/>
      <c r="L100" s="971"/>
      <c r="M100" s="972"/>
      <c r="N100" s="973"/>
      <c r="O100" s="973"/>
      <c r="P100" s="973"/>
      <c r="Q100" s="973"/>
      <c r="R100" s="932"/>
      <c r="S100" s="972"/>
      <c r="T100" s="973"/>
      <c r="U100" s="973"/>
      <c r="V100" s="973"/>
      <c r="W100" s="973"/>
      <c r="X100" s="972"/>
      <c r="Y100" s="973"/>
      <c r="Z100" s="973"/>
      <c r="AA100" s="974"/>
      <c r="AB100" s="975"/>
      <c r="AC100" s="975"/>
      <c r="AD100" s="976"/>
      <c r="AE100" s="977"/>
      <c r="AF100" s="978"/>
      <c r="AG100" s="979"/>
      <c r="AH100" s="979"/>
      <c r="AI100" s="980"/>
      <c r="AJ100" s="981"/>
      <c r="AK100" s="868"/>
      <c r="AL100" s="1001"/>
      <c r="AM100" s="1001"/>
      <c r="AN100" s="1001"/>
      <c r="AO100" s="1001"/>
      <c r="AP100" s="1001"/>
      <c r="AQ100" s="1001"/>
      <c r="AR100" s="868"/>
      <c r="AS100" s="845"/>
    </row>
    <row r="101" spans="1:45" ht="18.75" customHeight="1" x14ac:dyDescent="0.2">
      <c r="A101" s="949" t="str">
        <f>IF($AL94&gt;4,"5","")</f>
        <v/>
      </c>
      <c r="B101" s="990" t="s">
        <v>10</v>
      </c>
      <c r="C101" s="991"/>
      <c r="D101" s="991"/>
      <c r="E101" s="953">
        <f>AU12</f>
        <v>0</v>
      </c>
      <c r="F101" s="954"/>
      <c r="G101" s="954"/>
      <c r="H101" s="954"/>
      <c r="I101" s="954"/>
      <c r="J101" s="954"/>
      <c r="K101" s="954"/>
      <c r="L101" s="955"/>
      <c r="M101" s="956">
        <f>IF($AL95=0,AG153,AG135)</f>
        <v>0</v>
      </c>
      <c r="N101" s="957"/>
      <c r="O101" s="957"/>
      <c r="P101" s="957"/>
      <c r="Q101" s="957"/>
      <c r="R101" s="932"/>
      <c r="S101" s="956">
        <f>IF($AL95=0,AH153,AH135)</f>
        <v>0</v>
      </c>
      <c r="T101" s="957"/>
      <c r="U101" s="957"/>
      <c r="V101" s="957"/>
      <c r="W101" s="957"/>
      <c r="X101" s="956">
        <f>AR113</f>
        <v>0</v>
      </c>
      <c r="Y101" s="957"/>
      <c r="Z101" s="957"/>
      <c r="AA101" s="958">
        <f>IF(AG147&gt;0,(AR113/AG147),0)</f>
        <v>0</v>
      </c>
      <c r="AB101" s="959"/>
      <c r="AC101" s="959"/>
      <c r="AD101" s="960">
        <f>IF(AG161=0,0,(AG153/AG161))</f>
        <v>0</v>
      </c>
      <c r="AE101" s="961"/>
      <c r="AF101" s="962"/>
      <c r="AG101" s="963"/>
      <c r="AH101" s="963"/>
      <c r="AI101" s="964"/>
      <c r="AJ101" s="965"/>
      <c r="AK101" s="868"/>
      <c r="AL101" s="1001"/>
      <c r="AM101" s="1001"/>
      <c r="AN101" s="1001"/>
      <c r="AO101" s="1001"/>
      <c r="AP101" s="1001"/>
      <c r="AQ101" s="1001"/>
      <c r="AR101" s="868"/>
      <c r="AS101" s="845"/>
    </row>
    <row r="102" spans="1:45" ht="18.75" customHeight="1" thickBot="1" x14ac:dyDescent="0.25">
      <c r="A102" s="966"/>
      <c r="B102" s="1009" t="s">
        <v>11</v>
      </c>
      <c r="C102" s="1010"/>
      <c r="D102" s="1010"/>
      <c r="E102" s="1011">
        <f>AV12</f>
        <v>0</v>
      </c>
      <c r="F102" s="1012"/>
      <c r="G102" s="1012"/>
      <c r="H102" s="1012"/>
      <c r="I102" s="1012"/>
      <c r="J102" s="1012"/>
      <c r="K102" s="1012"/>
      <c r="L102" s="1012"/>
      <c r="M102" s="1013"/>
      <c r="N102" s="1014"/>
      <c r="O102" s="1014"/>
      <c r="P102" s="1014"/>
      <c r="Q102" s="1014"/>
      <c r="R102" s="932"/>
      <c r="S102" s="972"/>
      <c r="T102" s="973"/>
      <c r="U102" s="973"/>
      <c r="V102" s="973"/>
      <c r="W102" s="973"/>
      <c r="X102" s="972"/>
      <c r="Y102" s="973"/>
      <c r="Z102" s="973"/>
      <c r="AA102" s="974"/>
      <c r="AB102" s="975"/>
      <c r="AC102" s="975"/>
      <c r="AD102" s="976"/>
      <c r="AE102" s="977"/>
      <c r="AF102" s="978"/>
      <c r="AG102" s="979"/>
      <c r="AH102" s="1015"/>
      <c r="AI102" s="980"/>
      <c r="AJ102" s="981"/>
      <c r="AK102" s="868"/>
      <c r="AL102" s="1001"/>
      <c r="AM102" s="1001"/>
      <c r="AN102" s="1001"/>
      <c r="AO102" s="1001"/>
      <c r="AP102" s="1001"/>
      <c r="AQ102" s="1001"/>
      <c r="AR102" s="868"/>
      <c r="AS102" s="845"/>
    </row>
    <row r="103" spans="1:45" ht="21" customHeight="1" thickTop="1" thickBot="1" x14ac:dyDescent="0.25">
      <c r="A103" s="1016"/>
      <c r="B103" s="1017" t="s">
        <v>1128</v>
      </c>
      <c r="C103" s="1018"/>
      <c r="D103" s="1018"/>
      <c r="E103" s="1018"/>
      <c r="F103" s="1018"/>
      <c r="G103" s="1018"/>
      <c r="H103" s="1018"/>
      <c r="I103" s="1018"/>
      <c r="J103" s="1018"/>
      <c r="K103" s="1018"/>
      <c r="L103" s="1018"/>
      <c r="M103" s="1018"/>
      <c r="N103" s="1018"/>
      <c r="O103" s="1018"/>
      <c r="P103" s="1018"/>
      <c r="Q103" s="1018"/>
      <c r="R103" s="1018"/>
      <c r="S103" s="1018"/>
      <c r="T103" s="1018"/>
      <c r="U103" s="1018"/>
      <c r="V103" s="1018"/>
      <c r="W103" s="1018"/>
      <c r="X103" s="1018"/>
      <c r="Y103" s="1018"/>
      <c r="Z103" s="1018"/>
      <c r="AA103" s="1018"/>
      <c r="AB103" s="1018"/>
      <c r="AC103" s="1018"/>
      <c r="AD103" s="1018"/>
      <c r="AE103" s="1018"/>
      <c r="AF103" s="1018"/>
      <c r="AG103" s="1018"/>
      <c r="AH103" s="1018"/>
      <c r="AI103" s="1018"/>
      <c r="AJ103" s="1019"/>
      <c r="AK103" s="868"/>
      <c r="AL103" s="1001"/>
      <c r="AM103" s="1001"/>
      <c r="AN103" s="1001"/>
      <c r="AO103" s="1001"/>
      <c r="AP103" s="1001"/>
      <c r="AQ103" s="1001"/>
      <c r="AR103" s="868"/>
      <c r="AS103" s="845"/>
    </row>
    <row r="104" spans="1:45" ht="13.5" customHeight="1" thickTop="1" x14ac:dyDescent="0.2">
      <c r="A104" s="846" t="s">
        <v>64</v>
      </c>
      <c r="B104" s="1020">
        <v>0.35416666666666669</v>
      </c>
      <c r="C104" s="1021"/>
      <c r="D104" s="1022"/>
      <c r="E104" s="1020">
        <v>0.39583333333333331</v>
      </c>
      <c r="F104" s="1021"/>
      <c r="G104" s="1022"/>
      <c r="H104" s="1020">
        <v>0.4375</v>
      </c>
      <c r="I104" s="1021"/>
      <c r="J104" s="1022"/>
      <c r="K104" s="1086" t="s">
        <v>1129</v>
      </c>
      <c r="L104" s="1020">
        <v>0.5</v>
      </c>
      <c r="M104" s="1021"/>
      <c r="N104" s="1022"/>
      <c r="O104" s="1020">
        <v>4.1666666666666664E-2</v>
      </c>
      <c r="P104" s="1021"/>
      <c r="Q104" s="1022"/>
      <c r="R104" s="1020">
        <v>8.3333333333333329E-2</v>
      </c>
      <c r="S104" s="1021"/>
      <c r="T104" s="1022"/>
      <c r="U104" s="1020">
        <v>4.1666666666666664E-2</v>
      </c>
      <c r="V104" s="1021"/>
      <c r="W104" s="1022"/>
      <c r="X104" s="1020">
        <v>7.2916666666666671E-2</v>
      </c>
      <c r="Y104" s="1021"/>
      <c r="Z104" s="1022"/>
      <c r="AA104" s="1020">
        <v>0.10416666666666667</v>
      </c>
      <c r="AB104" s="1021"/>
      <c r="AC104" s="1022"/>
      <c r="AD104" s="1020">
        <v>0.13541666666666666</v>
      </c>
      <c r="AE104" s="1021"/>
      <c r="AF104" s="1022"/>
      <c r="AG104" s="1024" t="s">
        <v>65</v>
      </c>
      <c r="AH104" s="1025"/>
      <c r="AI104" s="1025"/>
      <c r="AJ104" s="1025"/>
      <c r="AK104" s="1026"/>
      <c r="AL104" s="1026"/>
      <c r="AM104" s="1026"/>
      <c r="AN104" s="1026"/>
      <c r="AO104" s="1026"/>
      <c r="AP104" s="1026"/>
      <c r="AQ104" s="1026"/>
      <c r="AR104" s="1027"/>
    </row>
    <row r="105" spans="1:45" x14ac:dyDescent="0.2">
      <c r="A105" s="1028" t="s">
        <v>66</v>
      </c>
      <c r="B105" s="1029"/>
      <c r="C105" s="1030"/>
      <c r="D105" s="1031"/>
      <c r="E105" s="1029"/>
      <c r="F105" s="1030"/>
      <c r="G105" s="1031"/>
      <c r="H105" s="1029"/>
      <c r="I105" s="1030"/>
      <c r="J105" s="1031"/>
      <c r="K105" s="1087"/>
      <c r="L105" s="1029"/>
      <c r="M105" s="1030"/>
      <c r="N105" s="1031"/>
      <c r="O105" s="1029"/>
      <c r="P105" s="1030"/>
      <c r="Q105" s="1031"/>
      <c r="R105" s="1029"/>
      <c r="S105" s="1030"/>
      <c r="T105" s="1031"/>
      <c r="U105" s="1029"/>
      <c r="V105" s="1030"/>
      <c r="W105" s="1031"/>
      <c r="X105" s="1029"/>
      <c r="Y105" s="1030"/>
      <c r="Z105" s="1031"/>
      <c r="AA105" s="1029"/>
      <c r="AB105" s="1030"/>
      <c r="AC105" s="1031"/>
      <c r="AD105" s="1029"/>
      <c r="AE105" s="1030"/>
      <c r="AF105" s="1031"/>
      <c r="AG105" s="1024"/>
      <c r="AH105" s="1025"/>
      <c r="AI105" s="1025"/>
      <c r="AJ105" s="1025"/>
      <c r="AK105" s="1025"/>
      <c r="AL105" s="1025"/>
      <c r="AM105" s="1025"/>
      <c r="AN105" s="1025"/>
      <c r="AO105" s="1025"/>
      <c r="AP105" s="1025"/>
      <c r="AQ105" s="1025"/>
      <c r="AR105" s="1033"/>
    </row>
    <row r="106" spans="1:45" x14ac:dyDescent="0.2">
      <c r="A106" s="1028" t="s">
        <v>67</v>
      </c>
      <c r="B106" s="1029"/>
      <c r="C106" s="1030"/>
      <c r="D106" s="1031"/>
      <c r="E106" s="1029"/>
      <c r="F106" s="1030"/>
      <c r="G106" s="1031"/>
      <c r="H106" s="1029"/>
      <c r="I106" s="1030"/>
      <c r="J106" s="1031"/>
      <c r="K106" s="1087"/>
      <c r="L106" s="1029"/>
      <c r="M106" s="1030"/>
      <c r="N106" s="1031"/>
      <c r="O106" s="1029"/>
      <c r="P106" s="1030"/>
      <c r="Q106" s="1031"/>
      <c r="R106" s="1029"/>
      <c r="S106" s="1030"/>
      <c r="T106" s="1031"/>
      <c r="U106" s="1029"/>
      <c r="V106" s="1030"/>
      <c r="W106" s="1031"/>
      <c r="X106" s="1029"/>
      <c r="Y106" s="1030"/>
      <c r="Z106" s="1031"/>
      <c r="AA106" s="1029"/>
      <c r="AB106" s="1030"/>
      <c r="AC106" s="1031"/>
      <c r="AD106" s="1029"/>
      <c r="AE106" s="1030"/>
      <c r="AF106" s="1031"/>
      <c r="AG106" s="1024"/>
      <c r="AH106" s="1025"/>
      <c r="AI106" s="1025"/>
      <c r="AJ106" s="1025"/>
      <c r="AK106" s="1025"/>
      <c r="AL106" s="1025"/>
      <c r="AM106" s="1025"/>
      <c r="AN106" s="1025"/>
      <c r="AO106" s="1025"/>
      <c r="AP106" s="1025"/>
      <c r="AQ106" s="1025"/>
      <c r="AR106" s="1033"/>
    </row>
    <row r="107" spans="1:45" ht="13.5" thickBot="1" x14ac:dyDescent="0.25">
      <c r="A107" s="868"/>
      <c r="B107" s="1034" t="s">
        <v>68</v>
      </c>
      <c r="C107" s="1035"/>
      <c r="D107" s="1036"/>
      <c r="E107" s="1034" t="str">
        <f>IF(AL93&gt;1,"Match 2","")</f>
        <v>Match 2</v>
      </c>
      <c r="F107" s="1035"/>
      <c r="G107" s="1036"/>
      <c r="H107" s="1034" t="str">
        <f>IF(AL93&gt;2,"Match 3","")</f>
        <v>Match 3</v>
      </c>
      <c r="I107" s="1035"/>
      <c r="J107" s="1036"/>
      <c r="K107" s="1087"/>
      <c r="L107" s="1034" t="str">
        <f>IF(AL93&gt;3,"Match 4","")</f>
        <v>Match 4</v>
      </c>
      <c r="M107" s="1035"/>
      <c r="N107" s="1036"/>
      <c r="O107" s="1034" t="str">
        <f>IF(AL93&gt;4,"Match 5","")</f>
        <v>Match 5</v>
      </c>
      <c r="P107" s="1035"/>
      <c r="Q107" s="1036"/>
      <c r="R107" s="1034" t="str">
        <f>IF(AL93&gt;5,"Match 6","")</f>
        <v>Match 6</v>
      </c>
      <c r="S107" s="1035"/>
      <c r="T107" s="1036"/>
      <c r="U107" s="1034" t="str">
        <f>IF(AL93&gt;6,"Match 7","")</f>
        <v/>
      </c>
      <c r="V107" s="1035"/>
      <c r="W107" s="1036"/>
      <c r="X107" s="1034" t="str">
        <f>IF(AL93&gt;7,"Match 8","")</f>
        <v/>
      </c>
      <c r="Y107" s="1035"/>
      <c r="Z107" s="1036"/>
      <c r="AA107" s="1034" t="str">
        <f>IF(AL93&gt;8,"Match 9","")</f>
        <v/>
      </c>
      <c r="AB107" s="1035"/>
      <c r="AC107" s="1036"/>
      <c r="AD107" s="1034" t="str">
        <f>IF(AL93&gt;9,"Match 10","")</f>
        <v/>
      </c>
      <c r="AE107" s="1035"/>
      <c r="AF107" s="1036"/>
      <c r="AG107" s="1037"/>
      <c r="AH107" s="1038"/>
      <c r="AI107" s="1038"/>
      <c r="AJ107" s="1038"/>
      <c r="AK107" s="1038"/>
      <c r="AL107" s="1038"/>
      <c r="AM107" s="1038"/>
      <c r="AN107" s="1038"/>
      <c r="AO107" s="1038"/>
      <c r="AP107" s="1038"/>
      <c r="AQ107" s="1038"/>
      <c r="AR107" s="1039"/>
    </row>
    <row r="108" spans="1:45" ht="15.75" x14ac:dyDescent="0.25">
      <c r="A108" s="868"/>
      <c r="B108" s="1040" t="s">
        <v>70</v>
      </c>
      <c r="C108" s="1041"/>
      <c r="D108" s="1042"/>
      <c r="E108" s="1040" t="s">
        <v>71</v>
      </c>
      <c r="F108" s="1041"/>
      <c r="G108" s="1042"/>
      <c r="H108" s="1040" t="s">
        <v>73</v>
      </c>
      <c r="I108" s="1041"/>
      <c r="J108" s="1042"/>
      <c r="K108" s="1087"/>
      <c r="L108" s="1040" t="s">
        <v>70</v>
      </c>
      <c r="M108" s="1041"/>
      <c r="N108" s="1042"/>
      <c r="O108" s="1040" t="s">
        <v>71</v>
      </c>
      <c r="P108" s="1041"/>
      <c r="Q108" s="1042"/>
      <c r="R108" s="1040" t="s">
        <v>73</v>
      </c>
      <c r="S108" s="1041"/>
      <c r="T108" s="1042"/>
      <c r="U108" s="1040" t="s">
        <v>69</v>
      </c>
      <c r="V108" s="1041"/>
      <c r="W108" s="1042"/>
      <c r="X108" s="1040" t="s">
        <v>73</v>
      </c>
      <c r="Y108" s="1041"/>
      <c r="Z108" s="1042"/>
      <c r="AA108" s="1040" t="s">
        <v>1117</v>
      </c>
      <c r="AB108" s="1041"/>
      <c r="AC108" s="1042"/>
      <c r="AD108" s="1040" t="s">
        <v>70</v>
      </c>
      <c r="AE108" s="1041"/>
      <c r="AF108" s="1042"/>
      <c r="AG108" s="1043" t="s">
        <v>74</v>
      </c>
      <c r="AH108" s="1044">
        <v>1</v>
      </c>
      <c r="AI108" s="1044">
        <v>2</v>
      </c>
      <c r="AJ108" s="1044">
        <v>3</v>
      </c>
      <c r="AK108" s="1044">
        <v>4</v>
      </c>
      <c r="AL108" s="1044">
        <v>5</v>
      </c>
      <c r="AM108" s="1044">
        <v>6</v>
      </c>
      <c r="AN108" s="1044">
        <v>7</v>
      </c>
      <c r="AO108" s="1044">
        <v>8</v>
      </c>
      <c r="AP108" s="1044">
        <v>9</v>
      </c>
      <c r="AQ108" s="1044">
        <v>10</v>
      </c>
      <c r="AR108" s="1045" t="s">
        <v>75</v>
      </c>
    </row>
    <row r="109" spans="1:45" ht="15.75" x14ac:dyDescent="0.25">
      <c r="A109" s="868"/>
      <c r="B109" s="1046">
        <v>1</v>
      </c>
      <c r="C109" s="1047" t="s">
        <v>76</v>
      </c>
      <c r="D109" s="1048">
        <v>3</v>
      </c>
      <c r="E109" s="1046">
        <v>2</v>
      </c>
      <c r="F109" s="1047" t="str">
        <f>IF(AL93&gt;1,"v","")</f>
        <v>v</v>
      </c>
      <c r="G109" s="1048">
        <v>3</v>
      </c>
      <c r="H109" s="1046">
        <v>1</v>
      </c>
      <c r="I109" s="1047" t="str">
        <f>IF(AL93&gt;2,"v","")</f>
        <v>v</v>
      </c>
      <c r="J109" s="1048">
        <v>2</v>
      </c>
      <c r="K109" s="1087"/>
      <c r="L109" s="1046">
        <v>1</v>
      </c>
      <c r="M109" s="1047" t="str">
        <f>IF(AL93&gt;3,"v","")</f>
        <v>v</v>
      </c>
      <c r="N109" s="1048">
        <v>3</v>
      </c>
      <c r="O109" s="1046">
        <v>2</v>
      </c>
      <c r="P109" s="1047" t="str">
        <f>IF(AL93&gt;4,"v","")</f>
        <v>v</v>
      </c>
      <c r="Q109" s="1048">
        <v>3</v>
      </c>
      <c r="R109" s="1046">
        <v>1</v>
      </c>
      <c r="S109" s="1047" t="str">
        <f>IF(AL93&gt;5,"v","")</f>
        <v>v</v>
      </c>
      <c r="T109" s="1048">
        <v>2</v>
      </c>
      <c r="U109" s="1046">
        <v>2</v>
      </c>
      <c r="V109" s="1047" t="str">
        <f>IF(AL93&gt;6,"v","")</f>
        <v/>
      </c>
      <c r="W109" s="1048">
        <v>3</v>
      </c>
      <c r="X109" s="1046">
        <v>1</v>
      </c>
      <c r="Y109" s="1047" t="str">
        <f>IF(AL93&gt;7,"v","")</f>
        <v/>
      </c>
      <c r="Z109" s="1048">
        <v>5</v>
      </c>
      <c r="AA109" s="1046">
        <v>3</v>
      </c>
      <c r="AB109" s="1047" t="str">
        <f>IF(AL93&gt;8,"v","")</f>
        <v/>
      </c>
      <c r="AC109" s="1048">
        <v>4</v>
      </c>
      <c r="AD109" s="1046">
        <v>1</v>
      </c>
      <c r="AE109" s="1047" t="str">
        <f>IF(AL93&gt;9,"v","")</f>
        <v/>
      </c>
      <c r="AF109" s="1048">
        <v>2</v>
      </c>
      <c r="AG109" s="1049" t="str">
        <f>IF(AL94&gt;0,"Team 1","")</f>
        <v>Team 1</v>
      </c>
      <c r="AH109" s="1050">
        <f>IF(AL94&lt;1,"",IF(AL93&lt;1,"",IF(B109=1,B115-D115,IF(D109=1,D115-B115,""))))</f>
        <v>16</v>
      </c>
      <c r="AI109" s="1050" t="str">
        <f>IF(AL94&lt;1,"",IF(AL93&lt;2,"",IF(E109=1,E115-G115,IF(G109=1,G115-E115,""))))</f>
        <v/>
      </c>
      <c r="AJ109" s="1050">
        <f>IF(AL94&lt;1,"",IF(AL93&lt;3,"",IF(H109=1,H115-J115,IF(J109=1,J115-H115,""))))</f>
        <v>-7</v>
      </c>
      <c r="AK109" s="1050">
        <f>IF(AL94&lt;1,"",IF(AL93&lt;4,"",IF(L109=1,L115-N115,IF(N109=1,N115-L115,""))))</f>
        <v>12</v>
      </c>
      <c r="AL109" s="1050" t="str">
        <f>IF(AL94&lt;1,"",IF(AL93&lt;5,"",IF(O109=1,O115-Q115,IF(Q109=1,Q115-O115,""))))</f>
        <v/>
      </c>
      <c r="AM109" s="1050">
        <f>IF(AL94&lt;1,"",IF(AL93&lt;6,"",IF(R109=1,R115-T115,IF(T109=1,T115-R115,""))))</f>
        <v>8</v>
      </c>
      <c r="AN109" s="1050" t="str">
        <f>IF(AL94&lt;1,"",IF(AL93&lt;7,"",IF(U109=1,U115-W115,IF(W109=1,W115-U115,""))))</f>
        <v/>
      </c>
      <c r="AO109" s="1050" t="str">
        <f>IF(AL94&lt;1,"",IF(AL93&lt;8,"",IF(X109=1,X115-Z115,IF(Z109=1,Z115-X115,""))))</f>
        <v/>
      </c>
      <c r="AP109" s="1050" t="str">
        <f>IF(AL94&lt;1,"",IF(AL93&lt;9,"",IF(AA109=1,AA115-AC115,IF(AC109=1,AC115-AA115,""))))</f>
        <v/>
      </c>
      <c r="AQ109" s="1050" t="str">
        <f>IF(AL94&lt;1,"",IF(AL93&lt;10,"",IF(AD109=1,AD115-AF115,IF(AF109=1,AF115-AD115,""))))</f>
        <v/>
      </c>
      <c r="AR109" s="1045">
        <f>SUM(AH109:AQ109)</f>
        <v>29</v>
      </c>
    </row>
    <row r="110" spans="1:45" ht="15" x14ac:dyDescent="0.2">
      <c r="A110" s="846" t="s">
        <v>77</v>
      </c>
      <c r="B110" s="1051">
        <v>26</v>
      </c>
      <c r="C110" s="1052" t="s">
        <v>78</v>
      </c>
      <c r="D110" s="1053">
        <v>10</v>
      </c>
      <c r="E110" s="1051">
        <v>21</v>
      </c>
      <c r="F110" s="1052" t="str">
        <f>IF(AL93&gt;1,"/","")</f>
        <v>/</v>
      </c>
      <c r="G110" s="1053">
        <v>12</v>
      </c>
      <c r="H110" s="1051">
        <v>16</v>
      </c>
      <c r="I110" s="1052" t="str">
        <f>IF(AL93&gt;2,"/","")</f>
        <v>/</v>
      </c>
      <c r="J110" s="1053">
        <v>23</v>
      </c>
      <c r="K110" s="1087"/>
      <c r="L110" s="1051">
        <v>23</v>
      </c>
      <c r="M110" s="1052" t="str">
        <f>IF(AL93&gt;3,"/","")</f>
        <v>/</v>
      </c>
      <c r="N110" s="1053">
        <v>11</v>
      </c>
      <c r="O110" s="1051">
        <v>20</v>
      </c>
      <c r="P110" s="1052" t="str">
        <f>IF(AL93&gt;4,"/","")</f>
        <v>/</v>
      </c>
      <c r="Q110" s="1053">
        <v>14</v>
      </c>
      <c r="R110" s="1051">
        <v>23</v>
      </c>
      <c r="S110" s="1052" t="str">
        <f>IF(AL93&gt;5,"/","")</f>
        <v>/</v>
      </c>
      <c r="T110" s="1053">
        <v>15</v>
      </c>
      <c r="U110" s="1051"/>
      <c r="V110" s="1052" t="str">
        <f>IF(AL93&gt;6,"/","")</f>
        <v/>
      </c>
      <c r="W110" s="1053"/>
      <c r="X110" s="1051"/>
      <c r="Y110" s="1052" t="str">
        <f>IF(AL93&gt;7,"/","")</f>
        <v/>
      </c>
      <c r="Z110" s="1053"/>
      <c r="AA110" s="1051"/>
      <c r="AB110" s="1052" t="str">
        <f>IF(AL93&gt;8,"/","")</f>
        <v/>
      </c>
      <c r="AC110" s="1053"/>
      <c r="AD110" s="1051"/>
      <c r="AE110" s="1052" t="str">
        <f>IF(AL93&gt;9,"/","")</f>
        <v/>
      </c>
      <c r="AF110" s="1053"/>
      <c r="AG110" s="1049" t="str">
        <f>IF(AL94&gt;1,"Team 2","")</f>
        <v>Team 2</v>
      </c>
      <c r="AH110" s="1050" t="str">
        <f>IF(AL94&lt;2,"",IF(AL93&lt;1,"",IF(B109=2,B115-D115,IF(D109=2,D115-B115,""))))</f>
        <v/>
      </c>
      <c r="AI110" s="1050">
        <f>IF(AL94&lt;2,"",IF(AL93&lt;2,"",IF(E109=2,E115-G115,IF(G109=2,G115-E115,""))))</f>
        <v>9</v>
      </c>
      <c r="AJ110" s="1050">
        <f>IF(AL94&lt;2,"",IF(AL93&lt;3,"",IF(H109=2,H115-J115,IF(J109=2,J115-H115,""))))</f>
        <v>7</v>
      </c>
      <c r="AK110" s="1050" t="str">
        <f>IF(AL94&lt;2,"",IF(AL93&lt;4,"",IF(L109=2,L115-N115,IF(N109=2,N115-L115,""))))</f>
        <v/>
      </c>
      <c r="AL110" s="1050">
        <f>IF(AL94&lt;2,"",IF(AL93&lt;5,"",IF(O109=2,O115-Q115,IF(Q109=2,Q115-O115,""))))</f>
        <v>6</v>
      </c>
      <c r="AM110" s="1050">
        <f>IF(AL94&lt;2,"",IF(AL93&lt;6,"",IF(R109=2,R115-T115,IF(T109=2,T115-R115,""))))</f>
        <v>-8</v>
      </c>
      <c r="AN110" s="1050" t="str">
        <f>IF(AL94&lt;2,"",IF(AL93&lt;7,"",IF(U109=2,U115-W115,IF(W109=2,W115-U115,""))))</f>
        <v/>
      </c>
      <c r="AO110" s="1050" t="str">
        <f>IF(AL94&lt;2,"",IF(AL93&lt;8,"",IF(X109=2,X115-Z115,IF(Z109=2,Z115-X115,""))))</f>
        <v/>
      </c>
      <c r="AP110" s="1050" t="str">
        <f>IF(AL94&lt;2,"",IF(AL93&lt;9,"",IF(AA109=2,AA115-AC115,IF(AC109=2,AC115-AA115,""))))</f>
        <v/>
      </c>
      <c r="AQ110" s="1050" t="str">
        <f>IF(AL94&lt;2,"",IF(AL93&lt;10,"",IF(AD109=2,AD115-AF115,IF(AF109=2,AF115-AD115,""))))</f>
        <v/>
      </c>
      <c r="AR110" s="1045">
        <f>SUM(AH110:AQ110)</f>
        <v>14</v>
      </c>
    </row>
    <row r="111" spans="1:45" ht="15" x14ac:dyDescent="0.2">
      <c r="A111" s="845" t="str">
        <f>IF(AL92&gt;1,"Game 2","")</f>
        <v/>
      </c>
      <c r="B111" s="1051"/>
      <c r="C111" s="1052" t="s">
        <v>78</v>
      </c>
      <c r="D111" s="1053"/>
      <c r="E111" s="1051"/>
      <c r="F111" s="1052" t="str">
        <f>IF(AL93&gt;1,IF(AL92&gt;1,"/",""),"")</f>
        <v/>
      </c>
      <c r="G111" s="1053"/>
      <c r="H111" s="1051"/>
      <c r="I111" s="1052" t="str">
        <f>IF(AL93&gt;2,IF(AL92&gt;1,"/",""),"")</f>
        <v/>
      </c>
      <c r="J111" s="1053"/>
      <c r="K111" s="1087"/>
      <c r="L111" s="1051"/>
      <c r="M111" s="1052" t="str">
        <f>IF(AL93&gt;3,IF(AL92&gt;1,"/",""),"")</f>
        <v/>
      </c>
      <c r="N111" s="1053"/>
      <c r="O111" s="1051"/>
      <c r="P111" s="1052" t="str">
        <f>IF(AL93&gt;4,IF(AL92&gt;1,"/",""),"")</f>
        <v/>
      </c>
      <c r="Q111" s="1053"/>
      <c r="R111" s="1051"/>
      <c r="S111" s="1052" t="str">
        <f>IF(AL93&gt;5,IF(AL92&gt;1,"/",""),"")</f>
        <v/>
      </c>
      <c r="T111" s="1053"/>
      <c r="U111" s="1051"/>
      <c r="V111" s="1052" t="str">
        <f>IF(AL93&gt;6,IF(AL92&gt;1,"/",""),"")</f>
        <v/>
      </c>
      <c r="W111" s="1053"/>
      <c r="X111" s="1051"/>
      <c r="Y111" s="1052" t="str">
        <f>IF(AL93&gt;7,IF(AL92&gt;1,"/",""),"")</f>
        <v/>
      </c>
      <c r="Z111" s="1053"/>
      <c r="AA111" s="1051"/>
      <c r="AB111" s="1052" t="str">
        <f>IF(AL93&gt;8,IF(AL92&gt;1,"/",""),"")</f>
        <v/>
      </c>
      <c r="AC111" s="1053"/>
      <c r="AD111" s="1051"/>
      <c r="AE111" s="1052" t="str">
        <f>IF(AL93&gt;9,IF(AL92&gt;1,"/",""),"")</f>
        <v/>
      </c>
      <c r="AF111" s="1053"/>
      <c r="AG111" s="1049" t="str">
        <f>IF(AL94&gt;2,"Team 3","")</f>
        <v>Team 3</v>
      </c>
      <c r="AH111" s="1050">
        <f>IF(AL94&lt;3,"",IF(AL93&lt;1,"",IF(B109=3,B115-D115,IF(D109=3,D115-B115,""))))</f>
        <v>-16</v>
      </c>
      <c r="AI111" s="1050">
        <f>IF(AL94&lt;3,"",IF(AL93&lt;2,"",IF(E109=3,E115-G115,IF(G109=3,G115-E115,""))))</f>
        <v>-9</v>
      </c>
      <c r="AJ111" s="1050" t="str">
        <f>IF(AL94&lt;3,"",IF(AL93&lt;3,"",IF(H109=3,H115-J115,IF(J109=3,J115-H115,""))))</f>
        <v/>
      </c>
      <c r="AK111" s="1050">
        <f>IF(AL94&lt;3,"",IF(AL93&lt;4,"",IF(L109=3,L115-N115,IF(N109=3,N115-L115,""))))</f>
        <v>-12</v>
      </c>
      <c r="AL111" s="1050">
        <f>IF(AL94&lt;3,"",IF(AL93&lt;5,"",IF(O109=3,O115-Q115,IF(Q109=3,Q115-O115,""))))</f>
        <v>-6</v>
      </c>
      <c r="AM111" s="1050" t="str">
        <f>IF(AL94&lt;3,"",IF(AL93&lt;6,"",IF(R109=3,R115-T115,IF(T109=3,T115-R115,""))))</f>
        <v/>
      </c>
      <c r="AN111" s="1050" t="str">
        <f>IF(AL94&lt;3,"",IF(AL93&lt;7,"",IF(U109=3,U115-W115,IF(W109=3,W115-U115,""))))</f>
        <v/>
      </c>
      <c r="AO111" s="1050" t="str">
        <f>IF(AL94&lt;3,"",IF(AL93&lt;8,"",IF(X109=3,X115-Z115,IF(Z109=3,Z115-X115,""))))</f>
        <v/>
      </c>
      <c r="AP111" s="1050" t="str">
        <f>IF(AL94&lt;3,"",IF(AL93&lt;9,"",IF(AA109=3,AA115-AC115,IF(AC109=3,AC115-AA115,""))))</f>
        <v/>
      </c>
      <c r="AQ111" s="1050" t="str">
        <f>IF(AL94&lt;3,"",IF(AL93&lt;9,"",IF(AD109=3,AD115-AF115,IF(AF109=3,AF115-AD115,""))))</f>
        <v/>
      </c>
      <c r="AR111" s="1045">
        <f>SUM(AH111:AQ111)</f>
        <v>-43</v>
      </c>
    </row>
    <row r="112" spans="1:45" ht="15" x14ac:dyDescent="0.2">
      <c r="A112" s="845" t="str">
        <f>IF(AL92&gt;2,"Game 3","")</f>
        <v/>
      </c>
      <c r="B112" s="1051"/>
      <c r="C112" s="1052" t="s">
        <v>78</v>
      </c>
      <c r="D112" s="1053"/>
      <c r="E112" s="1051"/>
      <c r="F112" s="1052" t="str">
        <f>IF(AL93&gt;1,IF(AL92&gt;2,"/",""),"")</f>
        <v/>
      </c>
      <c r="G112" s="1053"/>
      <c r="H112" s="1051"/>
      <c r="I112" s="1052" t="str">
        <f>IF(AL93&gt;2,IF(AL92&gt;2,"/",""),"")</f>
        <v/>
      </c>
      <c r="J112" s="1053"/>
      <c r="K112" s="1087"/>
      <c r="L112" s="1051"/>
      <c r="M112" s="1052" t="str">
        <f>IF(AL93&gt;3,IF(AL92&gt;2,"/",""),"")</f>
        <v/>
      </c>
      <c r="N112" s="1053"/>
      <c r="O112" s="1051"/>
      <c r="P112" s="1052" t="str">
        <f>IF(AL93&gt;4,IF(AL92&gt;2,"/",""),"")</f>
        <v/>
      </c>
      <c r="Q112" s="1053"/>
      <c r="R112" s="1051"/>
      <c r="S112" s="1052" t="str">
        <f>IF(AL93&gt;5,IF(AL92&gt;2,"/",""),"")</f>
        <v/>
      </c>
      <c r="T112" s="1053"/>
      <c r="U112" s="1051"/>
      <c r="V112" s="1052" t="str">
        <f>IF(AL93&gt;6,IF(AL92&gt;2,"/",""),"")</f>
        <v/>
      </c>
      <c r="W112" s="1053"/>
      <c r="X112" s="1051"/>
      <c r="Y112" s="1052" t="str">
        <f>IF(AL93&gt;7,IF(AL92&gt;2,"/",""),"")</f>
        <v/>
      </c>
      <c r="Z112" s="1053"/>
      <c r="AA112" s="1051"/>
      <c r="AB112" s="1052" t="str">
        <f>IF(AL93&gt;8,IF(AL92&gt;2,"/",""),"")</f>
        <v/>
      </c>
      <c r="AC112" s="1053"/>
      <c r="AD112" s="1051"/>
      <c r="AE112" s="1052" t="str">
        <f>IF(AL93&gt;9,IF(AL92&gt;2,"/",""),"")</f>
        <v/>
      </c>
      <c r="AF112" s="1053"/>
      <c r="AG112" s="1049" t="str">
        <f>IF(AL94&gt;3,"Team 4","")</f>
        <v/>
      </c>
      <c r="AH112" s="1050" t="str">
        <f>IF(AL94&lt;4,"",IF(AL93&lt;1,"",IF(B109=4,B115-D115,IF(D109=4,D115-B115,""))))</f>
        <v/>
      </c>
      <c r="AI112" s="1050" t="str">
        <f>IF(AL94&lt;4,"",IF(AL93&lt;2,"",IF(E109=4,E115-G115,IF(G109=4,G115-E115,""))))</f>
        <v/>
      </c>
      <c r="AJ112" s="1050" t="str">
        <f>IF(AL94&lt;4,"",IF(AL93&lt;3,"",IF(H109=4,H115-J115,IF(J109=4,J115-H115,""))))</f>
        <v/>
      </c>
      <c r="AK112" s="1050" t="str">
        <f>IF(AL94&lt;4,"",IF(AL93&lt;4,"",IF(L109=4,L115-N115,IF(N109=4,N115-L115,""))))</f>
        <v/>
      </c>
      <c r="AL112" s="1050" t="str">
        <f>IF(AL94&lt;4,"",IF(AL93&lt;5,"",IF(O109=4,O115-Q115,IF(Q109=4,Q115-O115,""))))</f>
        <v/>
      </c>
      <c r="AM112" s="1050" t="str">
        <f>IF(AL94&lt;4,"",IF(AL93&lt;6,"",IF(R109=4,R115-T115,IF(T109=4,T115-R115,""))))</f>
        <v/>
      </c>
      <c r="AN112" s="1050" t="str">
        <f>IF(AL94&lt;4,"",IF(AL93&lt;7,"",IF(U109=4,U115-W115,IF(W109=4,W115-U115,""))))</f>
        <v/>
      </c>
      <c r="AO112" s="1050" t="str">
        <f>IF(AL94&lt;4,"",IF(AL93&lt;8,"",IF(X109=4,X115-Z115,IF(Z109=4,Z115-X115,""))))</f>
        <v/>
      </c>
      <c r="AP112" s="1050" t="str">
        <f>IF(AL94&lt;4,"",IF(AL93&lt;9,"",IF(AA109=4,AA115-AC115,IF(AC109=4,AC115-AA115,""))))</f>
        <v/>
      </c>
      <c r="AQ112" s="1050" t="str">
        <f>IF(AL94&lt;4,"",IF(AL93&lt;10,"",IF(AD109=4,AD115-AF115,IF(AF109=4,AF115-AD115,""))))</f>
        <v/>
      </c>
      <c r="AR112" s="1045">
        <f>SUM(AH112:AQ112)</f>
        <v>0</v>
      </c>
    </row>
    <row r="113" spans="1:44" ht="15" x14ac:dyDescent="0.2">
      <c r="A113" s="845" t="str">
        <f>IF(AL92&gt;3,"Game 4","")</f>
        <v/>
      </c>
      <c r="B113" s="1051"/>
      <c r="C113" s="1052" t="s">
        <v>78</v>
      </c>
      <c r="D113" s="1053"/>
      <c r="E113" s="1051"/>
      <c r="F113" s="1052" t="str">
        <f>IF(AL93&gt;1,IF(AL92&gt;3,"/",""),"")</f>
        <v/>
      </c>
      <c r="G113" s="1053"/>
      <c r="H113" s="1051"/>
      <c r="I113" s="1052" t="str">
        <f>IF(AL93&gt;2,IF(AL92&gt;3,"/",""),"")</f>
        <v/>
      </c>
      <c r="J113" s="1053"/>
      <c r="K113" s="1087"/>
      <c r="L113" s="1051"/>
      <c r="M113" s="1052" t="str">
        <f>IF(AL93&gt;3,IF(AL92&gt;3,"/",""),"")</f>
        <v/>
      </c>
      <c r="N113" s="1053"/>
      <c r="O113" s="1051"/>
      <c r="P113" s="1052" t="str">
        <f>IF(AL93&gt;4,IF(AL92&gt;3,"/",""),"")</f>
        <v/>
      </c>
      <c r="Q113" s="1053"/>
      <c r="R113" s="1051"/>
      <c r="S113" s="1052" t="str">
        <f>IF(AL93&gt;5,IF(AL92&gt;3,"/",""),"")</f>
        <v/>
      </c>
      <c r="T113" s="1053"/>
      <c r="U113" s="1051"/>
      <c r="V113" s="1052" t="str">
        <f>IF(AL93&gt;6,IF(AL92&gt;3,"/",""),"")</f>
        <v/>
      </c>
      <c r="W113" s="1053"/>
      <c r="X113" s="1051"/>
      <c r="Y113" s="1052" t="str">
        <f>IF(AL93&gt;7,IF(AL92&gt;3,"/",""),"")</f>
        <v/>
      </c>
      <c r="Z113" s="1053"/>
      <c r="AA113" s="1051"/>
      <c r="AB113" s="1052" t="str">
        <f>IF(AL93&gt;8,IF(AL92&gt;3,"/",""),"")</f>
        <v/>
      </c>
      <c r="AC113" s="1053"/>
      <c r="AD113" s="1051"/>
      <c r="AE113" s="1052" t="str">
        <f>IF(AL93&gt;9,IF(AL92&gt;3,"/",""),"")</f>
        <v/>
      </c>
      <c r="AF113" s="1053"/>
      <c r="AG113" s="1049" t="str">
        <f>IF(AL94&gt;4,"Team 5","")</f>
        <v/>
      </c>
      <c r="AH113" s="1054" t="str">
        <f>IF(AL94&lt;5,"",IF(AL93&lt;1,"",IF(B109=5,B115-D115,IF(D109=5,D115-B115,""))))</f>
        <v/>
      </c>
      <c r="AI113" s="1050" t="str">
        <f>IF(AL94&lt;5,"",IF(AL93&lt;2,"",IF(E109=5,E115-G115,IF(G109=5,G115-E115,""))))</f>
        <v/>
      </c>
      <c r="AJ113" s="1050" t="str">
        <f>IF(AL94&lt;5,"",IF(AL93&lt;3,"",IF(H109=5,H115-J115,IF(J109=5,J115-H115,""))))</f>
        <v/>
      </c>
      <c r="AK113" s="1050" t="str">
        <f>IF(AL94&lt;5,"",IF(AL93&lt;4,"",IF(L109=5,L115-N115,IF(N109=5,N115-L115,""))))</f>
        <v/>
      </c>
      <c r="AL113" s="1050" t="str">
        <f>IF(AL94&lt;5,"",IF(AL93&lt;5,"",IF(O109=5,O115-Q115,IF(Q109=5,Q115-O115,""))))</f>
        <v/>
      </c>
      <c r="AM113" s="1050" t="str">
        <f>IF(AL94&lt;5,"",IF(AL93&lt;6,"",IF(R109=5,R115-T115,IF(T109=5,T115-R115,""))))</f>
        <v/>
      </c>
      <c r="AN113" s="1050" t="str">
        <f>IF(AL94&lt;5,"",IF(AL93&lt;7,"",IF(U109=5,U115-W115,IF(W109=5,W115-U115,""))))</f>
        <v/>
      </c>
      <c r="AO113" s="1050" t="str">
        <f>IF(AL94&lt;5,"",IF(AL93&lt;8,"",IF(X109=5,X115-Z115,IF(Z109=5,Z115-X115,""))))</f>
        <v/>
      </c>
      <c r="AP113" s="1050" t="str">
        <f>IF(AL94&lt;5,"",IF(AL93&lt;9,"",IF(AA109=5,AA115-AC115,IF(AC109=5,AC115-AA115,""))))</f>
        <v/>
      </c>
      <c r="AQ113" s="1050" t="str">
        <f>IF(AL94&lt;5,"",IF(AL93&lt;10,"",IF(AD109=5,AD115-AF115,IF(AF109=5,AF115-AD115,""))))</f>
        <v/>
      </c>
      <c r="AR113" s="1045">
        <f>SUM(AH113:AQ113)</f>
        <v>0</v>
      </c>
    </row>
    <row r="114" spans="1:44" ht="15" x14ac:dyDescent="0.2">
      <c r="A114" s="845" t="str">
        <f>IF(AL92&gt;4,"Game 5","")</f>
        <v/>
      </c>
      <c r="B114" s="1051"/>
      <c r="C114" s="1052" t="s">
        <v>78</v>
      </c>
      <c r="D114" s="1053"/>
      <c r="E114" s="1051"/>
      <c r="F114" s="1052" t="str">
        <f>IF(AL93&gt;1,IF(AL92&gt;4,"/",""),"")</f>
        <v/>
      </c>
      <c r="G114" s="1053"/>
      <c r="H114" s="1051"/>
      <c r="I114" s="1052" t="str">
        <f>IF(AL93&gt;2,IF(AL92&gt;4,"/",""),"")</f>
        <v/>
      </c>
      <c r="J114" s="1053"/>
      <c r="K114" s="1088"/>
      <c r="L114" s="1051"/>
      <c r="M114" s="1052" t="str">
        <f>IF(AL93&gt;3,IF(AL92&gt;4,"/",""),"")</f>
        <v/>
      </c>
      <c r="N114" s="1053"/>
      <c r="O114" s="1051"/>
      <c r="P114" s="1052" t="str">
        <f>IF(AL93&gt;4,IF(AL92&gt;4,"/",""),"")</f>
        <v/>
      </c>
      <c r="Q114" s="1053"/>
      <c r="R114" s="1051"/>
      <c r="S114" s="1052" t="str">
        <f>IF(AL93&gt;5,IF(AL92&gt;4,"/",""),"")</f>
        <v/>
      </c>
      <c r="T114" s="1053"/>
      <c r="U114" s="1051"/>
      <c r="V114" s="1052" t="str">
        <f>IF(AL93&gt;6,IF(AL92&gt;4,"/",""),"")</f>
        <v/>
      </c>
      <c r="W114" s="1053"/>
      <c r="X114" s="1051"/>
      <c r="Y114" s="1052" t="str">
        <f>IF(AL93&gt;7,IF(AL92&gt;4,"/",""),"")</f>
        <v/>
      </c>
      <c r="Z114" s="1053"/>
      <c r="AA114" s="1051"/>
      <c r="AB114" s="1052" t="str">
        <f>IF(AL93&gt;8,IF(AL92&gt;4,"/",""),"")</f>
        <v/>
      </c>
      <c r="AC114" s="1053"/>
      <c r="AD114" s="1051"/>
      <c r="AE114" s="1052" t="str">
        <f>IF(AL93&gt;9,IF(AL92&gt;4,"/",""),"")</f>
        <v/>
      </c>
      <c r="AF114" s="1053"/>
      <c r="AG114" s="868"/>
      <c r="AH114" s="868"/>
      <c r="AI114" s="868"/>
      <c r="AJ114" s="868"/>
      <c r="AK114" s="868"/>
      <c r="AL114" s="868"/>
      <c r="AM114" s="868"/>
      <c r="AN114" s="868"/>
      <c r="AO114" s="868"/>
      <c r="AP114" s="868"/>
      <c r="AQ114" s="868"/>
      <c r="AR114" s="868"/>
    </row>
    <row r="115" spans="1:44" hidden="1" x14ac:dyDescent="0.2">
      <c r="A115" s="1056"/>
      <c r="B115" s="1056">
        <f>IF($AL92=5,SUM(B110:B114),IF($AL92=4,SUM(B110:B113),IF($AL92=3,SUM(B110:B112),IF($AL92=2,SUM(B110:B111),B110))))</f>
        <v>26</v>
      </c>
      <c r="C115" s="1056"/>
      <c r="D115" s="1056">
        <f>IF($AL92=5,SUM(D110:D114),IF($AL92=4,SUM(D110:D113),IF($AL92=3,SUM(D110:D112),IF($AL92=2,SUM(D110:D111),D110))))</f>
        <v>10</v>
      </c>
      <c r="E115" s="1056">
        <f>IF($AL92=5,SUM(E110:E114),IF($AL92=4,SUM(E110:E113),IF($AL92=3,SUM(E110:E112),IF($AL92=2,SUM(E110:E111),E110))))</f>
        <v>21</v>
      </c>
      <c r="F115" s="1056"/>
      <c r="G115" s="1056">
        <f>IF($AL92=5,SUM(G110:G114),IF($AL92=4,SUM(G110:G113),IF($AL92=3,SUM(G110:G112),IF($AL92=2,SUM(G110:G111),G110))))</f>
        <v>12</v>
      </c>
      <c r="H115" s="1056">
        <f>IF($AL92=5,SUM(H110:H114),IF($AL92=4,SUM(H110:H113),IF($AL92=3,SUM(H110:H112),IF($AL92=2,SUM(H110:H111),H110))))</f>
        <v>16</v>
      </c>
      <c r="I115" s="1056"/>
      <c r="J115" s="1056">
        <f>IF($AL92=5,SUM(J110:J114),IF($AL92=4,SUM(J110:J113),IF($AL92=3,SUM(J110:J112),IF($AL92=2,SUM(J110:J111),J110))))</f>
        <v>23</v>
      </c>
      <c r="K115" s="1056"/>
      <c r="L115" s="1056">
        <f>IF($AL92=5,SUM(L110:L114),IF($AL92=4,SUM(L110:L113),IF($AL92=3,SUM(L110:L112),IF($AL92=2,SUM(L110:L111),L110))))</f>
        <v>23</v>
      </c>
      <c r="M115" s="1056"/>
      <c r="N115" s="1056">
        <f>IF($AL92=5,SUM(N110:N114),IF($AL92=4,SUM(N110:N113),IF($AL92=3,SUM(N110:N112),IF($AL92=2,SUM(N110:N111),N110))))</f>
        <v>11</v>
      </c>
      <c r="O115" s="1056">
        <f>IF($AL92=5,SUM(O110:O114),IF($AL92=4,SUM(O110:O113),IF($AL92=3,SUM(O110:O112),IF($AL92=2,SUM(O110:O111),O110))))</f>
        <v>20</v>
      </c>
      <c r="P115" s="1056"/>
      <c r="Q115" s="1056">
        <f>IF($AL92=5,SUM(Q110:Q114),IF($AL92=4,SUM(Q110:Q113),IF($AL92=3,SUM(Q110:Q112),IF($AL92=2,SUM(Q110:Q111),Q110))))</f>
        <v>14</v>
      </c>
      <c r="R115" s="1056">
        <f>IF($AL92=5,SUM(R110:R114),IF($AL92=4,SUM(R110:R113),IF($AL92=3,SUM(R110:R112),IF($AL92=2,SUM(R110:R111),R110))))</f>
        <v>23</v>
      </c>
      <c r="S115" s="1056"/>
      <c r="T115" s="1056">
        <f>IF($AL92=5,SUM(T110:T114),IF($AL92=4,SUM(T110:T113),IF($AL92=3,SUM(T110:T112),IF($AL92=2,SUM(T110:T111),T110))))</f>
        <v>15</v>
      </c>
      <c r="U115" s="1056">
        <f>IF($AL92=5,SUM(U110:U114),IF($AL92=4,SUM(U110:U113),IF($AL92=3,SUM(U110:U112),IF($AL92=2,SUM(U110:U111),U110))))</f>
        <v>0</v>
      </c>
      <c r="V115" s="1056"/>
      <c r="W115" s="1056">
        <f>IF($AL92=5,SUM(W110:W114),IF($AL92=4,SUM(W110:W113),IF($AL92=3,SUM(W110:W112),IF($AL92=2,SUM(W110:W111),W110))))</f>
        <v>0</v>
      </c>
      <c r="X115" s="1056">
        <f>IF($AL92=5,SUM(X110:X114),IF($AL92=4,SUM(X110:X113),IF($AL92=3,SUM(X110:X112),IF($AL92=2,SUM(X110:X111),X110))))</f>
        <v>0</v>
      </c>
      <c r="Y115" s="1056"/>
      <c r="Z115" s="1056">
        <f>IF($AL92=5,SUM(Z110:Z114),IF($AL92=4,SUM(Z110:Z113),IF($AL92=3,SUM(Z110:Z112),IF($AL92=2,SUM(Z110:Z111),Z110))))</f>
        <v>0</v>
      </c>
      <c r="AA115" s="1056">
        <f>IF($AL92=5,SUM(AA110:AA114),IF($AL92=4,SUM(AA110:AA113),IF($AL92=3,SUM(AA110:AA112),IF($AL92=2,SUM(AA110:AA111),AA110))))</f>
        <v>0</v>
      </c>
      <c r="AB115" s="1056"/>
      <c r="AC115" s="1056">
        <f>IF($AL92=5,SUM(AC110:AC114),IF($AL92=4,SUM(AC110:AC113),IF($AL92=3,SUM(AC110:AC112),IF($AL92=2,SUM(AC110:AC111),AC110))))</f>
        <v>0</v>
      </c>
      <c r="AD115" s="1056">
        <f>IF($AL92=5,SUM(AD110:AD114),IF($AL92=4,SUM(AD110:AD113),IF($AL92=3,SUM(AD110:AD112),IF($AL92=2,SUM(AD110:AD111),AD110))))</f>
        <v>0</v>
      </c>
      <c r="AE115" s="1056"/>
      <c r="AF115" s="1056">
        <f>IF($AL92=5,SUM(AF110:AF114),IF($AL92=4,SUM(AF110:AF113),IF($AL92=3,SUM(AF110:AF112),IF($AL92=2,SUM(AF110:AF111),AF110))))</f>
        <v>0</v>
      </c>
      <c r="AG115" s="868"/>
      <c r="AH115" s="868"/>
      <c r="AI115" s="868"/>
      <c r="AJ115" s="868"/>
      <c r="AK115" s="868"/>
      <c r="AL115" s="868"/>
      <c r="AM115" s="868"/>
      <c r="AN115" s="868"/>
      <c r="AO115" s="868"/>
      <c r="AP115" s="868"/>
      <c r="AQ115" s="868"/>
      <c r="AR115" s="868"/>
    </row>
    <row r="116" spans="1:44" s="1057" customFormat="1" ht="12.75" hidden="1" customHeight="1" x14ac:dyDescent="0.2">
      <c r="A116" s="1057" t="s">
        <v>79</v>
      </c>
      <c r="B116" s="1058">
        <f>IF(AND(B110&gt;D110,$AL93&gt;0,ISNUMBER(B110),ISNUMBER(D110)),1,0)</f>
        <v>1</v>
      </c>
      <c r="C116" s="1058"/>
      <c r="D116" s="1059">
        <f>IF(AND(D110&gt;B110,$AL93&gt;0,ISNUMBER(B110),ISNUMBER(D110)),1,0)</f>
        <v>0</v>
      </c>
      <c r="E116" s="1058">
        <f>IF(AND(E110&gt;G110,$AL93&gt;1,ISNUMBER(E110),ISNUMBER(G110)),1,0)</f>
        <v>1</v>
      </c>
      <c r="F116" s="1058"/>
      <c r="G116" s="1059">
        <f>IF(AND(G110&gt;E110,$AL93&gt;1,ISNUMBER(E110),ISNUMBER(G110)),1,0)</f>
        <v>0</v>
      </c>
      <c r="H116" s="1058">
        <f>IF(AND(H110&gt;J110,$AL93&gt;2,ISNUMBER(H110),ISNUMBER(J110)),1,0)</f>
        <v>0</v>
      </c>
      <c r="I116" s="1058"/>
      <c r="J116" s="1059">
        <f>IF(AND(J110&gt;H110,$AL93&gt;2,ISNUMBER(H110),ISNUMBER(J110)),1,0)</f>
        <v>1</v>
      </c>
      <c r="K116" s="1060"/>
      <c r="L116" s="1058">
        <f>IF(AND(L110&gt;N110,$AL93&gt;3,ISNUMBER(L110),ISNUMBER(N110)),1,0)</f>
        <v>1</v>
      </c>
      <c r="M116" s="1058"/>
      <c r="N116" s="1059">
        <f>IF(AND(N110&gt;L110,$AL93&gt;3,ISNUMBER(L110),ISNUMBER(N110)),1,0)</f>
        <v>0</v>
      </c>
      <c r="O116" s="1058">
        <f>IF(AND(O110&gt;Q110,$AL93&gt;4,ISNUMBER(O110),ISNUMBER(Q110)),1,0)</f>
        <v>1</v>
      </c>
      <c r="P116" s="1058"/>
      <c r="Q116" s="1059">
        <f>IF(AND(Q110&gt;O110,$AL93&gt;4,ISNUMBER(O110),ISNUMBER(Q110)),1,0)</f>
        <v>0</v>
      </c>
      <c r="R116" s="1058">
        <f>IF(AND(R110&gt;T110,$AL93&gt;5,ISNUMBER(R110),ISNUMBER(T110)),1,0)</f>
        <v>1</v>
      </c>
      <c r="S116" s="1058"/>
      <c r="T116" s="1059">
        <f>IF(AND(T110&gt;R110,$AL93&gt;5,ISNUMBER(R110),ISNUMBER(T110)),1,0)</f>
        <v>0</v>
      </c>
      <c r="U116" s="1058">
        <f>IF(AND(U110&gt;W110,$AL93&gt;6,ISNUMBER(U110),ISNUMBER(W110)),1,0)</f>
        <v>0</v>
      </c>
      <c r="V116" s="1058"/>
      <c r="W116" s="1059">
        <f>IF(AND(W110&gt;U110,$AL93&gt;6,ISNUMBER(U110),ISNUMBER(W110)),1,0)</f>
        <v>0</v>
      </c>
      <c r="X116" s="1058">
        <f>IF(AND(X110&gt;Z110,$AL93&gt;7,ISNUMBER(X110),ISNUMBER(Z110)),1,0)</f>
        <v>0</v>
      </c>
      <c r="Y116" s="1058"/>
      <c r="Z116" s="1059">
        <f>IF(AND(Z110&gt;X110,$AL93&gt;7,ISNUMBER(X110),ISNUMBER(Z110)),1,0)</f>
        <v>0</v>
      </c>
      <c r="AA116" s="1058">
        <f>IF(AND(AA110&gt;AC110,$AL93&gt;8,ISNUMBER(AA110),ISNUMBER(AC110)),1,0)</f>
        <v>0</v>
      </c>
      <c r="AB116" s="1058"/>
      <c r="AC116" s="1059">
        <f>IF(AND(AC110&gt;AA110,$AL93&gt;8,ISNUMBER(AA110),ISNUMBER(AC110)),1,0)</f>
        <v>0</v>
      </c>
      <c r="AD116" s="1058">
        <f>IF(AND(AD110&gt;AF110,$AL93&gt;9,ISNUMBER(AD110),ISNUMBER(AF110)),1,0)</f>
        <v>0</v>
      </c>
      <c r="AE116" s="1058"/>
      <c r="AF116" s="1059">
        <f>IF(AND(AF110&gt;AD110,$AL93&gt;9,ISNUMBER(AD110),ISNUMBER(AF110)),1,0)</f>
        <v>0</v>
      </c>
    </row>
    <row r="117" spans="1:44" s="1057" customFormat="1" ht="12.75" hidden="1" customHeight="1" x14ac:dyDescent="0.2">
      <c r="A117" s="1057" t="s">
        <v>80</v>
      </c>
      <c r="B117" s="1058">
        <f>IF(AND(B111&gt;D111,$AL93&gt;0,$AL92&gt;1,ISNUMBER(B111),ISNUMBER(D111)),1,0)</f>
        <v>0</v>
      </c>
      <c r="C117" s="1058"/>
      <c r="D117" s="1059">
        <f>IF(AND(D111&gt;B111,$AL93&gt;0,$AL92&gt;1,ISNUMBER(B111),ISNUMBER(D111)),1,0)</f>
        <v>0</v>
      </c>
      <c r="E117" s="1058">
        <f>IF(AND(E111&gt;G111,$AL93&gt;1,$AL92&gt;1,ISNUMBER(E111),ISNUMBER(G111)),1,0)</f>
        <v>0</v>
      </c>
      <c r="F117" s="1058"/>
      <c r="G117" s="1059">
        <f>IF(AND(G111&gt;E111,$AL93&gt;1,$AL92&gt;1,ISNUMBER(E111),ISNUMBER(G111)),1,0)</f>
        <v>0</v>
      </c>
      <c r="H117" s="1058">
        <f>IF(AND(H111&gt;J111,$AL93&gt;2,$AL92&gt;1,ISNUMBER(H111),ISNUMBER(J111)),1,0)</f>
        <v>0</v>
      </c>
      <c r="I117" s="1058"/>
      <c r="J117" s="1059">
        <f>IF(AND(J111&gt;H111,$AL93&gt;2,$AL92&gt;1,ISNUMBER(H111),ISNUMBER(J111)),1,0)</f>
        <v>0</v>
      </c>
      <c r="K117" s="1060"/>
      <c r="L117" s="1058">
        <f>IF(AND(L111&gt;N111,$AL93&gt;3,$AL92&gt;1,ISNUMBER(L111),ISNUMBER(N111)),1,0)</f>
        <v>0</v>
      </c>
      <c r="M117" s="1058"/>
      <c r="N117" s="1059">
        <f>IF(AND(N111&gt;L111,$AL93&gt;3,$AL92&gt;1,ISNUMBER(L111),ISNUMBER(N111)),1,0)</f>
        <v>0</v>
      </c>
      <c r="O117" s="1058">
        <f>IF(AND(O111&gt;Q111,$AL93&gt;4,$AL92&gt;1,ISNUMBER(O111),ISNUMBER(Q111)),1,0)</f>
        <v>0</v>
      </c>
      <c r="P117" s="1058"/>
      <c r="Q117" s="1059">
        <f>IF(AND(Q111&gt;O111,$AL93&gt;4,$AL92&gt;1,ISNUMBER(O111),ISNUMBER(Q111)),1,0)</f>
        <v>0</v>
      </c>
      <c r="R117" s="1058">
        <f>IF(AND(R111&gt;T111,$AL93&gt;5,$AL92&gt;1,ISNUMBER(R111),ISNUMBER(T111)),1,0)</f>
        <v>0</v>
      </c>
      <c r="S117" s="1058"/>
      <c r="T117" s="1059">
        <f>IF(AND(T111&gt;R111,$AL93&gt;5,$AL92&gt;1,ISNUMBER(R111),ISNUMBER(T111)),1,0)</f>
        <v>0</v>
      </c>
      <c r="U117" s="1058">
        <f>IF(AND(U111&gt;W111,$AL93&gt;6,$AL92&gt;1,ISNUMBER(U111),ISNUMBER(W111)),1,0)</f>
        <v>0</v>
      </c>
      <c r="V117" s="1058"/>
      <c r="W117" s="1059">
        <f>IF(AND(W111&gt;U111,$AL93&gt;6,$AL92&gt;1,ISNUMBER(U111),ISNUMBER(W111)),1,0)</f>
        <v>0</v>
      </c>
      <c r="X117" s="1058">
        <f>IF(AND(X111&gt;Z111,$AL93&gt;7,$AL92&gt;1,ISNUMBER(X111),ISNUMBER(Z111)),1,0)</f>
        <v>0</v>
      </c>
      <c r="Y117" s="1058"/>
      <c r="Z117" s="1059">
        <f>IF(AND(Z111&gt;X111,$AL93&gt;7,$AL92&gt;1,ISNUMBER(X111),ISNUMBER(Z111)),1,0)</f>
        <v>0</v>
      </c>
      <c r="AA117" s="1058">
        <f>IF(AND(AA111&gt;AC111,$AL93&gt;8,$AL92&gt;1,ISNUMBER(AA111),ISNUMBER(AC111)),1,0)</f>
        <v>0</v>
      </c>
      <c r="AB117" s="1058"/>
      <c r="AC117" s="1059">
        <f>IF(AND(AC111&gt;AA111,$AL93&gt;8,$AL92&gt;1,ISNUMBER(AA111),ISNUMBER(AC111)),1,0)</f>
        <v>0</v>
      </c>
      <c r="AD117" s="1058">
        <f>IF(AND(AD111&gt;AF111,$AL93&gt;9,$AL92&gt;1,ISNUMBER(AD111),ISNUMBER(AF111)),1,0)</f>
        <v>0</v>
      </c>
      <c r="AE117" s="1058"/>
      <c r="AF117" s="1059">
        <f>IF(AND(AF111&gt;AD111,$AL93&gt;9,$AL92&gt;1,ISNUMBER(AD111),ISNUMBER(AF111)),1,0)</f>
        <v>0</v>
      </c>
    </row>
    <row r="118" spans="1:44" s="1057" customFormat="1" ht="12.75" hidden="1" customHeight="1" x14ac:dyDescent="0.2">
      <c r="A118" s="1057" t="s">
        <v>81</v>
      </c>
      <c r="B118" s="1058">
        <f>IF(AND(B112&gt;D112,$AL93&gt;0,$AL92&gt;2,ISNUMBER(B112),ISNUMBER(D112)),1,0)</f>
        <v>0</v>
      </c>
      <c r="C118" s="1058"/>
      <c r="D118" s="1059">
        <f>IF(AND(D112&gt;B112,$AL93&gt;0,$AL92&gt;2,ISNUMBER(B112),ISNUMBER(D112)),1,0)</f>
        <v>0</v>
      </c>
      <c r="E118" s="1058">
        <f>IF(AND(E112&gt;G112,$AL93&gt;1,$AL92&gt;2,ISNUMBER(E112),ISNUMBER(G112)),1,0)</f>
        <v>0</v>
      </c>
      <c r="F118" s="1058"/>
      <c r="G118" s="1059">
        <f>IF(AND(G112&gt;E112,$AL93&gt;1,$AL92&gt;2,ISNUMBER(E112),ISNUMBER(G112)),1,0)</f>
        <v>0</v>
      </c>
      <c r="H118" s="1058">
        <f>IF(AND(H112&gt;J112,$AL93&gt;2,$AL92&gt;2,ISNUMBER(H112),ISNUMBER(J112)),1,0)</f>
        <v>0</v>
      </c>
      <c r="I118" s="1058"/>
      <c r="J118" s="1059">
        <f>IF(AND(J112&gt;H112,$AL93&gt;2,$AL92&gt;2,ISNUMBER(H112),ISNUMBER(J112)),1,0)</f>
        <v>0</v>
      </c>
      <c r="K118" s="1060"/>
      <c r="L118" s="1058">
        <f>IF(AND(L112&gt;N112,$AL93&gt;3,$AL92&gt;2,ISNUMBER(L112),ISNUMBER(N112)),1,0)</f>
        <v>0</v>
      </c>
      <c r="M118" s="1058"/>
      <c r="N118" s="1059">
        <f>IF(AND(N112&gt;L112,$AL93&gt;3,$AL92&gt;2,ISNUMBER(L112),ISNUMBER(N112)),1,0)</f>
        <v>0</v>
      </c>
      <c r="O118" s="1058">
        <f>IF(AND(O112&gt;Q112,$AL93&gt;4,$AL92&gt;2,ISNUMBER(O112),ISNUMBER(Q112)),1,0)</f>
        <v>0</v>
      </c>
      <c r="P118" s="1058"/>
      <c r="Q118" s="1059">
        <f>IF(AND(Q112&gt;O112,$AL93&gt;4,$AL92&gt;2,ISNUMBER(O112),ISNUMBER(Q112)),1,0)</f>
        <v>0</v>
      </c>
      <c r="R118" s="1058">
        <f>IF(AND(R112&gt;T112,$AL93&gt;5,$AL92&gt;2,ISNUMBER(R112),ISNUMBER(T112)),1,0)</f>
        <v>0</v>
      </c>
      <c r="S118" s="1058"/>
      <c r="T118" s="1059">
        <f>IF(AND(T112&gt;R112,$AL93&gt;5,$AL92&gt;2,ISNUMBER(R112),ISNUMBER(T112)),1,0)</f>
        <v>0</v>
      </c>
      <c r="U118" s="1058">
        <f>IF(AND(U112&gt;W112,$AL93&gt;6,$AL92&gt;2,ISNUMBER(U112),ISNUMBER(W112)),1,0)</f>
        <v>0</v>
      </c>
      <c r="V118" s="1058"/>
      <c r="W118" s="1059">
        <f>IF(AND(W112&gt;U112,$AL93&gt;6,$AL92&gt;2,ISNUMBER(U112),ISNUMBER(W112)),1,0)</f>
        <v>0</v>
      </c>
      <c r="X118" s="1058">
        <f>IF(AND(X112&gt;Z112,$AL93&gt;7,$AL92&gt;2,ISNUMBER(X112),ISNUMBER(Z112)),1,0)</f>
        <v>0</v>
      </c>
      <c r="Y118" s="1058"/>
      <c r="Z118" s="1059">
        <f>IF(AND(Z112&gt;X112,$AL93&gt;7,$AL92&gt;2,ISNUMBER(X112),ISNUMBER(Z112)),1,0)</f>
        <v>0</v>
      </c>
      <c r="AA118" s="1058">
        <f>IF(AND(AA112&gt;AC112,$AL93&gt;8,$AL92&gt;2,ISNUMBER(AA112),ISNUMBER(AC112)),1,0)</f>
        <v>0</v>
      </c>
      <c r="AB118" s="1058"/>
      <c r="AC118" s="1059">
        <f>IF(AND(AC112&gt;AA112,$AL93&gt;8,$AL92&gt;2,ISNUMBER(AA112),ISNUMBER(AC112)),1,0)</f>
        <v>0</v>
      </c>
      <c r="AD118" s="1058">
        <f>IF(AND(AD112&gt;AF112,$AL93&gt;9,$AL92&gt;2,ISNUMBER(AD112),ISNUMBER(AF112)),1,0)</f>
        <v>0</v>
      </c>
      <c r="AE118" s="1058"/>
      <c r="AF118" s="1059">
        <f>IF(AND(AF112&gt;AD112,$AL93&gt;9,$AL92&gt;2,ISNUMBER(AD112),ISNUMBER(AF112)),1,0)</f>
        <v>0</v>
      </c>
    </row>
    <row r="119" spans="1:44" s="1057" customFormat="1" ht="12.75" hidden="1" customHeight="1" x14ac:dyDescent="0.2">
      <c r="A119" s="1057" t="s">
        <v>82</v>
      </c>
      <c r="B119" s="1058">
        <f>IF(AND(B113&gt;D113,$AL93&gt;0,$AL92&gt;3,ISNUMBER(B113),ISNUMBER(D113)),1,0)</f>
        <v>0</v>
      </c>
      <c r="C119" s="1058"/>
      <c r="D119" s="1059">
        <f>IF(AND(D113&gt;B113,$AL93&gt;0,$AL92&gt;3,ISNUMBER(B113),ISNUMBER(D113)),1,0)</f>
        <v>0</v>
      </c>
      <c r="E119" s="1058">
        <f>IF(AND(E113&gt;G113,$AL93&gt;1,$AL92&gt;3,ISNUMBER(E113),ISNUMBER(G113)),1,0)</f>
        <v>0</v>
      </c>
      <c r="F119" s="1058"/>
      <c r="G119" s="1059">
        <f>IF(AND(G113&gt;E113,$AL93&gt;1,$AL92&gt;3,ISNUMBER(E113),ISNUMBER(G113)),1,0)</f>
        <v>0</v>
      </c>
      <c r="H119" s="1058">
        <f>IF(AND(H113&gt;J113,$AL93&gt;2,$AL92&gt;3,ISNUMBER(H113),ISNUMBER(J113)),1,0)</f>
        <v>0</v>
      </c>
      <c r="I119" s="1058"/>
      <c r="J119" s="1059">
        <f>IF(AND(J113&gt;H113,$AL93&gt;2,$AL92&gt;3,ISNUMBER(H113),ISNUMBER(J113)),1,0)</f>
        <v>0</v>
      </c>
      <c r="K119" s="1060"/>
      <c r="L119" s="1058">
        <f>IF(AND(L113&gt;N113,$AL93&gt;3,$AL92&gt;3,ISNUMBER(L113),ISNUMBER(N113)),1,0)</f>
        <v>0</v>
      </c>
      <c r="M119" s="1058"/>
      <c r="N119" s="1059">
        <f>IF(AND(N113&gt;L113,$AL93&gt;3,$AL92&gt;3,ISNUMBER(L113),ISNUMBER(N113)),1,0)</f>
        <v>0</v>
      </c>
      <c r="O119" s="1058">
        <f>IF(AND(O113&gt;Q113,$AL93&gt;4,$AL92&gt;3,ISNUMBER(O113),ISNUMBER(Q113)),1,0)</f>
        <v>0</v>
      </c>
      <c r="P119" s="1058"/>
      <c r="Q119" s="1059">
        <f>IF(AND(Q113&gt;O113,$AL93&gt;4,$AL92&gt;3,ISNUMBER(O113),ISNUMBER(Q113)),1,0)</f>
        <v>0</v>
      </c>
      <c r="R119" s="1058">
        <f>IF(AND(R113&gt;T113,$AL93&gt;5,$AL92&gt;3,ISNUMBER(R113),ISNUMBER(T113)),1,0)</f>
        <v>0</v>
      </c>
      <c r="S119" s="1058"/>
      <c r="T119" s="1059">
        <f>IF(AND(T113&gt;R113,$AL93&gt;5,$AL92&gt;3,ISNUMBER(R113),ISNUMBER(T113)),1,0)</f>
        <v>0</v>
      </c>
      <c r="U119" s="1058">
        <f>IF(AND(U113&gt;W113,$AL93&gt;6,$AL92&gt;3,ISNUMBER(U113),ISNUMBER(W113)),1,0)</f>
        <v>0</v>
      </c>
      <c r="V119" s="1058"/>
      <c r="W119" s="1059">
        <f>IF(AND(W113&gt;U113,$AL93&gt;6,$AL92&gt;3,ISNUMBER(U113),ISNUMBER(W113)),1,0)</f>
        <v>0</v>
      </c>
      <c r="X119" s="1058">
        <f>IF(AND(X113&gt;Z113,$AL93&gt;7,$AL92&gt;3,ISNUMBER(X113),ISNUMBER(Z113)),1,0)</f>
        <v>0</v>
      </c>
      <c r="Y119" s="1058"/>
      <c r="Z119" s="1059">
        <f>IF(AND(Z113&gt;X113,$AL93&gt;7,$AL92&gt;3,ISNUMBER(X113),ISNUMBER(Z113)),1,0)</f>
        <v>0</v>
      </c>
      <c r="AA119" s="1058">
        <f>IF(AND(AA113&gt;AC113,$AL93&gt;8,$AL92&gt;3,ISNUMBER(AA113),ISNUMBER(AC113)),1,0)</f>
        <v>0</v>
      </c>
      <c r="AB119" s="1058"/>
      <c r="AC119" s="1059">
        <f>IF(AND(AC113&gt;AA113,$AL93&gt;8,$AL92&gt;3,ISNUMBER(AA113),ISNUMBER(AC113)),1,0)</f>
        <v>0</v>
      </c>
      <c r="AD119" s="1058">
        <f>IF(AND(AD113&gt;AF113,$AL93&gt;9,$AL92&gt;3,ISNUMBER(AD113),ISNUMBER(AF113)),1,0)</f>
        <v>0</v>
      </c>
      <c r="AE119" s="1058"/>
      <c r="AF119" s="1059">
        <f>IF(AND(AF113&gt;AD113,$AL93&gt;9,$AL92&gt;3,ISNUMBER(AD113),ISNUMBER(AF113)),1,0)</f>
        <v>0</v>
      </c>
    </row>
    <row r="120" spans="1:44" s="1057" customFormat="1" ht="12.75" hidden="1" customHeight="1" x14ac:dyDescent="0.2">
      <c r="A120" s="1057" t="s">
        <v>83</v>
      </c>
      <c r="B120" s="1058">
        <f>IF(AND(B114&gt;D114,$AL93&gt;0,$AL92&gt;4,ISNUMBER(B114),ISNUMBER(D114)),1,0)</f>
        <v>0</v>
      </c>
      <c r="C120" s="1058"/>
      <c r="D120" s="1059">
        <f>IF(AND(D114&gt;B114,$AL93&gt;0,$AL92&gt;4,ISNUMBER(B114),ISNUMBER(D114)),1,0)</f>
        <v>0</v>
      </c>
      <c r="E120" s="1058">
        <f>IF(AND(E114&gt;G114,$AL93&gt;1,$AL92&gt;4,ISNUMBER(E114),ISNUMBER(G114)),1,0)</f>
        <v>0</v>
      </c>
      <c r="F120" s="1058"/>
      <c r="G120" s="1059">
        <f>IF(AND(G114&gt;E114,$AL93&gt;1,$AL92&gt;4,ISNUMBER(E114),ISNUMBER(G114)),1,0)</f>
        <v>0</v>
      </c>
      <c r="H120" s="1058">
        <f>IF(AND(H114&gt;J114,$AL93&gt;2,$AL92&gt;4,ISNUMBER(H114),ISNUMBER(J114)),1,0)</f>
        <v>0</v>
      </c>
      <c r="I120" s="1058"/>
      <c r="J120" s="1059">
        <f>IF(AND(J114&gt;H114,$AL93&gt;2,$AL92&gt;4,ISNUMBER(H114),ISNUMBER(J114)),1,0)</f>
        <v>0</v>
      </c>
      <c r="K120" s="1060"/>
      <c r="L120" s="1058">
        <f>IF(AND(L114&gt;N114,$AL93&gt;3,$AL92&gt;4,ISNUMBER(L114),ISNUMBER(N114)),1,0)</f>
        <v>0</v>
      </c>
      <c r="M120" s="1058"/>
      <c r="N120" s="1059">
        <f>IF(AND(N114&gt;L114,$AL93&gt;3,$AL92&gt;4,ISNUMBER(L114),ISNUMBER(N114)),1,0)</f>
        <v>0</v>
      </c>
      <c r="O120" s="1058">
        <f>IF(AND(O114&gt;Q114,$AL93&gt;4,$AL92&gt;4,ISNUMBER(O114),ISNUMBER(Q114)),1,0)</f>
        <v>0</v>
      </c>
      <c r="P120" s="1058"/>
      <c r="Q120" s="1059">
        <f>IF(AND(Q114&gt;O114,$AL93&gt;4,$AL92&gt;4,ISNUMBER(O114),ISNUMBER(Q114)),1,0)</f>
        <v>0</v>
      </c>
      <c r="R120" s="1058">
        <f>IF(AND(R114&gt;T114,$AL93&gt;5,$AL92&gt;4,ISNUMBER(R114),ISNUMBER(T114)),1,0)</f>
        <v>0</v>
      </c>
      <c r="S120" s="1058"/>
      <c r="T120" s="1059">
        <f>IF(AND(T114&gt;R114,$AL93&gt;5,$AL92&gt;4,ISNUMBER(R114),ISNUMBER(T114)),1,0)</f>
        <v>0</v>
      </c>
      <c r="U120" s="1058">
        <f>IF(AND(U114&gt;W114,$AL93&gt;6,$AL92&gt;4,ISNUMBER(U114),ISNUMBER(W114)),1,0)</f>
        <v>0</v>
      </c>
      <c r="V120" s="1058"/>
      <c r="W120" s="1059">
        <f>IF(AND(W114&gt;U114,$AL93&gt;6,$AL92&gt;4,ISNUMBER(U114),ISNUMBER(W114)),1,0)</f>
        <v>0</v>
      </c>
      <c r="X120" s="1058">
        <f>IF(AND(X114&gt;Z114,$AL93&gt;7,$AL92&gt;4,ISNUMBER(X114),ISNUMBER(Z114)),1,0)</f>
        <v>0</v>
      </c>
      <c r="Y120" s="1058"/>
      <c r="Z120" s="1059">
        <f>IF(AND(Z114&gt;X114,$AL93&gt;7,$AL92&gt;4,ISNUMBER(X114),ISNUMBER(Z114)),1,0)</f>
        <v>0</v>
      </c>
      <c r="AA120" s="1058">
        <f>IF(AND(AA114&gt;AC114,$AL93&gt;8,$AL92&gt;4,ISNUMBER(AA114),ISNUMBER(AC114)),1,0)</f>
        <v>0</v>
      </c>
      <c r="AB120" s="1058"/>
      <c r="AC120" s="1059">
        <f>IF(AND(AC114&gt;AA114,$AL93&gt;8,$AL92&gt;4,ISNUMBER(AA114),ISNUMBER(AC114)),1,0)</f>
        <v>0</v>
      </c>
      <c r="AD120" s="1058">
        <f>IF(AND(AD114&gt;AF114,$AL93&gt;9,$AL92&gt;4,ISNUMBER(AD114),ISNUMBER(AF114)),1,0)</f>
        <v>0</v>
      </c>
      <c r="AE120" s="1058"/>
      <c r="AF120" s="1059">
        <f>IF(AND(AF114&gt;AD114,$AL93&gt;9,$AL92&gt;4,ISNUMBER(AD114),ISNUMBER(AF114)),1,0)</f>
        <v>0</v>
      </c>
    </row>
    <row r="121" spans="1:44" s="1057" customFormat="1" ht="38.25" hidden="1" customHeight="1" x14ac:dyDescent="0.2">
      <c r="A121" s="1061" t="s">
        <v>84</v>
      </c>
      <c r="B121" s="1057">
        <f>SUM(B116:B120)</f>
        <v>1</v>
      </c>
      <c r="D121" s="1060">
        <f>SUM(D116:D120)</f>
        <v>0</v>
      </c>
      <c r="E121" s="1057">
        <f>SUM(E116:E120)</f>
        <v>1</v>
      </c>
      <c r="G121" s="1060">
        <f>SUM(G116:G120)</f>
        <v>0</v>
      </c>
      <c r="H121" s="1057">
        <f>SUM(H116:H120)</f>
        <v>0</v>
      </c>
      <c r="J121" s="1060">
        <f>SUM(J116:J120)</f>
        <v>1</v>
      </c>
      <c r="K121" s="1060"/>
      <c r="L121" s="1057">
        <f>SUM(L116:L120)</f>
        <v>1</v>
      </c>
      <c r="N121" s="1060">
        <f>SUM(N116:N120)</f>
        <v>0</v>
      </c>
      <c r="O121" s="1057">
        <f>SUM(O116:O120)</f>
        <v>1</v>
      </c>
      <c r="Q121" s="1060">
        <f>SUM(Q116:Q120)</f>
        <v>0</v>
      </c>
      <c r="R121" s="1057">
        <f>SUM(R116:R120)</f>
        <v>1</v>
      </c>
      <c r="T121" s="1060">
        <f>SUM(T116:T120)</f>
        <v>0</v>
      </c>
      <c r="U121" s="1057">
        <f>SUM(U116:U120)</f>
        <v>0</v>
      </c>
      <c r="W121" s="1060">
        <f>SUM(W116:W120)</f>
        <v>0</v>
      </c>
      <c r="X121" s="1057">
        <f>SUM(X116:X120)</f>
        <v>0</v>
      </c>
      <c r="Z121" s="1060">
        <f>SUM(Z116:Z120)</f>
        <v>0</v>
      </c>
      <c r="AA121" s="1057">
        <f>SUM(AA116:AA120)</f>
        <v>0</v>
      </c>
      <c r="AC121" s="1060">
        <f>SUM(AC116:AC120)</f>
        <v>0</v>
      </c>
      <c r="AD121" s="1057">
        <f>SUM(AD116:AD120)</f>
        <v>0</v>
      </c>
      <c r="AF121" s="1060">
        <f>SUM(AF116:AF120)</f>
        <v>0</v>
      </c>
    </row>
    <row r="122" spans="1:44" s="1057" customFormat="1" ht="25.5" hidden="1" customHeight="1" x14ac:dyDescent="0.2">
      <c r="A122" s="1061" t="s">
        <v>85</v>
      </c>
      <c r="B122" s="1057">
        <f>IF(B121&gt;D121,IF(C156=AL92,1,IF(C156=AL92-1,1,0)),0)</f>
        <v>1</v>
      </c>
      <c r="C122" s="1057">
        <f>B122+D122</f>
        <v>1</v>
      </c>
      <c r="D122" s="1060">
        <f>IF(D121&gt;B121,IF(C156=AL92,1,IF(C156=AL92-1,1,0)),0)</f>
        <v>0</v>
      </c>
      <c r="E122" s="1057">
        <f>IF(E121&gt;G121,IF(F156=AL92,1,IF(F156=AL92-1,1,0)),0)</f>
        <v>1</v>
      </c>
      <c r="F122" s="1057">
        <f>E122+G122</f>
        <v>1</v>
      </c>
      <c r="G122" s="1060">
        <f>IF(G121&gt;E121,IF(F156=AL92,1,IF(F156=AL92-1,1,0)),0)</f>
        <v>0</v>
      </c>
      <c r="H122" s="1057">
        <f>IF(H121&gt;J121,IF(I156=AL92,1,IF(I156=AL92-1,1,0)),0)</f>
        <v>0</v>
      </c>
      <c r="I122" s="1057">
        <f>H122+J122</f>
        <v>1</v>
      </c>
      <c r="J122" s="1060">
        <f>IF(J121&gt;H121,IF(I156=AL92,1,IF(I156=AL92-1,1,0)),0)</f>
        <v>1</v>
      </c>
      <c r="K122" s="1060"/>
      <c r="L122" s="1057">
        <f>IF(L121&gt;N121,IF(M156=AL92,1,IF(M156=AL92-1,1,0)),0)</f>
        <v>1</v>
      </c>
      <c r="M122" s="1057">
        <f>L122+N122</f>
        <v>1</v>
      </c>
      <c r="N122" s="1060">
        <f>IF(N121&gt;L121,IF(M156=AL92,1,IF(M156=AL92-1,1,0)),0)</f>
        <v>0</v>
      </c>
      <c r="O122" s="1057">
        <f>IF(O121&gt;Q121,IF(P156=AL92,1,IF(P156=AL92-1,1,0)),0)</f>
        <v>1</v>
      </c>
      <c r="P122" s="1057">
        <f>O122+Q122</f>
        <v>1</v>
      </c>
      <c r="Q122" s="1060">
        <f>IF(Q121&gt;O121,IF(P156=AL92,1,IF(P156=AL92-1,1,0)),0)</f>
        <v>0</v>
      </c>
      <c r="R122" s="1057">
        <f>IF(R121&gt;T121,IF(S156=AL92,1,IF(S156=AL92-1,1,0)),0)</f>
        <v>1</v>
      </c>
      <c r="S122" s="1057">
        <f>R122+T122</f>
        <v>1</v>
      </c>
      <c r="T122" s="1060">
        <f>IF(T121&gt;R121,IF(S156=AL92,1,IF(S156=AL92-1,1,0)),0)</f>
        <v>0</v>
      </c>
      <c r="U122" s="1057">
        <f>IF(U121&gt;W121,IF(V156=AL92,1,IF(V156=AL92-1,1,0)),0)</f>
        <v>0</v>
      </c>
      <c r="V122" s="1057">
        <f>U122+W122</f>
        <v>0</v>
      </c>
      <c r="W122" s="1060">
        <f>IF(W121&gt;U121,IF(V156=AL92,1,IF(V156=AL92-1,1,0)),0)</f>
        <v>0</v>
      </c>
      <c r="X122" s="1057">
        <f>IF(X121&gt;Z121,IF(Y156=AL92,1,IF(Y156=AL92-1,1,0)),0)</f>
        <v>0</v>
      </c>
      <c r="Y122" s="1057">
        <f>X122+Z122</f>
        <v>0</v>
      </c>
      <c r="Z122" s="1060">
        <f>IF(Z121&gt;X121,IF(Y156=AL92,1,IF(Y156=AL92-1,1,0)),0)</f>
        <v>0</v>
      </c>
      <c r="AA122" s="1057">
        <f>IF(AA121&gt;AC121,IF(AB156=AL92,1,IF(AB156=AL92-1,1,0)),0)</f>
        <v>0</v>
      </c>
      <c r="AB122" s="1057">
        <f>AA122+AC122</f>
        <v>0</v>
      </c>
      <c r="AC122" s="1060">
        <f>IF(AC121&gt;AA121,IF(AB156=AL92,1,IF(AB156=AL92-1,1,0)),0)</f>
        <v>0</v>
      </c>
      <c r="AD122" s="1057">
        <f>IF(AD121&gt;AF121,IF(AE156=AL92,1,IF(AE156=AL92-1,1,0)),0)</f>
        <v>0</v>
      </c>
      <c r="AE122" s="1057">
        <f>AD122+AF122</f>
        <v>0</v>
      </c>
      <c r="AF122" s="1060">
        <f>IF(AF121&gt;AD121,IF(AE156=AL92,1,IF(AE156=AL92-1,1,0)),0)</f>
        <v>0</v>
      </c>
    </row>
    <row r="123" spans="1:44" s="1057" customFormat="1" ht="25.5" hidden="1" customHeight="1" x14ac:dyDescent="0.2">
      <c r="A123" s="1061"/>
      <c r="D123" s="1060"/>
      <c r="G123" s="1060"/>
      <c r="J123" s="1060"/>
      <c r="K123" s="1060"/>
      <c r="N123" s="1060"/>
      <c r="Q123" s="1060"/>
      <c r="T123" s="1060"/>
      <c r="W123" s="1060"/>
      <c r="Z123" s="1060"/>
      <c r="AC123" s="1060"/>
      <c r="AF123" s="1060"/>
    </row>
    <row r="124" spans="1:44" s="1057" customFormat="1" ht="12.75" hidden="1" customHeight="1" x14ac:dyDescent="0.2">
      <c r="A124" s="1057" t="s">
        <v>86</v>
      </c>
      <c r="B124" s="1057">
        <f>IF(B116=1,B110,0)</f>
        <v>26</v>
      </c>
      <c r="D124" s="1060">
        <f t="shared" ref="D124:E128" si="10">IF(D116=1,D110,0)</f>
        <v>0</v>
      </c>
      <c r="E124" s="1057">
        <f t="shared" si="10"/>
        <v>21</v>
      </c>
      <c r="G124" s="1060">
        <f t="shared" ref="G124:H128" si="11">IF(G116=1,G110,0)</f>
        <v>0</v>
      </c>
      <c r="H124" s="1057">
        <f t="shared" si="11"/>
        <v>0</v>
      </c>
      <c r="J124" s="1060">
        <f>IF(J116=1,J110,0)</f>
        <v>23</v>
      </c>
      <c r="K124" s="1060"/>
      <c r="L124" s="1057">
        <f>IF(L116=1,L110,0)</f>
        <v>23</v>
      </c>
      <c r="N124" s="1060">
        <f t="shared" ref="N124:O128" si="12">IF(N116=1,N110,0)</f>
        <v>0</v>
      </c>
      <c r="O124" s="1057">
        <f t="shared" si="12"/>
        <v>20</v>
      </c>
      <c r="Q124" s="1060">
        <f t="shared" ref="Q124:R128" si="13">IF(Q116=1,Q110,0)</f>
        <v>0</v>
      </c>
      <c r="R124" s="1057">
        <f t="shared" si="13"/>
        <v>23</v>
      </c>
      <c r="T124" s="1060">
        <f t="shared" ref="T124:U128" si="14">IF(T116=1,T110,0)</f>
        <v>0</v>
      </c>
      <c r="U124" s="1057">
        <f t="shared" si="14"/>
        <v>0</v>
      </c>
      <c r="W124" s="1060">
        <f t="shared" ref="W124:X128" si="15">IF(W116=1,W110,0)</f>
        <v>0</v>
      </c>
      <c r="X124" s="1057">
        <f t="shared" si="15"/>
        <v>0</v>
      </c>
      <c r="Z124" s="1060">
        <f t="shared" ref="Z124:AA128" si="16">IF(Z116=1,Z110,0)</f>
        <v>0</v>
      </c>
      <c r="AA124" s="1057">
        <f t="shared" si="16"/>
        <v>0</v>
      </c>
      <c r="AC124" s="1060">
        <f t="shared" ref="AC124:AD128" si="17">IF(AC116=1,AC110,0)</f>
        <v>0</v>
      </c>
      <c r="AD124" s="1057">
        <f t="shared" si="17"/>
        <v>0</v>
      </c>
      <c r="AF124" s="1060">
        <f>IF(AF116=1,AF110,0)</f>
        <v>0</v>
      </c>
    </row>
    <row r="125" spans="1:44" s="1057" customFormat="1" ht="12.75" hidden="1" customHeight="1" x14ac:dyDescent="0.2">
      <c r="A125" s="1057" t="s">
        <v>87</v>
      </c>
      <c r="B125" s="1057">
        <f>IF(B117=1,B111,0)</f>
        <v>0</v>
      </c>
      <c r="D125" s="1060">
        <f t="shared" si="10"/>
        <v>0</v>
      </c>
      <c r="E125" s="1057">
        <f t="shared" si="10"/>
        <v>0</v>
      </c>
      <c r="G125" s="1060">
        <f t="shared" si="11"/>
        <v>0</v>
      </c>
      <c r="H125" s="1057">
        <f t="shared" si="11"/>
        <v>0</v>
      </c>
      <c r="J125" s="1060">
        <f>IF(J117=1,J111,0)</f>
        <v>0</v>
      </c>
      <c r="K125" s="1060"/>
      <c r="L125" s="1057">
        <f>IF(L117=1,L111,0)</f>
        <v>0</v>
      </c>
      <c r="N125" s="1060">
        <f t="shared" si="12"/>
        <v>0</v>
      </c>
      <c r="O125" s="1057">
        <f t="shared" si="12"/>
        <v>0</v>
      </c>
      <c r="Q125" s="1060">
        <f t="shared" si="13"/>
        <v>0</v>
      </c>
      <c r="R125" s="1057">
        <f t="shared" si="13"/>
        <v>0</v>
      </c>
      <c r="T125" s="1060">
        <f t="shared" si="14"/>
        <v>0</v>
      </c>
      <c r="U125" s="1057">
        <f t="shared" si="14"/>
        <v>0</v>
      </c>
      <c r="W125" s="1060">
        <f t="shared" si="15"/>
        <v>0</v>
      </c>
      <c r="X125" s="1057">
        <f t="shared" si="15"/>
        <v>0</v>
      </c>
      <c r="Z125" s="1060">
        <f t="shared" si="16"/>
        <v>0</v>
      </c>
      <c r="AA125" s="1057">
        <f t="shared" si="16"/>
        <v>0</v>
      </c>
      <c r="AC125" s="1060">
        <f t="shared" si="17"/>
        <v>0</v>
      </c>
      <c r="AD125" s="1057">
        <f t="shared" si="17"/>
        <v>0</v>
      </c>
      <c r="AF125" s="1060">
        <f>IF(AF117=1,AF111,0)</f>
        <v>0</v>
      </c>
    </row>
    <row r="126" spans="1:44" s="1057" customFormat="1" ht="12.75" hidden="1" customHeight="1" x14ac:dyDescent="0.2">
      <c r="A126" s="1057" t="s">
        <v>88</v>
      </c>
      <c r="B126" s="1057">
        <f>IF(B118=1,B112,0)</f>
        <v>0</v>
      </c>
      <c r="D126" s="1060">
        <f t="shared" si="10"/>
        <v>0</v>
      </c>
      <c r="E126" s="1057">
        <f t="shared" si="10"/>
        <v>0</v>
      </c>
      <c r="G126" s="1060">
        <f t="shared" si="11"/>
        <v>0</v>
      </c>
      <c r="H126" s="1057">
        <f t="shared" si="11"/>
        <v>0</v>
      </c>
      <c r="J126" s="1060">
        <f>IF(J118=1,J112,0)</f>
        <v>0</v>
      </c>
      <c r="K126" s="1060"/>
      <c r="L126" s="1057">
        <f>IF(L118=1,L112,0)</f>
        <v>0</v>
      </c>
      <c r="N126" s="1060">
        <f t="shared" si="12"/>
        <v>0</v>
      </c>
      <c r="O126" s="1057">
        <f t="shared" si="12"/>
        <v>0</v>
      </c>
      <c r="Q126" s="1060">
        <f t="shared" si="13"/>
        <v>0</v>
      </c>
      <c r="R126" s="1057">
        <f t="shared" si="13"/>
        <v>0</v>
      </c>
      <c r="T126" s="1060">
        <f t="shared" si="14"/>
        <v>0</v>
      </c>
      <c r="U126" s="1057">
        <f t="shared" si="14"/>
        <v>0</v>
      </c>
      <c r="W126" s="1060">
        <f t="shared" si="15"/>
        <v>0</v>
      </c>
      <c r="X126" s="1057">
        <f t="shared" si="15"/>
        <v>0</v>
      </c>
      <c r="Z126" s="1060">
        <f t="shared" si="16"/>
        <v>0</v>
      </c>
      <c r="AA126" s="1057">
        <f t="shared" si="16"/>
        <v>0</v>
      </c>
      <c r="AC126" s="1060">
        <f t="shared" si="17"/>
        <v>0</v>
      </c>
      <c r="AD126" s="1057">
        <f t="shared" si="17"/>
        <v>0</v>
      </c>
      <c r="AF126" s="1060">
        <f>IF(AF118=1,AF112,0)</f>
        <v>0</v>
      </c>
    </row>
    <row r="127" spans="1:44" s="1057" customFormat="1" ht="12.75" hidden="1" customHeight="1" x14ac:dyDescent="0.2">
      <c r="A127" s="1057" t="s">
        <v>89</v>
      </c>
      <c r="B127" s="1057">
        <f>IF(B119=1,B113,0)</f>
        <v>0</v>
      </c>
      <c r="D127" s="1060">
        <f t="shared" si="10"/>
        <v>0</v>
      </c>
      <c r="E127" s="1057">
        <f t="shared" si="10"/>
        <v>0</v>
      </c>
      <c r="G127" s="1060">
        <f t="shared" si="11"/>
        <v>0</v>
      </c>
      <c r="H127" s="1057">
        <f t="shared" si="11"/>
        <v>0</v>
      </c>
      <c r="J127" s="1060">
        <f>IF(J119=1,J113,0)</f>
        <v>0</v>
      </c>
      <c r="K127" s="1060"/>
      <c r="L127" s="1057">
        <f>IF(L119=1,L113,0)</f>
        <v>0</v>
      </c>
      <c r="N127" s="1060">
        <f t="shared" si="12"/>
        <v>0</v>
      </c>
      <c r="O127" s="1057">
        <f t="shared" si="12"/>
        <v>0</v>
      </c>
      <c r="Q127" s="1060">
        <f t="shared" si="13"/>
        <v>0</v>
      </c>
      <c r="R127" s="1057">
        <f t="shared" si="13"/>
        <v>0</v>
      </c>
      <c r="T127" s="1060">
        <f t="shared" si="14"/>
        <v>0</v>
      </c>
      <c r="U127" s="1057">
        <f t="shared" si="14"/>
        <v>0</v>
      </c>
      <c r="W127" s="1060">
        <f t="shared" si="15"/>
        <v>0</v>
      </c>
      <c r="X127" s="1057">
        <f t="shared" si="15"/>
        <v>0</v>
      </c>
      <c r="Z127" s="1060">
        <f t="shared" si="16"/>
        <v>0</v>
      </c>
      <c r="AA127" s="1057">
        <f t="shared" si="16"/>
        <v>0</v>
      </c>
      <c r="AC127" s="1060">
        <f t="shared" si="17"/>
        <v>0</v>
      </c>
      <c r="AD127" s="1057">
        <f t="shared" si="17"/>
        <v>0</v>
      </c>
      <c r="AF127" s="1060">
        <f>IF(AF119=1,AF113,0)</f>
        <v>0</v>
      </c>
    </row>
    <row r="128" spans="1:44" s="1057" customFormat="1" ht="12.75" hidden="1" customHeight="1" x14ac:dyDescent="0.2">
      <c r="A128" s="1057" t="s">
        <v>90</v>
      </c>
      <c r="B128" s="1057">
        <f>IF(B120=1,B114,0)</f>
        <v>0</v>
      </c>
      <c r="D128" s="1060">
        <f t="shared" si="10"/>
        <v>0</v>
      </c>
      <c r="E128" s="1057">
        <f t="shared" si="10"/>
        <v>0</v>
      </c>
      <c r="G128" s="1060">
        <f t="shared" si="11"/>
        <v>0</v>
      </c>
      <c r="H128" s="1057">
        <f t="shared" si="11"/>
        <v>0</v>
      </c>
      <c r="J128" s="1060">
        <f>IF(J120=1,J114,0)</f>
        <v>0</v>
      </c>
      <c r="K128" s="1060"/>
      <c r="L128" s="1057">
        <f>IF(L120=1,L114,0)</f>
        <v>0</v>
      </c>
      <c r="N128" s="1060">
        <f t="shared" si="12"/>
        <v>0</v>
      </c>
      <c r="O128" s="1057">
        <f t="shared" si="12"/>
        <v>0</v>
      </c>
      <c r="Q128" s="1060">
        <f t="shared" si="13"/>
        <v>0</v>
      </c>
      <c r="R128" s="1057">
        <f t="shared" si="13"/>
        <v>0</v>
      </c>
      <c r="T128" s="1060">
        <f t="shared" si="14"/>
        <v>0</v>
      </c>
      <c r="U128" s="1057">
        <f t="shared" si="14"/>
        <v>0</v>
      </c>
      <c r="W128" s="1060">
        <f t="shared" si="15"/>
        <v>0</v>
      </c>
      <c r="X128" s="1057">
        <f t="shared" si="15"/>
        <v>0</v>
      </c>
      <c r="Z128" s="1060">
        <f t="shared" si="16"/>
        <v>0</v>
      </c>
      <c r="AA128" s="1057">
        <f t="shared" si="16"/>
        <v>0</v>
      </c>
      <c r="AC128" s="1060">
        <f t="shared" si="17"/>
        <v>0</v>
      </c>
      <c r="AD128" s="1057">
        <f t="shared" si="17"/>
        <v>0</v>
      </c>
      <c r="AF128" s="1060">
        <f>IF(AF120=1,AF114,0)</f>
        <v>0</v>
      </c>
    </row>
    <row r="129" spans="1:38" s="1057" customFormat="1" ht="38.25" hidden="1" customHeight="1" x14ac:dyDescent="0.2">
      <c r="A129" s="1061" t="s">
        <v>91</v>
      </c>
      <c r="B129" s="1057">
        <f>SUM(B124:D128)</f>
        <v>26</v>
      </c>
      <c r="D129" s="1060"/>
      <c r="E129" s="1057">
        <f>SUM(E124:G128)</f>
        <v>21</v>
      </c>
      <c r="G129" s="1060"/>
      <c r="H129" s="1057">
        <f>SUM(H124:J128)</f>
        <v>23</v>
      </c>
      <c r="J129" s="1060"/>
      <c r="K129" s="1060"/>
      <c r="L129" s="1057">
        <f>SUM(L124:N128)</f>
        <v>23</v>
      </c>
      <c r="N129" s="1060"/>
      <c r="O129" s="1057">
        <f>SUM(O124:Q128)</f>
        <v>20</v>
      </c>
      <c r="Q129" s="1060"/>
      <c r="R129" s="1057">
        <f>SUM(R124:T128)</f>
        <v>23</v>
      </c>
      <c r="T129" s="1060"/>
      <c r="U129" s="1057">
        <f>SUM(U124:W128)</f>
        <v>0</v>
      </c>
      <c r="W129" s="1060"/>
      <c r="X129" s="1057">
        <f>SUM(X124:Z128)</f>
        <v>0</v>
      </c>
      <c r="Z129" s="1060"/>
      <c r="AA129" s="1057">
        <f>SUM(AA124:AC128)</f>
        <v>0</v>
      </c>
      <c r="AC129" s="1060"/>
      <c r="AD129" s="1057">
        <f>SUM(AD124:AF128)</f>
        <v>0</v>
      </c>
      <c r="AF129" s="1060"/>
    </row>
    <row r="130" spans="1:38" s="1057" customFormat="1" ht="38.25" hidden="1" customHeight="1" x14ac:dyDescent="0.2">
      <c r="A130" s="1057" t="s">
        <v>92</v>
      </c>
      <c r="D130" s="1060"/>
      <c r="G130" s="1060"/>
      <c r="J130" s="1060"/>
      <c r="K130" s="1060"/>
      <c r="N130" s="1060"/>
      <c r="Q130" s="1060"/>
      <c r="T130" s="1060"/>
      <c r="W130" s="1060"/>
      <c r="Z130" s="1060"/>
      <c r="AC130" s="1060"/>
      <c r="AF130" s="1060"/>
      <c r="AG130" s="1061" t="s">
        <v>93</v>
      </c>
      <c r="AH130" s="1057" t="s">
        <v>94</v>
      </c>
    </row>
    <row r="131" spans="1:38" s="1057" customFormat="1" ht="12.75" hidden="1" customHeight="1" x14ac:dyDescent="0.2">
      <c r="A131" s="1057" t="s">
        <v>95</v>
      </c>
      <c r="B131" s="1057">
        <f>IF(B109=1,IF(B122=1,1,0),0)</f>
        <v>1</v>
      </c>
      <c r="D131" s="1060">
        <f>IF(D109=1,IF(D122=1,1,0),0)</f>
        <v>0</v>
      </c>
      <c r="E131" s="1057">
        <f>IF(E109=1,IF(E122=1,1,0),0)</f>
        <v>0</v>
      </c>
      <c r="G131" s="1060">
        <f>IF(G109=1,IF(G122=1,1,0),0)</f>
        <v>0</v>
      </c>
      <c r="H131" s="1057">
        <f>IF(H109=1,IF(H122=1,1,0),0)</f>
        <v>0</v>
      </c>
      <c r="J131" s="1060">
        <f>IF(J109=1,IF(J122=1,1,0),0)</f>
        <v>0</v>
      </c>
      <c r="K131" s="1060"/>
      <c r="L131" s="1057">
        <f>IF(L109=1,IF(L122=1,1,0),0)</f>
        <v>1</v>
      </c>
      <c r="N131" s="1060">
        <f>IF(N109=1,IF(N122=1,1,0),0)</f>
        <v>0</v>
      </c>
      <c r="O131" s="1057">
        <f>IF(O109=1,IF(O122=1,1,0),0)</f>
        <v>0</v>
      </c>
      <c r="Q131" s="1060">
        <f>IF(Q109=1,IF(Q122=1,1,0),0)</f>
        <v>0</v>
      </c>
      <c r="R131" s="1057">
        <f>IF(R109=1,IF(R122=1,1,0),0)</f>
        <v>1</v>
      </c>
      <c r="T131" s="1060">
        <f>IF(T109=1,IF(T122=1,1,0),0)</f>
        <v>0</v>
      </c>
      <c r="U131" s="1057">
        <f>IF(U109=1,IF(U122=1,1,0),0)</f>
        <v>0</v>
      </c>
      <c r="W131" s="1060">
        <f>IF(W109=1,IF(W122=1,1,0),0)</f>
        <v>0</v>
      </c>
      <c r="X131" s="1057">
        <f>IF(X109=1,IF(X122=1,1,0),0)</f>
        <v>0</v>
      </c>
      <c r="Z131" s="1060">
        <f>IF(Z109=1,IF(Z122=1,1,0),0)</f>
        <v>0</v>
      </c>
      <c r="AA131" s="1057">
        <f>IF(AA109=1,IF(AA122=1,1,0),0)</f>
        <v>0</v>
      </c>
      <c r="AC131" s="1060">
        <f>IF(AC109=1,IF(AC122=1,1,0),0)</f>
        <v>0</v>
      </c>
      <c r="AD131" s="1057">
        <f>IF(AD109=1,IF(AD122=1,1,0),0)</f>
        <v>0</v>
      </c>
      <c r="AF131" s="1060">
        <f>IF(AF109=1,IF(AF122=1,1,0),0)</f>
        <v>0</v>
      </c>
      <c r="AG131" s="1057">
        <f>SUM(B131:AF131)</f>
        <v>3</v>
      </c>
      <c r="AH131" s="1057">
        <f>AG137-AG131</f>
        <v>1</v>
      </c>
    </row>
    <row r="132" spans="1:38" s="1057" customFormat="1" ht="12.75" hidden="1" customHeight="1" x14ac:dyDescent="0.2">
      <c r="A132" s="1057" t="s">
        <v>96</v>
      </c>
      <c r="B132" s="1057">
        <f>IF(B109=2,IF(B122=1,1,0),0)</f>
        <v>0</v>
      </c>
      <c r="D132" s="1060">
        <f>IF(D109=2,IF(D122=1,1,0),0)</f>
        <v>0</v>
      </c>
      <c r="E132" s="1057">
        <f>IF(E109=2,IF(E122=1,1,0),0)</f>
        <v>1</v>
      </c>
      <c r="G132" s="1060">
        <f>IF(G109=2,IF(G122=1,1,0),0)</f>
        <v>0</v>
      </c>
      <c r="H132" s="1057">
        <f>IF(H109=2,IF(H122=1,1,0),0)</f>
        <v>0</v>
      </c>
      <c r="J132" s="1060">
        <f>IF(J109=2,IF(J122=1,1,0),0)</f>
        <v>1</v>
      </c>
      <c r="K132" s="1060"/>
      <c r="L132" s="1057">
        <f>IF(L109=2,IF(L122=1,1,0),0)</f>
        <v>0</v>
      </c>
      <c r="N132" s="1060">
        <f>IF(N109=2,IF(N122=1,1,0),0)</f>
        <v>0</v>
      </c>
      <c r="O132" s="1057">
        <f>IF(O109=2,IF(O122=1,1,0),0)</f>
        <v>1</v>
      </c>
      <c r="Q132" s="1060">
        <f>IF(Q109=2,IF(Q122=1,1,0),0)</f>
        <v>0</v>
      </c>
      <c r="R132" s="1057">
        <f>IF(R109=2,IF(R122=1,1,0),0)</f>
        <v>0</v>
      </c>
      <c r="T132" s="1060">
        <f>IF(T109=2,IF(T122=1,1,0),0)</f>
        <v>0</v>
      </c>
      <c r="U132" s="1057">
        <f>IF(U109=2,IF(U122=1,1,0),0)</f>
        <v>0</v>
      </c>
      <c r="W132" s="1060">
        <f>IF(W109=2,IF(W122=1,1,0),0)</f>
        <v>0</v>
      </c>
      <c r="X132" s="1057">
        <f>IF(X109=2,IF(X122=1,1,0),0)</f>
        <v>0</v>
      </c>
      <c r="Z132" s="1060">
        <f>IF(Z109=2,IF(Z122=1,1,0),0)</f>
        <v>0</v>
      </c>
      <c r="AA132" s="1057">
        <f>IF(AA109=2,IF(AA122=1,1,0),0)</f>
        <v>0</v>
      </c>
      <c r="AC132" s="1060">
        <f>IF(AC109=2,IF(AC122=1,1,0),0)</f>
        <v>0</v>
      </c>
      <c r="AD132" s="1057">
        <f>IF(AD109=2,IF(AD122=1,1,0),0)</f>
        <v>0</v>
      </c>
      <c r="AF132" s="1060">
        <f>IF(AF109=2,IF(AF122=1,1,0),0)</f>
        <v>0</v>
      </c>
      <c r="AG132" s="1057">
        <f>SUM(B132:AF132)</f>
        <v>3</v>
      </c>
      <c r="AH132" s="1057">
        <f>AG138-AG132</f>
        <v>1</v>
      </c>
    </row>
    <row r="133" spans="1:38" s="1057" customFormat="1" ht="12.75" hidden="1" customHeight="1" x14ac:dyDescent="0.2">
      <c r="A133" s="1057" t="s">
        <v>97</v>
      </c>
      <c r="B133" s="1057">
        <f>IF(B109=3,IF(B122=1,1,0),0)</f>
        <v>0</v>
      </c>
      <c r="D133" s="1060">
        <f>IF(D109=3,IF(D122=1,1,0),0)</f>
        <v>0</v>
      </c>
      <c r="E133" s="1057">
        <f>IF(E109=3,IF(E122=1,1,0),0)</f>
        <v>0</v>
      </c>
      <c r="G133" s="1060">
        <f>IF(G109=3,IF(G122=1,1,0),0)</f>
        <v>0</v>
      </c>
      <c r="H133" s="1057">
        <f>IF(H109=3,IF(H122=1,1,0),0)</f>
        <v>0</v>
      </c>
      <c r="J133" s="1060">
        <f>IF(J109=3,IF(J122=1,1,0),0)</f>
        <v>0</v>
      </c>
      <c r="K133" s="1060"/>
      <c r="L133" s="1057">
        <f>IF(L109=3,IF(L122=1,1,0),0)</f>
        <v>0</v>
      </c>
      <c r="N133" s="1060">
        <f>IF(N109=3,IF(N122=1,1,0),0)</f>
        <v>0</v>
      </c>
      <c r="O133" s="1057">
        <f>IF(O109=3,IF(O122=1,1,0),0)</f>
        <v>0</v>
      </c>
      <c r="Q133" s="1060">
        <f>IF(Q109=3,IF(Q122=1,1,0),0)</f>
        <v>0</v>
      </c>
      <c r="R133" s="1057">
        <f>IF(R109=3,IF(R122=1,1,0),0)</f>
        <v>0</v>
      </c>
      <c r="T133" s="1060">
        <f>IF(T109=3,IF(T122=1,1,0),0)</f>
        <v>0</v>
      </c>
      <c r="U133" s="1057">
        <f>IF(U109=3,IF(U122=1,1,0),0)</f>
        <v>0</v>
      </c>
      <c r="W133" s="1060">
        <f>IF(W109=3,IF(W122=1,1,0),0)</f>
        <v>0</v>
      </c>
      <c r="X133" s="1057">
        <f>IF(X109=3,IF(X122=1,1,0),0)</f>
        <v>0</v>
      </c>
      <c r="Z133" s="1060">
        <f>IF(Z109=3,IF(Z122=1,1,0),0)</f>
        <v>0</v>
      </c>
      <c r="AA133" s="1057">
        <f>IF(AA109=3,IF(AA122=1,1,0),0)</f>
        <v>0</v>
      </c>
      <c r="AC133" s="1060">
        <f>IF(AC109=3,IF(AC122=1,1,0),0)</f>
        <v>0</v>
      </c>
      <c r="AD133" s="1057">
        <f>IF(AD109=3,IF(AD122=1,1,0),0)</f>
        <v>0</v>
      </c>
      <c r="AF133" s="1060">
        <f>IF(AF109=3,IF(AF122=1,1,0),0)</f>
        <v>0</v>
      </c>
      <c r="AG133" s="1057">
        <f>SUM(B133:AF133)</f>
        <v>0</v>
      </c>
      <c r="AH133" s="1057">
        <f>AG139-AG133</f>
        <v>4</v>
      </c>
    </row>
    <row r="134" spans="1:38" s="1057" customFormat="1" ht="12.75" hidden="1" customHeight="1" x14ac:dyDescent="0.2">
      <c r="A134" s="1057" t="s">
        <v>98</v>
      </c>
      <c r="B134" s="1057">
        <f>IF(B109=4,IF(B122=1,1,0),0)</f>
        <v>0</v>
      </c>
      <c r="D134" s="1060">
        <f>IF(D109=4,IF(D122=1,1,0),0)</f>
        <v>0</v>
      </c>
      <c r="E134" s="1057">
        <f>IF(E109=4,IF(E122=1,1,0),0)</f>
        <v>0</v>
      </c>
      <c r="G134" s="1060">
        <f>IF(G109=4,IF(G122=1,1,0),0)</f>
        <v>0</v>
      </c>
      <c r="H134" s="1057">
        <f>IF(H109=4,IF(H122=1,1,0),0)</f>
        <v>0</v>
      </c>
      <c r="J134" s="1060">
        <f>IF(J109=4,IF(J122=1,1,0),0)</f>
        <v>0</v>
      </c>
      <c r="K134" s="1060"/>
      <c r="L134" s="1057">
        <f>IF(L109=4,IF(L122=1,1,0),0)</f>
        <v>0</v>
      </c>
      <c r="N134" s="1060">
        <f>IF(N109=4,IF(N122=1,1,0),0)</f>
        <v>0</v>
      </c>
      <c r="O134" s="1057">
        <f>IF(O109=4,IF(O122=1,1,0),0)</f>
        <v>0</v>
      </c>
      <c r="Q134" s="1060">
        <f>IF(Q109=4,IF(Q122=1,1,0),0)</f>
        <v>0</v>
      </c>
      <c r="R134" s="1057">
        <f>IF(R109=4,IF(R122=1,1,0),0)</f>
        <v>0</v>
      </c>
      <c r="T134" s="1060">
        <f>IF(T109=4,IF(T122=1,1,0),0)</f>
        <v>0</v>
      </c>
      <c r="U134" s="1057">
        <f>IF(U109=4,IF(U122=1,1,0),0)</f>
        <v>0</v>
      </c>
      <c r="W134" s="1060">
        <f>IF(W109=4,IF(W122=1,1,0),0)</f>
        <v>0</v>
      </c>
      <c r="X134" s="1057">
        <f>IF(X109=4,IF(X122=1,1,0),0)</f>
        <v>0</v>
      </c>
      <c r="Z134" s="1060">
        <f>IF(Z109=4,IF(Z122=1,1,0),0)</f>
        <v>0</v>
      </c>
      <c r="AA134" s="1057">
        <f>IF(AA109=4,IF(AA122=1,1,0),0)</f>
        <v>0</v>
      </c>
      <c r="AC134" s="1060">
        <f>IF(AC109=4,IF(AC122=1,1,0),0)</f>
        <v>0</v>
      </c>
      <c r="AD134" s="1057">
        <f>IF(AD109=4,IF(AD122=1,1,0),0)</f>
        <v>0</v>
      </c>
      <c r="AF134" s="1060">
        <f>IF(AF109=4,IF(AF122=1,1,0),0)</f>
        <v>0</v>
      </c>
      <c r="AG134" s="1057">
        <f>SUM(B134:AF134)</f>
        <v>0</v>
      </c>
      <c r="AH134" s="1057">
        <f>AG140-AG134</f>
        <v>0</v>
      </c>
    </row>
    <row r="135" spans="1:38" s="1057" customFormat="1" ht="12.75" hidden="1" customHeight="1" x14ac:dyDescent="0.2">
      <c r="A135" s="1057" t="s">
        <v>99</v>
      </c>
      <c r="B135" s="1057">
        <f>IF(B109=5,IF(B122=1,1,0),0)</f>
        <v>0</v>
      </c>
      <c r="D135" s="1060">
        <f>IF(D109=5,IF(D122=1,1,0),0)</f>
        <v>0</v>
      </c>
      <c r="E135" s="1057">
        <f>IF(E109=5,IF(E122=1,1,0),0)</f>
        <v>0</v>
      </c>
      <c r="G135" s="1060">
        <f>IF(G109=5,IF(G122=1,1,0),0)</f>
        <v>0</v>
      </c>
      <c r="H135" s="1057">
        <f>IF(H109=5,IF(H122=1,1,0),0)</f>
        <v>0</v>
      </c>
      <c r="J135" s="1060">
        <f>IF(J109=5,IF(J122=1,1,0),0)</f>
        <v>0</v>
      </c>
      <c r="K135" s="1060"/>
      <c r="L135" s="1057">
        <f>IF(L109=5,IF(L122=1,1,0),0)</f>
        <v>0</v>
      </c>
      <c r="N135" s="1060">
        <f>IF(N109=5,IF(N122=1,1,0),0)</f>
        <v>0</v>
      </c>
      <c r="O135" s="1057">
        <f>IF(O109=5,IF(O122=1,1,0),0)</f>
        <v>0</v>
      </c>
      <c r="Q135" s="1060">
        <f>IF(Q109=5,IF(Q122=1,1,0),0)</f>
        <v>0</v>
      </c>
      <c r="R135" s="1057">
        <f>IF(R109=5,IF(R122=1,1,0),0)</f>
        <v>0</v>
      </c>
      <c r="T135" s="1060">
        <f>IF(T109=5,IF(T122=1,1,0),0)</f>
        <v>0</v>
      </c>
      <c r="U135" s="1057">
        <f>IF(U109=5,IF(U122=1,1,0),0)</f>
        <v>0</v>
      </c>
      <c r="W135" s="1060">
        <f>IF(W109=5,IF(W122=1,1,0),0)</f>
        <v>0</v>
      </c>
      <c r="X135" s="1057">
        <f>IF(X109=5,IF(X122=1,1,0),0)</f>
        <v>0</v>
      </c>
      <c r="Z135" s="1060">
        <f>IF(Z109=5,IF(Z122=1,1,0),0)</f>
        <v>0</v>
      </c>
      <c r="AA135" s="1057">
        <f>IF(AA109=5,IF(AA122=1,1,0),0)</f>
        <v>0</v>
      </c>
      <c r="AC135" s="1060">
        <f>IF(AC109=5,IF(AC122=1,1,0),0)</f>
        <v>0</v>
      </c>
      <c r="AD135" s="1057">
        <f>IF(AD109=5,IF(AD122=1,1,0),0)</f>
        <v>0</v>
      </c>
      <c r="AF135" s="1060">
        <f>IF(AF109=5,IF(AF122=1,1,0),0)</f>
        <v>0</v>
      </c>
      <c r="AG135" s="1057">
        <f>SUM(B135:AF135)</f>
        <v>0</v>
      </c>
      <c r="AH135" s="1057">
        <f>AG141-AG135</f>
        <v>0</v>
      </c>
    </row>
    <row r="136" spans="1:38" s="1057" customFormat="1" ht="38.25" hidden="1" customHeight="1" x14ac:dyDescent="0.2">
      <c r="A136" s="1061"/>
      <c r="D136" s="1060"/>
      <c r="G136" s="1060"/>
      <c r="J136" s="1060"/>
      <c r="K136" s="1060"/>
      <c r="N136" s="1060"/>
      <c r="Q136" s="1060"/>
      <c r="T136" s="1060"/>
      <c r="W136" s="1060"/>
      <c r="Z136" s="1060"/>
      <c r="AC136" s="1060"/>
      <c r="AF136" s="1060"/>
      <c r="AG136" s="1061" t="s">
        <v>100</v>
      </c>
    </row>
    <row r="137" spans="1:38" s="1057" customFormat="1" ht="12.75" hidden="1" customHeight="1" x14ac:dyDescent="0.2">
      <c r="A137" s="1057" t="s">
        <v>101</v>
      </c>
      <c r="B137" s="1057">
        <f>IF(B109=1,IF(C122=1,1,0),0)</f>
        <v>1</v>
      </c>
      <c r="D137" s="1060">
        <f>IF(D109=1,IF(C122=1,1,0),0)</f>
        <v>0</v>
      </c>
      <c r="E137" s="1057">
        <f>IF(E109=1,IF(F122=1,1,0),0)</f>
        <v>0</v>
      </c>
      <c r="G137" s="1060">
        <f>IF(G109=1,IF(F122=1,1,0),0)</f>
        <v>0</v>
      </c>
      <c r="H137" s="1057">
        <f>IF(H109=1,IF(I122=1,1,0),0)</f>
        <v>1</v>
      </c>
      <c r="J137" s="1060">
        <f>IF(J109=1,IF(I122=1,1,0),0)</f>
        <v>0</v>
      </c>
      <c r="K137" s="1060"/>
      <c r="L137" s="1057">
        <f>IF(L109=1,IF(M122=1,1,0),0)</f>
        <v>1</v>
      </c>
      <c r="N137" s="1060">
        <f>IF(N109=1,IF(M122=1,1,0),0)</f>
        <v>0</v>
      </c>
      <c r="O137" s="1057">
        <f>IF(O109=1,IF(P122=1,1,0),0)</f>
        <v>0</v>
      </c>
      <c r="Q137" s="1060">
        <f>IF(Q109=1,IF(P122=1,1,0),0)</f>
        <v>0</v>
      </c>
      <c r="R137" s="1057">
        <f>IF(R109=1,IF(S122=1,1,0),0)</f>
        <v>1</v>
      </c>
      <c r="T137" s="1060">
        <f>IF(T109=1,IF(S122=1,1,0),0)</f>
        <v>0</v>
      </c>
      <c r="U137" s="1057">
        <f>IF(U109=1,IF(V122=1,1,0),0)</f>
        <v>0</v>
      </c>
      <c r="W137" s="1060">
        <f>IF(W109=1,IF(V122=1,1,0),0)</f>
        <v>0</v>
      </c>
      <c r="X137" s="1057">
        <f>IF(X109=1,IF(Y122=1,1,0),0)</f>
        <v>0</v>
      </c>
      <c r="Z137" s="1060">
        <f>IF(Z109=1,IF(Y122=1,1,0),0)</f>
        <v>0</v>
      </c>
      <c r="AA137" s="1057">
        <f>IF(AA109=1,IF(AB122=1,1,0),0)</f>
        <v>0</v>
      </c>
      <c r="AC137" s="1060">
        <f>IF(AC109=1,IF(AB122=1,1,0),0)</f>
        <v>0</v>
      </c>
      <c r="AD137" s="1057">
        <f>IF(AD109=1,IF(AE122=1,1,0),0)</f>
        <v>0</v>
      </c>
      <c r="AF137" s="1060">
        <f>IF(AF109=1,IF(AE122=1,1,0),0)</f>
        <v>0</v>
      </c>
      <c r="AG137" s="1057">
        <f>SUM(B137:AF137)</f>
        <v>4</v>
      </c>
    </row>
    <row r="138" spans="1:38" s="1057" customFormat="1" ht="12.75" hidden="1" customHeight="1" x14ac:dyDescent="0.2">
      <c r="A138" s="1057" t="s">
        <v>102</v>
      </c>
      <c r="B138" s="1057">
        <f>IF(B109=2,IF(C122=1,1,0),0)</f>
        <v>0</v>
      </c>
      <c r="D138" s="1060">
        <f>IF(D109=2,IF(C122=1,1,0),0)</f>
        <v>0</v>
      </c>
      <c r="E138" s="1057">
        <f>IF(E109=2,IF(F122=1,1,0),0)</f>
        <v>1</v>
      </c>
      <c r="G138" s="1060">
        <f>IF(G109=2,IF(F122=1,1,0),0)</f>
        <v>0</v>
      </c>
      <c r="H138" s="1057">
        <f>IF(H109=2,IF(I122=1,1,0),0)</f>
        <v>0</v>
      </c>
      <c r="J138" s="1060">
        <f>IF(J109=2,IF(I122=1,1,0),0)</f>
        <v>1</v>
      </c>
      <c r="K138" s="1060"/>
      <c r="L138" s="1057">
        <f>IF(L109=2,IF(M122=1,1,0),0)</f>
        <v>0</v>
      </c>
      <c r="N138" s="1060">
        <f>IF(N109=2,IF(M122=1,1,0),0)</f>
        <v>0</v>
      </c>
      <c r="O138" s="1057">
        <f>IF(O109=2,IF(P122=1,1,0),0)</f>
        <v>1</v>
      </c>
      <c r="Q138" s="1060">
        <f>IF(Q109=2,IF(P122=1,1,0),0)</f>
        <v>0</v>
      </c>
      <c r="R138" s="1057">
        <f>IF(R109=2,IF(S122=1,1,0),0)</f>
        <v>0</v>
      </c>
      <c r="T138" s="1060">
        <f>IF(T109=2,IF(S122=1,1,0),0)</f>
        <v>1</v>
      </c>
      <c r="U138" s="1057">
        <f>IF(U109=2,IF(V122=1,1,0),0)</f>
        <v>0</v>
      </c>
      <c r="W138" s="1060">
        <f>IF(W109=2,IF(V122=1,1,0),0)</f>
        <v>0</v>
      </c>
      <c r="X138" s="1057">
        <f>IF(X109=2,IF(Y122=1,1,0),0)</f>
        <v>0</v>
      </c>
      <c r="Z138" s="1060">
        <f>IF(Z109=2,IF(Y122=1,1,0),0)</f>
        <v>0</v>
      </c>
      <c r="AA138" s="1057">
        <f>IF(AA109=2,IF(AB122=1,1,0),0)</f>
        <v>0</v>
      </c>
      <c r="AC138" s="1060">
        <f>IF(AC109=2,IF(AB122=1,1,0),0)</f>
        <v>0</v>
      </c>
      <c r="AD138" s="1057">
        <f>IF(AD109=2,IF(AE122=1,1,0),0)</f>
        <v>0</v>
      </c>
      <c r="AF138" s="1060">
        <f>IF(AF109=2,IF(AE122=1,1,0),0)</f>
        <v>0</v>
      </c>
      <c r="AG138" s="1057">
        <f>SUM(B138:AF138)</f>
        <v>4</v>
      </c>
    </row>
    <row r="139" spans="1:38" s="1057" customFormat="1" ht="12.75" hidden="1" customHeight="1" x14ac:dyDescent="0.2">
      <c r="A139" s="1057" t="s">
        <v>103</v>
      </c>
      <c r="B139" s="1057">
        <f>IF(B109=3,IF(C122=1,1,0),0)</f>
        <v>0</v>
      </c>
      <c r="D139" s="1060">
        <f>IF(D109=3,IF(C122=1,1,0),0)</f>
        <v>1</v>
      </c>
      <c r="E139" s="1057">
        <f>IF(E109=3,IF(F122=1,1,0),0)</f>
        <v>0</v>
      </c>
      <c r="G139" s="1060">
        <f>IF(G109=3,IF(F122=1,1,0),0)</f>
        <v>1</v>
      </c>
      <c r="H139" s="1057">
        <f>IF(H109=3,IF(I122=1,1,0),0)</f>
        <v>0</v>
      </c>
      <c r="J139" s="1060">
        <f>IF(J109=3,IF(I122=1,1,0),0)</f>
        <v>0</v>
      </c>
      <c r="K139" s="1060"/>
      <c r="L139" s="1057">
        <f>IF(L109=3,IF(M122=1,1,0),0)</f>
        <v>0</v>
      </c>
      <c r="N139" s="1060">
        <f>IF(N109=3,IF(M122=1,1,0),0)</f>
        <v>1</v>
      </c>
      <c r="O139" s="1057">
        <f>IF(O109=3,IF(P122=1,1,0),0)</f>
        <v>0</v>
      </c>
      <c r="Q139" s="1060">
        <f>IF(Q109=3,IF(P122=1,1,0),0)</f>
        <v>1</v>
      </c>
      <c r="R139" s="1057">
        <f>IF(R109=3,IF(S122=1,1,0),0)</f>
        <v>0</v>
      </c>
      <c r="T139" s="1060">
        <f>IF(T109=3,IF(S122=1,1,0),0)</f>
        <v>0</v>
      </c>
      <c r="U139" s="1057">
        <f>IF(U109=3,IF(V122=1,1,0),0)</f>
        <v>0</v>
      </c>
      <c r="W139" s="1060">
        <f>IF(W109=3,IF(V122=1,1,0),0)</f>
        <v>0</v>
      </c>
      <c r="X139" s="1057">
        <f>IF(X109=3,IF(Y122=1,1,0),0)</f>
        <v>0</v>
      </c>
      <c r="Z139" s="1060">
        <f>IF(Z109=3,IF(Y122=1,1,0),0)</f>
        <v>0</v>
      </c>
      <c r="AA139" s="1057">
        <f>IF(AA109=3,IF(AB122=1,1,0),0)</f>
        <v>0</v>
      </c>
      <c r="AC139" s="1060">
        <f>IF(AC109=3,IF(AB122=1,1,0),0)</f>
        <v>0</v>
      </c>
      <c r="AD139" s="1057">
        <f>IF(AD109=3,IF(AE122=1,1,0),0)</f>
        <v>0</v>
      </c>
      <c r="AF139" s="1060">
        <f>IF(AF109=3,IF(AE122=1,1,0),0)</f>
        <v>0</v>
      </c>
      <c r="AG139" s="1057">
        <f>SUM(B139:AF139)</f>
        <v>4</v>
      </c>
    </row>
    <row r="140" spans="1:38" s="1057" customFormat="1" ht="12.75" hidden="1" customHeight="1" x14ac:dyDescent="0.2">
      <c r="A140" s="1057" t="s">
        <v>104</v>
      </c>
      <c r="B140" s="1057">
        <f>IF(B109=4,IF(C122=1,1,0),0)</f>
        <v>0</v>
      </c>
      <c r="D140" s="1060">
        <f>IF(D109=4,IF(C122=1,1,0),0)</f>
        <v>0</v>
      </c>
      <c r="E140" s="1057">
        <f>IF(E109=4,IF(F122=1,1,0),0)</f>
        <v>0</v>
      </c>
      <c r="G140" s="1060">
        <f>IF(G109=4,IF(F122=1,1,0),0)</f>
        <v>0</v>
      </c>
      <c r="H140" s="1057">
        <f>IF(H109=4,IF(I122=1,1,0),0)</f>
        <v>0</v>
      </c>
      <c r="J140" s="1060">
        <f>IF(J109=4,IF(I122=1,1,0),0)</f>
        <v>0</v>
      </c>
      <c r="K140" s="1060"/>
      <c r="L140" s="1057">
        <f>IF(L109=4,IF(M122=1,1,0),0)</f>
        <v>0</v>
      </c>
      <c r="N140" s="1060">
        <f>IF(N109=4,IF(M122=1,1,0),0)</f>
        <v>0</v>
      </c>
      <c r="O140" s="1057">
        <f>IF(O109=4,IF(P122=1,1,0),0)</f>
        <v>0</v>
      </c>
      <c r="Q140" s="1060">
        <f>IF(Q109=4,IF(P122=1,1,0),0)</f>
        <v>0</v>
      </c>
      <c r="R140" s="1057">
        <f>IF(R109=4,IF(S122=1,1,0),0)</f>
        <v>0</v>
      </c>
      <c r="T140" s="1060">
        <f>IF(T109=4,IF(S122=1,1,0),0)</f>
        <v>0</v>
      </c>
      <c r="U140" s="1057">
        <f>IF(U109=4,IF(V122=1,1,0),0)</f>
        <v>0</v>
      </c>
      <c r="W140" s="1060">
        <f>IF(W109=4,IF(V122=1,1,0),0)</f>
        <v>0</v>
      </c>
      <c r="X140" s="1057">
        <f>IF(X109=4,IF(Y122=1,1,0),0)</f>
        <v>0</v>
      </c>
      <c r="Z140" s="1060">
        <f>IF(Z109=4,IF(Y122=1,1,0),0)</f>
        <v>0</v>
      </c>
      <c r="AA140" s="1057">
        <f>IF(AA109=4,IF(AB122=1,1,0),0)</f>
        <v>0</v>
      </c>
      <c r="AC140" s="1060">
        <f>IF(AC109=4,IF(AB122=1,1,0),0)</f>
        <v>0</v>
      </c>
      <c r="AD140" s="1057">
        <f>IF(AD109=4,IF(AE122=1,1,0),0)</f>
        <v>0</v>
      </c>
      <c r="AF140" s="1060">
        <f>IF(AF109=4,IF(AE122=1,1,0),0)</f>
        <v>0</v>
      </c>
      <c r="AG140" s="1057">
        <f>SUM(B140:AF140)</f>
        <v>0</v>
      </c>
    </row>
    <row r="141" spans="1:38" s="1057" customFormat="1" ht="12.75" hidden="1" customHeight="1" x14ac:dyDescent="0.2">
      <c r="A141" s="1057" t="s">
        <v>105</v>
      </c>
      <c r="B141" s="1057">
        <f>IF(B109=5,IF(C122=1,1,0),0)</f>
        <v>0</v>
      </c>
      <c r="D141" s="1060">
        <f>IF(D109=5,IF(C122=1,1,0),0)</f>
        <v>0</v>
      </c>
      <c r="E141" s="1057">
        <f>IF(E109=5,IF(F122=1,1,0),0)</f>
        <v>0</v>
      </c>
      <c r="G141" s="1060">
        <f>IF(G109=5,IF(F122=1,1,0),0)</f>
        <v>0</v>
      </c>
      <c r="H141" s="1057">
        <f>IF(H109=5,IF(I122=1,1,0),0)</f>
        <v>0</v>
      </c>
      <c r="J141" s="1060">
        <f>IF(J109=5,IF(I122=1,1,0),0)</f>
        <v>0</v>
      </c>
      <c r="K141" s="1060"/>
      <c r="L141" s="1057">
        <f>IF(L109=5,IF(M122=1,1,0),0)</f>
        <v>0</v>
      </c>
      <c r="N141" s="1060">
        <f>IF(N109=5,IF(M122=1,1,0),0)</f>
        <v>0</v>
      </c>
      <c r="O141" s="1057">
        <f>IF(O109=5,IF(P122=1,1,0),0)</f>
        <v>0</v>
      </c>
      <c r="Q141" s="1060">
        <f>IF(Q109=5,IF(P122=1,1,0),0)</f>
        <v>0</v>
      </c>
      <c r="R141" s="1057">
        <f>IF(R109=5,IF(S122=1,1,0),0)</f>
        <v>0</v>
      </c>
      <c r="T141" s="1060">
        <f>IF(T109=5,IF(S122=1,1,0),0)</f>
        <v>0</v>
      </c>
      <c r="U141" s="1057">
        <f>IF(U109=5,IF(V122=1,1,0),0)</f>
        <v>0</v>
      </c>
      <c r="W141" s="1060">
        <f>IF(W109=5,IF(V122=1,1,0),0)</f>
        <v>0</v>
      </c>
      <c r="X141" s="1057">
        <f>IF(X109=5,IF(Y122=1,1,0),0)</f>
        <v>0</v>
      </c>
      <c r="Z141" s="1060">
        <f>IF(Z109=5,IF(Y122=1,1,0),0)</f>
        <v>0</v>
      </c>
      <c r="AA141" s="1057">
        <f>IF(AA109=5,IF(AB122=1,1,0),0)</f>
        <v>0</v>
      </c>
      <c r="AC141" s="1060">
        <f>IF(AC109=5,IF(AB122=1,1,0),0)</f>
        <v>0</v>
      </c>
      <c r="AD141" s="1057">
        <f>IF(AD109=5,IF(AE122=1,1,0),0)</f>
        <v>0</v>
      </c>
      <c r="AF141" s="1060">
        <f>IF(AF109=5,IF(AE122=1,1,0),0)</f>
        <v>0</v>
      </c>
      <c r="AG141" s="1057">
        <f>SUM(B141:AF141)</f>
        <v>0</v>
      </c>
    </row>
    <row r="142" spans="1:38" s="1057" customFormat="1" ht="38.25" hidden="1" customHeight="1" x14ac:dyDescent="0.2">
      <c r="A142" s="1061"/>
      <c r="D142" s="1060"/>
      <c r="G142" s="1060"/>
      <c r="J142" s="1060"/>
      <c r="K142" s="1060"/>
      <c r="N142" s="1060"/>
      <c r="Q142" s="1060"/>
      <c r="T142" s="1060"/>
      <c r="W142" s="1060"/>
      <c r="Z142" s="1060"/>
      <c r="AC142" s="1060"/>
      <c r="AF142" s="1060"/>
      <c r="AG142" s="1061" t="s">
        <v>106</v>
      </c>
      <c r="AH142" s="1062"/>
      <c r="AI142" s="1062"/>
      <c r="AJ142" s="1062"/>
      <c r="AK142" s="1062"/>
      <c r="AL142" s="1062"/>
    </row>
    <row r="143" spans="1:38" s="1057" customFormat="1" ht="12.75" hidden="1" customHeight="1" x14ac:dyDescent="0.2">
      <c r="A143" s="1057" t="s">
        <v>101</v>
      </c>
      <c r="B143" s="1057">
        <f>IF(B109=1,B129,0)</f>
        <v>26</v>
      </c>
      <c r="D143" s="1060">
        <f>IF(D109=1,B129,0)</f>
        <v>0</v>
      </c>
      <c r="E143" s="1057">
        <f>IF(E109=1,E129,0)</f>
        <v>0</v>
      </c>
      <c r="G143" s="1060">
        <f>IF(G109=1,E129,0)</f>
        <v>0</v>
      </c>
      <c r="H143" s="1057">
        <f>IF(H109=1,H129,0)</f>
        <v>23</v>
      </c>
      <c r="J143" s="1060">
        <f>IF(J109=1,H129,0)</f>
        <v>0</v>
      </c>
      <c r="K143" s="1060"/>
      <c r="L143" s="1057">
        <f>IF(L109=1,L129,0)</f>
        <v>23</v>
      </c>
      <c r="N143" s="1060">
        <f>IF(N109=1,L129,0)</f>
        <v>0</v>
      </c>
      <c r="O143" s="1057">
        <f>IF(O109=1,O129,0)</f>
        <v>0</v>
      </c>
      <c r="Q143" s="1060">
        <f>IF(Q109=1,O129,0)</f>
        <v>0</v>
      </c>
      <c r="R143" s="1057">
        <f>IF(R109=1,R129,0)</f>
        <v>23</v>
      </c>
      <c r="T143" s="1060">
        <f>IF(T109=1,R129,0)</f>
        <v>0</v>
      </c>
      <c r="U143" s="1057">
        <f>IF(U109=1,U129,0)</f>
        <v>0</v>
      </c>
      <c r="W143" s="1060">
        <f>IF(W109=1,U129,0)</f>
        <v>0</v>
      </c>
      <c r="X143" s="1057">
        <f>IF(X109=1,X129,0)</f>
        <v>0</v>
      </c>
      <c r="Z143" s="1060">
        <f>IF(Z109=1,X129,0)</f>
        <v>0</v>
      </c>
      <c r="AA143" s="1057">
        <f>IF(AA109=1,AA129,0)</f>
        <v>0</v>
      </c>
      <c r="AC143" s="1060">
        <f>IF(AC109=1,AA129,0)</f>
        <v>0</v>
      </c>
      <c r="AD143" s="1057">
        <f>IF(AD109=1,AD129,0)</f>
        <v>0</v>
      </c>
      <c r="AF143" s="1060">
        <f>IF(AF109=1,AD129,0)</f>
        <v>0</v>
      </c>
      <c r="AG143" s="1057">
        <f>SUM(B143:AF143)</f>
        <v>95</v>
      </c>
    </row>
    <row r="144" spans="1:38" s="1057" customFormat="1" ht="12.75" hidden="1" customHeight="1" x14ac:dyDescent="0.2">
      <c r="A144" s="1057" t="s">
        <v>102</v>
      </c>
      <c r="B144" s="1057">
        <f>IF(B109=2,B129,0)</f>
        <v>0</v>
      </c>
      <c r="D144" s="1060">
        <f>IF(D109=2,B129,0)</f>
        <v>0</v>
      </c>
      <c r="E144" s="1057">
        <f>IF(E109=2,E129,0)</f>
        <v>21</v>
      </c>
      <c r="G144" s="1060">
        <f>IF(G109=2,E129,0)</f>
        <v>0</v>
      </c>
      <c r="H144" s="1057">
        <f>IF(H109=2,H129,0)</f>
        <v>0</v>
      </c>
      <c r="J144" s="1060">
        <f>IF(J109=2,H129,0)</f>
        <v>23</v>
      </c>
      <c r="K144" s="1060"/>
      <c r="L144" s="1057">
        <f>IF(L109=2,L129,0)</f>
        <v>0</v>
      </c>
      <c r="N144" s="1060">
        <f>IF(N109=2,L129,0)</f>
        <v>0</v>
      </c>
      <c r="O144" s="1057">
        <f>IF(O109=2,O129,0)</f>
        <v>20</v>
      </c>
      <c r="Q144" s="1060">
        <f>IF(Q109=2,O129,0)</f>
        <v>0</v>
      </c>
      <c r="R144" s="1057">
        <f>IF(R109=2,R129,0)</f>
        <v>0</v>
      </c>
      <c r="T144" s="1060">
        <f>IF(T109=2,R129,0)</f>
        <v>23</v>
      </c>
      <c r="U144" s="1057">
        <f>IF(U109=2,U129,0)</f>
        <v>0</v>
      </c>
      <c r="W144" s="1060">
        <f>IF(W109=2,U129,0)</f>
        <v>0</v>
      </c>
      <c r="X144" s="1057">
        <f>IF(X109=2,X129,0)</f>
        <v>0</v>
      </c>
      <c r="Z144" s="1060">
        <f>IF(Z109=2,X129,0)</f>
        <v>0</v>
      </c>
      <c r="AA144" s="1057">
        <f>IF(AA109=2,AA129,0)</f>
        <v>0</v>
      </c>
      <c r="AC144" s="1060">
        <f>IF(AC109=2,AA129,0)</f>
        <v>0</v>
      </c>
      <c r="AD144" s="1057">
        <f>IF(AD109=2,AD129,0)</f>
        <v>0</v>
      </c>
      <c r="AF144" s="1060">
        <f>IF(AF109=2,AD129,0)</f>
        <v>0</v>
      </c>
      <c r="AG144" s="1057">
        <f>SUM(B144:AF144)</f>
        <v>87</v>
      </c>
    </row>
    <row r="145" spans="1:34" s="1057" customFormat="1" ht="12.75" hidden="1" customHeight="1" x14ac:dyDescent="0.2">
      <c r="A145" s="1057" t="s">
        <v>103</v>
      </c>
      <c r="B145" s="1057">
        <f>IF(B109=3,B129,0)</f>
        <v>0</v>
      </c>
      <c r="D145" s="1060">
        <f>IF(D109=3,B129,0)</f>
        <v>26</v>
      </c>
      <c r="E145" s="1057">
        <f>IF(E109=3,E129,0)</f>
        <v>0</v>
      </c>
      <c r="G145" s="1060">
        <f>IF(G109=3,E129,0)</f>
        <v>21</v>
      </c>
      <c r="H145" s="1057">
        <f>IF(H109=3,H129,0)</f>
        <v>0</v>
      </c>
      <c r="J145" s="1060">
        <f>IF(J109=3,H129,0)</f>
        <v>0</v>
      </c>
      <c r="K145" s="1060"/>
      <c r="L145" s="1057">
        <f>IF(L109=3,L129,0)</f>
        <v>0</v>
      </c>
      <c r="N145" s="1060">
        <f>IF(N109=3,L129,0)</f>
        <v>23</v>
      </c>
      <c r="O145" s="1057">
        <f>IF(O109=3,O129,0)</f>
        <v>0</v>
      </c>
      <c r="Q145" s="1060">
        <f>IF(Q109=3,O129,0)</f>
        <v>20</v>
      </c>
      <c r="R145" s="1057">
        <f>IF(R109=3,R129,0)</f>
        <v>0</v>
      </c>
      <c r="T145" s="1060">
        <f>IF(T109=3,R129,0)</f>
        <v>0</v>
      </c>
      <c r="U145" s="1057">
        <f>IF(U109=3,U129,0)</f>
        <v>0</v>
      </c>
      <c r="W145" s="1060">
        <f>IF(W109=3,U129,0)</f>
        <v>0</v>
      </c>
      <c r="X145" s="1057">
        <f>IF(X109=3,X129,0)</f>
        <v>0</v>
      </c>
      <c r="Z145" s="1060">
        <f>IF(Z109=3,X129,0)</f>
        <v>0</v>
      </c>
      <c r="AA145" s="1057">
        <f>IF(AA109=3,AA129,0)</f>
        <v>0</v>
      </c>
      <c r="AC145" s="1060">
        <f>IF(AC109=3,AA129,0)</f>
        <v>0</v>
      </c>
      <c r="AD145" s="1057">
        <f>IF(AD109=3,AD129,0)</f>
        <v>0</v>
      </c>
      <c r="AF145" s="1060">
        <f>IF(AF109=3,AD129,0)</f>
        <v>0</v>
      </c>
      <c r="AG145" s="1057">
        <f>SUM(B145:AF145)</f>
        <v>90</v>
      </c>
    </row>
    <row r="146" spans="1:34" s="1057" customFormat="1" ht="12.75" hidden="1" customHeight="1" x14ac:dyDescent="0.2">
      <c r="A146" s="1057" t="s">
        <v>104</v>
      </c>
      <c r="B146" s="1057">
        <f>IF(B109=4,B129,0)</f>
        <v>0</v>
      </c>
      <c r="D146" s="1060">
        <f>IF(D109=4,B129,0)</f>
        <v>0</v>
      </c>
      <c r="E146" s="1057">
        <f>IF(E109=4,E129,0)</f>
        <v>0</v>
      </c>
      <c r="G146" s="1060">
        <f>IF(G109=4,E129,0)</f>
        <v>0</v>
      </c>
      <c r="H146" s="1057">
        <f>IF(H109=4,H129,0)</f>
        <v>0</v>
      </c>
      <c r="J146" s="1060">
        <f>IF(J109=4,H129,0)</f>
        <v>0</v>
      </c>
      <c r="K146" s="1060"/>
      <c r="L146" s="1057">
        <f>IF(L109=4,L129,0)</f>
        <v>0</v>
      </c>
      <c r="N146" s="1060">
        <f>IF(N109=4,L129,0)</f>
        <v>0</v>
      </c>
      <c r="O146" s="1057">
        <f>IF(O109=4,O129,0)</f>
        <v>0</v>
      </c>
      <c r="Q146" s="1060">
        <f>IF(Q109=4,O129,0)</f>
        <v>0</v>
      </c>
      <c r="R146" s="1057">
        <f>IF(R109=4,R129,0)</f>
        <v>0</v>
      </c>
      <c r="T146" s="1060">
        <f>IF(T109=4,R129,0)</f>
        <v>0</v>
      </c>
      <c r="U146" s="1057">
        <f>IF(U109=4,U129,0)</f>
        <v>0</v>
      </c>
      <c r="W146" s="1060">
        <f>IF(W109=4,U129,0)</f>
        <v>0</v>
      </c>
      <c r="X146" s="1057">
        <f>IF(X109=4,X129,0)</f>
        <v>0</v>
      </c>
      <c r="Z146" s="1060">
        <f>IF(Z109=4,X129,0)</f>
        <v>0</v>
      </c>
      <c r="AA146" s="1057">
        <f>IF(AA109=4,AA129,0)</f>
        <v>0</v>
      </c>
      <c r="AC146" s="1060">
        <f>IF(AC109=4,AA129,0)</f>
        <v>0</v>
      </c>
      <c r="AD146" s="1057">
        <f>IF(AD109=4,AD129,0)</f>
        <v>0</v>
      </c>
      <c r="AF146" s="1060">
        <f>IF(AF109=4,AD129,0)</f>
        <v>0</v>
      </c>
      <c r="AG146" s="1057">
        <f>SUM(B146:AF146)</f>
        <v>0</v>
      </c>
    </row>
    <row r="147" spans="1:34" s="1057" customFormat="1" ht="12.75" hidden="1" customHeight="1" x14ac:dyDescent="0.2">
      <c r="A147" s="1057" t="s">
        <v>105</v>
      </c>
      <c r="B147" s="1057">
        <f>IF(B109=5,B129,0)</f>
        <v>0</v>
      </c>
      <c r="D147" s="1060">
        <f>IF(D109=5,B129,0)</f>
        <v>0</v>
      </c>
      <c r="E147" s="1057">
        <f>IF(E109=5,E129,0)</f>
        <v>0</v>
      </c>
      <c r="G147" s="1060">
        <f>IF(G109=5,E129,0)</f>
        <v>0</v>
      </c>
      <c r="H147" s="1057">
        <f>IF(H109=5,H129,0)</f>
        <v>0</v>
      </c>
      <c r="J147" s="1060">
        <f>IF(J109=5,H129,0)</f>
        <v>0</v>
      </c>
      <c r="K147" s="1060"/>
      <c r="L147" s="1057">
        <f>IF(L109=5,L129,0)</f>
        <v>0</v>
      </c>
      <c r="N147" s="1060">
        <f>IF(N109=5,L129,0)</f>
        <v>0</v>
      </c>
      <c r="O147" s="1057">
        <f>IF(O109=5,O129,0)</f>
        <v>0</v>
      </c>
      <c r="Q147" s="1060">
        <f>IF(Q109=5,O129,0)</f>
        <v>0</v>
      </c>
      <c r="R147" s="1057">
        <f>IF(R109=5,R129,0)</f>
        <v>0</v>
      </c>
      <c r="T147" s="1060">
        <f>IF(T109=5,R129,0)</f>
        <v>0</v>
      </c>
      <c r="U147" s="1057">
        <f>IF(U109=5,U129,0)</f>
        <v>0</v>
      </c>
      <c r="W147" s="1060">
        <f>IF(W109=5,U129,0)</f>
        <v>0</v>
      </c>
      <c r="X147" s="1057">
        <f>IF(X109=5,X129,0)</f>
        <v>0</v>
      </c>
      <c r="Z147" s="1060">
        <f>IF(Z109=5,X129,0)</f>
        <v>0</v>
      </c>
      <c r="AA147" s="1057">
        <f>IF(AA109=5,AA129,0)</f>
        <v>0</v>
      </c>
      <c r="AC147" s="1060">
        <f>IF(AC109=5,AA129,0)</f>
        <v>0</v>
      </c>
      <c r="AD147" s="1057">
        <f>IF(AD109=5,AD129,0)</f>
        <v>0</v>
      </c>
      <c r="AF147" s="1060">
        <f>IF(AF109=5,AD129,0)</f>
        <v>0</v>
      </c>
      <c r="AG147" s="1057">
        <f>SUM(B147:AF147)</f>
        <v>0</v>
      </c>
    </row>
    <row r="148" spans="1:34" s="1057" customFormat="1" ht="38.25" hidden="1" customHeight="1" x14ac:dyDescent="0.2">
      <c r="A148" s="1057" t="s">
        <v>107</v>
      </c>
      <c r="D148" s="1060"/>
      <c r="G148" s="1060"/>
      <c r="J148" s="1060"/>
      <c r="K148" s="1060"/>
      <c r="N148" s="1060"/>
      <c r="Q148" s="1060"/>
      <c r="T148" s="1060"/>
      <c r="W148" s="1060"/>
      <c r="Z148" s="1060"/>
      <c r="AC148" s="1060"/>
      <c r="AF148" s="1060"/>
      <c r="AG148" s="1061" t="s">
        <v>108</v>
      </c>
      <c r="AH148" s="1057" t="s">
        <v>109</v>
      </c>
    </row>
    <row r="149" spans="1:34" s="1057" customFormat="1" ht="12.75" hidden="1" customHeight="1" x14ac:dyDescent="0.2">
      <c r="A149" s="1057" t="s">
        <v>95</v>
      </c>
      <c r="B149" s="1057">
        <f>IF(B109=1,SUMIF(B116:B120,"&gt;0"),0)</f>
        <v>1</v>
      </c>
      <c r="D149" s="1060">
        <f>IF(D109=1,SUMIF(D116:D120,"&gt;0"),0)</f>
        <v>0</v>
      </c>
      <c r="E149" s="1057">
        <f>IF(E109=1,SUMIF(E116:E120,"&gt;0"),0)</f>
        <v>0</v>
      </c>
      <c r="G149" s="1060">
        <f>IF(G109=1,SUMIF(G116:G120,"&gt;0"),0)</f>
        <v>0</v>
      </c>
      <c r="H149" s="1057">
        <f>IF(H109=1,SUMIF(H116:H120,"&gt;0"),0)</f>
        <v>0</v>
      </c>
      <c r="J149" s="1060">
        <f>IF(J109=1,SUMIF(J116:J120,"&gt;0"),0)</f>
        <v>0</v>
      </c>
      <c r="K149" s="1060"/>
      <c r="L149" s="1057">
        <f>IF(L109=1,SUMIF(L116:L120,"&gt;0"),0)</f>
        <v>1</v>
      </c>
      <c r="N149" s="1060">
        <f>IF(N109=1,SUMIF(N116:N120,"&gt;0"),0)</f>
        <v>0</v>
      </c>
      <c r="O149" s="1057">
        <f>IF(O109=1,SUMIF(O116:O120,"&gt;0"),0)</f>
        <v>0</v>
      </c>
      <c r="Q149" s="1060">
        <f>IF(Q109=1,SUMIF(Q116:Q120,"&gt;0"),0)</f>
        <v>0</v>
      </c>
      <c r="R149" s="1057">
        <f>IF(R109=1,SUMIF(R116:R120,"&gt;0"),0)</f>
        <v>1</v>
      </c>
      <c r="T149" s="1060">
        <f>IF(T109=1,SUMIF(T116:T120,"&gt;0"),0)</f>
        <v>0</v>
      </c>
      <c r="U149" s="1057">
        <f>IF(U109=1,SUMIF(U116:U120,"&gt;0"),0)</f>
        <v>0</v>
      </c>
      <c r="W149" s="1060">
        <f>IF(W109=1,SUMIF(W116:W120,"&gt;0"),0)</f>
        <v>0</v>
      </c>
      <c r="X149" s="1057">
        <f>IF(X109=1,SUMIF(X116:X120,"&gt;0"),0)</f>
        <v>0</v>
      </c>
      <c r="Z149" s="1060">
        <f>IF(Z109=1,SUMIF(Z116:Z120,"&gt;0"),0)</f>
        <v>0</v>
      </c>
      <c r="AA149" s="1057">
        <f>IF(AA109=1,SUMIF(AA116:AA120,"&gt;0"),0)</f>
        <v>0</v>
      </c>
      <c r="AC149" s="1060">
        <f>IF(AC109=1,SUMIF(AC116:AC120,"&gt;0"),0)</f>
        <v>0</v>
      </c>
      <c r="AD149" s="1057">
        <f>IF(AD109=1,SUMIF(AD116:AD120,"&gt;0"),0)</f>
        <v>0</v>
      </c>
      <c r="AF149" s="1060">
        <f>IF(AF109=1,SUMIF(AF116:AF120,"&gt;0"),0)</f>
        <v>0</v>
      </c>
      <c r="AG149" s="1057">
        <f>SUM(B149:AF149)</f>
        <v>3</v>
      </c>
      <c r="AH149" s="1057">
        <f>AG157-AG149</f>
        <v>1</v>
      </c>
    </row>
    <row r="150" spans="1:34" s="1057" customFormat="1" ht="12.75" hidden="1" customHeight="1" x14ac:dyDescent="0.2">
      <c r="A150" s="1057" t="s">
        <v>96</v>
      </c>
      <c r="B150" s="1057">
        <f>IF(B109=2,SUMIF(B116:B120,"&gt;0"),0)</f>
        <v>0</v>
      </c>
      <c r="D150" s="1060">
        <f>IF(D109=2,SUMIF(D116:D120,"&gt;0"),0)</f>
        <v>0</v>
      </c>
      <c r="E150" s="1057">
        <f>IF(E109=2,SUMIF(E116:E120,"&gt;0"),0)</f>
        <v>1</v>
      </c>
      <c r="G150" s="1060">
        <f>IF(G109=2,SUMIF(G116:G120,"&gt;0"),0)</f>
        <v>0</v>
      </c>
      <c r="H150" s="1057">
        <f>IF(H109=2,SUMIF(H116:H120,"&gt;0"),0)</f>
        <v>0</v>
      </c>
      <c r="J150" s="1060">
        <f>IF(J109=2,SUMIF(J116:J120,"&gt;0"),0)</f>
        <v>1</v>
      </c>
      <c r="K150" s="1060"/>
      <c r="L150" s="1057">
        <f>IF(L109=2,SUMIF(L116:L120,"&gt;0"),0)</f>
        <v>0</v>
      </c>
      <c r="N150" s="1060">
        <f>IF(N109=2,SUMIF(N116:N120,"&gt;0"),0)</f>
        <v>0</v>
      </c>
      <c r="O150" s="1057">
        <f>IF(O109=2,SUMIF(O116:O120,"&gt;0"),0)</f>
        <v>1</v>
      </c>
      <c r="Q150" s="1060">
        <f>IF(Q109=2,SUMIF(Q116:Q120,"&gt;0"),0)</f>
        <v>0</v>
      </c>
      <c r="R150" s="1057">
        <f>IF(R109=2,SUMIF(R116:R120,"&gt;0"),0)</f>
        <v>0</v>
      </c>
      <c r="T150" s="1060">
        <f>IF(T109=2,SUMIF(T116:T120,"&gt;0"),0)</f>
        <v>0</v>
      </c>
      <c r="U150" s="1057">
        <f>IF(U109=2,SUMIF(U116:U120,"&gt;0"),0)</f>
        <v>0</v>
      </c>
      <c r="W150" s="1060">
        <f>IF(W109=2,SUMIF(W116:W120,"&gt;0"),0)</f>
        <v>0</v>
      </c>
      <c r="X150" s="1057">
        <f>IF(X109=2,SUMIF(X116:X120,"&gt;0"),0)</f>
        <v>0</v>
      </c>
      <c r="Z150" s="1060">
        <f>IF(Z109=2,SUMIF(Z116:Z120,"&gt;0"),0)</f>
        <v>0</v>
      </c>
      <c r="AA150" s="1057">
        <f>IF(AA109=2,SUMIF(AA116:AA120,"&gt;0"),0)</f>
        <v>0</v>
      </c>
      <c r="AC150" s="1060">
        <f>IF(AC109=2,SUMIF(AC116:AC120,"&gt;0"),0)</f>
        <v>0</v>
      </c>
      <c r="AD150" s="1057">
        <f>IF(AD109=2,SUMIF(AD116:AD120,"&gt;0"),0)</f>
        <v>0</v>
      </c>
      <c r="AF150" s="1060">
        <f>IF(AF109=2,SUMIF(AF116:AF120,"&gt;0"),0)</f>
        <v>0</v>
      </c>
      <c r="AG150" s="1057">
        <f>SUM(B150:AF150)</f>
        <v>3</v>
      </c>
      <c r="AH150" s="1057">
        <f>AG158-AG150</f>
        <v>1</v>
      </c>
    </row>
    <row r="151" spans="1:34" s="1057" customFormat="1" ht="12.75" hidden="1" customHeight="1" x14ac:dyDescent="0.2">
      <c r="A151" s="1057" t="s">
        <v>97</v>
      </c>
      <c r="B151" s="1057">
        <f>IF(B109=3,SUMIF(B116:B120,"&gt;0"),0)</f>
        <v>0</v>
      </c>
      <c r="D151" s="1060">
        <f>IF(D109=3,SUMIF(D116:D120,"&gt;0"),0)</f>
        <v>0</v>
      </c>
      <c r="E151" s="1057">
        <f>IF(E109=3,SUMIF(E116:E120,"&gt;0"),0)</f>
        <v>0</v>
      </c>
      <c r="G151" s="1060">
        <f>IF(G109=3,SUMIF(G116:G120,"&gt;0"),0)</f>
        <v>0</v>
      </c>
      <c r="H151" s="1057">
        <f>IF(H109=3,SUMIF(H116:H120,"&gt;0"),0)</f>
        <v>0</v>
      </c>
      <c r="J151" s="1060">
        <f>IF(J109=3,SUMIF(J116:J120,"&gt;0"),0)</f>
        <v>0</v>
      </c>
      <c r="K151" s="1060"/>
      <c r="L151" s="1057">
        <f>IF(L109=3,SUMIF(L116:L120,"&gt;0"),0)</f>
        <v>0</v>
      </c>
      <c r="N151" s="1060">
        <f>IF(N109=3,SUMIF(N116:N120,"&gt;0"),0)</f>
        <v>0</v>
      </c>
      <c r="O151" s="1057">
        <f>IF(O109=3,SUMIF(O116:O120,"&gt;0"),0)</f>
        <v>0</v>
      </c>
      <c r="Q151" s="1060">
        <f>IF(Q109=3,SUMIF(Q116:Q120,"&gt;0"),0)</f>
        <v>0</v>
      </c>
      <c r="R151" s="1057">
        <f>IF(R109=3,SUMIF(R116:R120,"&gt;0"),0)</f>
        <v>0</v>
      </c>
      <c r="T151" s="1060">
        <f>IF(T109=3,SUMIF(T116:T120,"&gt;0"),0)</f>
        <v>0</v>
      </c>
      <c r="U151" s="1057">
        <f>IF(U109=3,SUMIF(U116:U120,"&gt;0"),0)</f>
        <v>0</v>
      </c>
      <c r="W151" s="1060">
        <f>IF(W109=3,SUMIF(W116:W120,"&gt;0"),0)</f>
        <v>0</v>
      </c>
      <c r="X151" s="1057">
        <f>IF(X109=3,SUMIF(X116:X120,"&gt;0"),0)</f>
        <v>0</v>
      </c>
      <c r="Z151" s="1060">
        <f>IF(Z109=3,SUMIF(Z116:Z120,"&gt;0"),0)</f>
        <v>0</v>
      </c>
      <c r="AA151" s="1057">
        <f>IF(AA109=3,SUMIF(AA116:AA120,"&gt;0"),0)</f>
        <v>0</v>
      </c>
      <c r="AC151" s="1060">
        <f>IF(AC109=3,SUMIF(AC116:AC120,"&gt;0"),0)</f>
        <v>0</v>
      </c>
      <c r="AD151" s="1057">
        <f>IF(AD109=3,SUMIF(AD116:AD120,"&gt;0"),0)</f>
        <v>0</v>
      </c>
      <c r="AF151" s="1060">
        <f>IF(AF109=3,SUMIF(AF116:AF120,"&gt;0"),0)</f>
        <v>0</v>
      </c>
      <c r="AG151" s="1057">
        <f>SUM(B151:AF151)</f>
        <v>0</v>
      </c>
      <c r="AH151" s="1057">
        <f>AG159-AG151</f>
        <v>4</v>
      </c>
    </row>
    <row r="152" spans="1:34" s="1057" customFormat="1" ht="12.75" hidden="1" customHeight="1" x14ac:dyDescent="0.2">
      <c r="A152" s="1057" t="s">
        <v>98</v>
      </c>
      <c r="B152" s="1057">
        <f>IF(B109=4,SUMIF(B116:B120,"&gt;0"),0)</f>
        <v>0</v>
      </c>
      <c r="D152" s="1060">
        <f>IF(D109=4,SUMIF(D116:D120,"&gt;0"),0)</f>
        <v>0</v>
      </c>
      <c r="E152" s="1057">
        <f>IF(E109=4,SUMIF(E116:E120,"&gt;0"),0)</f>
        <v>0</v>
      </c>
      <c r="G152" s="1060">
        <f>IF(G109=4,SUMIF(G116:G120,"&gt;0"),0)</f>
        <v>0</v>
      </c>
      <c r="H152" s="1057">
        <f>IF(H109=4,SUMIF(H116:H120,"&gt;0"),0)</f>
        <v>0</v>
      </c>
      <c r="J152" s="1060">
        <f>IF(J109=4,SUMIF(J116:J120,"&gt;0"),0)</f>
        <v>0</v>
      </c>
      <c r="K152" s="1060"/>
      <c r="L152" s="1057">
        <f>IF(L109=4,SUMIF(L116:L120,"&gt;0"),0)</f>
        <v>0</v>
      </c>
      <c r="N152" s="1060">
        <f>IF(N109=4,SUMIF(N116:N120,"&gt;0"),0)</f>
        <v>0</v>
      </c>
      <c r="O152" s="1057">
        <f>IF(O109=4,SUMIF(O116:O120,"&gt;0"),0)</f>
        <v>0</v>
      </c>
      <c r="Q152" s="1060">
        <f>IF(Q109=4,SUMIF(Q116:Q120,"&gt;0"),0)</f>
        <v>0</v>
      </c>
      <c r="R152" s="1057">
        <f>IF(R109=4,SUMIF(R116:R120,"&gt;0"),0)</f>
        <v>0</v>
      </c>
      <c r="T152" s="1060">
        <f>IF(T109=4,SUMIF(T116:T120,"&gt;0"),0)</f>
        <v>0</v>
      </c>
      <c r="U152" s="1057">
        <f>IF(U109=4,SUMIF(U116:U120,"&gt;0"),0)</f>
        <v>0</v>
      </c>
      <c r="W152" s="1060">
        <f>IF(W109=4,SUMIF(W116:W120,"&gt;0"),0)</f>
        <v>0</v>
      </c>
      <c r="X152" s="1057">
        <f>IF(X109=4,SUMIF(X116:X120,"&gt;0"),0)</f>
        <v>0</v>
      </c>
      <c r="Z152" s="1060">
        <f>IF(Z109=4,SUMIF(Z116:Z120,"&gt;0"),0)</f>
        <v>0</v>
      </c>
      <c r="AA152" s="1057">
        <f>IF(AA109=4,SUMIF(AA116:AA120,"&gt;0"),0)</f>
        <v>0</v>
      </c>
      <c r="AC152" s="1060">
        <f>IF(AC109=4,SUMIF(AC116:AC120,"&gt;0"),0)</f>
        <v>0</v>
      </c>
      <c r="AD152" s="1057">
        <f>IF(AD109=4,SUMIF(AD116:AD120,"&gt;0"),0)</f>
        <v>0</v>
      </c>
      <c r="AF152" s="1060">
        <f>IF(AF109=4,SUMIF(AF116:AF120,"&gt;0"),0)</f>
        <v>0</v>
      </c>
      <c r="AG152" s="1057">
        <f>SUM(B152:AF152)</f>
        <v>0</v>
      </c>
      <c r="AH152" s="1057">
        <f>AG160-AG152</f>
        <v>0</v>
      </c>
    </row>
    <row r="153" spans="1:34" s="1057" customFormat="1" ht="12.75" hidden="1" customHeight="1" x14ac:dyDescent="0.2">
      <c r="A153" s="1057" t="s">
        <v>99</v>
      </c>
      <c r="B153" s="1057">
        <f>IF(B109=5,SUMIF(B116:B120,"&gt;0"),0)</f>
        <v>0</v>
      </c>
      <c r="D153" s="1060">
        <f>IF(D109=5,SUMIF(D116:D120,"&gt;0"),0)</f>
        <v>0</v>
      </c>
      <c r="E153" s="1057">
        <f>IF(E109=5,SUMIF(E116:E120,"&gt;0"),0)</f>
        <v>0</v>
      </c>
      <c r="G153" s="1060">
        <f>IF(G109=5,SUMIF(G116:G120,"&gt;0"),0)</f>
        <v>0</v>
      </c>
      <c r="H153" s="1057">
        <f>IF(H109=5,SUMIF(H116:H120,"&gt;0"),0)</f>
        <v>0</v>
      </c>
      <c r="J153" s="1060">
        <f>IF(J109=5,SUMIF(J116:J120,"&gt;0"),0)</f>
        <v>0</v>
      </c>
      <c r="K153" s="1060"/>
      <c r="L153" s="1057">
        <f>IF(L109=5,SUMIF(L116:L120,"&gt;0"),0)</f>
        <v>0</v>
      </c>
      <c r="N153" s="1060">
        <f>IF(N109=5,SUMIF(N116:N120,"&gt;0"),0)</f>
        <v>0</v>
      </c>
      <c r="O153" s="1057">
        <f>IF(O109=5,SUMIF(O116:O120,"&gt;0"),0)</f>
        <v>0</v>
      </c>
      <c r="Q153" s="1060">
        <f>IF(Q109=5,SUMIF(Q116:Q120,"&gt;0"),0)</f>
        <v>0</v>
      </c>
      <c r="R153" s="1057">
        <f>IF(R109=5,SUMIF(R116:R120,"&gt;0"),0)</f>
        <v>0</v>
      </c>
      <c r="T153" s="1060">
        <f>IF(T109=5,SUMIF(T116:T120,"&gt;0"),0)</f>
        <v>0</v>
      </c>
      <c r="U153" s="1057">
        <f>IF(U109=5,SUMIF(U116:U120,"&gt;0"),0)</f>
        <v>0</v>
      </c>
      <c r="W153" s="1060">
        <f>IF(W109=5,SUMIF(W116:W120,"&gt;0"),0)</f>
        <v>0</v>
      </c>
      <c r="X153" s="1057">
        <f>IF(X109=5,SUMIF(X116:X120,"&gt;0"),0)</f>
        <v>0</v>
      </c>
      <c r="Z153" s="1060">
        <f>IF(Z109=5,SUMIF(Z116:Z120,"&gt;0"),0)</f>
        <v>0</v>
      </c>
      <c r="AA153" s="1057">
        <f>IF(AA109=5,SUMIF(AA116:AA120,"&gt;0"),0)</f>
        <v>0</v>
      </c>
      <c r="AC153" s="1060">
        <f>IF(AC109=5,SUMIF(AC116:AC120,"&gt;0"),0)</f>
        <v>0</v>
      </c>
      <c r="AD153" s="1057">
        <f>IF(AD109=5,SUMIF(AD116:AD120,"&gt;0"),0)</f>
        <v>0</v>
      </c>
      <c r="AF153" s="1060">
        <f>IF(AF109=5,SUMIF(AF116:AF120,"&gt;0"),0)</f>
        <v>0</v>
      </c>
      <c r="AG153" s="1057">
        <f>SUM(B153:AF153)</f>
        <v>0</v>
      </c>
      <c r="AH153" s="1057">
        <f>AG161-AG153</f>
        <v>0</v>
      </c>
    </row>
    <row r="154" spans="1:34" s="1057" customFormat="1" ht="12.75" hidden="1" customHeight="1" x14ac:dyDescent="0.2">
      <c r="D154" s="1060"/>
      <c r="G154" s="1060"/>
      <c r="J154" s="1060"/>
      <c r="K154" s="1060"/>
      <c r="N154" s="1060"/>
      <c r="Q154" s="1060"/>
      <c r="T154" s="1060"/>
      <c r="W154" s="1060"/>
      <c r="Z154" s="1060"/>
      <c r="AC154" s="1060"/>
      <c r="AF154" s="1060"/>
    </row>
    <row r="155" spans="1:34" s="1057" customFormat="1" ht="12.75" hidden="1" customHeight="1" x14ac:dyDescent="0.2">
      <c r="D155" s="1060"/>
      <c r="G155" s="1060"/>
      <c r="J155" s="1060"/>
      <c r="K155" s="1060"/>
      <c r="N155" s="1060"/>
      <c r="Q155" s="1060"/>
      <c r="T155" s="1060"/>
      <c r="W155" s="1060"/>
      <c r="Z155" s="1060"/>
      <c r="AC155" s="1060"/>
      <c r="AF155" s="1060"/>
    </row>
    <row r="156" spans="1:34" s="1057" customFormat="1" ht="51" hidden="1" customHeight="1" x14ac:dyDescent="0.2">
      <c r="A156" s="1061" t="s">
        <v>110</v>
      </c>
      <c r="C156" s="1057">
        <f>SUMIF(B149:D153,"&gt;0")</f>
        <v>1</v>
      </c>
      <c r="D156" s="1060"/>
      <c r="F156" s="1057">
        <f>SUMIF(E149:G153,"&gt;0")</f>
        <v>1</v>
      </c>
      <c r="G156" s="1060"/>
      <c r="I156" s="1057">
        <f>SUMIF(H149:J153,"&gt;0")</f>
        <v>1</v>
      </c>
      <c r="J156" s="1060"/>
      <c r="K156" s="1060"/>
      <c r="M156" s="1057">
        <f>SUMIF(L149:N153,"&gt;0")</f>
        <v>1</v>
      </c>
      <c r="N156" s="1060"/>
      <c r="P156" s="1057">
        <f>SUMIF(O149:Q153,"&gt;0")</f>
        <v>1</v>
      </c>
      <c r="Q156" s="1060"/>
      <c r="S156" s="1057">
        <f>SUMIF(R149:T153,"&gt;0")</f>
        <v>1</v>
      </c>
      <c r="T156" s="1060"/>
      <c r="V156" s="1057">
        <f>SUMIF(U149:W153,"&gt;0")</f>
        <v>0</v>
      </c>
      <c r="W156" s="1060"/>
      <c r="Y156" s="1057">
        <f>SUMIF(X149:Z153,"&gt;0")</f>
        <v>0</v>
      </c>
      <c r="Z156" s="1060"/>
      <c r="AB156" s="1057">
        <f>SUMIF(AA149:AC153,"&gt;0")</f>
        <v>0</v>
      </c>
      <c r="AC156" s="1060"/>
      <c r="AE156" s="1057">
        <f>SUMIF(AD149:AF153,"&gt;0")</f>
        <v>0</v>
      </c>
      <c r="AF156" s="1060"/>
      <c r="AG156" s="1061" t="s">
        <v>111</v>
      </c>
    </row>
    <row r="157" spans="1:34" s="1057" customFormat="1" ht="12.75" hidden="1" customHeight="1" x14ac:dyDescent="0.2">
      <c r="A157" s="1057" t="s">
        <v>101</v>
      </c>
      <c r="B157" s="1057">
        <f>IF(B109=1,C156,0)</f>
        <v>1</v>
      </c>
      <c r="D157" s="1060">
        <f>IF(D109=1,C156,0)</f>
        <v>0</v>
      </c>
      <c r="E157" s="1057">
        <f>IF(E109=1,F156,0)</f>
        <v>0</v>
      </c>
      <c r="G157" s="1060">
        <f>IF(G109=1,F156,0)</f>
        <v>0</v>
      </c>
      <c r="H157" s="1057">
        <f>IF(H109=1,I156,0)</f>
        <v>1</v>
      </c>
      <c r="J157" s="1060">
        <f>IF(J109=1,I156,0)</f>
        <v>0</v>
      </c>
      <c r="K157" s="1060"/>
      <c r="L157" s="1057">
        <f>IF(L109=1,M156,0)</f>
        <v>1</v>
      </c>
      <c r="N157" s="1060">
        <f>IF(N109=1,M156,0)</f>
        <v>0</v>
      </c>
      <c r="O157" s="1057">
        <f>IF(O109=1,P156,0)</f>
        <v>0</v>
      </c>
      <c r="Q157" s="1060">
        <f>IF(Q109=1,P156,0)</f>
        <v>0</v>
      </c>
      <c r="R157" s="1057">
        <f>IF(R109=1,S156,0)</f>
        <v>1</v>
      </c>
      <c r="T157" s="1060">
        <f>IF(T109=1,S156,0)</f>
        <v>0</v>
      </c>
      <c r="U157" s="1057">
        <f>IF(U109=1,V156,0)</f>
        <v>0</v>
      </c>
      <c r="W157" s="1060">
        <f>IF(W109=1,V156,0)</f>
        <v>0</v>
      </c>
      <c r="X157" s="1057">
        <f>IF(X109=1,Y156,0)</f>
        <v>0</v>
      </c>
      <c r="Z157" s="1060">
        <f>IF(Z109=1,Y156,0)</f>
        <v>0</v>
      </c>
      <c r="AA157" s="1057">
        <f>IF(AA109=1,AB156,0)</f>
        <v>0</v>
      </c>
      <c r="AC157" s="1060">
        <f>IF(AC109=1,AB156,0)</f>
        <v>0</v>
      </c>
      <c r="AD157" s="1057">
        <f>IF(AD109=1,AE156,0)</f>
        <v>0</v>
      </c>
      <c r="AF157" s="1060">
        <f>IF(AF109=1,AE156,0)</f>
        <v>0</v>
      </c>
      <c r="AG157" s="1057">
        <f>SUM(B157:AF157)</f>
        <v>4</v>
      </c>
    </row>
    <row r="158" spans="1:34" s="1057" customFormat="1" ht="12.75" hidden="1" customHeight="1" x14ac:dyDescent="0.2">
      <c r="A158" s="1057" t="s">
        <v>102</v>
      </c>
      <c r="B158" s="1057">
        <f>IF(B109=2,C156,0)</f>
        <v>0</v>
      </c>
      <c r="D158" s="1060">
        <f>IF(D109=2,C156,0)</f>
        <v>0</v>
      </c>
      <c r="E158" s="1057">
        <f>IF(E109=2,F156,0)</f>
        <v>1</v>
      </c>
      <c r="G158" s="1060">
        <f>IF(G109=2,F156,0)</f>
        <v>0</v>
      </c>
      <c r="H158" s="1057">
        <f>IF(H109=2,I156,0)</f>
        <v>0</v>
      </c>
      <c r="J158" s="1060">
        <f>IF(J109=2,I156,0)</f>
        <v>1</v>
      </c>
      <c r="K158" s="1060"/>
      <c r="L158" s="1057">
        <f>IF(L109=2,M156,0)</f>
        <v>0</v>
      </c>
      <c r="N158" s="1060">
        <f>IF(N109=2,M156,0)</f>
        <v>0</v>
      </c>
      <c r="O158" s="1057">
        <f>IF(O109=2,P156,0)</f>
        <v>1</v>
      </c>
      <c r="Q158" s="1060">
        <f>IF(Q109=2,P156,0)</f>
        <v>0</v>
      </c>
      <c r="R158" s="1057">
        <f>IF(R109=2,S156,0)</f>
        <v>0</v>
      </c>
      <c r="T158" s="1060">
        <f>IF(T109=2,S156,0)</f>
        <v>1</v>
      </c>
      <c r="U158" s="1057">
        <f>IF(U109=2,V156,0)</f>
        <v>0</v>
      </c>
      <c r="W158" s="1060">
        <f>IF(W109=2,V156,0)</f>
        <v>0</v>
      </c>
      <c r="X158" s="1057">
        <f>IF(X109=2,Y156,0)</f>
        <v>0</v>
      </c>
      <c r="Z158" s="1060">
        <f>IF(Z109=2,Y156,0)</f>
        <v>0</v>
      </c>
      <c r="AA158" s="1057">
        <f>IF(AA109=2,AB156,0)</f>
        <v>0</v>
      </c>
      <c r="AC158" s="1060">
        <f>IF(AC109=2,AB156,0)</f>
        <v>0</v>
      </c>
      <c r="AD158" s="1057">
        <f>IF(AD109=2,AE156,0)</f>
        <v>0</v>
      </c>
      <c r="AF158" s="1060">
        <f>IF(AF109=2,AE156,0)</f>
        <v>0</v>
      </c>
      <c r="AG158" s="1057">
        <f>SUM(B158:AF158)</f>
        <v>4</v>
      </c>
    </row>
    <row r="159" spans="1:34" s="1057" customFormat="1" ht="12.75" hidden="1" customHeight="1" x14ac:dyDescent="0.2">
      <c r="A159" s="1057" t="s">
        <v>103</v>
      </c>
      <c r="B159" s="1057">
        <f>IF(B109=3,C156,0)</f>
        <v>0</v>
      </c>
      <c r="D159" s="1060">
        <f>IF(D109=3,C156,0)</f>
        <v>1</v>
      </c>
      <c r="E159" s="1057">
        <f>IF(E109=3,F156,0)</f>
        <v>0</v>
      </c>
      <c r="G159" s="1060">
        <f>IF(G109=3,F156,0)</f>
        <v>1</v>
      </c>
      <c r="H159" s="1057">
        <f>IF(H109=3,I156,0)</f>
        <v>0</v>
      </c>
      <c r="J159" s="1060">
        <f>IF(J109=3,I156,0)</f>
        <v>0</v>
      </c>
      <c r="K159" s="1060"/>
      <c r="L159" s="1057">
        <f>IF(L109=3,M156,0)</f>
        <v>0</v>
      </c>
      <c r="N159" s="1060">
        <f>IF(N109=3,M156,0)</f>
        <v>1</v>
      </c>
      <c r="O159" s="1057">
        <f>IF(O109=3,P156,0)</f>
        <v>0</v>
      </c>
      <c r="Q159" s="1060">
        <f>IF(Q109=3,P156,0)</f>
        <v>1</v>
      </c>
      <c r="R159" s="1057">
        <f>IF(R109=3,S156,0)</f>
        <v>0</v>
      </c>
      <c r="T159" s="1060">
        <f>IF(T109=3,S156,0)</f>
        <v>0</v>
      </c>
      <c r="U159" s="1057">
        <f>IF(U109=3,V156,0)</f>
        <v>0</v>
      </c>
      <c r="W159" s="1060">
        <f>IF(W109=3,V156,0)</f>
        <v>0</v>
      </c>
      <c r="X159" s="1057">
        <f>IF(X109=3,Y156,0)</f>
        <v>0</v>
      </c>
      <c r="Z159" s="1060">
        <f>IF(Z109=3,Y156,0)</f>
        <v>0</v>
      </c>
      <c r="AA159" s="1057">
        <f>IF(AA109=3,AB156,0)</f>
        <v>0</v>
      </c>
      <c r="AC159" s="1060">
        <f>IF(AC109=3,AB156,0)</f>
        <v>0</v>
      </c>
      <c r="AD159" s="1057">
        <f>IF(AD109=3,AE156,0)</f>
        <v>0</v>
      </c>
      <c r="AF159" s="1060">
        <f>IF(AF109=3,AE156,0)</f>
        <v>0</v>
      </c>
      <c r="AG159" s="1057">
        <f>SUM(B159:AF159)</f>
        <v>4</v>
      </c>
    </row>
    <row r="160" spans="1:34" s="1057" customFormat="1" ht="12.75" hidden="1" customHeight="1" x14ac:dyDescent="0.2">
      <c r="A160" s="1057" t="s">
        <v>104</v>
      </c>
      <c r="B160" s="1057">
        <f>IF(B109=4,C156,0)</f>
        <v>0</v>
      </c>
      <c r="D160" s="1060">
        <f>IF(D109=4,C156,0)</f>
        <v>0</v>
      </c>
      <c r="E160" s="1057">
        <f>IF(E109=4,F156,0)</f>
        <v>0</v>
      </c>
      <c r="G160" s="1060">
        <f>IF(G109=4,F156,0)</f>
        <v>0</v>
      </c>
      <c r="H160" s="1057">
        <f>IF(H109=4,I156,0)</f>
        <v>0</v>
      </c>
      <c r="J160" s="1060">
        <f>IF(J109=4,I156,0)</f>
        <v>0</v>
      </c>
      <c r="K160" s="1060"/>
      <c r="L160" s="1057">
        <f>IF(L109=4,M156,0)</f>
        <v>0</v>
      </c>
      <c r="N160" s="1060">
        <f>IF(N109=4,M156,0)</f>
        <v>0</v>
      </c>
      <c r="O160" s="1057">
        <f>IF(O109=4,P156,0)</f>
        <v>0</v>
      </c>
      <c r="Q160" s="1060">
        <f>IF(Q109=4,P156,0)</f>
        <v>0</v>
      </c>
      <c r="R160" s="1057">
        <f>IF(R109=4,S156,0)</f>
        <v>0</v>
      </c>
      <c r="T160" s="1060">
        <f>IF(T109=4,S156,0)</f>
        <v>0</v>
      </c>
      <c r="U160" s="1057">
        <f>IF(U109=4,V156,0)</f>
        <v>0</v>
      </c>
      <c r="W160" s="1060">
        <f>IF(W109=4,V156,0)</f>
        <v>0</v>
      </c>
      <c r="X160" s="1057">
        <f>IF(X109=4,Y156,0)</f>
        <v>0</v>
      </c>
      <c r="Z160" s="1060">
        <f>IF(Z109=4,Y156,0)</f>
        <v>0</v>
      </c>
      <c r="AA160" s="1057">
        <f>IF(AA109=4,AB156,0)</f>
        <v>0</v>
      </c>
      <c r="AC160" s="1060">
        <f>IF(AC109=4,AB156,0)</f>
        <v>0</v>
      </c>
      <c r="AD160" s="1057">
        <f>IF(AD109=4,AE156,0)</f>
        <v>0</v>
      </c>
      <c r="AF160" s="1060">
        <f>IF(AF109=4,AE156,0)</f>
        <v>0</v>
      </c>
      <c r="AG160" s="1057">
        <f>SUM(B160:AF160)</f>
        <v>0</v>
      </c>
    </row>
    <row r="161" spans="1:81" s="1057" customFormat="1" ht="12.75" hidden="1" customHeight="1" x14ac:dyDescent="0.2">
      <c r="A161" s="1057" t="s">
        <v>105</v>
      </c>
      <c r="B161" s="1057">
        <f>IF(B109=5,C156,0)</f>
        <v>0</v>
      </c>
      <c r="D161" s="1060">
        <f>IF(D109=5,C156,0)</f>
        <v>0</v>
      </c>
      <c r="E161" s="1057">
        <f>IF(E109=5,F156,0)</f>
        <v>0</v>
      </c>
      <c r="G161" s="1060">
        <f>IF(G109=5,F156,0)</f>
        <v>0</v>
      </c>
      <c r="H161" s="1057">
        <f>IF(H109=5,I156,0)</f>
        <v>0</v>
      </c>
      <c r="J161" s="1060">
        <f>IF(J109=5,I156,0)</f>
        <v>0</v>
      </c>
      <c r="K161" s="1060"/>
      <c r="L161" s="1057">
        <f>IF(L109=5,M156,0)</f>
        <v>0</v>
      </c>
      <c r="N161" s="1060">
        <f>IF(N109=5,M156,0)</f>
        <v>0</v>
      </c>
      <c r="O161" s="1057">
        <f>IF(O109=5,P156,0)</f>
        <v>0</v>
      </c>
      <c r="Q161" s="1060">
        <f>IF(Q109=5,P156,0)</f>
        <v>0</v>
      </c>
      <c r="R161" s="1057">
        <f>IF(R109=5,S156,0)</f>
        <v>0</v>
      </c>
      <c r="T161" s="1060">
        <f>IF(T109=5,S156,0)</f>
        <v>0</v>
      </c>
      <c r="U161" s="1057">
        <f>IF(U109=5,V156,0)</f>
        <v>0</v>
      </c>
      <c r="W161" s="1060">
        <f>IF(W109=5,V156,0)</f>
        <v>0</v>
      </c>
      <c r="X161" s="1057">
        <f>IF(X109=5,Y156,0)</f>
        <v>0</v>
      </c>
      <c r="Z161" s="1060">
        <f>IF(Z109=5,Y156,0)</f>
        <v>0</v>
      </c>
      <c r="AA161" s="1057">
        <f>IF(AA109=5,AB156,0)</f>
        <v>0</v>
      </c>
      <c r="AC161" s="1060">
        <f>IF(AC109=5,AB156,0)</f>
        <v>0</v>
      </c>
      <c r="AD161" s="1057">
        <f>IF(AD109=5,AE156,0)</f>
        <v>0</v>
      </c>
      <c r="AF161" s="1060">
        <f>IF(AF109=5,AE156,0)</f>
        <v>0</v>
      </c>
      <c r="AG161" s="1057">
        <f>SUM(B161:AF161)</f>
        <v>0</v>
      </c>
    </row>
    <row r="162" spans="1:81" hidden="1" x14ac:dyDescent="0.2">
      <c r="A162" s="1063"/>
      <c r="B162" s="1063"/>
      <c r="C162" s="1063"/>
      <c r="D162" s="1063"/>
      <c r="E162" s="1063"/>
      <c r="F162" s="1063"/>
      <c r="G162" s="1063"/>
      <c r="H162" s="1063"/>
      <c r="I162" s="1063"/>
      <c r="J162" s="1063"/>
      <c r="K162" s="1063"/>
      <c r="L162" s="1063"/>
      <c r="M162" s="1063"/>
      <c r="N162" s="1063"/>
      <c r="O162" s="1063"/>
      <c r="P162" s="1063"/>
      <c r="Q162" s="1063"/>
      <c r="R162" s="1063"/>
      <c r="S162" s="1063"/>
      <c r="T162" s="1063"/>
      <c r="U162" s="1063"/>
      <c r="V162" s="1063"/>
      <c r="W162" s="1063"/>
      <c r="X162" s="1063"/>
      <c r="Y162" s="1063"/>
      <c r="Z162" s="1063"/>
      <c r="AA162" s="1063"/>
      <c r="AB162" s="1063"/>
      <c r="AC162" s="1063"/>
      <c r="AD162" s="1063"/>
      <c r="AE162" s="1063"/>
      <c r="AF162" s="1063"/>
      <c r="AG162" s="1063"/>
      <c r="AH162" s="1063"/>
      <c r="AI162" s="1063"/>
      <c r="AJ162" s="1063"/>
      <c r="AK162" s="1063"/>
      <c r="AL162" s="1063"/>
      <c r="AM162" s="1063"/>
      <c r="AN162" s="1063"/>
      <c r="AO162" s="1064"/>
      <c r="AP162" s="1064"/>
      <c r="AQ162" s="1064"/>
      <c r="AR162" s="1064"/>
      <c r="AS162" s="1065"/>
      <c r="AT162" s="1065"/>
      <c r="AU162" s="1065"/>
      <c r="AV162" s="1065"/>
      <c r="AW162" s="1066"/>
      <c r="BB162" s="1066"/>
      <c r="BE162" s="1066"/>
      <c r="BH162" s="1066"/>
      <c r="BK162" s="1066"/>
      <c r="BN162" s="1066"/>
      <c r="BQ162" s="1066"/>
      <c r="BT162" s="1066"/>
      <c r="BW162" s="1066"/>
      <c r="BZ162" s="1066"/>
      <c r="CC162" s="1066"/>
    </row>
    <row r="163" spans="1:81" s="1065" customFormat="1" hidden="1" x14ac:dyDescent="0.2">
      <c r="A163" s="1067"/>
      <c r="B163" s="1067"/>
      <c r="C163" s="1067" t="s">
        <v>112</v>
      </c>
      <c r="D163" s="1067">
        <v>1</v>
      </c>
      <c r="E163" s="1067"/>
      <c r="F163" s="1067"/>
      <c r="G163" s="1067">
        <v>2</v>
      </c>
      <c r="H163" s="1067"/>
      <c r="I163" s="1067"/>
      <c r="J163" s="1067">
        <v>3</v>
      </c>
      <c r="K163" s="1067"/>
      <c r="L163" s="1067"/>
      <c r="M163" s="1067"/>
      <c r="N163" s="1067">
        <v>4</v>
      </c>
      <c r="O163" s="1067"/>
      <c r="P163" s="1067"/>
      <c r="Q163" s="1067">
        <v>5</v>
      </c>
      <c r="R163" s="1067"/>
      <c r="S163" s="1067"/>
      <c r="T163" s="1067">
        <v>6</v>
      </c>
      <c r="U163" s="1067"/>
      <c r="V163" s="1067"/>
      <c r="W163" s="1067">
        <v>7</v>
      </c>
      <c r="X163" s="1067"/>
      <c r="Y163" s="1067"/>
      <c r="Z163" s="1067">
        <v>8</v>
      </c>
      <c r="AA163" s="1067"/>
      <c r="AB163" s="1067"/>
      <c r="AC163" s="1067">
        <v>9</v>
      </c>
      <c r="AD163" s="1067"/>
      <c r="AE163" s="1067"/>
      <c r="AF163" s="1067">
        <v>10</v>
      </c>
      <c r="AG163" s="846"/>
      <c r="AH163" s="1067"/>
      <c r="AJ163" s="1068"/>
      <c r="AK163" s="846"/>
      <c r="AL163" s="846"/>
      <c r="AM163" s="846"/>
      <c r="AN163" s="846"/>
      <c r="AO163" s="846"/>
      <c r="AP163" s="846"/>
      <c r="AT163" s="1068" t="s">
        <v>113</v>
      </c>
      <c r="AW163" s="1069"/>
      <c r="BB163" s="1069"/>
      <c r="BE163" s="1069"/>
      <c r="BH163" s="1069"/>
      <c r="BK163" s="1069"/>
      <c r="BN163" s="1069"/>
      <c r="BQ163" s="1069"/>
      <c r="BT163" s="1069"/>
      <c r="BW163" s="1069"/>
      <c r="BZ163" s="1069"/>
      <c r="CC163" s="1069"/>
    </row>
    <row r="164" spans="1:81" s="1065" customFormat="1" hidden="1" x14ac:dyDescent="0.2">
      <c r="A164" s="1070">
        <v>1</v>
      </c>
      <c r="B164" s="1070" t="str">
        <f>E93</f>
        <v>Intense Kids power Gvl</v>
      </c>
      <c r="C164" s="1070">
        <f>VLOOKUP(B164,AU$3:AY$33,3,FALSE)</f>
        <v>1250.6062258294207</v>
      </c>
      <c r="D164" s="1070">
        <f>IF(B157,B172,IF(D157,D172,C164))</f>
        <v>1265.9299073997925</v>
      </c>
      <c r="E164" s="1070"/>
      <c r="F164" s="1070"/>
      <c r="G164" s="1070">
        <f>IF(E157,E172,IF(G157,G172,D164))</f>
        <v>1265.9299073997925</v>
      </c>
      <c r="H164" s="1070"/>
      <c r="I164" s="1070"/>
      <c r="J164" s="1070">
        <f>IF(H157,H172,IF(J157,J172,G164))</f>
        <v>1246.2412474760765</v>
      </c>
      <c r="K164" s="1070"/>
      <c r="L164" s="1070"/>
      <c r="M164" s="1070"/>
      <c r="N164" s="1070">
        <f>IF(L157,L172,IF(N157,N172,J164))</f>
        <v>1260.2188063523713</v>
      </c>
      <c r="O164" s="1070"/>
      <c r="P164" s="1070"/>
      <c r="Q164" s="1070">
        <f>IF(O157,O172,IF(Q157,Q172,N164))</f>
        <v>1260.2188063523713</v>
      </c>
      <c r="R164" s="1070"/>
      <c r="S164" s="1070"/>
      <c r="T164" s="1070">
        <f>IF(R157,R172,IF(T157,T172,Q164))</f>
        <v>1274.3440224645769</v>
      </c>
      <c r="U164" s="1070"/>
      <c r="V164" s="1070"/>
      <c r="W164" s="1070">
        <f>IF(U157,U172,IF(W157,W172,T164))</f>
        <v>1274.3440224645769</v>
      </c>
      <c r="X164" s="1070"/>
      <c r="Y164" s="1070"/>
      <c r="Z164" s="1070">
        <f>IF(X157,X172,IF(Z157,Z172,W164))</f>
        <v>1274.3440224645769</v>
      </c>
      <c r="AA164" s="1070"/>
      <c r="AB164" s="1070"/>
      <c r="AC164" s="1070">
        <f>IF(AA157,AA172,IF(AC157,AC172,Z164))</f>
        <v>1274.3440224645769</v>
      </c>
      <c r="AD164" s="1070"/>
      <c r="AE164" s="1070"/>
      <c r="AF164" s="1070">
        <f>IF(AD157,AD172,IF(AF157,AF172,AC164))</f>
        <v>1274.3440224645769</v>
      </c>
      <c r="AG164" s="846"/>
      <c r="AH164" s="846"/>
      <c r="AK164" s="846"/>
      <c r="AL164" s="846"/>
      <c r="AM164" s="846"/>
      <c r="AN164" s="846"/>
      <c r="AO164" s="846"/>
      <c r="AP164" s="846"/>
      <c r="AT164" s="1065" t="str">
        <f>B164</f>
        <v>Intense Kids power Gvl</v>
      </c>
      <c r="AU164" s="1065">
        <f>AF164</f>
        <v>1274.3440224645769</v>
      </c>
      <c r="AW164" s="1069"/>
      <c r="BB164" s="1069"/>
      <c r="BE164" s="1069"/>
      <c r="BH164" s="1069"/>
      <c r="BK164" s="1069"/>
      <c r="BN164" s="1069"/>
      <c r="BQ164" s="1069"/>
      <c r="BT164" s="1069"/>
      <c r="BW164" s="1069"/>
      <c r="BZ164" s="1069"/>
      <c r="CC164" s="1069"/>
    </row>
    <row r="165" spans="1:81" s="1065" customFormat="1" hidden="1" x14ac:dyDescent="0.2">
      <c r="A165" s="1070">
        <v>2</v>
      </c>
      <c r="B165" s="1070" t="str">
        <f>E95</f>
        <v>SC Midlands KP Black</v>
      </c>
      <c r="C165" s="1070">
        <f>VLOOKUP(B165,AU$3:AY$33,3,FALSE)</f>
        <v>1165.8661889498064</v>
      </c>
      <c r="D165" s="1070">
        <f>IF(B158,B172,IF(D158,D172,C165))</f>
        <v>1165.8661889498064</v>
      </c>
      <c r="E165" s="1070"/>
      <c r="F165" s="1070"/>
      <c r="G165" s="1070">
        <f>IF(E158,E172,IF(G158,G172,D165))</f>
        <v>1184.3655755571237</v>
      </c>
      <c r="H165" s="1070"/>
      <c r="I165" s="1070"/>
      <c r="J165" s="1070">
        <f>IF(H158,H172,IF(J158,J172,G165))</f>
        <v>1204.0542354808397</v>
      </c>
      <c r="K165" s="1070"/>
      <c r="L165" s="1070"/>
      <c r="M165" s="1070"/>
      <c r="N165" s="1070">
        <f>IF(L158,L172,IF(N158,N172,J165))</f>
        <v>1204.0542354808397</v>
      </c>
      <c r="O165" s="1070"/>
      <c r="P165" s="1070"/>
      <c r="Q165" s="1070">
        <f>IF(O158,O172,IF(Q158,Q172,N165))</f>
        <v>1219.3205269123855</v>
      </c>
      <c r="R165" s="1070"/>
      <c r="S165" s="1070"/>
      <c r="T165" s="1070">
        <f>IF(R158,R172,IF(T158,T172,Q165))</f>
        <v>1205.1953108001799</v>
      </c>
      <c r="U165" s="1070"/>
      <c r="V165" s="1070"/>
      <c r="W165" s="1070">
        <f>IF(U158,U172,IF(W158,W172,T165))</f>
        <v>1205.1953108001799</v>
      </c>
      <c r="X165" s="1070"/>
      <c r="Y165" s="1070"/>
      <c r="Z165" s="1070">
        <f>IF(X158,X172,IF(Z158,Z172,W165))</f>
        <v>1205.1953108001799</v>
      </c>
      <c r="AA165" s="1070"/>
      <c r="AB165" s="1070"/>
      <c r="AC165" s="1070">
        <f>IF(AA158,AA172,IF(AC158,AC172,Z165))</f>
        <v>1205.1953108001799</v>
      </c>
      <c r="AD165" s="1070"/>
      <c r="AE165" s="1070"/>
      <c r="AF165" s="1070">
        <f>IF(AD158,AD172,IF(AF158,AF172,AC165))</f>
        <v>1205.1953108001799</v>
      </c>
      <c r="AG165" s="846"/>
      <c r="AH165" s="846"/>
      <c r="AK165" s="846"/>
      <c r="AM165" s="846"/>
      <c r="AN165" s="846"/>
      <c r="AO165" s="846"/>
      <c r="AP165" s="846"/>
      <c r="AT165" s="1065" t="str">
        <f>B165</f>
        <v>SC Midlands KP Black</v>
      </c>
      <c r="AU165" s="1065">
        <f>AF165</f>
        <v>1205.1953108001799</v>
      </c>
      <c r="AW165" s="1069"/>
      <c r="BB165" s="1069"/>
      <c r="BE165" s="1069"/>
      <c r="BH165" s="1069"/>
      <c r="BK165" s="1069"/>
      <c r="BN165" s="1069"/>
      <c r="BQ165" s="1069"/>
      <c r="BT165" s="1069"/>
      <c r="BW165" s="1069"/>
      <c r="BZ165" s="1069"/>
      <c r="CC165" s="1069"/>
    </row>
    <row r="166" spans="1:81" s="1065" customFormat="1" hidden="1" x14ac:dyDescent="0.2">
      <c r="A166" s="1070">
        <v>3</v>
      </c>
      <c r="B166" s="1070" t="str">
        <f>E97</f>
        <v>Columbia SC Starlings 12</v>
      </c>
      <c r="C166" s="1070">
        <f>VLOOKUP(B166,AU$3:AY$33,3,FALSE)</f>
        <v>1235.9114015896889</v>
      </c>
      <c r="D166" s="1070">
        <f>IF(B159,B172,IF(D159,D172,C166))</f>
        <v>1220.5877200193172</v>
      </c>
      <c r="E166" s="1070"/>
      <c r="F166" s="1070"/>
      <c r="G166" s="1070">
        <f>IF(E159,E172,IF(G159,G172,D166))</f>
        <v>1202.0883334119999</v>
      </c>
      <c r="H166" s="1070"/>
      <c r="I166" s="1070"/>
      <c r="J166" s="1070">
        <f>IF(H159,H172,IF(J159,J172,G166))</f>
        <v>1202.0883334119999</v>
      </c>
      <c r="K166" s="1070"/>
      <c r="L166" s="1070"/>
      <c r="M166" s="1070"/>
      <c r="N166" s="1070">
        <f>IF(L159,L172,IF(N159,N172,J166))</f>
        <v>1188.1107745357051</v>
      </c>
      <c r="O166" s="1070"/>
      <c r="P166" s="1070"/>
      <c r="Q166" s="1070">
        <f>IF(O159,O172,IF(Q159,Q172,N166))</f>
        <v>1172.8444831041593</v>
      </c>
      <c r="R166" s="1070"/>
      <c r="S166" s="1070"/>
      <c r="T166" s="1070">
        <f>IF(R159,R172,IF(T159,T172,Q166))</f>
        <v>1172.8444831041593</v>
      </c>
      <c r="U166" s="1070"/>
      <c r="V166" s="1070"/>
      <c r="W166" s="1070">
        <f>IF(U159,U172,IF(W159,W172,T166))</f>
        <v>1172.8444831041593</v>
      </c>
      <c r="X166" s="1070"/>
      <c r="Y166" s="1070"/>
      <c r="Z166" s="1070">
        <f>IF(X159,X172,IF(Z159,Z172,W166))</f>
        <v>1172.8444831041593</v>
      </c>
      <c r="AA166" s="1070"/>
      <c r="AB166" s="1070"/>
      <c r="AC166" s="1070">
        <f>IF(AA159,AA172,IF(AC159,AC172,Z166))</f>
        <v>1172.8444831041593</v>
      </c>
      <c r="AD166" s="1070"/>
      <c r="AE166" s="1070"/>
      <c r="AF166" s="1070">
        <f>IF(AD159,AD172,IF(AF159,AF172,AC166))</f>
        <v>1172.8444831041593</v>
      </c>
      <c r="AG166" s="846"/>
      <c r="AH166" s="846"/>
      <c r="AK166" s="846"/>
      <c r="AM166" s="846"/>
      <c r="AN166" s="846"/>
      <c r="AO166" s="846"/>
      <c r="AP166" s="846"/>
      <c r="AT166" s="1065" t="str">
        <f>B166</f>
        <v>Columbia SC Starlings 12</v>
      </c>
      <c r="AU166" s="1065">
        <f>AF166</f>
        <v>1172.8444831041593</v>
      </c>
      <c r="AW166" s="1069"/>
      <c r="BB166" s="1069"/>
      <c r="BE166" s="1069"/>
      <c r="BH166" s="1069"/>
      <c r="BK166" s="1069"/>
      <c r="BN166" s="1069"/>
      <c r="BQ166" s="1069"/>
      <c r="BT166" s="1069"/>
      <c r="BW166" s="1069"/>
      <c r="BZ166" s="1069"/>
      <c r="CC166" s="1069"/>
    </row>
    <row r="167" spans="1:81" s="1065" customFormat="1" hidden="1" x14ac:dyDescent="0.2">
      <c r="A167" s="1070">
        <v>4</v>
      </c>
      <c r="B167" s="1070">
        <f>E99</f>
        <v>0</v>
      </c>
      <c r="C167" s="1070" t="e">
        <f>VLOOKUP(B167,AU$3:AY$33,3,FALSE)</f>
        <v>#N/A</v>
      </c>
      <c r="D167" s="1070" t="e">
        <f>IF(B160,B172,IF(D160,D172,C167))</f>
        <v>#N/A</v>
      </c>
      <c r="E167" s="1070"/>
      <c r="F167" s="1070"/>
      <c r="G167" s="1070" t="e">
        <f>IF(E160,E172,IF(G160,G172,D167))</f>
        <v>#N/A</v>
      </c>
      <c r="H167" s="1070"/>
      <c r="I167" s="1070"/>
      <c r="J167" s="1070" t="e">
        <f>IF(H160,H172,IF(J160,J172,G167))</f>
        <v>#N/A</v>
      </c>
      <c r="K167" s="1070"/>
      <c r="L167" s="1070"/>
      <c r="M167" s="1070"/>
      <c r="N167" s="1070" t="e">
        <f>IF(L160,L172,IF(N160,N172,J167))</f>
        <v>#N/A</v>
      </c>
      <c r="O167" s="1070"/>
      <c r="P167" s="1070"/>
      <c r="Q167" s="1070" t="e">
        <f>IF(O160,O172,IF(Q160,Q172,N167))</f>
        <v>#N/A</v>
      </c>
      <c r="R167" s="1070"/>
      <c r="S167" s="1070"/>
      <c r="T167" s="1070" t="e">
        <f>IF(R160,R172,IF(T160,T172,Q167))</f>
        <v>#N/A</v>
      </c>
      <c r="U167" s="1070"/>
      <c r="V167" s="1070"/>
      <c r="W167" s="1070" t="e">
        <f>IF(U160,U172,IF(W160,W172,T167))</f>
        <v>#N/A</v>
      </c>
      <c r="X167" s="1070"/>
      <c r="Y167" s="1070"/>
      <c r="Z167" s="1070" t="e">
        <f>IF(X160,X172,IF(Z160,Z172,W167))</f>
        <v>#N/A</v>
      </c>
      <c r="AA167" s="1070"/>
      <c r="AB167" s="1070"/>
      <c r="AC167" s="1070" t="e">
        <f>IF(AA160,AA172,IF(AC160,AC172,Z167))</f>
        <v>#N/A</v>
      </c>
      <c r="AD167" s="1070"/>
      <c r="AE167" s="1070"/>
      <c r="AF167" s="1070" t="e">
        <f>IF(AD160,AD172,IF(AF160,AF172,AC167))</f>
        <v>#N/A</v>
      </c>
      <c r="AG167" s="846"/>
      <c r="AH167" s="846"/>
      <c r="AK167" s="846"/>
      <c r="AM167" s="846"/>
      <c r="AN167" s="846"/>
      <c r="AO167" s="846"/>
      <c r="AP167" s="846"/>
      <c r="AT167" s="1065">
        <f>B167</f>
        <v>0</v>
      </c>
      <c r="AU167" s="1065" t="e">
        <f>AF167</f>
        <v>#N/A</v>
      </c>
      <c r="AW167" s="1069"/>
      <c r="BB167" s="1069"/>
      <c r="BE167" s="1069"/>
      <c r="BH167" s="1069"/>
      <c r="BK167" s="1069"/>
      <c r="BN167" s="1069"/>
      <c r="BQ167" s="1069"/>
      <c r="BT167" s="1069"/>
      <c r="BW167" s="1069"/>
      <c r="BZ167" s="1069"/>
      <c r="CC167" s="1069"/>
    </row>
    <row r="168" spans="1:81" s="1065" customFormat="1" hidden="1" x14ac:dyDescent="0.2">
      <c r="A168" s="1070">
        <v>5</v>
      </c>
      <c r="B168" s="1070">
        <f>E101</f>
        <v>0</v>
      </c>
      <c r="C168" s="1070" t="e">
        <f>VLOOKUP(B168,AU$3:AY$33,3,FALSE)</f>
        <v>#N/A</v>
      </c>
      <c r="D168" s="1070" t="e">
        <f>IF(B161,B172,IF(D161,D172,C168))</f>
        <v>#N/A</v>
      </c>
      <c r="E168" s="1070"/>
      <c r="F168" s="1070"/>
      <c r="G168" s="1070" t="e">
        <f>IF(E161,E172,IF(G161,G172,D168))</f>
        <v>#N/A</v>
      </c>
      <c r="H168" s="1070"/>
      <c r="I168" s="1070"/>
      <c r="J168" s="1070" t="e">
        <f>IF(H161,H172,IF(J161,J172,G168))</f>
        <v>#N/A</v>
      </c>
      <c r="K168" s="1070"/>
      <c r="L168" s="1070"/>
      <c r="M168" s="1070"/>
      <c r="N168" s="1070" t="e">
        <f>IF(L161,L172,IF(N161,N172,J168))</f>
        <v>#N/A</v>
      </c>
      <c r="O168" s="1070"/>
      <c r="P168" s="1070"/>
      <c r="Q168" s="1070" t="e">
        <f>IF(O161,O172,IF(Q161,Q172,N168))</f>
        <v>#N/A</v>
      </c>
      <c r="R168" s="1070"/>
      <c r="S168" s="1070"/>
      <c r="T168" s="1070" t="e">
        <f>IF(R161,R172,IF(T161,T172,Q168))</f>
        <v>#N/A</v>
      </c>
      <c r="U168" s="1070"/>
      <c r="V168" s="1070"/>
      <c r="W168" s="1070" t="e">
        <f>IF(U161,U172,IF(W161,W172,T168))</f>
        <v>#N/A</v>
      </c>
      <c r="X168" s="1070"/>
      <c r="Y168" s="1070"/>
      <c r="Z168" s="1070" t="e">
        <f>IF(X161,X172,IF(Z161,Z172,W168))</f>
        <v>#N/A</v>
      </c>
      <c r="AA168" s="1070"/>
      <c r="AB168" s="1070"/>
      <c r="AC168" s="1070" t="e">
        <f>IF(AA161,AA172,IF(AC161,AC172,Z168))</f>
        <v>#N/A</v>
      </c>
      <c r="AD168" s="1070"/>
      <c r="AE168" s="1070"/>
      <c r="AF168" s="1070" t="e">
        <f>IF(AD161,AD172,IF(AF161,AF172,AC168))</f>
        <v>#N/A</v>
      </c>
      <c r="AG168" s="846"/>
      <c r="AH168" s="846"/>
      <c r="AK168" s="846"/>
      <c r="AM168" s="846"/>
      <c r="AN168" s="846"/>
      <c r="AO168" s="846"/>
      <c r="AP168" s="846"/>
      <c r="AT168" s="1065">
        <f>B168</f>
        <v>0</v>
      </c>
      <c r="AU168" s="1065" t="e">
        <f>AF168</f>
        <v>#N/A</v>
      </c>
      <c r="AW168" s="1069"/>
      <c r="BB168" s="1069"/>
      <c r="BE168" s="1069"/>
      <c r="BH168" s="1069"/>
      <c r="BK168" s="1069"/>
      <c r="BN168" s="1069"/>
      <c r="BQ168" s="1069"/>
      <c r="BT168" s="1069"/>
      <c r="BW168" s="1069"/>
      <c r="BZ168" s="1069"/>
      <c r="CC168" s="1069"/>
    </row>
    <row r="169" spans="1:81" s="1065" customFormat="1" hidden="1" x14ac:dyDescent="0.2">
      <c r="A169" s="1070"/>
      <c r="B169" s="1070"/>
      <c r="C169" s="1070"/>
      <c r="D169" s="1070"/>
      <c r="E169" s="1070"/>
      <c r="F169" s="1070"/>
      <c r="G169" s="1070"/>
      <c r="H169" s="1070"/>
      <c r="I169" s="1070"/>
      <c r="J169" s="1070"/>
      <c r="K169" s="1070"/>
      <c r="L169" s="1070"/>
      <c r="M169" s="1070"/>
      <c r="N169" s="1070"/>
      <c r="O169" s="1070"/>
      <c r="P169" s="1070"/>
      <c r="Q169" s="1070"/>
      <c r="R169" s="1070"/>
      <c r="S169" s="1070"/>
      <c r="T169" s="1070"/>
      <c r="U169" s="1070"/>
      <c r="V169" s="1070"/>
      <c r="W169" s="1070"/>
      <c r="X169" s="1070"/>
      <c r="Y169" s="1070"/>
      <c r="Z169" s="1070"/>
      <c r="AA169" s="1070"/>
      <c r="AB169" s="1070"/>
      <c r="AC169" s="1070"/>
      <c r="AD169" s="1070"/>
      <c r="AE169" s="1070"/>
      <c r="AF169" s="1070"/>
      <c r="AG169" s="846"/>
      <c r="AH169" s="846"/>
      <c r="AK169" s="846"/>
      <c r="AM169" s="846"/>
      <c r="AN169" s="846"/>
      <c r="AO169" s="846"/>
      <c r="AP169" s="846"/>
      <c r="AW169" s="1069"/>
      <c r="BB169" s="1069"/>
      <c r="BE169" s="1069"/>
      <c r="BH169" s="1069"/>
      <c r="BK169" s="1069"/>
      <c r="BN169" s="1069"/>
      <c r="BQ169" s="1069"/>
      <c r="BT169" s="1069"/>
      <c r="BW169" s="1069"/>
      <c r="BZ169" s="1069"/>
      <c r="CC169" s="1069"/>
    </row>
    <row r="170" spans="1:81" s="1065" customFormat="1" hidden="1" x14ac:dyDescent="0.2">
      <c r="A170" s="1070" t="s">
        <v>114</v>
      </c>
      <c r="B170" s="1070">
        <f>VLOOKUP(B109,$A164:$AF168,3,FALSE)</f>
        <v>1250.6062258294207</v>
      </c>
      <c r="C170" s="1070">
        <v>1</v>
      </c>
      <c r="D170" s="1070">
        <f>VLOOKUP(D109,$A164:$AF168,3,FALSE)</f>
        <v>1235.9114015896889</v>
      </c>
      <c r="E170" s="1070">
        <f>VLOOKUP(E109,$A164:$AF168,4,FALSE)</f>
        <v>1165.8661889498064</v>
      </c>
      <c r="F170" s="1070">
        <v>2</v>
      </c>
      <c r="G170" s="1070">
        <f>VLOOKUP(G109,$A164:$AF168,4,FALSE)</f>
        <v>1220.5877200193172</v>
      </c>
      <c r="H170" s="1070">
        <f>VLOOKUP(H109,$A164:$AF168,7,FALSE)</f>
        <v>1265.9299073997925</v>
      </c>
      <c r="I170" s="1070">
        <v>3</v>
      </c>
      <c r="J170" s="1070">
        <f>VLOOKUP(J109,$A164:$AF168,7,FALSE)</f>
        <v>1184.3655755571237</v>
      </c>
      <c r="K170" s="1070"/>
      <c r="L170" s="1070">
        <f>VLOOKUP(L109,$A164:$AF168,10,FALSE)</f>
        <v>1246.2412474760765</v>
      </c>
      <c r="M170" s="1070">
        <v>4</v>
      </c>
      <c r="N170" s="1070">
        <f>VLOOKUP(N109,$A164:$AF168,10,FALSE)</f>
        <v>1202.0883334119999</v>
      </c>
      <c r="O170" s="1070">
        <f>VLOOKUP(O109,$A164:$AF168,14,FALSE)</f>
        <v>1204.0542354808397</v>
      </c>
      <c r="P170" s="1070">
        <v>5</v>
      </c>
      <c r="Q170" s="1070">
        <f>VLOOKUP(Q109,$A164:$AF168,14,FALSE)</f>
        <v>1188.1107745357051</v>
      </c>
      <c r="R170" s="1070">
        <f>VLOOKUP(R109,$A164:$AF168,17,FALSE)</f>
        <v>1260.2188063523713</v>
      </c>
      <c r="S170" s="1070">
        <v>6</v>
      </c>
      <c r="T170" s="1070">
        <f>VLOOKUP(T109,$A164:$AF168,17,FALSE)</f>
        <v>1219.3205269123855</v>
      </c>
      <c r="U170" s="1070">
        <f>VLOOKUP(U109,$A164:$AF168,20,FALSE)</f>
        <v>1205.1953108001799</v>
      </c>
      <c r="V170" s="1070">
        <v>7</v>
      </c>
      <c r="W170" s="1070">
        <f>VLOOKUP(W109,$A164:$AF168,20,FALSE)</f>
        <v>1172.8444831041593</v>
      </c>
      <c r="X170" s="1070">
        <f>VLOOKUP(X109,$A164:$AF168,23,FALSE)</f>
        <v>1274.3440224645769</v>
      </c>
      <c r="Y170" s="1070">
        <v>8</v>
      </c>
      <c r="Z170" s="1070" t="e">
        <f>VLOOKUP(Z109,$A164:$AF168,23,FALSE)</f>
        <v>#N/A</v>
      </c>
      <c r="AA170" s="1070">
        <f>VLOOKUP(AA109,$A164:$AF168,26,FALSE)</f>
        <v>1172.8444831041593</v>
      </c>
      <c r="AB170" s="1070">
        <v>9</v>
      </c>
      <c r="AC170" s="1070" t="e">
        <f>VLOOKUP(AC109,$A164:$AF168,26,FALSE)</f>
        <v>#N/A</v>
      </c>
      <c r="AD170" s="1070">
        <f>VLOOKUP(AD109,$A164:$AF168,29,FALSE)</f>
        <v>1274.3440224645769</v>
      </c>
      <c r="AE170" s="1070">
        <v>10</v>
      </c>
      <c r="AF170" s="1070">
        <f>VLOOKUP(AF109,$A164:$AF168,29,FALSE)</f>
        <v>1205.1953108001799</v>
      </c>
      <c r="AG170" s="846"/>
      <c r="AH170" s="1063"/>
      <c r="AI170" s="1063"/>
      <c r="AJ170" s="1063"/>
      <c r="AK170" s="1063"/>
      <c r="AL170" s="1063"/>
      <c r="AM170" s="1063"/>
      <c r="AN170" s="1063"/>
      <c r="AO170" s="1064"/>
      <c r="AP170" s="1064"/>
      <c r="AQ170" s="1064"/>
      <c r="AR170" s="1064"/>
      <c r="AW170" s="1069"/>
      <c r="BB170" s="1069"/>
      <c r="BE170" s="1069"/>
      <c r="BH170" s="1069"/>
      <c r="BK170" s="1069"/>
      <c r="BN170" s="1069"/>
      <c r="BQ170" s="1069"/>
      <c r="BT170" s="1069"/>
      <c r="BW170" s="1069"/>
      <c r="BZ170" s="1069"/>
      <c r="CC170" s="1069"/>
    </row>
    <row r="171" spans="1:81" s="1075" customFormat="1" hidden="1" x14ac:dyDescent="0.2">
      <c r="A171" s="1071" t="s">
        <v>115</v>
      </c>
      <c r="B171" s="1071">
        <f>1/(1+(10^-((B170-D170)/400)))*(B121+D121)</f>
        <v>0.5211349509258838</v>
      </c>
      <c r="C171" s="1071"/>
      <c r="D171" s="1071">
        <f>1/(1+(10^-((D170-B170)/400)))*(B121+D121)</f>
        <v>0.4788650490741162</v>
      </c>
      <c r="E171" s="1071">
        <f>1/(1+(10^-((E170-G170)/400)))*(E121+G121)</f>
        <v>0.42189416852133693</v>
      </c>
      <c r="F171" s="1071"/>
      <c r="G171" s="1071">
        <f>1/(1+(10^-((G170-E170)/400)))*(E121+G121)</f>
        <v>0.57810583147866301</v>
      </c>
      <c r="H171" s="1071">
        <f>1/(1+(10^-((H170-J170)/400)))*(H121+J121)</f>
        <v>0.61527062261612508</v>
      </c>
      <c r="I171" s="1071"/>
      <c r="J171" s="1071">
        <f>1/(1+(10^-((J170-H170)/400)))*(H121+J121)</f>
        <v>0.38472937738387497</v>
      </c>
      <c r="K171" s="1071"/>
      <c r="L171" s="1071">
        <f>1/(1+(10^-((L170-N170)/400)))*(L121+N121)</f>
        <v>0.5632012851157906</v>
      </c>
      <c r="M171" s="1071"/>
      <c r="N171" s="1071">
        <f>1/(1+(10^-((N170-L170)/400)))*(L121+N121)</f>
        <v>0.4367987148842094</v>
      </c>
      <c r="O171" s="1071">
        <f>1/(1+(10^-((O170-Q170)/400)))*(O121+Q121)</f>
        <v>0.52292839276419267</v>
      </c>
      <c r="P171" s="1071"/>
      <c r="Q171" s="1071">
        <f>1/(1+(10^-((Q170-O170)/400)))*(O121+Q121)</f>
        <v>0.47707160723580738</v>
      </c>
      <c r="R171" s="1071">
        <f>1/(1+(10^-((R170-T170)/400)))*(R121+T121)</f>
        <v>0.5585869964935738</v>
      </c>
      <c r="S171" s="1071"/>
      <c r="T171" s="1071">
        <f>1/(1+(10^-((T170-R170)/400)))*(R121+T121)</f>
        <v>0.44141300350642615</v>
      </c>
      <c r="U171" s="1071">
        <f>1/(1+(10^-((U170-W170)/400)))*(U121+W121)</f>
        <v>0</v>
      </c>
      <c r="V171" s="1071"/>
      <c r="W171" s="1071">
        <f>1/(1+(10^-((W170-U170)/400)))*(U121+W121)</f>
        <v>0</v>
      </c>
      <c r="X171" s="1071" t="e">
        <f>1/(1+(10^-((X170-Z170)/400)))*(X121+Z121)</f>
        <v>#N/A</v>
      </c>
      <c r="Y171" s="1071"/>
      <c r="Z171" s="1071" t="e">
        <f>1/(1+(10^-((Z170-X170)/400)))*(X121+Z121)</f>
        <v>#N/A</v>
      </c>
      <c r="AA171" s="1071" t="e">
        <f>1/(1+(10^-((AA170-AC170)/400)))*(AA121+AC121)</f>
        <v>#N/A</v>
      </c>
      <c r="AB171" s="1071"/>
      <c r="AC171" s="1071" t="e">
        <f>1/(1+(10^-((AC170-AA170)/400)))*(AA121+AC121)</f>
        <v>#N/A</v>
      </c>
      <c r="AD171" s="1071">
        <f>1/(1+(10^-((AD170-AF170)/400)))*(AD121+AF121)</f>
        <v>0</v>
      </c>
      <c r="AE171" s="1071"/>
      <c r="AF171" s="1071">
        <f>1/(1+(10^-((AF170-AD170)/400)))*(AD121+AF121)</f>
        <v>0</v>
      </c>
      <c r="AG171" s="1072"/>
      <c r="AH171" s="1073"/>
      <c r="AI171" s="1073"/>
      <c r="AJ171" s="1073"/>
      <c r="AK171" s="1073"/>
      <c r="AL171" s="1073"/>
      <c r="AM171" s="1073"/>
      <c r="AN171" s="1073"/>
      <c r="AO171" s="1074"/>
      <c r="AP171" s="1074"/>
      <c r="AQ171" s="1074"/>
      <c r="AR171" s="1074"/>
      <c r="AW171" s="1076"/>
      <c r="BB171" s="1076"/>
      <c r="BE171" s="1076"/>
      <c r="BH171" s="1076"/>
      <c r="BK171" s="1076"/>
      <c r="BN171" s="1076"/>
      <c r="BQ171" s="1076"/>
      <c r="BT171" s="1076"/>
      <c r="BW171" s="1076"/>
      <c r="BZ171" s="1076"/>
      <c r="CC171" s="1076"/>
    </row>
    <row r="172" spans="1:81" s="1081" customFormat="1" hidden="1" x14ac:dyDescent="0.2">
      <c r="A172" s="1077" t="s">
        <v>116</v>
      </c>
      <c r="B172" s="1077">
        <f>B170+(B121-B171)*$BA$1</f>
        <v>1265.9299073997925</v>
      </c>
      <c r="C172" s="1077"/>
      <c r="D172" s="1077">
        <f>D170+(D121-D171)*$BA$1</f>
        <v>1220.5877200193172</v>
      </c>
      <c r="E172" s="1077">
        <f>E170+(E121-E171)*$BA$1</f>
        <v>1184.3655755571237</v>
      </c>
      <c r="F172" s="1077"/>
      <c r="G172" s="1077">
        <f>G170+(G121-G171)*$BA$1</f>
        <v>1202.0883334119999</v>
      </c>
      <c r="H172" s="1077">
        <f>H170+(H121-H171)*$BA$1</f>
        <v>1246.2412474760765</v>
      </c>
      <c r="I172" s="1077"/>
      <c r="J172" s="1077">
        <f>J170+(J121-J171)*$BA$1</f>
        <v>1204.0542354808397</v>
      </c>
      <c r="K172" s="1077"/>
      <c r="L172" s="1077">
        <f>L170+(L121-L171)*$BA$1</f>
        <v>1260.2188063523713</v>
      </c>
      <c r="M172" s="1077"/>
      <c r="N172" s="1077">
        <f>N170+(N121-N171)*$BA$1</f>
        <v>1188.1107745357051</v>
      </c>
      <c r="O172" s="1077">
        <f>O170+(O121-O171)*$BA$1</f>
        <v>1219.3205269123855</v>
      </c>
      <c r="P172" s="1077"/>
      <c r="Q172" s="1077">
        <f>Q170+(Q121-Q171)*$BA$1</f>
        <v>1172.8444831041593</v>
      </c>
      <c r="R172" s="1077">
        <f>R170+(R121-R171)*$BA$1</f>
        <v>1274.3440224645769</v>
      </c>
      <c r="S172" s="1077"/>
      <c r="T172" s="1077">
        <f>T170+(T121-T171)*$BA$1</f>
        <v>1205.1953108001799</v>
      </c>
      <c r="U172" s="1077">
        <f>U170+(U121-U171)*$BA$1</f>
        <v>1205.1953108001799</v>
      </c>
      <c r="V172" s="1077"/>
      <c r="W172" s="1077">
        <f>W170+(W121-W171)*$BA$1</f>
        <v>1172.8444831041593</v>
      </c>
      <c r="X172" s="1077" t="e">
        <f>X170+(X121-X171)*$BA$1</f>
        <v>#N/A</v>
      </c>
      <c r="Y172" s="1077"/>
      <c r="Z172" s="1077" t="e">
        <f>Z170+(Z121-Z171)*$BA$1</f>
        <v>#N/A</v>
      </c>
      <c r="AA172" s="1077" t="e">
        <f>AA170+(AA121-AA171)*$BA$1</f>
        <v>#N/A</v>
      </c>
      <c r="AB172" s="1077"/>
      <c r="AC172" s="1077" t="e">
        <f>AC170+(AC121-AC171)*$BA$1</f>
        <v>#N/A</v>
      </c>
      <c r="AD172" s="1077">
        <f>AD170+(AD121-AD171)*$BA$1</f>
        <v>1274.3440224645769</v>
      </c>
      <c r="AE172" s="1077"/>
      <c r="AF172" s="1077">
        <f>AF170+(AF121-AF171)*$BA$1</f>
        <v>1205.1953108001799</v>
      </c>
      <c r="AG172" s="1078"/>
      <c r="AH172" s="1079"/>
      <c r="AI172" s="1079"/>
      <c r="AJ172" s="1079"/>
      <c r="AK172" s="1079"/>
      <c r="AL172" s="1079"/>
      <c r="AM172" s="1079"/>
      <c r="AN172" s="1079"/>
      <c r="AO172" s="1080"/>
      <c r="AP172" s="1080"/>
      <c r="AQ172" s="1080"/>
      <c r="AR172" s="1080"/>
      <c r="AW172" s="1082"/>
      <c r="BB172" s="1082"/>
      <c r="BE172" s="1082"/>
      <c r="BH172" s="1082"/>
      <c r="BK172" s="1082"/>
      <c r="BN172" s="1082"/>
      <c r="BQ172" s="1082"/>
      <c r="BT172" s="1082"/>
      <c r="BW172" s="1082"/>
      <c r="BZ172" s="1082"/>
      <c r="CC172" s="1082"/>
    </row>
    <row r="173" spans="1:81" s="1081" customFormat="1" hidden="1" x14ac:dyDescent="0.2">
      <c r="A173" s="1077"/>
      <c r="B173" s="1077"/>
      <c r="C173" s="1077"/>
      <c r="D173" s="1077"/>
      <c r="E173" s="1077"/>
      <c r="F173" s="1077"/>
      <c r="G173" s="1077"/>
      <c r="H173" s="1077"/>
      <c r="I173" s="1077"/>
      <c r="J173" s="1077"/>
      <c r="K173" s="1077"/>
      <c r="L173" s="1077"/>
      <c r="M173" s="1077"/>
      <c r="N173" s="1077"/>
      <c r="O173" s="1077"/>
      <c r="P173" s="1077"/>
      <c r="Q173" s="1077"/>
      <c r="R173" s="1077"/>
      <c r="S173" s="1077"/>
      <c r="T173" s="1077"/>
      <c r="U173" s="1077"/>
      <c r="V173" s="1077"/>
      <c r="W173" s="1077"/>
      <c r="X173" s="1077"/>
      <c r="Y173" s="1077"/>
      <c r="Z173" s="1077"/>
      <c r="AA173" s="1077"/>
      <c r="AB173" s="1077"/>
      <c r="AC173" s="1077"/>
      <c r="AD173" s="1077"/>
      <c r="AE173" s="1077"/>
      <c r="AF173" s="1077"/>
      <c r="AG173" s="1078"/>
      <c r="AH173" s="1079"/>
      <c r="AI173" s="1079"/>
      <c r="AJ173" s="1079"/>
      <c r="AK173" s="1079"/>
      <c r="AL173" s="1079"/>
      <c r="AM173" s="1079"/>
      <c r="AN173" s="1079"/>
      <c r="AO173" s="1080"/>
      <c r="AP173" s="1080"/>
      <c r="AQ173" s="1080"/>
      <c r="AR173" s="1080"/>
      <c r="AW173" s="1082"/>
      <c r="BB173" s="1082"/>
      <c r="BE173" s="1082"/>
      <c r="BH173" s="1082"/>
      <c r="BK173" s="1082"/>
      <c r="BN173" s="1082"/>
      <c r="BQ173" s="1082"/>
      <c r="BT173" s="1082"/>
      <c r="BW173" s="1082"/>
      <c r="BZ173" s="1082"/>
      <c r="CC173" s="1082"/>
    </row>
    <row r="174" spans="1:81" s="1065" customFormat="1" x14ac:dyDescent="0.2">
      <c r="A174" s="1083" t="str">
        <f>IF($AL95=1,"Pool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174" s="1083"/>
      <c r="C174" s="1083"/>
      <c r="D174" s="1083"/>
      <c r="E174" s="1083"/>
      <c r="F174" s="1083"/>
      <c r="G174" s="1083"/>
      <c r="H174" s="1083"/>
      <c r="I174" s="1083"/>
      <c r="J174" s="1083"/>
      <c r="K174" s="1083"/>
      <c r="L174" s="1083"/>
      <c r="M174" s="1083"/>
      <c r="N174" s="1083"/>
      <c r="O174" s="1083"/>
      <c r="P174" s="1083"/>
      <c r="Q174" s="1083"/>
      <c r="R174" s="1083"/>
      <c r="S174" s="1083"/>
      <c r="T174" s="1083"/>
      <c r="U174" s="1083"/>
      <c r="V174" s="1083"/>
      <c r="W174" s="1083"/>
      <c r="X174" s="1083"/>
      <c r="Y174" s="1083"/>
      <c r="Z174" s="1083"/>
      <c r="AA174" s="1083"/>
      <c r="AB174" s="1083"/>
      <c r="AC174" s="1083"/>
      <c r="AD174" s="1083"/>
      <c r="AE174" s="1083"/>
      <c r="AF174" s="1083"/>
      <c r="AG174" s="1083"/>
      <c r="AH174" s="1083"/>
      <c r="AI174" s="1083"/>
      <c r="AJ174" s="1083"/>
      <c r="AK174" s="1083"/>
      <c r="AL174" s="1083"/>
      <c r="AM174" s="1083"/>
      <c r="AN174" s="1084"/>
      <c r="AO174" s="1084"/>
      <c r="AP174" s="1084"/>
      <c r="AQ174" s="1084"/>
    </row>
    <row r="175" spans="1:81" s="1065" customFormat="1" x14ac:dyDescent="0.2">
      <c r="A175" s="1085"/>
      <c r="B175" s="1085"/>
      <c r="C175" s="1085"/>
      <c r="D175" s="1085"/>
      <c r="E175" s="1085"/>
      <c r="F175" s="1085"/>
      <c r="G175" s="1085"/>
      <c r="H175" s="1085"/>
      <c r="I175" s="1085"/>
      <c r="J175" s="1085"/>
      <c r="K175" s="1085"/>
      <c r="L175" s="1085"/>
      <c r="M175" s="1085"/>
      <c r="N175" s="1085"/>
      <c r="O175" s="1085"/>
      <c r="P175" s="1085"/>
      <c r="Q175" s="1085"/>
      <c r="R175" s="1085"/>
      <c r="S175" s="1085"/>
      <c r="T175" s="1085"/>
      <c r="U175" s="1085"/>
      <c r="V175" s="1085"/>
      <c r="W175" s="1085"/>
      <c r="X175" s="1085"/>
      <c r="Y175" s="1085"/>
      <c r="Z175" s="1085"/>
      <c r="AA175" s="1085"/>
      <c r="AB175" s="1085"/>
      <c r="AC175" s="1085"/>
      <c r="AD175" s="1085"/>
      <c r="AE175" s="1085"/>
      <c r="AF175" s="1085"/>
      <c r="AG175" s="1085"/>
      <c r="AH175" s="1085"/>
      <c r="AI175" s="1085"/>
      <c r="AJ175" s="1085"/>
      <c r="AK175" s="1085"/>
      <c r="AL175" s="1085"/>
      <c r="AM175" s="1085"/>
      <c r="AN175" s="1085"/>
      <c r="AO175" s="1085"/>
      <c r="AP175" s="1085"/>
      <c r="AQ175" s="1085"/>
      <c r="AR175" s="1085"/>
    </row>
    <row r="176" spans="1:81" ht="21" thickBot="1" x14ac:dyDescent="0.35">
      <c r="A176" s="1089" t="s">
        <v>118</v>
      </c>
      <c r="B176" s="1089"/>
      <c r="C176" s="1089"/>
      <c r="D176" s="1089"/>
      <c r="E176" s="1089"/>
      <c r="F176" s="1089"/>
      <c r="G176" s="1089"/>
      <c r="H176" s="1089"/>
      <c r="I176" s="1089"/>
      <c r="J176" s="1089"/>
      <c r="K176" s="1089"/>
      <c r="L176" s="1089"/>
      <c r="M176" s="1089"/>
      <c r="N176" s="1089"/>
      <c r="O176" s="1089"/>
      <c r="P176" s="1089"/>
      <c r="Q176" s="1089"/>
      <c r="R176" s="1089"/>
      <c r="S176" s="1089"/>
      <c r="T176" s="1089"/>
      <c r="U176" s="1089"/>
      <c r="V176" s="1089"/>
      <c r="W176" s="1089"/>
      <c r="X176" s="1089"/>
      <c r="Y176" s="1089"/>
      <c r="Z176" s="1089"/>
      <c r="AA176" s="1089"/>
      <c r="AB176" s="1089"/>
      <c r="AC176" s="1089"/>
      <c r="AD176" s="1089"/>
      <c r="AE176" s="1089"/>
      <c r="AF176" s="1089"/>
      <c r="AG176" s="1089"/>
      <c r="AH176" s="1089"/>
      <c r="AI176" s="1089"/>
      <c r="AJ176" s="1089"/>
      <c r="AK176" s="1089"/>
      <c r="AL176" s="1089"/>
      <c r="AM176" s="1089"/>
      <c r="AN176" s="1089"/>
      <c r="AO176" s="1089"/>
      <c r="AP176" s="1089"/>
      <c r="AQ176" s="1089"/>
    </row>
    <row r="177" spans="1:53" ht="13.5" thickBot="1" x14ac:dyDescent="0.25">
      <c r="A177" s="1090" t="s">
        <v>119</v>
      </c>
      <c r="B177" s="1091" t="s">
        <v>120</v>
      </c>
      <c r="C177" s="1092"/>
      <c r="D177" s="1092"/>
      <c r="E177" s="1092"/>
      <c r="F177" s="1092"/>
      <c r="G177" s="1092"/>
      <c r="H177" s="1092"/>
      <c r="I177" s="1092"/>
      <c r="J177" s="1092"/>
      <c r="K177" s="1093"/>
      <c r="L177" s="1091" t="s">
        <v>121</v>
      </c>
      <c r="M177" s="1092"/>
      <c r="N177" s="1092"/>
      <c r="O177" s="1092"/>
      <c r="P177" s="1092"/>
      <c r="Q177" s="1092"/>
      <c r="R177" s="1092"/>
      <c r="S177" s="1092"/>
      <c r="T177" s="1092"/>
      <c r="U177" s="1093"/>
      <c r="V177" s="1091" t="s">
        <v>122</v>
      </c>
      <c r="W177" s="1092"/>
      <c r="X177" s="1092"/>
      <c r="Y177" s="1092"/>
      <c r="Z177" s="1092"/>
      <c r="AA177" s="1092"/>
      <c r="AB177" s="1092"/>
      <c r="AC177" s="1092"/>
      <c r="AD177" s="1092"/>
      <c r="AE177" s="1093"/>
      <c r="AF177" s="1091" t="s">
        <v>123</v>
      </c>
      <c r="AG177" s="1092"/>
      <c r="AH177" s="1092"/>
      <c r="AI177" s="1092"/>
      <c r="AJ177" s="1092"/>
      <c r="AK177" s="1092"/>
      <c r="AL177" s="1092"/>
      <c r="AM177" s="1092"/>
      <c r="AN177" s="1092"/>
      <c r="AO177" s="1093"/>
    </row>
    <row r="178" spans="1:53" ht="13.5" thickBot="1" x14ac:dyDescent="0.25">
      <c r="A178" s="1094"/>
      <c r="B178" s="1095" t="s">
        <v>10</v>
      </c>
      <c r="C178" s="1096"/>
      <c r="D178" s="1096"/>
      <c r="E178" s="1096"/>
      <c r="F178" s="1096"/>
      <c r="G178" s="1097"/>
      <c r="H178" s="1095" t="s">
        <v>124</v>
      </c>
      <c r="I178" s="1096"/>
      <c r="J178" s="1096"/>
      <c r="K178" s="1097"/>
      <c r="L178" s="1095" t="s">
        <v>10</v>
      </c>
      <c r="M178" s="1096"/>
      <c r="N178" s="1096"/>
      <c r="O178" s="1096"/>
      <c r="P178" s="1096"/>
      <c r="Q178" s="1097"/>
      <c r="R178" s="1095" t="s">
        <v>124</v>
      </c>
      <c r="S178" s="1096"/>
      <c r="T178" s="1096"/>
      <c r="U178" s="1097"/>
      <c r="V178" s="1095" t="s">
        <v>10</v>
      </c>
      <c r="W178" s="1096"/>
      <c r="X178" s="1096"/>
      <c r="Y178" s="1096"/>
      <c r="Z178" s="1096"/>
      <c r="AA178" s="1097"/>
      <c r="AB178" s="1095" t="s">
        <v>124</v>
      </c>
      <c r="AC178" s="1096"/>
      <c r="AD178" s="1096"/>
      <c r="AE178" s="1097"/>
      <c r="AF178" s="1095" t="s">
        <v>10</v>
      </c>
      <c r="AG178" s="1096"/>
      <c r="AH178" s="1096"/>
      <c r="AI178" s="1096"/>
      <c r="AJ178" s="1096"/>
      <c r="AK178" s="1097"/>
      <c r="AL178" s="1095" t="s">
        <v>124</v>
      </c>
      <c r="AM178" s="1096"/>
      <c r="AN178" s="1096"/>
      <c r="AO178" s="1097"/>
    </row>
    <row r="179" spans="1:53" x14ac:dyDescent="0.2">
      <c r="A179" s="1098" t="s">
        <v>125</v>
      </c>
      <c r="B179" s="1099" t="str">
        <f>IF($AG$8=1,$E$8,IF($AG$10=1,$E$10,IF($AG$12=1,$E$12,IF($AG$14=1,$E$14,IF($AG$16=1,$E$16,"1st Place "&amp;$A179)))))</f>
        <v>SC Midlands KP Garnet</v>
      </c>
      <c r="C179" s="1100"/>
      <c r="D179" s="1100"/>
      <c r="E179" s="1100"/>
      <c r="F179" s="1100"/>
      <c r="G179" s="1100"/>
      <c r="H179" s="1101" t="str">
        <f>IF($AG$8=1,$E$9,IF($AG$10=1,$E$11,IF($AG$12=1,$E$13,IF($AG$14=1,$E$15,IF($AG$16=1,$E$17,"1st Place "&amp;$A179)))))</f>
        <v>fj1scmid2pm</v>
      </c>
      <c r="I179" s="1101"/>
      <c r="J179" s="1101"/>
      <c r="K179" s="1102"/>
      <c r="L179" s="1099" t="str">
        <f>IF($AG$8=2,$E$8,IF($AG$10=2,$E$10,IF($AG$12=2,$E$12,IF($AG$14=2,$E$14,IF($AG$16=2,$E$16,"2nd Place "&amp;$A179)))))</f>
        <v>Kershaw Dev 12 Black</v>
      </c>
      <c r="M179" s="1100"/>
      <c r="N179" s="1100"/>
      <c r="O179" s="1100"/>
      <c r="P179" s="1100"/>
      <c r="Q179" s="1100"/>
      <c r="R179" s="1101" t="str">
        <f>IF($AG$8=2,$E$9,IF($AG$10=2,$E$11,IF($AG$12=2,$E$13,IF($AG$14=2,$E$15,IF($AG$16=2,$E$17,"2nd Place "&amp;$A179)))))</f>
        <v>fj2kersh4pm</v>
      </c>
      <c r="S179" s="1101"/>
      <c r="T179" s="1101"/>
      <c r="U179" s="1102"/>
      <c r="V179" s="1099" t="str">
        <f>IF($AG$8=3,$E$8,IF($AG$10=3,$E$10,IF($AG$12=3,$E$12,IF($AG$14=3,$E$14,IF($AG$16=3,$E$16,"3rd Place "&amp;$A179)))))</f>
        <v>SC Midlands KP Silver</v>
      </c>
      <c r="W179" s="1100"/>
      <c r="X179" s="1100"/>
      <c r="Y179" s="1100"/>
      <c r="Z179" s="1100"/>
      <c r="AA179" s="1100"/>
      <c r="AB179" s="1101" t="str">
        <f>IF($AG$8=3,$E$9,IF($AG$10=3,$E$11,IF($AG$12=3,$E$13,IF($AG$14=3,$E$15,IF($AG$16=3,$E$17,"3rd Place "&amp;$A179)))))</f>
        <v>fj1scmid4pm</v>
      </c>
      <c r="AC179" s="1101"/>
      <c r="AD179" s="1101"/>
      <c r="AE179" s="1102"/>
      <c r="AF179" s="1099" t="str">
        <f>IF($AG$8=4,$E$8,IF($AG$10=4,$E$10,IF($AG$12=4,$E$12,IF($AG$14=4,$E$14,IF($AG$16=4,$E$16,"4th Place "&amp;$A179)))))</f>
        <v>Foothills Skylar</v>
      </c>
      <c r="AG179" s="1100"/>
      <c r="AH179" s="1100"/>
      <c r="AI179" s="1100"/>
      <c r="AJ179" s="1100"/>
      <c r="AK179" s="1100"/>
      <c r="AL179" s="1101" t="str">
        <f>IF($AG$8=4,$E$9,IF($AG$10=4,$E$11,IF($AG$12=4,$E$13,IF($AG$14=4,$E$15,IF($AG$16=4,$E$17,"4th Place "&amp;$A179)))))</f>
        <v>fj2footh3pm</v>
      </c>
      <c r="AM179" s="1101"/>
      <c r="AN179" s="1101"/>
      <c r="AO179" s="1102"/>
    </row>
    <row r="180" spans="1:53" ht="13.5" thickBot="1" x14ac:dyDescent="0.25">
      <c r="A180" s="1103" t="s">
        <v>126</v>
      </c>
      <c r="B180" s="1104" t="str">
        <f>IF($AG$93=1,$E$93,IF($AG$95=1,$E$95,IF($AG$97=1,$E$97,IF($AG$99=1,$E$99,IF($AG$101=1,$E$101,"1st Place "&amp;$A180)))))</f>
        <v>Intense Kids power Gvl</v>
      </c>
      <c r="C180" s="1105"/>
      <c r="D180" s="1105"/>
      <c r="E180" s="1105"/>
      <c r="F180" s="1105"/>
      <c r="G180" s="1105"/>
      <c r="H180" s="1106" t="str">
        <f>IF($AG$93=1,$E$94,IF($AG$95=1,$E$96,IF($AG$97=1,$E$98,IF($AG$99=1,$E$100,IF($AG$101=1,$E$102,"1st Place "&amp;$A180)))))</f>
        <v>fj2inten2pm</v>
      </c>
      <c r="I180" s="1106"/>
      <c r="J180" s="1106"/>
      <c r="K180" s="1107"/>
      <c r="L180" s="1104" t="str">
        <f>IF($AG$93=2,$E$93,IF($AG$95=2,$E$95,IF($AG$97=2,$E$97,IF($AG$99=2,$E$99,IF($AG$101=2,$E$101,"2nd Place "&amp;$A180)))))</f>
        <v>SC Midlands KP Black</v>
      </c>
      <c r="M180" s="1105"/>
      <c r="N180" s="1105"/>
      <c r="O180" s="1105"/>
      <c r="P180" s="1105"/>
      <c r="Q180" s="1105"/>
      <c r="R180" s="1106" t="str">
        <f>IF($AG$93=2,$E$94,IF($AG$95=2,$E$96,IF($AG$97=2,$E$98,IF($AG$99=2,$E$100,IF($AG$101=2,$E$102,"2nd Place "&amp;$A180)))))</f>
        <v>fj1scmid1pm</v>
      </c>
      <c r="S180" s="1106"/>
      <c r="T180" s="1106"/>
      <c r="U180" s="1107"/>
      <c r="V180" s="1104" t="str">
        <f>IF($AG$93=3,$E$93,IF($AG$95=3,$E$95,IF($AG$97=3,$E$97,IF($AG$99=3,$E$99,IF($AG$101=3,$E$101,"3rd Place "&amp;$A180)))))</f>
        <v>Columbia SC Starlings 12</v>
      </c>
      <c r="W180" s="1105"/>
      <c r="X180" s="1105"/>
      <c r="Y180" s="1105"/>
      <c r="Z180" s="1105"/>
      <c r="AA180" s="1105"/>
      <c r="AB180" s="1106" t="str">
        <f>IF($AG$93=3,$E$94,IF($AG$95=3,$E$96,IF($AG$97=3,$E$98,IF($AG$99=3,$E$100,IF($AG$101=3,$E$102,"3rd Place "&amp;$A180)))))</f>
        <v>fj2starl1pm</v>
      </c>
      <c r="AC180" s="1106"/>
      <c r="AD180" s="1106"/>
      <c r="AE180" s="1107"/>
      <c r="AF180" s="1108"/>
      <c r="AG180" s="1109"/>
      <c r="AH180" s="1109"/>
      <c r="AI180" s="1109"/>
      <c r="AJ180" s="1109"/>
      <c r="AK180" s="1109"/>
      <c r="AL180" s="1110"/>
      <c r="AM180" s="1110"/>
      <c r="AN180" s="1110"/>
      <c r="AO180" s="1111"/>
    </row>
    <row r="181" spans="1:53" s="845" customFormat="1" x14ac:dyDescent="0.2">
      <c r="A181" s="1112"/>
      <c r="B181" s="1113"/>
      <c r="C181" s="1113"/>
      <c r="D181" s="1113"/>
      <c r="E181" s="1113"/>
      <c r="F181" s="1113"/>
      <c r="G181" s="1113"/>
      <c r="H181" s="1113"/>
      <c r="I181" s="1113"/>
      <c r="J181" s="1113"/>
      <c r="K181" s="1113"/>
      <c r="L181" s="1113"/>
      <c r="M181" s="1113"/>
      <c r="N181" s="1113"/>
      <c r="O181" s="1113"/>
      <c r="P181" s="1113"/>
      <c r="Q181" s="1113"/>
      <c r="R181" s="1113"/>
      <c r="S181" s="1113"/>
      <c r="T181" s="1113"/>
      <c r="U181" s="1113"/>
      <c r="V181" s="1113"/>
      <c r="W181" s="1113"/>
      <c r="X181" s="1113"/>
      <c r="Y181" s="1113"/>
      <c r="Z181" s="1113"/>
      <c r="AA181" s="1113"/>
      <c r="AB181" s="1113"/>
      <c r="AC181" s="1113"/>
      <c r="AD181" s="1113"/>
      <c r="AE181" s="1113"/>
      <c r="AF181" s="1113"/>
      <c r="AG181" s="1113"/>
      <c r="AH181" s="1113"/>
      <c r="AI181" s="1113"/>
      <c r="AJ181" s="1113"/>
      <c r="AK181" s="1113"/>
      <c r="AL181" s="1113"/>
      <c r="AM181" s="1113"/>
      <c r="AN181" s="1113"/>
      <c r="AO181" s="1113"/>
      <c r="AZ181" s="846"/>
      <c r="BA181" s="846"/>
    </row>
    <row r="182" spans="1:53" ht="15.75" x14ac:dyDescent="0.25">
      <c r="A182" s="1114" t="s">
        <v>127</v>
      </c>
      <c r="B182" s="1114"/>
      <c r="C182" s="1114"/>
      <c r="D182" s="1114"/>
      <c r="E182" s="1114"/>
      <c r="F182" s="1114"/>
      <c r="G182" s="1114"/>
      <c r="H182" s="1114"/>
      <c r="I182" s="1114"/>
      <c r="J182" s="1114"/>
      <c r="K182" s="1114"/>
      <c r="L182" s="1114"/>
      <c r="M182" s="1114"/>
      <c r="N182" s="1114"/>
      <c r="O182" s="1114"/>
      <c r="P182" s="1114"/>
      <c r="Q182" s="1114"/>
      <c r="R182" s="1114"/>
      <c r="S182" s="1114"/>
      <c r="T182" s="1114"/>
      <c r="U182" s="1114"/>
      <c r="V182" s="1114"/>
      <c r="W182" s="1114"/>
      <c r="X182" s="1114"/>
      <c r="Y182" s="1114"/>
      <c r="Z182" s="1114"/>
      <c r="AA182" s="1114"/>
      <c r="AB182" s="1114"/>
      <c r="AC182" s="1114"/>
      <c r="AD182" s="1114"/>
      <c r="AE182" s="1114"/>
      <c r="AF182" s="1114"/>
      <c r="AG182" s="1114"/>
      <c r="AH182" s="1114"/>
      <c r="AI182" s="1114"/>
      <c r="AJ182" s="1114"/>
      <c r="AK182" s="1114"/>
      <c r="AL182" s="1114"/>
      <c r="AM182" s="1114"/>
      <c r="AN182" s="1114"/>
      <c r="AO182" s="1114"/>
      <c r="AP182" s="1114"/>
      <c r="AQ182" s="1114"/>
      <c r="AT182" s="1115"/>
      <c r="AU182" s="1115"/>
    </row>
    <row r="183" spans="1:53" ht="18" x14ac:dyDescent="0.25">
      <c r="A183" s="1116" t="s">
        <v>1130</v>
      </c>
      <c r="B183" s="1116"/>
      <c r="C183" s="1116"/>
      <c r="D183" s="1116"/>
      <c r="E183" s="1116"/>
      <c r="F183" s="1116"/>
      <c r="G183" s="1116"/>
      <c r="H183" s="1116"/>
      <c r="I183" s="1116"/>
      <c r="J183" s="1116"/>
      <c r="K183" s="1116"/>
      <c r="L183" s="1116"/>
      <c r="M183" s="1116"/>
      <c r="N183" s="1116"/>
      <c r="O183" s="1116"/>
      <c r="P183" s="1116"/>
      <c r="Q183" s="1116"/>
      <c r="R183" s="1116"/>
      <c r="S183" s="1116"/>
      <c r="T183" s="1116"/>
      <c r="U183" s="1116"/>
      <c r="V183" s="1116"/>
      <c r="W183" s="1116"/>
      <c r="X183" s="1116"/>
      <c r="Y183" s="1116"/>
      <c r="Z183" s="1116"/>
      <c r="AA183" s="1116"/>
      <c r="AB183" s="1116"/>
      <c r="AC183" s="1116"/>
      <c r="AD183" s="1116"/>
      <c r="AE183" s="1116"/>
      <c r="AF183" s="1116"/>
      <c r="AG183" s="1116"/>
      <c r="AH183" s="1116"/>
      <c r="AI183" s="1116"/>
      <c r="AJ183" s="1116"/>
      <c r="AK183" s="1116"/>
      <c r="AL183" s="1116"/>
      <c r="AM183" s="1116"/>
      <c r="AN183" s="1116"/>
      <c r="AO183" s="1116"/>
      <c r="AP183" s="1116"/>
      <c r="AQ183" s="1116"/>
      <c r="AR183" s="1116"/>
    </row>
    <row r="184" spans="1:53" x14ac:dyDescent="0.2">
      <c r="A184" s="1117"/>
      <c r="B184" s="1117"/>
      <c r="C184" s="1117"/>
      <c r="D184" s="1117"/>
      <c r="E184" s="1117"/>
      <c r="F184" s="1117"/>
      <c r="G184" s="1117"/>
      <c r="H184" s="1117"/>
      <c r="I184" s="1117"/>
      <c r="J184" s="1117"/>
      <c r="K184" s="1117"/>
      <c r="L184" s="1117"/>
      <c r="M184" s="1117"/>
      <c r="N184" s="1117"/>
      <c r="O184" s="1117"/>
      <c r="P184" s="1117"/>
      <c r="Q184" s="1117"/>
      <c r="R184" s="1117"/>
      <c r="S184" s="1117"/>
      <c r="T184" s="1117"/>
      <c r="U184" s="1117"/>
      <c r="V184" s="1117"/>
      <c r="W184" s="1117"/>
      <c r="X184" s="1117"/>
      <c r="Y184" s="1117"/>
      <c r="Z184" s="1117"/>
      <c r="AA184" s="1117"/>
      <c r="AB184" s="1117"/>
      <c r="AC184" s="1117"/>
      <c r="AD184" s="1117"/>
      <c r="AE184" s="1117"/>
      <c r="AF184" s="1117"/>
      <c r="AG184" s="1117"/>
      <c r="AH184" s="1117"/>
      <c r="AI184" s="1117"/>
      <c r="AJ184" s="1117"/>
      <c r="AK184" s="1117"/>
      <c r="AL184" s="1117"/>
      <c r="AM184" s="1117"/>
      <c r="AN184" s="1117"/>
      <c r="AO184" s="1117"/>
      <c r="AP184" s="1117"/>
      <c r="AQ184" s="1117"/>
      <c r="AR184" s="1117"/>
    </row>
    <row r="185" spans="1:53" x14ac:dyDescent="0.2">
      <c r="A185" s="1117"/>
      <c r="B185" s="1117"/>
      <c r="C185" s="1117"/>
      <c r="D185" s="1117"/>
      <c r="E185" s="1117"/>
      <c r="F185" s="1117"/>
      <c r="G185" s="1117"/>
      <c r="H185" s="1117"/>
      <c r="I185" s="1117"/>
      <c r="J185" s="1117"/>
      <c r="K185" s="1117"/>
      <c r="L185" s="1117"/>
      <c r="M185" s="1117"/>
      <c r="N185" s="1117"/>
      <c r="O185" s="1117"/>
      <c r="P185" s="1117"/>
      <c r="Q185" s="1117"/>
      <c r="R185" s="1117"/>
      <c r="S185" s="1117"/>
      <c r="T185" s="1117"/>
      <c r="U185" s="1117"/>
      <c r="V185" s="1117"/>
      <c r="W185" s="1117"/>
      <c r="X185" s="1117"/>
      <c r="Y185" s="1117"/>
      <c r="Z185" s="1117"/>
      <c r="AA185" s="1117"/>
      <c r="AB185" s="1117"/>
      <c r="AC185" s="1117"/>
      <c r="AD185" s="1117"/>
      <c r="AE185" s="1117"/>
      <c r="AF185" s="1117"/>
      <c r="AG185" s="1117"/>
      <c r="AH185" s="1117"/>
      <c r="AI185" s="1117"/>
      <c r="AJ185" s="1117"/>
      <c r="AK185" s="1117"/>
      <c r="AL185" s="1117"/>
      <c r="AM185" s="1117"/>
      <c r="AN185" s="1117"/>
      <c r="AO185" s="1117"/>
      <c r="AP185" s="1117"/>
      <c r="AQ185" s="1117"/>
      <c r="AR185" s="1117"/>
    </row>
    <row r="186" spans="1:53" x14ac:dyDescent="0.2">
      <c r="A186" s="1118" t="s">
        <v>130</v>
      </c>
      <c r="B186" s="1118"/>
      <c r="C186" s="1118"/>
      <c r="D186" s="1118"/>
      <c r="E186" s="1118"/>
      <c r="F186" s="1118"/>
      <c r="G186" s="1118"/>
      <c r="H186" s="1118"/>
      <c r="I186" s="1118"/>
      <c r="J186" s="1118"/>
      <c r="K186" s="1118"/>
      <c r="L186" s="1118"/>
      <c r="M186" s="1119"/>
    </row>
    <row r="187" spans="1:53" x14ac:dyDescent="0.2">
      <c r="C187" s="845"/>
      <c r="D187" s="845"/>
      <c r="E187" s="845"/>
      <c r="M187" s="1119"/>
    </row>
    <row r="188" spans="1:53" x14ac:dyDescent="0.2">
      <c r="A188" s="1084" t="s">
        <v>131</v>
      </c>
      <c r="B188" s="1084"/>
      <c r="C188" s="1084"/>
      <c r="D188" s="1084"/>
      <c r="E188" s="1084"/>
      <c r="F188" s="1084"/>
      <c r="G188" s="1084"/>
      <c r="H188" s="1084"/>
      <c r="I188" s="1084"/>
      <c r="J188" s="1084"/>
      <c r="K188" s="1084"/>
      <c r="L188" s="1084"/>
      <c r="M188" s="1084"/>
      <c r="N188" s="1084"/>
      <c r="O188" s="1084"/>
      <c r="P188" s="1084"/>
      <c r="Q188" s="1066"/>
      <c r="S188" s="1084" t="s">
        <v>132</v>
      </c>
      <c r="T188" s="1084"/>
      <c r="U188" s="1084"/>
      <c r="V188" s="1084"/>
      <c r="W188" s="1084"/>
      <c r="X188" s="1084"/>
      <c r="Y188" s="1084"/>
      <c r="Z188" s="1084"/>
      <c r="AA188" s="1084"/>
      <c r="AB188" s="1084"/>
      <c r="AC188" s="1084"/>
      <c r="AD188" s="1084"/>
      <c r="AE188" s="1084"/>
      <c r="AF188" s="1084"/>
      <c r="AG188" s="1084"/>
    </row>
    <row r="190" spans="1:53" ht="13.5" thickBot="1" x14ac:dyDescent="0.25">
      <c r="A190" s="1120" t="str">
        <f>IF(B218=1,B210,IF(B218=2,B211,IF(B218=3,B212,IF(B218=4,B213,IF(OR(B218="B",B218="b"),"BYE","invalid")))))</f>
        <v>SC Midlands KP Garnet</v>
      </c>
      <c r="B190" s="1120"/>
      <c r="C190" s="1120"/>
      <c r="D190" s="1120"/>
      <c r="E190" s="1120"/>
      <c r="F190" s="1121"/>
      <c r="G190" s="1121"/>
      <c r="H190" s="1121"/>
      <c r="I190" s="1121"/>
      <c r="J190" s="1121"/>
      <c r="K190" s="1121"/>
      <c r="L190" s="1121"/>
      <c r="M190" s="1121"/>
      <c r="N190" s="1121"/>
      <c r="O190" s="1121"/>
      <c r="T190" s="1122"/>
      <c r="U190" s="1122"/>
      <c r="V190" s="1120" t="str">
        <f>IF(X218=1,Y210,IF(X218=2,Y211,IF(X218=3,Y212,IF(X218=4,Y213,IF(OR(X218="B",X218="b"),"BYE","invalid")))))</f>
        <v>SC Midlands KP Silver</v>
      </c>
      <c r="W190" s="1120"/>
      <c r="X190" s="1120"/>
      <c r="Y190" s="1120"/>
      <c r="Z190" s="1120"/>
      <c r="AA190" s="1120"/>
      <c r="AB190" s="1120"/>
      <c r="AC190" s="1121"/>
      <c r="AD190" s="1121"/>
      <c r="AE190" s="1121"/>
      <c r="AF190" s="1121"/>
    </row>
    <row r="191" spans="1:53" x14ac:dyDescent="0.2">
      <c r="A191" s="1123" t="s">
        <v>133</v>
      </c>
      <c r="B191" s="1123"/>
      <c r="C191" s="1123"/>
      <c r="D191" s="1123"/>
      <c r="E191" s="1123"/>
      <c r="F191" s="1124"/>
      <c r="G191" s="1121"/>
      <c r="H191" s="1121"/>
      <c r="I191" s="1121"/>
      <c r="J191" s="1121"/>
      <c r="K191" s="1121"/>
      <c r="L191" s="1121"/>
      <c r="M191" s="1121"/>
      <c r="N191" s="1121"/>
      <c r="O191" s="1121"/>
      <c r="T191" s="1125"/>
      <c r="U191" s="1125"/>
      <c r="V191" s="1126"/>
      <c r="W191" s="1126"/>
      <c r="X191" s="1126"/>
      <c r="Y191" s="1126"/>
      <c r="Z191" s="1126"/>
      <c r="AA191" s="1126"/>
      <c r="AB191" s="1127"/>
      <c r="AC191" s="1121"/>
      <c r="AD191" s="1121"/>
      <c r="AE191" s="1121"/>
      <c r="AF191" s="1121"/>
    </row>
    <row r="192" spans="1:53" x14ac:dyDescent="0.2">
      <c r="A192" s="1121"/>
      <c r="B192" s="1121"/>
      <c r="C192" s="1121"/>
      <c r="D192" s="1121"/>
      <c r="E192" s="1121"/>
      <c r="F192" s="1124"/>
      <c r="G192" s="1121"/>
      <c r="H192" s="1121"/>
      <c r="I192" s="1121"/>
      <c r="J192" s="1121"/>
      <c r="K192" s="1121"/>
      <c r="L192" s="1121"/>
      <c r="M192" s="1121"/>
      <c r="N192" s="1121"/>
      <c r="O192" s="1121"/>
      <c r="S192" s="1121"/>
      <c r="T192" s="1121"/>
      <c r="U192" s="1121"/>
      <c r="V192" s="1121"/>
      <c r="W192" s="1121"/>
      <c r="X192" s="1121"/>
      <c r="Y192" s="1121"/>
      <c r="Z192" s="1121"/>
      <c r="AA192" s="1121"/>
      <c r="AB192" s="1128"/>
      <c r="AC192" s="1121"/>
      <c r="AD192" s="1121"/>
      <c r="AE192" s="1121"/>
      <c r="AF192" s="1121"/>
    </row>
    <row r="193" spans="1:53" ht="13.5" thickBot="1" x14ac:dyDescent="0.25">
      <c r="A193" s="1129" t="str">
        <f>B212&amp;" ref"</f>
        <v>Kershaw Dev 12 Black ref</v>
      </c>
      <c r="B193" s="1129"/>
      <c r="C193" s="1129"/>
      <c r="D193" s="1129"/>
      <c r="E193" s="1130"/>
      <c r="F193" s="1131" t="str">
        <f>IF(H218=1,B210,IF(H218=2,B211,IF(H218=3,B212,IF(H218=4,B213,"Winner Match 1"))))</f>
        <v>Winner Match 1</v>
      </c>
      <c r="G193" s="1132"/>
      <c r="H193" s="1132"/>
      <c r="I193" s="1132"/>
      <c r="J193" s="1132"/>
      <c r="K193" s="1132"/>
      <c r="L193" s="1132"/>
      <c r="M193" s="1132"/>
      <c r="N193" s="1132"/>
      <c r="O193" s="1121"/>
      <c r="Q193" s="1133"/>
      <c r="R193" s="1133"/>
      <c r="S193" s="1133"/>
      <c r="T193" s="1133"/>
      <c r="U193" s="1134"/>
      <c r="V193" s="1134"/>
      <c r="W193" s="1134"/>
      <c r="X193" s="1134"/>
      <c r="Y193" s="1134"/>
      <c r="Z193" s="1134"/>
      <c r="AA193" s="1134"/>
      <c r="AB193" s="1128"/>
      <c r="AC193" s="1131" t="str">
        <f>IF(AD218=1,Y210,IF(AD218=2,Y211,IF(AD218=3,Y212,IF(AD218=4,Y213,"Winner Match 1"))))</f>
        <v>SC Midlands KP Silver</v>
      </c>
      <c r="AD193" s="1132"/>
      <c r="AE193" s="1132"/>
      <c r="AF193" s="1132"/>
      <c r="AG193" s="1132"/>
      <c r="AH193" s="1132"/>
      <c r="AI193" s="1132"/>
    </row>
    <row r="194" spans="1:53" x14ac:dyDescent="0.2">
      <c r="A194" s="1135" t="s">
        <v>135</v>
      </c>
      <c r="B194" s="1135"/>
      <c r="C194" s="1135"/>
      <c r="D194" s="1135"/>
      <c r="E194" s="1135"/>
      <c r="F194" s="1136"/>
      <c r="G194" s="1137"/>
      <c r="H194" s="1137"/>
      <c r="I194" s="1138"/>
      <c r="J194" s="1139"/>
      <c r="K194" s="1140"/>
      <c r="L194" s="1140"/>
      <c r="M194" s="1140"/>
      <c r="N194" s="1140"/>
      <c r="O194" s="1121"/>
      <c r="P194" s="1121"/>
      <c r="Q194" s="1141"/>
      <c r="R194" s="853"/>
      <c r="S194" s="1142"/>
      <c r="T194" s="1142"/>
      <c r="U194" s="1143"/>
      <c r="V194" s="1143"/>
      <c r="W194" s="1143"/>
      <c r="X194" s="1143"/>
      <c r="Y194" s="1143"/>
      <c r="Z194" s="1143"/>
      <c r="AA194" s="1143"/>
      <c r="AB194" s="1128"/>
      <c r="AC194" s="1136"/>
      <c r="AD194" s="1137"/>
      <c r="AE194" s="1137"/>
      <c r="AF194" s="1138"/>
      <c r="AG194" s="1139"/>
      <c r="AH194" s="1140"/>
      <c r="AI194" s="1140"/>
    </row>
    <row r="195" spans="1:53" ht="13.5" thickBot="1" x14ac:dyDescent="0.25">
      <c r="A195" s="1120" t="str">
        <f>IF(D218=1,B210,IF(D218=2,B211,IF(D218=3,B212,IF(D218=4,B213,IF(OR(D218="B",D218="b"),"BYE","invalid")))))</f>
        <v>SC Midlands KP Black</v>
      </c>
      <c r="B195" s="1120"/>
      <c r="C195" s="1120"/>
      <c r="D195" s="1120"/>
      <c r="E195" s="1144"/>
      <c r="F195" s="1124"/>
      <c r="G195" s="1121"/>
      <c r="H195" s="1121"/>
      <c r="I195" s="1121"/>
      <c r="J195" s="1124"/>
      <c r="K195" s="1121"/>
      <c r="L195" s="1121"/>
      <c r="M195" s="1121"/>
      <c r="N195" s="1121"/>
      <c r="O195" s="1121"/>
      <c r="P195" s="1121"/>
      <c r="Q195" s="1121"/>
      <c r="U195" s="1121"/>
      <c r="V195" s="1145" t="str">
        <f>IF(Z218=1,Y210,IF(Z218=2,Y211,IF(Z218=3,Y212,IF(Z218=4,Y213,IF(OR(Z218="B",Z218="b"),"BYE","invalid")))))</f>
        <v>BYE</v>
      </c>
      <c r="W195" s="1145"/>
      <c r="X195" s="1145"/>
      <c r="Y195" s="1145"/>
      <c r="Z195" s="1145"/>
      <c r="AA195" s="1145"/>
      <c r="AB195" s="1146"/>
      <c r="AC195" s="1121"/>
      <c r="AD195" s="1121"/>
      <c r="AE195" s="1121"/>
      <c r="AF195" s="1128"/>
      <c r="AG195" s="1121"/>
      <c r="AH195" s="1121"/>
    </row>
    <row r="196" spans="1:53" x14ac:dyDescent="0.2">
      <c r="A196" s="1123" t="s">
        <v>137</v>
      </c>
      <c r="B196" s="1123"/>
      <c r="C196" s="1123"/>
      <c r="D196" s="1123"/>
      <c r="E196" s="1123"/>
      <c r="F196" s="1121"/>
      <c r="G196" s="1121"/>
      <c r="H196" s="1121"/>
      <c r="I196" s="1121"/>
      <c r="J196" s="1124"/>
      <c r="K196" s="1121"/>
      <c r="L196" s="1121"/>
      <c r="M196" s="1121"/>
      <c r="N196" s="1121"/>
      <c r="O196" s="1121"/>
      <c r="P196" s="1121"/>
      <c r="Q196" s="1121"/>
      <c r="V196" s="1147"/>
      <c r="W196" s="1147"/>
      <c r="X196" s="1147"/>
      <c r="Y196" s="1147"/>
      <c r="Z196" s="1147"/>
      <c r="AA196" s="1147"/>
      <c r="AB196" s="1147"/>
      <c r="AC196" s="1121"/>
      <c r="AD196" s="1121"/>
      <c r="AE196" s="1121"/>
      <c r="AF196" s="1128"/>
      <c r="AG196" s="1121"/>
      <c r="AH196" s="1121"/>
      <c r="AR196" s="1148"/>
      <c r="AS196" s="1148"/>
      <c r="AV196" s="1148"/>
      <c r="AW196" s="1148"/>
      <c r="AX196" s="1148"/>
    </row>
    <row r="197" spans="1:53" x14ac:dyDescent="0.2">
      <c r="A197" s="1121"/>
      <c r="B197" s="1121"/>
      <c r="C197" s="1121"/>
      <c r="D197" s="1121"/>
      <c r="E197" s="1121"/>
      <c r="F197" s="1134" t="s">
        <v>139</v>
      </c>
      <c r="G197" s="1134"/>
      <c r="H197" s="1134"/>
      <c r="I197" s="1149"/>
      <c r="J197" s="1124"/>
      <c r="K197" s="1121"/>
      <c r="L197" s="1121"/>
      <c r="M197" s="1121"/>
      <c r="N197" s="1121"/>
      <c r="O197" s="1121"/>
      <c r="P197" s="1121"/>
      <c r="Q197" s="1121"/>
      <c r="S197" s="1121"/>
      <c r="T197" s="1121"/>
      <c r="U197" s="1121"/>
      <c r="V197" s="1121"/>
      <c r="W197" s="1121"/>
      <c r="X197" s="1133"/>
      <c r="Y197" s="1133"/>
      <c r="Z197" s="1133"/>
      <c r="AB197" s="1133"/>
      <c r="AC197" s="1134" t="s">
        <v>139</v>
      </c>
      <c r="AD197" s="1134"/>
      <c r="AE197" s="1134"/>
      <c r="AF197" s="1149"/>
      <c r="AG197" s="1121"/>
      <c r="AH197" s="1121"/>
    </row>
    <row r="198" spans="1:53" ht="13.5" thickBot="1" x14ac:dyDescent="0.25">
      <c r="A198" s="1121"/>
      <c r="B198" s="1121"/>
      <c r="C198" s="1121"/>
      <c r="D198" s="1121"/>
      <c r="E198" s="1121"/>
      <c r="F198" s="1121"/>
      <c r="G198" s="1121"/>
      <c r="H198" s="1121"/>
      <c r="I198" s="1121"/>
      <c r="J198" s="1150" t="str">
        <f>IF(K223=1,B210,IF(K223=2,B211,IF(K223=3,B212,IF(K223=4,B213,"Division Winner"))))</f>
        <v>Division Winner</v>
      </c>
      <c r="K198" s="1151"/>
      <c r="L198" s="1151"/>
      <c r="M198" s="1151"/>
      <c r="N198" s="1151"/>
      <c r="O198" s="1151"/>
      <c r="P198" s="1151"/>
      <c r="Q198" s="1151"/>
      <c r="R198" s="1122"/>
      <c r="S198" s="1121"/>
      <c r="T198" s="1121"/>
      <c r="U198" s="1121"/>
      <c r="V198" s="1121"/>
      <c r="W198" s="1121"/>
      <c r="X198" s="1121"/>
      <c r="Y198" s="1121"/>
      <c r="Z198" s="1121"/>
      <c r="AA198" s="1121"/>
      <c r="AB198" s="1152"/>
      <c r="AC198" s="1152"/>
      <c r="AD198" s="1152"/>
      <c r="AE198" s="1152"/>
      <c r="AF198" s="1153"/>
      <c r="AG198" s="1151" t="str">
        <f>IF(AG223=1,Y210,IF(AG223=2,Y211,IF(AG223=3,Y212,IF(AG223=4,Y213,"Division Winner"))))</f>
        <v>Division Winner</v>
      </c>
      <c r="AH198" s="1151"/>
      <c r="AI198" s="1151"/>
      <c r="AJ198" s="1151"/>
      <c r="AK198" s="1151"/>
      <c r="AL198" s="1152"/>
    </row>
    <row r="199" spans="1:53" ht="13.5" thickBot="1" x14ac:dyDescent="0.25">
      <c r="A199" s="1120" t="str">
        <f>IF(E218=1,B210,IF(E218=2,B211,IF(E218=3,B212,IF(E218=4,B213,IF(OR(E218="B",E218="b"),"BYE","invalid")))))</f>
        <v>Intense Kids power Gvl</v>
      </c>
      <c r="B199" s="1120"/>
      <c r="C199" s="1120"/>
      <c r="D199" s="1120"/>
      <c r="E199" s="1120"/>
      <c r="F199" s="1135" t="s">
        <v>140</v>
      </c>
      <c r="G199" s="1135"/>
      <c r="H199" s="1135"/>
      <c r="I199" s="1135"/>
      <c r="J199" s="1154" t="s">
        <v>141</v>
      </c>
      <c r="K199" s="1134"/>
      <c r="L199" s="1134"/>
      <c r="M199" s="1134"/>
      <c r="N199" s="1134"/>
      <c r="O199" s="1134"/>
      <c r="P199" s="1134"/>
      <c r="Q199" s="1134"/>
      <c r="S199" s="1152"/>
      <c r="T199" s="1152"/>
      <c r="U199" s="1152"/>
      <c r="V199" s="1120" t="str">
        <f>IF(AA218=1,Y210,IF(AA218=2,Y211,IF(AA218=3,Y212,IF(AA218=4,Y213,IF(OR(AA218="B",AA218="b"),"BYE","invalid")))))</f>
        <v>Columbia SC Starlings 12</v>
      </c>
      <c r="W199" s="1120"/>
      <c r="X199" s="1120"/>
      <c r="Y199" s="1120"/>
      <c r="Z199" s="1120"/>
      <c r="AA199" s="1120"/>
      <c r="AB199" s="1120"/>
      <c r="AC199" s="1135" t="s">
        <v>142</v>
      </c>
      <c r="AD199" s="1135"/>
      <c r="AE199" s="1135"/>
      <c r="AF199" s="1155"/>
      <c r="AG199" s="1156" t="s">
        <v>143</v>
      </c>
      <c r="AH199" s="1157"/>
      <c r="AI199" s="1157"/>
      <c r="AJ199" s="1157"/>
      <c r="AK199" s="1157"/>
    </row>
    <row r="200" spans="1:53" x14ac:dyDescent="0.2">
      <c r="A200" s="1123" t="s">
        <v>144</v>
      </c>
      <c r="B200" s="1123"/>
      <c r="C200" s="1123"/>
      <c r="D200" s="1123"/>
      <c r="E200" s="1123"/>
      <c r="F200" s="1124"/>
      <c r="G200" s="1121"/>
      <c r="H200" s="1121"/>
      <c r="I200" s="1121"/>
      <c r="J200" s="1154"/>
      <c r="K200" s="1134"/>
      <c r="L200" s="1134"/>
      <c r="M200" s="1134"/>
      <c r="N200" s="1134"/>
      <c r="O200" s="1134"/>
      <c r="P200" s="1134"/>
      <c r="Q200" s="1134"/>
      <c r="R200" s="1121"/>
      <c r="S200" s="1148"/>
      <c r="T200" s="1148"/>
      <c r="U200" s="1148"/>
      <c r="V200" s="1129" t="s">
        <v>145</v>
      </c>
      <c r="W200" s="1129"/>
      <c r="X200" s="1129"/>
      <c r="Y200" s="1129"/>
      <c r="Z200" s="1129"/>
      <c r="AA200" s="1129"/>
      <c r="AB200" s="1130"/>
      <c r="AC200" s="1121"/>
      <c r="AD200" s="1121"/>
      <c r="AE200" s="1121"/>
      <c r="AF200" s="1128"/>
      <c r="AG200" s="1121"/>
      <c r="AH200" s="1121"/>
    </row>
    <row r="201" spans="1:53" x14ac:dyDescent="0.2">
      <c r="A201" s="1121"/>
      <c r="B201" s="1121"/>
      <c r="C201" s="1121"/>
      <c r="D201" s="1121"/>
      <c r="E201" s="1121"/>
      <c r="F201" s="1124"/>
      <c r="G201" s="1121"/>
      <c r="H201" s="1121"/>
      <c r="I201" s="1121"/>
      <c r="J201" s="1124"/>
      <c r="K201" s="1121"/>
      <c r="L201" s="1121"/>
      <c r="M201" s="1121"/>
      <c r="N201" s="1121"/>
      <c r="O201" s="1121"/>
      <c r="Q201" s="1121"/>
      <c r="R201" s="1121"/>
      <c r="S201" s="1121"/>
      <c r="T201" s="1121"/>
      <c r="U201" s="1121"/>
      <c r="V201" s="1121"/>
      <c r="W201" s="1121"/>
      <c r="X201" s="1121"/>
      <c r="Y201" s="1121"/>
      <c r="Z201" s="1121"/>
      <c r="AA201" s="1121"/>
      <c r="AB201" s="1128"/>
      <c r="AC201" s="1124"/>
      <c r="AD201" s="1121"/>
      <c r="AE201" s="1121"/>
      <c r="AF201" s="1128"/>
      <c r="AG201" s="1121"/>
      <c r="AH201" s="1121"/>
      <c r="AZ201" s="1057"/>
      <c r="BA201" s="1057"/>
    </row>
    <row r="202" spans="1:53" ht="13.5" thickBot="1" x14ac:dyDescent="0.25">
      <c r="A202" s="1134" t="s">
        <v>146</v>
      </c>
      <c r="B202" s="1134"/>
      <c r="C202" s="1134"/>
      <c r="D202" s="1134"/>
      <c r="E202" s="1141"/>
      <c r="F202" s="1158"/>
      <c r="G202" s="1159"/>
      <c r="H202" s="1159"/>
      <c r="I202" s="1160"/>
      <c r="J202" s="1139"/>
      <c r="K202" s="1140"/>
      <c r="L202" s="1140"/>
      <c r="M202" s="1140"/>
      <c r="N202" s="1140"/>
      <c r="O202" s="1121"/>
      <c r="R202" s="1133"/>
      <c r="S202" s="1133"/>
      <c r="T202" s="1133"/>
      <c r="U202" s="1129" t="str">
        <f>Y210&amp;" ref"</f>
        <v>SC Midlands KP Silver ref</v>
      </c>
      <c r="V202" s="1129"/>
      <c r="W202" s="1129"/>
      <c r="X202" s="1129"/>
      <c r="Y202" s="1129"/>
      <c r="Z202" s="1129"/>
      <c r="AA202" s="1129"/>
      <c r="AB202" s="1130"/>
      <c r="AC202" s="1158"/>
      <c r="AD202" s="1159"/>
      <c r="AE202" s="1159"/>
      <c r="AF202" s="1160"/>
      <c r="AG202" s="1139"/>
      <c r="AH202" s="1140"/>
      <c r="AI202" s="1140"/>
      <c r="AZ202" s="1057"/>
      <c r="BA202" s="1057"/>
    </row>
    <row r="203" spans="1:53" x14ac:dyDescent="0.2">
      <c r="A203" s="1135" t="s">
        <v>135</v>
      </c>
      <c r="B203" s="1135"/>
      <c r="C203" s="1135"/>
      <c r="D203" s="1135"/>
      <c r="E203" s="1155"/>
      <c r="F203" s="1131" t="str">
        <f>IF(J218=1,B210,IF(J218=2,B211,IF(J218=3,B212,IF(J218=4,B213,"Winner Match 2"))))</f>
        <v>Winner Match 2</v>
      </c>
      <c r="G203" s="1132"/>
      <c r="H203" s="1132"/>
      <c r="I203" s="1132"/>
      <c r="J203" s="1132"/>
      <c r="K203" s="1132"/>
      <c r="L203" s="1132"/>
      <c r="M203" s="1132"/>
      <c r="N203" s="1132"/>
      <c r="O203" s="1121"/>
      <c r="Q203" s="1141"/>
      <c r="R203" s="1141"/>
      <c r="T203" s="1142"/>
      <c r="U203" s="1135" t="s">
        <v>136</v>
      </c>
      <c r="V203" s="1135"/>
      <c r="W203" s="1135"/>
      <c r="X203" s="1135"/>
      <c r="Y203" s="1135"/>
      <c r="Z203" s="1135"/>
      <c r="AA203" s="1135"/>
      <c r="AB203" s="1128"/>
      <c r="AC203" s="1131" t="str">
        <f>IF(AF218=1,Y210,IF(AF218=2,Y211,IF(AF218=3,Y212,IF(AF218=4,Y213,"Winner Match 2"))))</f>
        <v>Winner Match 2</v>
      </c>
      <c r="AD203" s="1132"/>
      <c r="AE203" s="1132"/>
      <c r="AF203" s="1132"/>
      <c r="AG203" s="1132"/>
      <c r="AH203" s="1132"/>
      <c r="AI203" s="1132"/>
      <c r="AZ203" s="1057"/>
      <c r="BA203" s="1057"/>
    </row>
    <row r="204" spans="1:53" ht="13.5" thickBot="1" x14ac:dyDescent="0.25">
      <c r="A204" s="1120" t="str">
        <f>IF(G218=1,B210,IF(G218=2,B211,IF(G218=3,B212,IF(G218=4,B213,IF(OR(G218="B",G218="b"),"BYE","invalid")))))</f>
        <v>Kershaw Dev 12 Black</v>
      </c>
      <c r="B204" s="1120"/>
      <c r="C204" s="1120"/>
      <c r="D204" s="1120"/>
      <c r="E204" s="1144"/>
      <c r="F204" s="1124"/>
      <c r="G204" s="1121"/>
      <c r="H204" s="1121"/>
      <c r="I204" s="1121"/>
      <c r="J204" s="1121"/>
      <c r="K204" s="1121"/>
      <c r="L204" s="1121"/>
      <c r="M204" s="1121"/>
      <c r="N204" s="1121"/>
      <c r="O204" s="1121"/>
      <c r="Q204" s="1121"/>
      <c r="R204" s="1121"/>
      <c r="S204" s="1121"/>
      <c r="T204" s="1152"/>
      <c r="U204" s="1152"/>
      <c r="V204" s="1120" t="str">
        <f>IF(AC218=1,Y210,IF(AC218=2,Y211,IF(AC218=3,Y212,IF(AC218=4,Y213,IF(OR(AC218="B",AC218="b"),"BYE","invalid")))))</f>
        <v>Foothills Skylar</v>
      </c>
      <c r="W204" s="1120"/>
      <c r="X204" s="1120"/>
      <c r="Y204" s="1120"/>
      <c r="Z204" s="1120"/>
      <c r="AA204" s="1120"/>
      <c r="AB204" s="1144"/>
      <c r="AC204" s="1121"/>
      <c r="AD204" s="1121"/>
      <c r="AE204" s="1121"/>
      <c r="AF204" s="1121"/>
      <c r="AZ204" s="1057"/>
      <c r="BA204" s="1057"/>
    </row>
    <row r="205" spans="1:53" x14ac:dyDescent="0.2">
      <c r="A205" s="1123" t="s">
        <v>147</v>
      </c>
      <c r="B205" s="1123"/>
      <c r="C205" s="1123"/>
      <c r="D205" s="1123"/>
      <c r="E205" s="1123"/>
      <c r="T205" s="1148"/>
      <c r="U205" s="1148"/>
      <c r="V205" s="1129" t="s">
        <v>148</v>
      </c>
      <c r="W205" s="1129"/>
      <c r="X205" s="1129"/>
      <c r="Y205" s="1129"/>
      <c r="Z205" s="1129"/>
      <c r="AA205" s="1129"/>
      <c r="AB205" s="1129"/>
      <c r="AZ205" s="1057"/>
      <c r="BA205" s="1057"/>
    </row>
    <row r="206" spans="1:53" x14ac:dyDescent="0.2">
      <c r="AT206" s="1057"/>
      <c r="AU206" s="1057"/>
      <c r="AZ206" s="1057"/>
      <c r="BA206" s="1057"/>
    </row>
    <row r="207" spans="1:53" x14ac:dyDescent="0.2">
      <c r="AT207" s="1057"/>
      <c r="AU207" s="1057"/>
      <c r="AZ207" s="1057"/>
      <c r="BA207" s="1057"/>
    </row>
    <row r="208" spans="1:53" ht="16.5" thickBot="1" x14ac:dyDescent="0.3">
      <c r="A208" s="1161" t="s">
        <v>149</v>
      </c>
      <c r="B208" s="1161"/>
      <c r="C208" s="1161"/>
      <c r="D208" s="1161"/>
      <c r="E208" s="1161"/>
      <c r="F208" s="1161"/>
      <c r="G208" s="1161"/>
      <c r="H208" s="1161"/>
      <c r="I208" s="1161"/>
      <c r="J208" s="1161"/>
      <c r="K208" s="1162"/>
      <c r="R208" s="1163"/>
      <c r="S208" s="1163"/>
      <c r="T208" s="1163"/>
      <c r="V208" s="1161" t="s">
        <v>150</v>
      </c>
      <c r="W208" s="1161"/>
      <c r="X208" s="1161"/>
      <c r="Y208" s="1161"/>
      <c r="Z208" s="1161"/>
      <c r="AA208" s="1161"/>
      <c r="AB208" s="1161"/>
      <c r="AC208" s="1161"/>
      <c r="AD208" s="1161"/>
      <c r="AE208" s="1161"/>
      <c r="AF208" s="1161"/>
      <c r="AG208" s="1161"/>
      <c r="AT208" s="1057"/>
      <c r="AU208" s="1057"/>
      <c r="AZ208" s="1057"/>
      <c r="BA208" s="1057"/>
    </row>
    <row r="209" spans="1:53" ht="13.5" thickBot="1" x14ac:dyDescent="0.25">
      <c r="A209" s="1164" t="s">
        <v>151</v>
      </c>
      <c r="B209" s="1165" t="s">
        <v>152</v>
      </c>
      <c r="C209" s="1166"/>
      <c r="D209" s="1166"/>
      <c r="E209" s="1166"/>
      <c r="F209" s="1166"/>
      <c r="G209" s="1166"/>
      <c r="H209" s="1166"/>
      <c r="I209" s="1166"/>
      <c r="J209" s="1167"/>
      <c r="K209" s="1168" t="s">
        <v>153</v>
      </c>
      <c r="L209" s="1169"/>
      <c r="M209" s="1169"/>
      <c r="N209" s="1169"/>
      <c r="O209" s="1169"/>
      <c r="P209" s="1169"/>
      <c r="Q209" s="1170"/>
      <c r="R209" s="1121"/>
      <c r="V209" s="1171" t="s">
        <v>151</v>
      </c>
      <c r="W209" s="1172"/>
      <c r="X209" s="1173"/>
      <c r="Y209" s="1165" t="s">
        <v>152</v>
      </c>
      <c r="Z209" s="1166"/>
      <c r="AA209" s="1166"/>
      <c r="AB209" s="1166"/>
      <c r="AC209" s="1166"/>
      <c r="AD209" s="1166"/>
      <c r="AE209" s="1166"/>
      <c r="AF209" s="1166"/>
      <c r="AG209" s="1167"/>
      <c r="AH209" s="1168" t="s">
        <v>153</v>
      </c>
      <c r="AI209" s="1169"/>
      <c r="AJ209" s="1169"/>
      <c r="AK209" s="1169"/>
      <c r="AL209" s="1169"/>
      <c r="AM209" s="1169"/>
      <c r="AN209" s="1170"/>
      <c r="AT209" s="1057"/>
      <c r="AU209" s="1057"/>
      <c r="AZ209" s="1057"/>
      <c r="BA209" s="1057"/>
    </row>
    <row r="210" spans="1:53" ht="13.5" thickBot="1" x14ac:dyDescent="0.25">
      <c r="A210" s="1164">
        <v>1</v>
      </c>
      <c r="B210" s="1174" t="str">
        <f>B179</f>
        <v>SC Midlands KP Garnet</v>
      </c>
      <c r="C210" s="1175"/>
      <c r="D210" s="1175"/>
      <c r="E210" s="1175"/>
      <c r="F210" s="1175"/>
      <c r="G210" s="1175"/>
      <c r="H210" s="1175"/>
      <c r="I210" s="1175"/>
      <c r="J210" s="1176"/>
      <c r="K210" s="1177" t="str">
        <f>H179</f>
        <v>fj1scmid2pm</v>
      </c>
      <c r="L210" s="1178"/>
      <c r="M210" s="1178"/>
      <c r="N210" s="1178"/>
      <c r="O210" s="1178"/>
      <c r="P210" s="1178"/>
      <c r="Q210" s="1179"/>
      <c r="R210" s="1121"/>
      <c r="V210" s="1171">
        <v>1</v>
      </c>
      <c r="W210" s="1172"/>
      <c r="X210" s="1173"/>
      <c r="Y210" s="1174" t="str">
        <f>V179</f>
        <v>SC Midlands KP Silver</v>
      </c>
      <c r="Z210" s="1175"/>
      <c r="AA210" s="1175"/>
      <c r="AB210" s="1175"/>
      <c r="AC210" s="1175"/>
      <c r="AD210" s="1175"/>
      <c r="AE210" s="1175"/>
      <c r="AF210" s="1175"/>
      <c r="AG210" s="1176"/>
      <c r="AH210" s="1177" t="str">
        <f>AB179</f>
        <v>fj1scmid4pm</v>
      </c>
      <c r="AI210" s="1178"/>
      <c r="AJ210" s="1178"/>
      <c r="AK210" s="1178"/>
      <c r="AL210" s="1178"/>
      <c r="AM210" s="1178"/>
      <c r="AN210" s="1179"/>
      <c r="AT210" s="1057"/>
      <c r="AU210" s="1057"/>
      <c r="AZ210" s="1057"/>
      <c r="BA210" s="1057"/>
    </row>
    <row r="211" spans="1:53" ht="13.5" thickBot="1" x14ac:dyDescent="0.25">
      <c r="A211" s="1164">
        <v>2</v>
      </c>
      <c r="B211" s="1174" t="str">
        <f>B180</f>
        <v>Intense Kids power Gvl</v>
      </c>
      <c r="C211" s="1175"/>
      <c r="D211" s="1175"/>
      <c r="E211" s="1175"/>
      <c r="F211" s="1175"/>
      <c r="G211" s="1175"/>
      <c r="H211" s="1175"/>
      <c r="I211" s="1175"/>
      <c r="J211" s="1176"/>
      <c r="K211" s="1177" t="str">
        <f>H180</f>
        <v>fj2inten2pm</v>
      </c>
      <c r="L211" s="1178"/>
      <c r="M211" s="1178"/>
      <c r="N211" s="1178"/>
      <c r="O211" s="1178"/>
      <c r="P211" s="1178"/>
      <c r="Q211" s="1179"/>
      <c r="R211" s="1121"/>
      <c r="V211" s="1171">
        <v>2</v>
      </c>
      <c r="W211" s="1172"/>
      <c r="X211" s="1173"/>
      <c r="Y211" s="1174" t="str">
        <f>V180</f>
        <v>Columbia SC Starlings 12</v>
      </c>
      <c r="Z211" s="1175"/>
      <c r="AA211" s="1175"/>
      <c r="AB211" s="1175"/>
      <c r="AC211" s="1175"/>
      <c r="AD211" s="1175"/>
      <c r="AE211" s="1175"/>
      <c r="AF211" s="1175"/>
      <c r="AG211" s="1176"/>
      <c r="AH211" s="1177" t="str">
        <f>AB180</f>
        <v>fj2starl1pm</v>
      </c>
      <c r="AI211" s="1178"/>
      <c r="AJ211" s="1178"/>
      <c r="AK211" s="1178"/>
      <c r="AL211" s="1178"/>
      <c r="AM211" s="1178"/>
      <c r="AN211" s="1179"/>
      <c r="AT211" s="1057"/>
      <c r="AU211" s="1057"/>
      <c r="AZ211" s="1057"/>
      <c r="BA211" s="1057"/>
    </row>
    <row r="212" spans="1:53" ht="13.5" thickBot="1" x14ac:dyDescent="0.25">
      <c r="A212" s="1164">
        <v>3</v>
      </c>
      <c r="B212" s="1174" t="str">
        <f>L179</f>
        <v>Kershaw Dev 12 Black</v>
      </c>
      <c r="C212" s="1175"/>
      <c r="D212" s="1175"/>
      <c r="E212" s="1175"/>
      <c r="F212" s="1175"/>
      <c r="G212" s="1175"/>
      <c r="H212" s="1175"/>
      <c r="I212" s="1175"/>
      <c r="J212" s="1176"/>
      <c r="K212" s="1177" t="str">
        <f>R179</f>
        <v>fj2kersh4pm</v>
      </c>
      <c r="L212" s="1178"/>
      <c r="M212" s="1178"/>
      <c r="N212" s="1178"/>
      <c r="O212" s="1178"/>
      <c r="P212" s="1178"/>
      <c r="Q212" s="1179"/>
      <c r="R212" s="1121"/>
      <c r="V212" s="1171">
        <v>3</v>
      </c>
      <c r="W212" s="1172"/>
      <c r="X212" s="1173"/>
      <c r="Y212" s="1174" t="str">
        <f>AF179</f>
        <v>Foothills Skylar</v>
      </c>
      <c r="Z212" s="1175"/>
      <c r="AA212" s="1175"/>
      <c r="AB212" s="1175"/>
      <c r="AC212" s="1175"/>
      <c r="AD212" s="1175"/>
      <c r="AE212" s="1175"/>
      <c r="AF212" s="1175"/>
      <c r="AG212" s="1176"/>
      <c r="AH212" s="1177" t="str">
        <f>AL179</f>
        <v>fj2footh3pm</v>
      </c>
      <c r="AI212" s="1178"/>
      <c r="AJ212" s="1178"/>
      <c r="AK212" s="1178"/>
      <c r="AL212" s="1178"/>
      <c r="AM212" s="1178"/>
      <c r="AN212" s="1179"/>
      <c r="AT212" s="1057"/>
      <c r="AU212" s="1057"/>
      <c r="AZ212" s="1057"/>
      <c r="BA212" s="1057"/>
    </row>
    <row r="213" spans="1:53" ht="13.5" thickBot="1" x14ac:dyDescent="0.25">
      <c r="A213" s="1164">
        <v>4</v>
      </c>
      <c r="B213" s="1174" t="str">
        <f>L180</f>
        <v>SC Midlands KP Black</v>
      </c>
      <c r="C213" s="1175"/>
      <c r="D213" s="1175"/>
      <c r="E213" s="1175"/>
      <c r="F213" s="1175"/>
      <c r="G213" s="1175"/>
      <c r="H213" s="1175"/>
      <c r="I213" s="1175"/>
      <c r="J213" s="1176"/>
      <c r="K213" s="1177" t="str">
        <f>R180</f>
        <v>fj1scmid1pm</v>
      </c>
      <c r="L213" s="1178"/>
      <c r="M213" s="1178"/>
      <c r="N213" s="1178"/>
      <c r="O213" s="1178"/>
      <c r="P213" s="1178"/>
      <c r="Q213" s="1179"/>
      <c r="R213" s="1121"/>
      <c r="V213" s="1171">
        <v>4</v>
      </c>
      <c r="W213" s="1172"/>
      <c r="X213" s="1173"/>
      <c r="Y213" s="1174" t="s">
        <v>1131</v>
      </c>
      <c r="Z213" s="1175"/>
      <c r="AA213" s="1175"/>
      <c r="AB213" s="1175"/>
      <c r="AC213" s="1175"/>
      <c r="AD213" s="1175"/>
      <c r="AE213" s="1175"/>
      <c r="AF213" s="1175"/>
      <c r="AG213" s="1176"/>
      <c r="AH213" s="1177"/>
      <c r="AI213" s="1178"/>
      <c r="AJ213" s="1178"/>
      <c r="AK213" s="1178"/>
      <c r="AL213" s="1178"/>
      <c r="AM213" s="1178"/>
      <c r="AN213" s="1179"/>
      <c r="AT213" s="1057"/>
      <c r="AU213" s="1057"/>
      <c r="AZ213" s="1057"/>
      <c r="BA213" s="1057"/>
    </row>
    <row r="214" spans="1:53" ht="13.5" thickBot="1" x14ac:dyDescent="0.25">
      <c r="AT214" s="1057"/>
      <c r="AU214" s="1057"/>
      <c r="AZ214" s="1057"/>
      <c r="BA214" s="1057"/>
    </row>
    <row r="215" spans="1:53" x14ac:dyDescent="0.2">
      <c r="B215" s="1180" t="s">
        <v>154</v>
      </c>
      <c r="C215" s="1181"/>
      <c r="D215" s="1182"/>
      <c r="E215" s="1183" t="s">
        <v>154</v>
      </c>
      <c r="F215" s="1181"/>
      <c r="G215" s="1182"/>
      <c r="H215" s="1183" t="s">
        <v>14</v>
      </c>
      <c r="I215" s="1181"/>
      <c r="J215" s="1184"/>
      <c r="K215" s="1185"/>
      <c r="L215" s="1186"/>
      <c r="M215" s="1186"/>
      <c r="N215" s="1186"/>
      <c r="S215" s="1187"/>
      <c r="T215" s="1187"/>
      <c r="U215" s="1187"/>
      <c r="V215" s="1187"/>
      <c r="X215" s="1180" t="s">
        <v>154</v>
      </c>
      <c r="Y215" s="1181"/>
      <c r="Z215" s="1182"/>
      <c r="AA215" s="1183" t="s">
        <v>154</v>
      </c>
      <c r="AB215" s="1181"/>
      <c r="AC215" s="1182"/>
      <c r="AD215" s="1183" t="s">
        <v>14</v>
      </c>
      <c r="AE215" s="1181"/>
      <c r="AF215" s="1184"/>
      <c r="AG215" s="1186"/>
      <c r="AH215" s="1186"/>
      <c r="AI215" s="1187"/>
      <c r="AJ215" s="1187"/>
      <c r="AK215" s="1187"/>
      <c r="AZ215" s="1057"/>
      <c r="BA215" s="1057"/>
    </row>
    <row r="216" spans="1:53" x14ac:dyDescent="0.2">
      <c r="A216" s="1028" t="s">
        <v>156</v>
      </c>
      <c r="B216" s="1188">
        <v>3</v>
      </c>
      <c r="C216" s="1189"/>
      <c r="D216" s="1190"/>
      <c r="E216" s="1191" t="s">
        <v>157</v>
      </c>
      <c r="F216" s="1189"/>
      <c r="G216" s="1190"/>
      <c r="H216" s="1191" t="s">
        <v>158</v>
      </c>
      <c r="I216" s="1189"/>
      <c r="J216" s="1192"/>
      <c r="K216" s="1193"/>
      <c r="S216" s="1187"/>
      <c r="T216" s="1187"/>
      <c r="U216" s="1194" t="s">
        <v>156</v>
      </c>
      <c r="V216" s="1194"/>
      <c r="W216" s="1195"/>
      <c r="X216" s="1188"/>
      <c r="Y216" s="1189"/>
      <c r="Z216" s="1190"/>
      <c r="AA216" s="1191">
        <v>1</v>
      </c>
      <c r="AB216" s="1189"/>
      <c r="AC216" s="1190"/>
      <c r="AD216" s="1191" t="s">
        <v>158</v>
      </c>
      <c r="AE216" s="1189"/>
      <c r="AF216" s="1192"/>
      <c r="AI216" s="1187"/>
      <c r="AJ216" s="1187"/>
      <c r="AK216" s="1187"/>
      <c r="AZ216" s="1057"/>
      <c r="BA216" s="1057"/>
    </row>
    <row r="217" spans="1:53" ht="13.5" thickBot="1" x14ac:dyDescent="0.25">
      <c r="A217" s="868"/>
      <c r="B217" s="1196" t="s">
        <v>68</v>
      </c>
      <c r="C217" s="1035"/>
      <c r="D217" s="1036"/>
      <c r="E217" s="1034" t="s">
        <v>159</v>
      </c>
      <c r="F217" s="1035"/>
      <c r="G217" s="1036"/>
      <c r="H217" s="1034" t="s">
        <v>160</v>
      </c>
      <c r="I217" s="1035"/>
      <c r="J217" s="1197"/>
      <c r="K217" s="1198"/>
      <c r="S217" s="1187"/>
      <c r="T217" s="1187"/>
      <c r="U217" s="1199"/>
      <c r="V217" s="1199"/>
      <c r="W217" s="1200"/>
      <c r="X217" s="1196" t="s">
        <v>68</v>
      </c>
      <c r="Y217" s="1035"/>
      <c r="Z217" s="1036"/>
      <c r="AA217" s="1034" t="s">
        <v>159</v>
      </c>
      <c r="AB217" s="1035"/>
      <c r="AC217" s="1036"/>
      <c r="AD217" s="1034" t="s">
        <v>160</v>
      </c>
      <c r="AE217" s="1035"/>
      <c r="AF217" s="1197"/>
      <c r="AI217" s="1187"/>
      <c r="AJ217" s="1187"/>
      <c r="AK217" s="1187"/>
      <c r="AZ217" s="1057"/>
      <c r="BA217" s="1057"/>
    </row>
    <row r="218" spans="1:53" ht="13.5" thickBot="1" x14ac:dyDescent="0.25">
      <c r="A218" s="868"/>
      <c r="B218" s="1201">
        <v>1</v>
      </c>
      <c r="C218" s="1202" t="s">
        <v>76</v>
      </c>
      <c r="D218" s="1203">
        <v>4</v>
      </c>
      <c r="E218" s="1204">
        <v>2</v>
      </c>
      <c r="F218" s="1202" t="s">
        <v>76</v>
      </c>
      <c r="G218" s="1203">
        <v>3</v>
      </c>
      <c r="H218" s="1205" t="str">
        <f>IF(OR(AND(OR(B222&gt;0,D222&gt;0),B222&gt;D222),OR(D218="b",D218="B")),B218,IF(OR(AND(OR(B222&gt;0,D222&gt;0),D222&gt;B222),OR(B218="b",B218="B")),D218,"W1"))</f>
        <v>W1</v>
      </c>
      <c r="I218" s="1206" t="s">
        <v>76</v>
      </c>
      <c r="J218" s="1207" t="str">
        <f>IF(OR(AND(OR(E222&gt;0,G222&gt;0),E222&gt;G222),OR(G218="b",G218="B")),E218,IF(OR(AND(OR(E222&gt;0,G222&gt;0),G222&gt;E222),OR(E218="b",E218="B")),G218,"W2"))</f>
        <v>W2</v>
      </c>
      <c r="K218" s="1208" t="s">
        <v>161</v>
      </c>
      <c r="L218" s="1209"/>
      <c r="M218" s="1209"/>
      <c r="N218" s="1210"/>
      <c r="S218" s="1187"/>
      <c r="T218" s="1187"/>
      <c r="U218" s="1199"/>
      <c r="V218" s="1199"/>
      <c r="W218" s="1200"/>
      <c r="X218" s="1201">
        <v>1</v>
      </c>
      <c r="Y218" s="1202" t="s">
        <v>76</v>
      </c>
      <c r="Z218" s="1203" t="s">
        <v>117</v>
      </c>
      <c r="AA218" s="1204">
        <v>2</v>
      </c>
      <c r="AB218" s="1202" t="s">
        <v>76</v>
      </c>
      <c r="AC218" s="1203">
        <v>3</v>
      </c>
      <c r="AD218" s="1205">
        <f>IF(OR(AND(OR(X222&gt;0,Z222&gt;0),X222&gt;Z222),OR(Z218="b",Z218="B")),X218,IF(OR(AND(OR(X222&gt;0,Z222&gt;0),Z222&gt;X222),OR(X218="b",X218="B")),Z218,"W1"))</f>
        <v>1</v>
      </c>
      <c r="AE218" s="1206" t="s">
        <v>76</v>
      </c>
      <c r="AF218" s="1207" t="str">
        <f>IF(OR(AND(OR(AA222&gt;0,AC222&gt;0),AA222&gt;AC222),OR(AC222="b",AC222="B")),AA218,IF(OR(AND(OR(AA222&gt;0,AC222&gt;0),AC222&gt;AA222),OR(AA222="b",AA222="B")),AC218,"W2"))</f>
        <v>W2</v>
      </c>
      <c r="AG218" s="1208" t="s">
        <v>161</v>
      </c>
      <c r="AH218" s="1210"/>
      <c r="AI218" s="1187"/>
      <c r="AJ218" s="1187"/>
      <c r="AK218" s="1187"/>
      <c r="AZ218" s="1057"/>
      <c r="BA218" s="1057"/>
    </row>
    <row r="219" spans="1:53" ht="13.5" hidden="1" customHeight="1" x14ac:dyDescent="0.25">
      <c r="A219" s="868"/>
      <c r="B219" s="1211">
        <f>IF(B223&gt;D223,1,0)</f>
        <v>0</v>
      </c>
      <c r="C219" s="1212"/>
      <c r="D219" s="1213">
        <f>IF(D223&gt;B223,1,0)</f>
        <v>0</v>
      </c>
      <c r="E219" s="1211">
        <f>IF(E223&gt;G223,1,0)</f>
        <v>0</v>
      </c>
      <c r="F219" s="1212"/>
      <c r="G219" s="1213">
        <f>IF(G223&gt;E223,1,0)</f>
        <v>0</v>
      </c>
      <c r="H219" s="1211">
        <f>IF(H223&gt;J223,1,0)</f>
        <v>0</v>
      </c>
      <c r="I219" s="1212"/>
      <c r="J219" s="1213">
        <f>IF(J223&gt;H223,1,0)</f>
        <v>0</v>
      </c>
      <c r="K219" s="1214"/>
      <c r="L219" s="1215"/>
      <c r="M219" s="1215"/>
      <c r="N219" s="1216"/>
      <c r="S219" s="1187"/>
      <c r="T219" s="1187"/>
      <c r="U219" s="1199"/>
      <c r="V219" s="1199"/>
      <c r="W219" s="1200"/>
      <c r="X219" s="1211">
        <f>IF(X223&gt;Z223,1,0)</f>
        <v>0</v>
      </c>
      <c r="Y219" s="1212"/>
      <c r="Z219" s="1213">
        <f>IF(Z223&gt;X223,1,0)</f>
        <v>0</v>
      </c>
      <c r="AA219" s="1211">
        <f>IF(AA223&gt;AC223,1,0)</f>
        <v>0</v>
      </c>
      <c r="AB219" s="1212"/>
      <c r="AC219" s="1213">
        <f>IF(AC223&gt;AA223,1,0)</f>
        <v>0</v>
      </c>
      <c r="AD219" s="1211">
        <f>IF(AD223&gt;AF223,1,0)</f>
        <v>0</v>
      </c>
      <c r="AE219" s="1212"/>
      <c r="AF219" s="1213">
        <f>IF(AF223&gt;AD223,1,0)</f>
        <v>0</v>
      </c>
      <c r="AG219" s="1217"/>
      <c r="AH219" s="1218"/>
      <c r="AI219" s="1187"/>
      <c r="AJ219" s="1187"/>
      <c r="AK219" s="1187"/>
      <c r="AZ219" s="1057"/>
      <c r="BA219" s="1057"/>
    </row>
    <row r="220" spans="1:53" ht="13.5" hidden="1" customHeight="1" x14ac:dyDescent="0.25">
      <c r="A220" s="868"/>
      <c r="B220" s="1211">
        <f>IF(B224&gt;D224,1,0)</f>
        <v>0</v>
      </c>
      <c r="C220" s="1212"/>
      <c r="D220" s="1213">
        <f>IF(D224&gt;B224,1,0)</f>
        <v>0</v>
      </c>
      <c r="E220" s="1211">
        <f>IF(E224&gt;G224,1,0)</f>
        <v>0</v>
      </c>
      <c r="F220" s="1212"/>
      <c r="G220" s="1213">
        <f>IF(G224&gt;E224,1,0)</f>
        <v>0</v>
      </c>
      <c r="H220" s="1211">
        <f>IF(H224&gt;J224,1,0)</f>
        <v>0</v>
      </c>
      <c r="I220" s="1212"/>
      <c r="J220" s="1213">
        <f>IF(J224&gt;H224,1,0)</f>
        <v>0</v>
      </c>
      <c r="K220" s="1214"/>
      <c r="L220" s="1215"/>
      <c r="M220" s="1215"/>
      <c r="N220" s="1216"/>
      <c r="S220" s="1187"/>
      <c r="T220" s="1187"/>
      <c r="U220" s="1199"/>
      <c r="V220" s="1199"/>
      <c r="W220" s="1200"/>
      <c r="X220" s="1211">
        <f>IF(X224&gt;Z224,1,0)</f>
        <v>0</v>
      </c>
      <c r="Y220" s="1212"/>
      <c r="Z220" s="1213">
        <f>IF(Z224&gt;X224,1,0)</f>
        <v>0</v>
      </c>
      <c r="AA220" s="1211">
        <f>IF(AA224&gt;AC224,1,0)</f>
        <v>0</v>
      </c>
      <c r="AB220" s="1212"/>
      <c r="AC220" s="1213">
        <f>IF(AC224&gt;AA224,1,0)</f>
        <v>0</v>
      </c>
      <c r="AD220" s="1211">
        <f>IF(AD224&gt;AF224,1,0)</f>
        <v>0</v>
      </c>
      <c r="AE220" s="1212"/>
      <c r="AF220" s="1213">
        <f>IF(AF224&gt;AD224,1,0)</f>
        <v>0</v>
      </c>
      <c r="AG220" s="1217"/>
      <c r="AH220" s="1218"/>
      <c r="AI220" s="1187"/>
      <c r="AJ220" s="1187"/>
      <c r="AK220" s="1187"/>
      <c r="AZ220" s="1057"/>
      <c r="BA220" s="1057"/>
    </row>
    <row r="221" spans="1:53" ht="13.5" hidden="1" customHeight="1" x14ac:dyDescent="0.25">
      <c r="A221" s="868"/>
      <c r="B221" s="1211">
        <f>IF(B225&gt;D225,1,0)</f>
        <v>0</v>
      </c>
      <c r="C221" s="1212"/>
      <c r="D221" s="1213">
        <f>IF(D225&gt;B225,1,0)</f>
        <v>0</v>
      </c>
      <c r="E221" s="1211">
        <f>IF(E225&gt;G225,1,0)</f>
        <v>0</v>
      </c>
      <c r="F221" s="1212"/>
      <c r="G221" s="1213">
        <f>IF(G225&gt;E225,1,0)</f>
        <v>0</v>
      </c>
      <c r="H221" s="1211">
        <f>IF(H225&gt;J225,1,0)</f>
        <v>0</v>
      </c>
      <c r="I221" s="1212"/>
      <c r="J221" s="1213">
        <f>IF(J225&gt;H225,1,0)</f>
        <v>0</v>
      </c>
      <c r="K221" s="1214"/>
      <c r="L221" s="1215"/>
      <c r="M221" s="1215"/>
      <c r="N221" s="1216"/>
      <c r="S221" s="1187"/>
      <c r="T221" s="1187"/>
      <c r="U221" s="1199"/>
      <c r="V221" s="1199"/>
      <c r="W221" s="1200"/>
      <c r="X221" s="1211">
        <f>IF(X225&gt;Z225,1,0)</f>
        <v>0</v>
      </c>
      <c r="Y221" s="1212"/>
      <c r="Z221" s="1213">
        <f>IF(Z225&gt;X225,1,0)</f>
        <v>0</v>
      </c>
      <c r="AA221" s="1211">
        <f>IF(AA225&gt;AC225,1,0)</f>
        <v>0</v>
      </c>
      <c r="AB221" s="1212"/>
      <c r="AC221" s="1213">
        <f>IF(AC225&gt;AA225,1,0)</f>
        <v>0</v>
      </c>
      <c r="AD221" s="1211">
        <f>IF(AD225&gt;AF225,1,0)</f>
        <v>0</v>
      </c>
      <c r="AE221" s="1212"/>
      <c r="AF221" s="1213">
        <f>IF(AF225&gt;AD225,1,0)</f>
        <v>0</v>
      </c>
      <c r="AG221" s="1217"/>
      <c r="AH221" s="1218"/>
      <c r="AI221" s="1187"/>
      <c r="AJ221" s="1187"/>
      <c r="AK221" s="1187"/>
      <c r="AZ221" s="1057"/>
      <c r="BA221" s="1057"/>
    </row>
    <row r="222" spans="1:53" ht="13.5" hidden="1" customHeight="1" x14ac:dyDescent="0.25">
      <c r="A222" s="868"/>
      <c r="B222" s="1211">
        <f>SUM(B219:B221)</f>
        <v>0</v>
      </c>
      <c r="C222" s="1212"/>
      <c r="D222" s="1211">
        <f>SUM(D219:D221)</f>
        <v>0</v>
      </c>
      <c r="E222" s="1211">
        <f>SUM(E219:E221)</f>
        <v>0</v>
      </c>
      <c r="F222" s="1212"/>
      <c r="G222" s="1211">
        <f>SUM(G219:G221)</f>
        <v>0</v>
      </c>
      <c r="H222" s="1211">
        <f>SUM(H219:H221)</f>
        <v>0</v>
      </c>
      <c r="I222" s="1212"/>
      <c r="J222" s="1211">
        <f>SUM(J219:J221)</f>
        <v>0</v>
      </c>
      <c r="K222" s="1214"/>
      <c r="L222" s="1215"/>
      <c r="M222" s="1215"/>
      <c r="N222" s="1216"/>
      <c r="S222" s="1187"/>
      <c r="T222" s="1187"/>
      <c r="U222" s="1199"/>
      <c r="V222" s="1199"/>
      <c r="W222" s="1200"/>
      <c r="X222" s="1211">
        <f>SUM(X219:X221)</f>
        <v>0</v>
      </c>
      <c r="Y222" s="1212"/>
      <c r="Z222" s="1211">
        <f>SUM(Z219:Z221)</f>
        <v>0</v>
      </c>
      <c r="AA222" s="1211">
        <f>SUM(AA219:AA221)</f>
        <v>0</v>
      </c>
      <c r="AB222" s="1212"/>
      <c r="AC222" s="1211">
        <f>SUM(AC219:AC221)</f>
        <v>0</v>
      </c>
      <c r="AD222" s="1211">
        <f>SUM(AD219:AD221)</f>
        <v>0</v>
      </c>
      <c r="AE222" s="1212"/>
      <c r="AF222" s="1211">
        <f>SUM(AF219:AF221)</f>
        <v>0</v>
      </c>
      <c r="AG222" s="1217"/>
      <c r="AH222" s="1218"/>
      <c r="AI222" s="1187"/>
      <c r="AJ222" s="1187"/>
      <c r="AK222" s="1187"/>
      <c r="AZ222" s="1057"/>
      <c r="BA222" s="1057"/>
    </row>
    <row r="223" spans="1:53" ht="12.75" customHeight="1" x14ac:dyDescent="0.2">
      <c r="A223" s="852" t="s">
        <v>77</v>
      </c>
      <c r="B223" s="1219"/>
      <c r="C223" s="1052" t="s">
        <v>78</v>
      </c>
      <c r="D223" s="1220"/>
      <c r="E223" s="1221"/>
      <c r="F223" s="1052" t="s">
        <v>78</v>
      </c>
      <c r="G223" s="1220"/>
      <c r="H223" s="1221"/>
      <c r="I223" s="1052" t="s">
        <v>78</v>
      </c>
      <c r="J223" s="1222"/>
      <c r="K223" s="1223" t="str">
        <f>IF(AND(OR(H222&gt;0,J222&gt;0),AND(1&lt;=H218,H218&lt;=4),AND(1&lt;=J218,J218&lt;=4)),IF(H222&gt;J222,H218,IF(J222&gt;H222,J218,"")),"")</f>
        <v/>
      </c>
      <c r="L223" s="1224"/>
      <c r="M223" s="1224"/>
      <c r="N223" s="1225"/>
      <c r="S223" s="1187"/>
      <c r="T223" s="1187"/>
      <c r="U223" s="1226"/>
      <c r="V223" s="1226"/>
      <c r="W223" s="852" t="s">
        <v>77</v>
      </c>
      <c r="X223" s="1219"/>
      <c r="Y223" s="1052" t="s">
        <v>78</v>
      </c>
      <c r="Z223" s="1220"/>
      <c r="AA223" s="1221"/>
      <c r="AB223" s="1052" t="s">
        <v>78</v>
      </c>
      <c r="AC223" s="1220"/>
      <c r="AD223" s="1221"/>
      <c r="AE223" s="1052" t="s">
        <v>78</v>
      </c>
      <c r="AF223" s="1222"/>
      <c r="AG223" s="1223" t="str">
        <f>IF(AND(OR(AD222&gt;0,AF222&gt;0),AND(1&lt;=AD218,AD218&lt;=4),AND(1&lt;=AF218,AF218&lt;=4)),IF(AD222&gt;AF222,AD218,IF(AF222&gt;AD222,AF218,"")),"")</f>
        <v/>
      </c>
      <c r="AH223" s="1225"/>
      <c r="AI223" s="1187"/>
      <c r="AJ223" s="1187"/>
      <c r="AK223" s="1187"/>
      <c r="AZ223" s="1057"/>
      <c r="BA223" s="1057"/>
    </row>
    <row r="224" spans="1:53" ht="12.75" customHeight="1" x14ac:dyDescent="0.2">
      <c r="A224" s="852" t="s">
        <v>162</v>
      </c>
      <c r="B224" s="1219"/>
      <c r="C224" s="1052" t="s">
        <v>78</v>
      </c>
      <c r="D224" s="1220"/>
      <c r="E224" s="1221"/>
      <c r="F224" s="1052" t="s">
        <v>78</v>
      </c>
      <c r="G224" s="1220"/>
      <c r="H224" s="1221"/>
      <c r="I224" s="1052" t="s">
        <v>78</v>
      </c>
      <c r="J224" s="1222"/>
      <c r="K224" s="1227"/>
      <c r="L224" s="1228"/>
      <c r="M224" s="1228"/>
      <c r="N224" s="1229"/>
      <c r="S224" s="1187"/>
      <c r="T224" s="1187"/>
      <c r="U224" s="1226"/>
      <c r="V224" s="1226"/>
      <c r="W224" s="852" t="s">
        <v>162</v>
      </c>
      <c r="X224" s="1219"/>
      <c r="Y224" s="1052" t="s">
        <v>78</v>
      </c>
      <c r="Z224" s="1220"/>
      <c r="AA224" s="1221"/>
      <c r="AB224" s="1052" t="s">
        <v>78</v>
      </c>
      <c r="AC224" s="1220"/>
      <c r="AD224" s="1221"/>
      <c r="AE224" s="1052" t="s">
        <v>78</v>
      </c>
      <c r="AF224" s="1222"/>
      <c r="AG224" s="1227"/>
      <c r="AH224" s="1229"/>
      <c r="AI224" s="1187"/>
      <c r="AJ224" s="1187"/>
      <c r="AK224" s="1187"/>
      <c r="AZ224" s="1057"/>
      <c r="BA224" s="1057"/>
    </row>
    <row r="225" spans="1:80" ht="13.5" customHeight="1" thickBot="1" x14ac:dyDescent="0.25">
      <c r="A225" s="852" t="s">
        <v>163</v>
      </c>
      <c r="B225" s="1230"/>
      <c r="C225" s="1231" t="s">
        <v>78</v>
      </c>
      <c r="D225" s="1232"/>
      <c r="E225" s="1233"/>
      <c r="F225" s="1231" t="s">
        <v>78</v>
      </c>
      <c r="G225" s="1232"/>
      <c r="H225" s="1233"/>
      <c r="I225" s="1231" t="s">
        <v>78</v>
      </c>
      <c r="J225" s="1234"/>
      <c r="K225" s="1235"/>
      <c r="L225" s="1236"/>
      <c r="M225" s="1236"/>
      <c r="N225" s="1237"/>
      <c r="S225" s="1187"/>
      <c r="T225" s="1187"/>
      <c r="U225" s="1226"/>
      <c r="V225" s="1226"/>
      <c r="W225" s="852" t="s">
        <v>163</v>
      </c>
      <c r="X225" s="1230"/>
      <c r="Y225" s="1231" t="s">
        <v>78</v>
      </c>
      <c r="Z225" s="1232"/>
      <c r="AA225" s="1233"/>
      <c r="AB225" s="1231" t="s">
        <v>78</v>
      </c>
      <c r="AC225" s="1232"/>
      <c r="AD225" s="1233"/>
      <c r="AE225" s="1231" t="s">
        <v>78</v>
      </c>
      <c r="AF225" s="1234"/>
      <c r="AG225" s="1235"/>
      <c r="AH225" s="1237"/>
      <c r="AI225" s="1187"/>
      <c r="AJ225" s="1187"/>
      <c r="AK225" s="1187"/>
      <c r="AZ225" s="1057"/>
      <c r="BA225" s="1057"/>
    </row>
    <row r="226" spans="1:80" hidden="1" x14ac:dyDescent="0.2">
      <c r="B226" s="845"/>
      <c r="C226" s="1238" t="s">
        <v>112</v>
      </c>
      <c r="D226" s="845" t="s">
        <v>164</v>
      </c>
      <c r="E226" s="845"/>
      <c r="F226" s="1238"/>
      <c r="G226" s="846" t="s">
        <v>165</v>
      </c>
      <c r="J226" s="846" t="s">
        <v>166</v>
      </c>
      <c r="X226" s="845"/>
      <c r="Y226" s="1238" t="s">
        <v>112</v>
      </c>
      <c r="Z226" s="845" t="s">
        <v>164</v>
      </c>
      <c r="AA226" s="845"/>
      <c r="AB226" s="1238"/>
      <c r="AC226" s="846" t="s">
        <v>165</v>
      </c>
      <c r="AF226" s="846" t="s">
        <v>166</v>
      </c>
      <c r="AT226" s="846" t="str">
        <f>B227</f>
        <v>SC Midlands KP Garnet</v>
      </c>
      <c r="AU226" s="846">
        <f>J227</f>
        <v>1224.9630571345931</v>
      </c>
      <c r="AW226" s="1239"/>
      <c r="AX226" s="1057"/>
      <c r="AY226" s="1057"/>
      <c r="AZ226" s="1057"/>
      <c r="BA226" s="1057"/>
      <c r="BB226" s="1239"/>
      <c r="BC226" s="1057"/>
      <c r="BD226" s="1057"/>
      <c r="BE226" s="1239"/>
      <c r="BF226" s="1057"/>
      <c r="BG226" s="1057"/>
      <c r="BH226" s="1239"/>
      <c r="BI226" s="1057"/>
      <c r="BJ226" s="1057"/>
      <c r="BK226" s="1239"/>
      <c r="BL226" s="1057"/>
      <c r="BM226" s="1057"/>
      <c r="BN226" s="1239"/>
      <c r="BO226" s="1057"/>
      <c r="BP226" s="1057"/>
      <c r="BQ226" s="1239"/>
      <c r="BR226" s="1057"/>
      <c r="BS226" s="1057"/>
      <c r="BT226" s="1239"/>
      <c r="BU226" s="1057"/>
      <c r="BV226" s="1057"/>
      <c r="BW226" s="1239"/>
      <c r="BX226" s="1057"/>
      <c r="BY226" s="1057"/>
      <c r="BZ226" s="1239"/>
      <c r="CA226" s="1057"/>
      <c r="CB226" s="1057"/>
    </row>
    <row r="227" spans="1:80" hidden="1" x14ac:dyDescent="0.2">
      <c r="A227" s="846">
        <v>1</v>
      </c>
      <c r="B227" s="846" t="str">
        <f>B210</f>
        <v>SC Midlands KP Garnet</v>
      </c>
      <c r="C227" s="846">
        <f>VLOOKUP(B227,AU$2:AY$10,4,FALSE)</f>
        <v>1224.9630571345931</v>
      </c>
      <c r="D227" s="846">
        <f>IF(A227=B218,B233,IF(A227=D218,D233,C227))</f>
        <v>1224.9630571345931</v>
      </c>
      <c r="G227" s="846">
        <f>IF(A227=E218,E233,IF(A227=G218,G233,D227))</f>
        <v>1224.9630571345931</v>
      </c>
      <c r="J227" s="846">
        <f>IF(A227=H218,H233,IF(A227=J218,J233,G227))</f>
        <v>1224.9630571345931</v>
      </c>
      <c r="V227" s="1240"/>
      <c r="W227" s="1240">
        <v>1</v>
      </c>
      <c r="X227" s="846" t="str">
        <f>Y210</f>
        <v>SC Midlands KP Silver</v>
      </c>
      <c r="Y227" s="846">
        <f>VLOOKUP(X227,AU$2:AY$10,4,FALSE)</f>
        <v>1205.8047865865301</v>
      </c>
      <c r="Z227" s="846">
        <f>IF(AND(W227=X218,ISNUMBER(X218)),X233,IF(AND(W227=Z218,ISNUMBER(Z218)),Z233,Y227))</f>
        <v>1205.8047865865301</v>
      </c>
      <c r="AC227" s="846">
        <f>IF(W227=AA218,AA233,IF(W227=AC218,AC233,Z227))</f>
        <v>1205.8047865865301</v>
      </c>
      <c r="AF227" s="846">
        <f>IF(W227=AD218,AD233,IF(W227=AF218,AF233,AC227))</f>
        <v>1205.8047865865301</v>
      </c>
      <c r="AT227" s="846" t="str">
        <f>B228</f>
        <v>Intense Kids power Gvl</v>
      </c>
      <c r="AU227" s="846">
        <f>J228</f>
        <v>1274.3440224645769</v>
      </c>
      <c r="AW227" s="1239"/>
      <c r="AX227" s="1057"/>
      <c r="AY227" s="1057"/>
      <c r="AZ227" s="1057"/>
      <c r="BA227" s="1057"/>
      <c r="BB227" s="1239"/>
      <c r="BC227" s="1057"/>
      <c r="BD227" s="1057"/>
      <c r="BE227" s="1239"/>
      <c r="BF227" s="1057"/>
      <c r="BG227" s="1057"/>
      <c r="BH227" s="1239"/>
      <c r="BI227" s="1057"/>
      <c r="BJ227" s="1057"/>
      <c r="BK227" s="1239"/>
      <c r="BL227" s="1057"/>
      <c r="BM227" s="1057"/>
      <c r="BN227" s="1239"/>
      <c r="BO227" s="1057"/>
      <c r="BP227" s="1057"/>
      <c r="BQ227" s="1239"/>
      <c r="BR227" s="1057"/>
      <c r="BS227" s="1057"/>
      <c r="BT227" s="1239"/>
      <c r="BU227" s="1057"/>
      <c r="BV227" s="1057"/>
      <c r="BW227" s="1239"/>
      <c r="BX227" s="1057"/>
      <c r="BY227" s="1057"/>
      <c r="BZ227" s="1239"/>
      <c r="CA227" s="1057"/>
      <c r="CB227" s="1057"/>
    </row>
    <row r="228" spans="1:80" hidden="1" x14ac:dyDescent="0.2">
      <c r="A228" s="846">
        <v>2</v>
      </c>
      <c r="B228" s="846" t="str">
        <f>B211</f>
        <v>Intense Kids power Gvl</v>
      </c>
      <c r="C228" s="846">
        <f>VLOOKUP(B228,AU$2:AY$10,4,FALSE)</f>
        <v>1274.3440224645769</v>
      </c>
      <c r="D228" s="846">
        <f>IF(A228=B218,B233,IF(A228=D218,D233,C228))</f>
        <v>1274.3440224645769</v>
      </c>
      <c r="G228" s="846">
        <f>IF(A228=E218,E233,IF(A228=G218,G233,D228))</f>
        <v>1274.3440224645769</v>
      </c>
      <c r="J228" s="846">
        <f>IF(A228=H218,H233,IF(A228=J218,J233,G228))</f>
        <v>1274.3440224645769</v>
      </c>
      <c r="V228" s="1240"/>
      <c r="W228" s="1240">
        <v>2</v>
      </c>
      <c r="X228" s="846" t="str">
        <f>Y211</f>
        <v>Columbia SC Starlings 12</v>
      </c>
      <c r="Y228" s="846">
        <f>VLOOKUP(X228,AU$2:AY$10,4,FALSE)</f>
        <v>1172.8444831041593</v>
      </c>
      <c r="Z228" s="846">
        <f>IF(W228=X218,X233,IF(W228=Z218,Z233,Y228))</f>
        <v>1172.8444831041593</v>
      </c>
      <c r="AC228" s="846">
        <f>IF(W228=AA218,AA233,IF(W228=AC218,AC233,Z228))</f>
        <v>1172.8444831041593</v>
      </c>
      <c r="AF228" s="846">
        <f>IF(W228=AD218,AD233,IF(W228=AF218,AF233,AC228))</f>
        <v>1172.8444831041593</v>
      </c>
      <c r="AT228" s="846" t="str">
        <f>B229</f>
        <v>Kershaw Dev 12 Black</v>
      </c>
      <c r="AU228" s="846">
        <f>J229</f>
        <v>1212.6846745768064</v>
      </c>
      <c r="AW228" s="1239"/>
      <c r="AX228" s="1057"/>
      <c r="AY228" s="1057"/>
      <c r="AZ228" s="1057"/>
      <c r="BA228" s="1057"/>
      <c r="BB228" s="1239"/>
      <c r="BC228" s="1057"/>
      <c r="BD228" s="1057"/>
      <c r="BE228" s="1239"/>
      <c r="BF228" s="1057"/>
      <c r="BG228" s="1057"/>
      <c r="BH228" s="1239"/>
      <c r="BI228" s="1057"/>
      <c r="BJ228" s="1057"/>
      <c r="BK228" s="1239"/>
      <c r="BL228" s="1057"/>
      <c r="BM228" s="1057"/>
      <c r="BN228" s="1239"/>
      <c r="BO228" s="1057"/>
      <c r="BP228" s="1057"/>
      <c r="BQ228" s="1239"/>
      <c r="BR228" s="1057"/>
      <c r="BS228" s="1057"/>
      <c r="BT228" s="1239"/>
      <c r="BU228" s="1057"/>
      <c r="BV228" s="1057"/>
      <c r="BW228" s="1239"/>
      <c r="BX228" s="1057"/>
      <c r="BY228" s="1057"/>
      <c r="BZ228" s="1239"/>
      <c r="CA228" s="1057"/>
      <c r="CB228" s="1057"/>
    </row>
    <row r="229" spans="1:80" hidden="1" x14ac:dyDescent="0.2">
      <c r="A229" s="846">
        <v>3</v>
      </c>
      <c r="B229" s="846" t="str">
        <f>B212</f>
        <v>Kershaw Dev 12 Black</v>
      </c>
      <c r="C229" s="846">
        <f>VLOOKUP(B229,AU$2:AY$10,4,FALSE)</f>
        <v>1212.6846745768064</v>
      </c>
      <c r="D229" s="846">
        <f>IF(A229=B218,B233,IF(A229=D218,D233,C229))</f>
        <v>1212.6846745768064</v>
      </c>
      <c r="G229" s="846">
        <f>IF(A229=E218,E233,IF(A229=G218,G233,D229))</f>
        <v>1212.6846745768064</v>
      </c>
      <c r="J229" s="846">
        <f>IF(A229=H218,H233,IF(A229=J218,J233,G229))</f>
        <v>1212.6846745768064</v>
      </c>
      <c r="V229" s="1240"/>
      <c r="W229" s="1240">
        <v>3</v>
      </c>
      <c r="X229" s="846" t="str">
        <f>Y212</f>
        <v>Foothills Skylar</v>
      </c>
      <c r="Y229" s="846">
        <f>VLOOKUP(X229,AU$2:AY$10,4,FALSE)</f>
        <v>1114.3349186624</v>
      </c>
      <c r="Z229" s="846">
        <f>IF(W229=X218,X233,IF(W229=Z218,Z233,Y229))</f>
        <v>1114.3349186624</v>
      </c>
      <c r="AC229" s="846">
        <f>IF(W229=AA218,AA233,IF(W229=AC218,AC233,Z229))</f>
        <v>1114.3349186624</v>
      </c>
      <c r="AF229" s="846">
        <f>IF(W229=AD218,AD233,IF(W229=AF218,AF233,AC229))</f>
        <v>1114.3349186624</v>
      </c>
      <c r="AT229" s="846" t="str">
        <f>B230</f>
        <v>SC Midlands KP Black</v>
      </c>
      <c r="AU229" s="846">
        <f>J230</f>
        <v>1205.1953108001799</v>
      </c>
      <c r="AW229" s="1239"/>
      <c r="AX229" s="1057"/>
      <c r="AY229" s="1057"/>
      <c r="AZ229" s="1057"/>
      <c r="BA229" s="1057"/>
      <c r="BB229" s="1239"/>
      <c r="BC229" s="1057"/>
      <c r="BD229" s="1057"/>
      <c r="BE229" s="1239"/>
      <c r="BF229" s="1057"/>
      <c r="BG229" s="1057"/>
      <c r="BH229" s="1239"/>
      <c r="BI229" s="1057"/>
      <c r="BJ229" s="1057"/>
      <c r="BK229" s="1239"/>
      <c r="BL229" s="1057"/>
      <c r="BM229" s="1057"/>
      <c r="BN229" s="1239"/>
      <c r="BO229" s="1057"/>
      <c r="BP229" s="1057"/>
      <c r="BQ229" s="1239"/>
      <c r="BR229" s="1057"/>
      <c r="BS229" s="1057"/>
      <c r="BT229" s="1239"/>
      <c r="BU229" s="1057"/>
      <c r="BV229" s="1057"/>
      <c r="BW229" s="1239"/>
      <c r="BX229" s="1057"/>
      <c r="BY229" s="1057"/>
      <c r="BZ229" s="1239"/>
      <c r="CA229" s="1057"/>
      <c r="CB229" s="1057"/>
    </row>
    <row r="230" spans="1:80" hidden="1" x14ac:dyDescent="0.2">
      <c r="A230" s="846">
        <v>4</v>
      </c>
      <c r="B230" s="846" t="str">
        <f>B213</f>
        <v>SC Midlands KP Black</v>
      </c>
      <c r="C230" s="846">
        <f>VLOOKUP(B230,AU$2:AY$10,4,FALSE)</f>
        <v>1205.1953108001799</v>
      </c>
      <c r="D230" s="846">
        <f>IF(A230=B218,B233,IF(A230=D218,D233,C230))</f>
        <v>1205.1953108001799</v>
      </c>
      <c r="G230" s="846">
        <f>IF(A230=E218,E233,IF(A230=G218,G233,D230))</f>
        <v>1205.1953108001799</v>
      </c>
      <c r="J230" s="846">
        <f>IF(A230=H218,H233,IF(A230=J218,J233,G230))</f>
        <v>1205.1953108001799</v>
      </c>
      <c r="V230" s="1240"/>
      <c r="W230" s="1240">
        <v>4</v>
      </c>
      <c r="X230" s="846" t="str">
        <f>Y213</f>
        <v>BYE</v>
      </c>
      <c r="Y230" s="846" t="e">
        <f>VLOOKUP(X230,AU$2:AY$10,4,FALSE)</f>
        <v>#N/A</v>
      </c>
      <c r="Z230" s="846" t="e">
        <f>IF(W230=X218,X233,IF(W230=Z218,Z233,Y230))</f>
        <v>#N/A</v>
      </c>
      <c r="AC230" s="846" t="e">
        <f>IF(W230=AA218,AA233,IF(W230=AC218,AC233,Z230))</f>
        <v>#N/A</v>
      </c>
      <c r="AF230" s="846" t="e">
        <f>IF(W230=AD218,AD233,IF(W230=AF218,AF233,AC230))</f>
        <v>#N/A</v>
      </c>
      <c r="AT230" s="846" t="str">
        <f>X227</f>
        <v>SC Midlands KP Silver</v>
      </c>
      <c r="AU230" s="846">
        <f>AF227</f>
        <v>1205.8047865865301</v>
      </c>
      <c r="AW230" s="1239"/>
      <c r="AX230" s="1057"/>
      <c r="AY230" s="1057"/>
      <c r="AZ230" s="1057"/>
      <c r="BA230" s="1057"/>
      <c r="BB230" s="1239"/>
      <c r="BC230" s="1057"/>
      <c r="BD230" s="1057"/>
      <c r="BE230" s="1239"/>
      <c r="BF230" s="1057"/>
      <c r="BG230" s="1057"/>
      <c r="BH230" s="1239"/>
      <c r="BI230" s="1057"/>
      <c r="BJ230" s="1057"/>
      <c r="BK230" s="1239"/>
      <c r="BL230" s="1057"/>
      <c r="BM230" s="1057"/>
      <c r="BN230" s="1239"/>
      <c r="BO230" s="1057"/>
      <c r="BP230" s="1057"/>
      <c r="BQ230" s="1239"/>
      <c r="BR230" s="1057"/>
      <c r="BS230" s="1057"/>
      <c r="BT230" s="1239"/>
      <c r="BU230" s="1057"/>
      <c r="BV230" s="1057"/>
      <c r="BW230" s="1239"/>
      <c r="BX230" s="1057"/>
      <c r="BY230" s="1057"/>
      <c r="BZ230" s="1239"/>
      <c r="CA230" s="1057"/>
      <c r="CB230" s="1057"/>
    </row>
    <row r="231" spans="1:80" hidden="1" x14ac:dyDescent="0.2">
      <c r="A231" s="846" t="s">
        <v>114</v>
      </c>
      <c r="B231" s="846">
        <f>VLOOKUP(B218,$A227:$J230,3,FALSE)</f>
        <v>1224.9630571345931</v>
      </c>
      <c r="D231" s="846">
        <f>VLOOKUP(D218,$A227:$J230,3,FALSE)</f>
        <v>1205.1953108001799</v>
      </c>
      <c r="E231" s="846">
        <f>VLOOKUP(E218,$A227:$J230,4,FALSE)</f>
        <v>1274.3440224645769</v>
      </c>
      <c r="G231" s="846">
        <f>VLOOKUP(G218,$A227:$J230,4,FALSE)</f>
        <v>1212.6846745768064</v>
      </c>
      <c r="H231" s="846" t="e">
        <f>VLOOKUP(H218,$A227:$J230,7,FALSE)</f>
        <v>#N/A</v>
      </c>
      <c r="J231" s="846" t="e">
        <f>VLOOKUP(J218,$A227:$J230,7,FALSE)</f>
        <v>#N/A</v>
      </c>
      <c r="U231" s="1241" t="s">
        <v>114</v>
      </c>
      <c r="V231" s="1241"/>
      <c r="W231" s="1241"/>
      <c r="X231" s="846">
        <f>VLOOKUP(X218,$W227:$AF230,3,FALSE)</f>
        <v>1205.8047865865301</v>
      </c>
      <c r="Z231" s="846" t="e">
        <f>VLOOKUP(Z218,$W227:$AF230,3,FALSE)</f>
        <v>#N/A</v>
      </c>
      <c r="AA231" s="846">
        <f>VLOOKUP(AA218,$W227:$AF230,4,FALSE)</f>
        <v>1172.8444831041593</v>
      </c>
      <c r="AC231" s="846">
        <f>VLOOKUP(AC218,$W227:$AF230,4,FALSE)</f>
        <v>1114.3349186624</v>
      </c>
      <c r="AD231" s="846">
        <f>VLOOKUP(AD218,$W227:$AF230,7,FALSE)</f>
        <v>1205.8047865865301</v>
      </c>
      <c r="AF231" s="846" t="e">
        <f>VLOOKUP(AF218,$W227:$AF230,7,FALSE)</f>
        <v>#N/A</v>
      </c>
      <c r="AT231" s="846" t="str">
        <f>X228</f>
        <v>Columbia SC Starlings 12</v>
      </c>
      <c r="AU231" s="846">
        <f>AF228</f>
        <v>1172.8444831041593</v>
      </c>
      <c r="AW231" s="1239"/>
      <c r="AX231" s="1057"/>
      <c r="AY231" s="1057"/>
      <c r="AZ231" s="1057"/>
      <c r="BA231" s="1057"/>
      <c r="BB231" s="1239"/>
      <c r="BC231" s="1057"/>
      <c r="BD231" s="1057"/>
      <c r="BE231" s="1239"/>
      <c r="BF231" s="1057"/>
      <c r="BG231" s="1057"/>
      <c r="BH231" s="1239"/>
      <c r="BI231" s="1057"/>
      <c r="BJ231" s="1057"/>
      <c r="BK231" s="1239"/>
      <c r="BL231" s="1057"/>
      <c r="BM231" s="1057"/>
      <c r="BN231" s="1239"/>
      <c r="BO231" s="1057"/>
      <c r="BP231" s="1057"/>
      <c r="BQ231" s="1239"/>
      <c r="BR231" s="1057"/>
      <c r="BS231" s="1057"/>
      <c r="BT231" s="1239"/>
      <c r="BU231" s="1057"/>
      <c r="BV231" s="1057"/>
      <c r="BW231" s="1239"/>
      <c r="BX231" s="1057"/>
      <c r="BY231" s="1057"/>
      <c r="BZ231" s="1239"/>
      <c r="CA231" s="1057"/>
      <c r="CB231" s="1057"/>
    </row>
    <row r="232" spans="1:80" hidden="1" x14ac:dyDescent="0.2">
      <c r="A232" s="1072" t="s">
        <v>115</v>
      </c>
      <c r="B232" s="1072">
        <f>IF(OR(B222&gt;0,D222&gt;0),1/(1+(10^-((B231-D231)/400)))*(B222+D222),0)</f>
        <v>0</v>
      </c>
      <c r="C232" s="1072"/>
      <c r="D232" s="1072">
        <f>IF(OR(B222&gt;0,D222&gt;0),1/(1+(10^-((D231-B231)/400)))*(B222+D222),0)</f>
        <v>0</v>
      </c>
      <c r="E232" s="1072">
        <f>IF(OR(E222&gt;0,G222&gt;0),1/(1+(10^-((E231-G231)/400)))*(E222+G222),0)</f>
        <v>0</v>
      </c>
      <c r="F232" s="1072"/>
      <c r="G232" s="1072">
        <f>IF(OR(E222&gt;0,G222&gt;0),1/(1+(10^-((G231-E231)/400)))*(E222+G222),0)</f>
        <v>0</v>
      </c>
      <c r="H232" s="1072">
        <f>IF(OR(H222&gt;0,J222&gt;0),1/(1+(10^-((H231-J231)/400)))*(H222+J222),0)</f>
        <v>0</v>
      </c>
      <c r="I232" s="1072"/>
      <c r="J232" s="1072">
        <f>IF(OR(H222&gt;0,J222&gt;0),1/(1+(10^-((J231-H231)/400)))*(H222+J222),0)</f>
        <v>0</v>
      </c>
      <c r="K232" s="1072"/>
      <c r="U232" s="1242" t="s">
        <v>115</v>
      </c>
      <c r="V232" s="1242"/>
      <c r="W232" s="1242"/>
      <c r="X232" s="1072">
        <f>IF(OR(X222&gt;0,Z222&gt;0),1/(1+(10^-((X231-Z231)/400)))*(X222+Z222),0)</f>
        <v>0</v>
      </c>
      <c r="Y232" s="1072"/>
      <c r="Z232" s="1072">
        <f>IF(OR(X222&gt;0,Z222&gt;0),1/(1+(10^-((Z231-X231)/400)))*(X222+Z222),0)</f>
        <v>0</v>
      </c>
      <c r="AA232" s="1072">
        <f>IF(OR(AA222&gt;0,AC222&gt;0),1/(1+(10^-((AA231-AC231)/400)))*(AA222+AC222),0)</f>
        <v>0</v>
      </c>
      <c r="AB232" s="1072"/>
      <c r="AC232" s="1072">
        <f>IF(OR(AA222&gt;0,AC222&gt;0),1/(1+(10^-((AC231-AA231)/400)))*(AA222+AC222),0)</f>
        <v>0</v>
      </c>
      <c r="AD232" s="1072">
        <f>IF(OR(AD222&gt;0,AF222&gt;0),1/(1+(10^-((AD231-AF231)/400)))*(AD222+AF222),0)</f>
        <v>0</v>
      </c>
      <c r="AE232" s="1072"/>
      <c r="AF232" s="1072">
        <f>IF(OR(AD222&gt;0,AF222&gt;0),1/(1+(10^-((AF231-AD231)/400)))*(AD222+AF222),0)</f>
        <v>0</v>
      </c>
      <c r="AT232" s="846" t="str">
        <f>X229</f>
        <v>Foothills Skylar</v>
      </c>
      <c r="AU232" s="846">
        <f>AF229</f>
        <v>1114.3349186624</v>
      </c>
      <c r="AW232" s="1239"/>
      <c r="AX232" s="1057"/>
      <c r="AY232" s="1057"/>
      <c r="AZ232" s="1057"/>
      <c r="BA232" s="1057"/>
      <c r="BB232" s="1239"/>
      <c r="BC232" s="1057"/>
      <c r="BD232" s="1057"/>
      <c r="BE232" s="1239"/>
      <c r="BF232" s="1057"/>
      <c r="BG232" s="1057"/>
      <c r="BH232" s="1239"/>
      <c r="BI232" s="1057"/>
      <c r="BJ232" s="1057"/>
      <c r="BK232" s="1239"/>
      <c r="BL232" s="1057"/>
      <c r="BM232" s="1057"/>
      <c r="BN232" s="1239"/>
      <c r="BO232" s="1057"/>
      <c r="BP232" s="1057"/>
      <c r="BQ232" s="1239"/>
      <c r="BR232" s="1057"/>
      <c r="BS232" s="1057"/>
      <c r="BT232" s="1239"/>
      <c r="BU232" s="1057"/>
      <c r="BV232" s="1057"/>
      <c r="BW232" s="1239"/>
      <c r="BX232" s="1057"/>
      <c r="BY232" s="1057"/>
      <c r="BZ232" s="1239"/>
      <c r="CA232" s="1057"/>
      <c r="CB232" s="1057"/>
    </row>
    <row r="233" spans="1:80" hidden="1" x14ac:dyDescent="0.2">
      <c r="A233" s="1078" t="s">
        <v>116</v>
      </c>
      <c r="B233" s="1078">
        <f>B231+(B222-B232)*$BA$2</f>
        <v>1224.9630571345931</v>
      </c>
      <c r="C233" s="1078"/>
      <c r="D233" s="1078">
        <f>D231+(D222-D232)*$BA$2</f>
        <v>1205.1953108001799</v>
      </c>
      <c r="E233" s="1078">
        <f>E231+(E222-E232)*$BA$2</f>
        <v>1274.3440224645769</v>
      </c>
      <c r="G233" s="1078">
        <f>G231+(G222-G232)*$BA$2</f>
        <v>1212.6846745768064</v>
      </c>
      <c r="H233" s="1078" t="e">
        <f>H231+(H222-H232)*$BA$2</f>
        <v>#N/A</v>
      </c>
      <c r="J233" s="1078" t="e">
        <f>J231+(J222-J232)*$BA$2</f>
        <v>#N/A</v>
      </c>
      <c r="K233" s="1078"/>
      <c r="U233" s="1243" t="s">
        <v>116</v>
      </c>
      <c r="V233" s="1243"/>
      <c r="W233" s="1243"/>
      <c r="X233" s="1078">
        <f>X231+(X222-X232)*$BA$2</f>
        <v>1205.8047865865301</v>
      </c>
      <c r="Y233" s="1078"/>
      <c r="Z233" s="1078" t="e">
        <f>Z231+(Z222-Z232)*$BA$2</f>
        <v>#N/A</v>
      </c>
      <c r="AA233" s="1078">
        <f>AA231+(AA222-AA232)*$BA$2</f>
        <v>1172.8444831041593</v>
      </c>
      <c r="AC233" s="1078">
        <f>AC231+(AC222-AC232)*$BA$2</f>
        <v>1114.3349186624</v>
      </c>
      <c r="AD233" s="1078">
        <f>AD231+(AD222-AD232)*$BA$2</f>
        <v>1205.8047865865301</v>
      </c>
      <c r="AF233" s="1078" t="e">
        <f>AF231+(AF222-AF232)*$BA$2</f>
        <v>#N/A</v>
      </c>
      <c r="AT233" s="846" t="str">
        <f>X230</f>
        <v>BYE</v>
      </c>
      <c r="AU233" s="846" t="e">
        <f>AF230</f>
        <v>#N/A</v>
      </c>
      <c r="AW233" s="1239"/>
      <c r="AX233" s="1057"/>
      <c r="AY233" s="1057"/>
      <c r="AZ233" s="1057"/>
      <c r="BA233" s="1057"/>
      <c r="BB233" s="1239"/>
      <c r="BC233" s="1057"/>
      <c r="BD233" s="1057"/>
      <c r="BE233" s="1239"/>
      <c r="BF233" s="1057"/>
      <c r="BG233" s="1057"/>
      <c r="BH233" s="1239"/>
      <c r="BI233" s="1057"/>
      <c r="BJ233" s="1057"/>
      <c r="BK233" s="1239"/>
      <c r="BL233" s="1057"/>
      <c r="BM233" s="1057"/>
      <c r="BN233" s="1239"/>
      <c r="BO233" s="1057"/>
      <c r="BP233" s="1057"/>
      <c r="BQ233" s="1239"/>
      <c r="BR233" s="1057"/>
      <c r="BS233" s="1057"/>
      <c r="BT233" s="1239"/>
      <c r="BU233" s="1057"/>
      <c r="BV233" s="1057"/>
      <c r="BW233" s="1239"/>
      <c r="BX233" s="1057"/>
      <c r="BY233" s="1057"/>
      <c r="BZ233" s="1239"/>
      <c r="CA233" s="1057"/>
      <c r="CB233" s="1057"/>
    </row>
    <row r="234" spans="1:80" x14ac:dyDescent="0.2">
      <c r="A234" s="1244" t="s">
        <v>167</v>
      </c>
      <c r="B234" s="1244"/>
      <c r="C234" s="1244"/>
      <c r="D234" s="1244"/>
      <c r="E234" s="1244"/>
      <c r="F234" s="1244"/>
      <c r="G234" s="1244"/>
      <c r="H234" s="1244"/>
      <c r="I234" s="1244"/>
      <c r="J234" s="1244"/>
      <c r="K234" s="1244"/>
      <c r="L234" s="1244"/>
      <c r="M234" s="1244"/>
      <c r="N234" s="1244"/>
      <c r="S234" s="1187"/>
      <c r="T234" s="1187"/>
      <c r="U234" s="1226"/>
      <c r="V234" s="1226"/>
      <c r="W234" s="1244" t="s">
        <v>167</v>
      </c>
      <c r="X234" s="1244"/>
      <c r="Y234" s="1244"/>
      <c r="Z234" s="1244"/>
      <c r="AA234" s="1244"/>
      <c r="AB234" s="1244"/>
      <c r="AC234" s="1244"/>
      <c r="AD234" s="1244"/>
      <c r="AE234" s="1244"/>
      <c r="AF234" s="1244"/>
      <c r="AG234" s="1244"/>
      <c r="AH234" s="1244"/>
      <c r="AI234" s="1187"/>
      <c r="AJ234" s="1187"/>
      <c r="AK234" s="1187"/>
      <c r="AZ234" s="1057"/>
      <c r="BA234" s="1057"/>
    </row>
    <row r="235" spans="1:80" x14ac:dyDescent="0.2">
      <c r="AT235" s="1057"/>
      <c r="AU235" s="1057"/>
      <c r="AZ235" s="1057"/>
      <c r="BA235" s="1057"/>
    </row>
    <row r="236" spans="1:80" x14ac:dyDescent="0.2">
      <c r="AT236" s="1057"/>
      <c r="AU236" s="1057"/>
      <c r="AZ236" s="1057"/>
      <c r="BA236" s="1057"/>
    </row>
    <row r="237" spans="1:80" x14ac:dyDescent="0.2">
      <c r="AT237" s="1057"/>
      <c r="AU237" s="1057"/>
      <c r="AZ237" s="1057"/>
      <c r="BA237" s="1057"/>
    </row>
    <row r="238" spans="1:80" x14ac:dyDescent="0.2">
      <c r="AT238" s="1057"/>
      <c r="AU238" s="1057"/>
      <c r="AZ238" s="1057"/>
      <c r="BA238" s="1057"/>
    </row>
    <row r="239" spans="1:80" x14ac:dyDescent="0.2">
      <c r="AT239" s="1057"/>
      <c r="AU239" s="1057"/>
      <c r="AZ239" s="1057"/>
      <c r="BA239" s="1057"/>
    </row>
    <row r="240" spans="1:80" x14ac:dyDescent="0.2">
      <c r="AT240" s="1057"/>
      <c r="AU240" s="1057"/>
      <c r="AZ240" s="1057"/>
      <c r="BA240" s="1057"/>
    </row>
    <row r="241" spans="46:53" x14ac:dyDescent="0.2">
      <c r="AT241" s="1057"/>
      <c r="AU241" s="1057"/>
      <c r="AZ241" s="1057"/>
      <c r="BA241" s="1057"/>
    </row>
    <row r="242" spans="46:53" x14ac:dyDescent="0.2">
      <c r="AT242" s="1057"/>
      <c r="AU242" s="1057"/>
      <c r="AZ242" s="1057"/>
      <c r="BA242" s="1057"/>
    </row>
    <row r="243" spans="46:53" x14ac:dyDescent="0.2">
      <c r="AT243" s="1057"/>
      <c r="AU243" s="1057"/>
      <c r="AZ243" s="1057"/>
      <c r="BA243" s="1057"/>
    </row>
    <row r="244" spans="46:53" x14ac:dyDescent="0.2">
      <c r="AT244" s="1057"/>
      <c r="AU244" s="1057"/>
      <c r="AZ244" s="1057"/>
      <c r="BA244" s="1057"/>
    </row>
    <row r="245" spans="46:53" x14ac:dyDescent="0.2">
      <c r="AT245" s="1057"/>
      <c r="AU245" s="1057"/>
      <c r="AZ245" s="1057"/>
      <c r="BA245" s="1057"/>
    </row>
    <row r="246" spans="46:53" x14ac:dyDescent="0.2">
      <c r="AT246" s="1057"/>
      <c r="AU246" s="1057"/>
      <c r="AZ246" s="1057"/>
      <c r="BA246" s="1057"/>
    </row>
    <row r="247" spans="46:53" x14ac:dyDescent="0.2">
      <c r="AT247" s="1057"/>
      <c r="AU247" s="1057"/>
    </row>
    <row r="248" spans="46:53" x14ac:dyDescent="0.2">
      <c r="AT248" s="1057"/>
      <c r="AU248" s="1057"/>
      <c r="AZ248" s="1065"/>
      <c r="BA248" s="1065"/>
    </row>
    <row r="249" spans="46:53" x14ac:dyDescent="0.2">
      <c r="AT249" s="1057"/>
      <c r="AU249" s="1057"/>
      <c r="AZ249" s="1065"/>
      <c r="BA249" s="1065"/>
    </row>
    <row r="250" spans="46:53" x14ac:dyDescent="0.2">
      <c r="AT250" s="1057"/>
      <c r="AU250" s="1057"/>
      <c r="AZ250" s="1065"/>
      <c r="BA250" s="1065"/>
    </row>
    <row r="251" spans="46:53" x14ac:dyDescent="0.2">
      <c r="AT251" s="1057"/>
      <c r="AU251" s="1057"/>
      <c r="AZ251" s="1065"/>
      <c r="BA251" s="1065"/>
    </row>
    <row r="252" spans="46:53" x14ac:dyDescent="0.2">
      <c r="AT252" s="1057"/>
      <c r="AU252" s="1057"/>
      <c r="AZ252" s="1065"/>
      <c r="BA252" s="1065"/>
    </row>
    <row r="253" spans="46:53" x14ac:dyDescent="0.2">
      <c r="AT253" s="1057"/>
      <c r="AU253" s="1057"/>
      <c r="AZ253" s="1065"/>
      <c r="BA253" s="1065"/>
    </row>
    <row r="254" spans="46:53" x14ac:dyDescent="0.2">
      <c r="AT254" s="1057"/>
      <c r="AU254" s="1057"/>
      <c r="AZ254" s="1065"/>
      <c r="BA254" s="1065"/>
    </row>
    <row r="255" spans="46:53" x14ac:dyDescent="0.2">
      <c r="AT255" s="1057"/>
      <c r="AU255" s="1057"/>
      <c r="AZ255" s="1065"/>
      <c r="BA255" s="1065"/>
    </row>
    <row r="256" spans="46:53" x14ac:dyDescent="0.2">
      <c r="AT256" s="1057"/>
      <c r="AU256" s="1057"/>
      <c r="AZ256" s="1075"/>
      <c r="BA256" s="1075"/>
    </row>
    <row r="257" spans="46:53" x14ac:dyDescent="0.2">
      <c r="AT257" s="1057"/>
      <c r="AU257" s="1057"/>
      <c r="AZ257" s="1081"/>
      <c r="BA257" s="1081"/>
    </row>
    <row r="258" spans="46:53" x14ac:dyDescent="0.2">
      <c r="AT258" s="1057"/>
      <c r="AU258" s="1057"/>
      <c r="AZ258" s="1081"/>
      <c r="BA258" s="1081"/>
    </row>
    <row r="259" spans="46:53" x14ac:dyDescent="0.2">
      <c r="AT259" s="1057"/>
      <c r="AU259" s="1057"/>
      <c r="AZ259" s="1065"/>
      <c r="BA259" s="1065"/>
    </row>
    <row r="260" spans="46:53" x14ac:dyDescent="0.2">
      <c r="AT260" s="1065"/>
      <c r="AU260" s="1065"/>
      <c r="AZ260" s="1065"/>
      <c r="BA260" s="1065"/>
    </row>
    <row r="261" spans="46:53" x14ac:dyDescent="0.2">
      <c r="AT261" s="1065"/>
      <c r="AU261" s="1065"/>
    </row>
    <row r="286" spans="46:53" x14ac:dyDescent="0.2">
      <c r="AT286" s="1057"/>
      <c r="AU286" s="1057"/>
      <c r="AZ286" s="1057"/>
      <c r="BA286" s="1057"/>
    </row>
    <row r="287" spans="46:53" x14ac:dyDescent="0.2">
      <c r="AT287" s="1057"/>
      <c r="AU287" s="1057"/>
      <c r="AZ287" s="1057"/>
      <c r="BA287" s="1057"/>
    </row>
    <row r="288" spans="46:53" x14ac:dyDescent="0.2">
      <c r="AT288" s="1057"/>
      <c r="AU288" s="1057"/>
      <c r="AZ288" s="1057"/>
      <c r="BA288" s="1057"/>
    </row>
    <row r="289" spans="46:53" x14ac:dyDescent="0.2">
      <c r="AT289" s="1057"/>
      <c r="AU289" s="1057"/>
      <c r="AZ289" s="1057"/>
      <c r="BA289" s="1057"/>
    </row>
    <row r="290" spans="46:53" x14ac:dyDescent="0.2">
      <c r="AT290" s="1057"/>
      <c r="AU290" s="1057"/>
      <c r="AZ290" s="1057"/>
      <c r="BA290" s="1057"/>
    </row>
    <row r="291" spans="46:53" x14ac:dyDescent="0.2">
      <c r="AT291" s="1057"/>
      <c r="AU291" s="1057"/>
      <c r="AZ291" s="1057"/>
      <c r="BA291" s="1057"/>
    </row>
    <row r="292" spans="46:53" x14ac:dyDescent="0.2">
      <c r="AT292" s="1057"/>
      <c r="AU292" s="1057"/>
      <c r="AZ292" s="1057"/>
      <c r="BA292" s="1057"/>
    </row>
    <row r="293" spans="46:53" x14ac:dyDescent="0.2">
      <c r="AT293" s="1057"/>
      <c r="AU293" s="1057"/>
      <c r="AZ293" s="1057"/>
      <c r="BA293" s="1057"/>
    </row>
    <row r="294" spans="46:53" x14ac:dyDescent="0.2">
      <c r="AT294" s="1057"/>
      <c r="AU294" s="1057"/>
      <c r="AZ294" s="1057"/>
      <c r="BA294" s="1057"/>
    </row>
    <row r="295" spans="46:53" x14ac:dyDescent="0.2">
      <c r="AT295" s="1057"/>
      <c r="AU295" s="1057"/>
      <c r="AZ295" s="1057"/>
      <c r="BA295" s="1057"/>
    </row>
    <row r="296" spans="46:53" x14ac:dyDescent="0.2">
      <c r="AT296" s="1057"/>
      <c r="AU296" s="1057"/>
      <c r="AZ296" s="1057"/>
      <c r="BA296" s="1057"/>
    </row>
    <row r="297" spans="46:53" x14ac:dyDescent="0.2">
      <c r="AT297" s="1057"/>
      <c r="AU297" s="1057"/>
      <c r="AZ297" s="1057"/>
      <c r="BA297" s="1057"/>
    </row>
    <row r="298" spans="46:53" x14ac:dyDescent="0.2">
      <c r="AT298" s="1057"/>
      <c r="AU298" s="1057"/>
      <c r="AZ298" s="1057"/>
      <c r="BA298" s="1057"/>
    </row>
    <row r="299" spans="46:53" x14ac:dyDescent="0.2">
      <c r="AT299" s="1057"/>
      <c r="AU299" s="1057"/>
      <c r="AZ299" s="1057"/>
      <c r="BA299" s="1057"/>
    </row>
    <row r="300" spans="46:53" x14ac:dyDescent="0.2">
      <c r="AT300" s="1057"/>
      <c r="AU300" s="1057"/>
      <c r="AZ300" s="1057"/>
      <c r="BA300" s="1057"/>
    </row>
    <row r="301" spans="46:53" x14ac:dyDescent="0.2">
      <c r="AT301" s="1057"/>
      <c r="AU301" s="1057"/>
      <c r="AZ301" s="1057"/>
      <c r="BA301" s="1057"/>
    </row>
    <row r="302" spans="46:53" x14ac:dyDescent="0.2">
      <c r="AT302" s="1057"/>
      <c r="AU302" s="1057"/>
      <c r="AZ302" s="1057"/>
      <c r="BA302" s="1057"/>
    </row>
    <row r="303" spans="46:53" x14ac:dyDescent="0.2">
      <c r="AT303" s="1057"/>
      <c r="AU303" s="1057"/>
      <c r="AZ303" s="1057"/>
      <c r="BA303" s="1057"/>
    </row>
    <row r="304" spans="46:53" x14ac:dyDescent="0.2">
      <c r="AT304" s="1057"/>
      <c r="AU304" s="1057"/>
      <c r="AZ304" s="1057"/>
      <c r="BA304" s="1057"/>
    </row>
    <row r="305" spans="46:53" x14ac:dyDescent="0.2">
      <c r="AT305" s="1057"/>
      <c r="AU305" s="1057"/>
      <c r="AZ305" s="1057"/>
      <c r="BA305" s="1057"/>
    </row>
    <row r="306" spans="46:53" x14ac:dyDescent="0.2">
      <c r="AT306" s="1057"/>
      <c r="AU306" s="1057"/>
      <c r="AZ306" s="1057"/>
      <c r="BA306" s="1057"/>
    </row>
    <row r="307" spans="46:53" x14ac:dyDescent="0.2">
      <c r="AT307" s="1057"/>
      <c r="AU307" s="1057"/>
      <c r="AZ307" s="1057"/>
      <c r="BA307" s="1057"/>
    </row>
    <row r="308" spans="46:53" x14ac:dyDescent="0.2">
      <c r="AT308" s="1057"/>
      <c r="AU308" s="1057"/>
      <c r="AZ308" s="1057"/>
      <c r="BA308" s="1057"/>
    </row>
    <row r="309" spans="46:53" x14ac:dyDescent="0.2">
      <c r="AT309" s="1057"/>
      <c r="AU309" s="1057"/>
      <c r="AZ309" s="1057"/>
      <c r="BA309" s="1057"/>
    </row>
    <row r="310" spans="46:53" x14ac:dyDescent="0.2">
      <c r="AT310" s="1057"/>
      <c r="AU310" s="1057"/>
      <c r="AZ310" s="1057"/>
      <c r="BA310" s="1057"/>
    </row>
    <row r="311" spans="46:53" x14ac:dyDescent="0.2">
      <c r="AT311" s="1057"/>
      <c r="AU311" s="1057"/>
      <c r="AZ311" s="1057"/>
      <c r="BA311" s="1057"/>
    </row>
    <row r="312" spans="46:53" x14ac:dyDescent="0.2">
      <c r="AT312" s="1057"/>
      <c r="AU312" s="1057"/>
      <c r="AZ312" s="1057"/>
      <c r="BA312" s="1057"/>
    </row>
    <row r="313" spans="46:53" x14ac:dyDescent="0.2">
      <c r="AT313" s="1057"/>
      <c r="AU313" s="1057"/>
      <c r="AZ313" s="1057"/>
      <c r="BA313" s="1057"/>
    </row>
    <row r="314" spans="46:53" x14ac:dyDescent="0.2">
      <c r="AT314" s="1057"/>
      <c r="AU314" s="1057"/>
      <c r="AZ314" s="1057"/>
      <c r="BA314" s="1057"/>
    </row>
    <row r="315" spans="46:53" x14ac:dyDescent="0.2">
      <c r="AT315" s="1057"/>
      <c r="AU315" s="1057"/>
      <c r="AZ315" s="1057"/>
      <c r="BA315" s="1057"/>
    </row>
    <row r="316" spans="46:53" x14ac:dyDescent="0.2">
      <c r="AT316" s="1057"/>
      <c r="AU316" s="1057"/>
      <c r="AZ316" s="1057"/>
      <c r="BA316" s="1057"/>
    </row>
    <row r="317" spans="46:53" x14ac:dyDescent="0.2">
      <c r="AT317" s="1057"/>
      <c r="AU317" s="1057"/>
      <c r="AZ317" s="1057"/>
      <c r="BA317" s="1057"/>
    </row>
    <row r="318" spans="46:53" x14ac:dyDescent="0.2">
      <c r="AT318" s="1057"/>
      <c r="AU318" s="1057"/>
      <c r="AZ318" s="1057"/>
      <c r="BA318" s="1057"/>
    </row>
    <row r="319" spans="46:53" x14ac:dyDescent="0.2">
      <c r="AT319" s="1057"/>
      <c r="AU319" s="1057"/>
      <c r="AZ319" s="1057"/>
      <c r="BA319" s="1057"/>
    </row>
    <row r="320" spans="46:53" x14ac:dyDescent="0.2">
      <c r="AT320" s="1057"/>
      <c r="AU320" s="1057"/>
      <c r="AZ320" s="1057"/>
      <c r="BA320" s="1057"/>
    </row>
    <row r="321" spans="46:53" x14ac:dyDescent="0.2">
      <c r="AT321" s="1057"/>
      <c r="AU321" s="1057"/>
      <c r="AZ321" s="1057"/>
      <c r="BA321" s="1057"/>
    </row>
    <row r="322" spans="46:53" x14ac:dyDescent="0.2">
      <c r="AT322" s="1057"/>
      <c r="AU322" s="1057"/>
      <c r="AZ322" s="1057"/>
      <c r="BA322" s="1057"/>
    </row>
    <row r="323" spans="46:53" x14ac:dyDescent="0.2">
      <c r="AT323" s="1057"/>
      <c r="AU323" s="1057"/>
      <c r="AZ323" s="1057"/>
      <c r="BA323" s="1057"/>
    </row>
    <row r="324" spans="46:53" x14ac:dyDescent="0.2">
      <c r="AT324" s="1057"/>
      <c r="AU324" s="1057"/>
      <c r="AZ324" s="1057"/>
      <c r="BA324" s="1057"/>
    </row>
    <row r="325" spans="46:53" x14ac:dyDescent="0.2">
      <c r="AT325" s="1057"/>
      <c r="AU325" s="1057"/>
      <c r="AZ325" s="1057"/>
      <c r="BA325" s="1057"/>
    </row>
    <row r="326" spans="46:53" x14ac:dyDescent="0.2">
      <c r="AT326" s="1057"/>
      <c r="AU326" s="1057"/>
      <c r="AZ326" s="1057"/>
      <c r="BA326" s="1057"/>
    </row>
    <row r="327" spans="46:53" x14ac:dyDescent="0.2">
      <c r="AT327" s="1057"/>
      <c r="AU327" s="1057"/>
      <c r="AZ327" s="1057"/>
      <c r="BA327" s="1057"/>
    </row>
    <row r="328" spans="46:53" x14ac:dyDescent="0.2">
      <c r="AT328" s="1057"/>
      <c r="AU328" s="1057"/>
      <c r="AZ328" s="1057"/>
      <c r="BA328" s="1057"/>
    </row>
    <row r="329" spans="46:53" x14ac:dyDescent="0.2">
      <c r="AT329" s="1057"/>
      <c r="AU329" s="1057"/>
      <c r="AZ329" s="1057"/>
      <c r="BA329" s="1057"/>
    </row>
    <row r="330" spans="46:53" x14ac:dyDescent="0.2">
      <c r="AT330" s="1057"/>
      <c r="AU330" s="1057"/>
      <c r="AZ330" s="1057"/>
      <c r="BA330" s="1057"/>
    </row>
    <row r="331" spans="46:53" x14ac:dyDescent="0.2">
      <c r="AT331" s="1057"/>
      <c r="AU331" s="1057"/>
      <c r="AZ331" s="1057"/>
      <c r="BA331" s="1057"/>
    </row>
    <row r="332" spans="46:53" x14ac:dyDescent="0.2">
      <c r="AT332" s="1065"/>
      <c r="AU332" s="1065"/>
    </row>
    <row r="333" spans="46:53" x14ac:dyDescent="0.2">
      <c r="AT333" s="1065"/>
      <c r="AU333" s="1065"/>
      <c r="AZ333" s="1065"/>
      <c r="BA333" s="1065"/>
    </row>
    <row r="334" spans="46:53" x14ac:dyDescent="0.2">
      <c r="AZ334" s="1065"/>
      <c r="BA334" s="1065"/>
    </row>
    <row r="335" spans="46:53" x14ac:dyDescent="0.2">
      <c r="AZ335" s="1065"/>
      <c r="BA335" s="1065"/>
    </row>
    <row r="336" spans="46:53" x14ac:dyDescent="0.2">
      <c r="AZ336" s="1065"/>
      <c r="BA336" s="1065"/>
    </row>
    <row r="337" spans="46:53" x14ac:dyDescent="0.2">
      <c r="AZ337" s="1065"/>
      <c r="BA337" s="1065"/>
    </row>
    <row r="338" spans="46:53" x14ac:dyDescent="0.2">
      <c r="AZ338" s="1065"/>
      <c r="BA338" s="1065"/>
    </row>
    <row r="339" spans="46:53" x14ac:dyDescent="0.2">
      <c r="AZ339" s="1065"/>
      <c r="BA339" s="1065"/>
    </row>
    <row r="340" spans="46:53" x14ac:dyDescent="0.2">
      <c r="AZ340" s="1065"/>
      <c r="BA340" s="1065"/>
    </row>
    <row r="341" spans="46:53" x14ac:dyDescent="0.2">
      <c r="AZ341" s="1075"/>
      <c r="BA341" s="1075"/>
    </row>
    <row r="342" spans="46:53" x14ac:dyDescent="0.2">
      <c r="AZ342" s="1081"/>
      <c r="BA342" s="1081"/>
    </row>
    <row r="343" spans="46:53" x14ac:dyDescent="0.2">
      <c r="AZ343" s="1081"/>
      <c r="BA343" s="1081"/>
    </row>
    <row r="344" spans="46:53" x14ac:dyDescent="0.2">
      <c r="AZ344" s="1065"/>
      <c r="BA344" s="1065"/>
    </row>
    <row r="345" spans="46:53" x14ac:dyDescent="0.2">
      <c r="AZ345" s="1065"/>
      <c r="BA345" s="1065"/>
    </row>
    <row r="348" spans="46:53" x14ac:dyDescent="0.2">
      <c r="AT348" s="1148"/>
    </row>
    <row r="371" spans="46:53" x14ac:dyDescent="0.2">
      <c r="AZ371" s="1057"/>
      <c r="BA371" s="1057"/>
    </row>
    <row r="372" spans="46:53" x14ac:dyDescent="0.2">
      <c r="AZ372" s="1057"/>
      <c r="BA372" s="1057"/>
    </row>
    <row r="373" spans="46:53" x14ac:dyDescent="0.2">
      <c r="AZ373" s="1057"/>
      <c r="BA373" s="1057"/>
    </row>
    <row r="374" spans="46:53" x14ac:dyDescent="0.2">
      <c r="AZ374" s="1057"/>
      <c r="BA374" s="1057"/>
    </row>
    <row r="375" spans="46:53" x14ac:dyDescent="0.2">
      <c r="AZ375" s="1057"/>
      <c r="BA375" s="1057"/>
    </row>
    <row r="376" spans="46:53" x14ac:dyDescent="0.2">
      <c r="AZ376" s="1057"/>
      <c r="BA376" s="1057"/>
    </row>
    <row r="377" spans="46:53" x14ac:dyDescent="0.2">
      <c r="AZ377" s="1057"/>
      <c r="BA377" s="1057"/>
    </row>
    <row r="378" spans="46:53" x14ac:dyDescent="0.2">
      <c r="AZ378" s="1057"/>
      <c r="BA378" s="1057"/>
    </row>
    <row r="379" spans="46:53" x14ac:dyDescent="0.2">
      <c r="AZ379" s="1057"/>
      <c r="BA379" s="1057"/>
    </row>
    <row r="380" spans="46:53" x14ac:dyDescent="0.2">
      <c r="AZ380" s="1057"/>
      <c r="BA380" s="1057"/>
    </row>
    <row r="381" spans="46:53" x14ac:dyDescent="0.2">
      <c r="AZ381" s="1057"/>
      <c r="BA381" s="1057"/>
    </row>
    <row r="382" spans="46:53" x14ac:dyDescent="0.2">
      <c r="AZ382" s="1057"/>
      <c r="BA382" s="1057"/>
    </row>
    <row r="383" spans="46:53" x14ac:dyDescent="0.2">
      <c r="AZ383" s="1057"/>
      <c r="BA383" s="1057"/>
    </row>
    <row r="384" spans="46:53" x14ac:dyDescent="0.2">
      <c r="AT384" s="1148"/>
      <c r="AZ384" s="1057"/>
      <c r="BA384" s="1057"/>
    </row>
    <row r="385" spans="52:53" x14ac:dyDescent="0.2">
      <c r="AZ385" s="1057"/>
      <c r="BA385" s="1057"/>
    </row>
    <row r="386" spans="52:53" x14ac:dyDescent="0.2">
      <c r="AZ386" s="1057"/>
      <c r="BA386" s="1057"/>
    </row>
    <row r="387" spans="52:53" x14ac:dyDescent="0.2">
      <c r="AZ387" s="1057"/>
      <c r="BA387" s="1057"/>
    </row>
    <row r="388" spans="52:53" x14ac:dyDescent="0.2">
      <c r="AZ388" s="1057"/>
      <c r="BA388" s="1057"/>
    </row>
    <row r="389" spans="52:53" x14ac:dyDescent="0.2">
      <c r="AZ389" s="1057"/>
      <c r="BA389" s="1057"/>
    </row>
    <row r="390" spans="52:53" x14ac:dyDescent="0.2">
      <c r="AZ390" s="1057"/>
      <c r="BA390" s="1057"/>
    </row>
    <row r="391" spans="52:53" x14ac:dyDescent="0.2">
      <c r="AZ391" s="1057"/>
      <c r="BA391" s="1057"/>
    </row>
    <row r="392" spans="52:53" x14ac:dyDescent="0.2">
      <c r="AZ392" s="1057"/>
      <c r="BA392" s="1057"/>
    </row>
    <row r="393" spans="52:53" x14ac:dyDescent="0.2">
      <c r="AZ393" s="1057"/>
      <c r="BA393" s="1057"/>
    </row>
    <row r="394" spans="52:53" x14ac:dyDescent="0.2">
      <c r="AZ394" s="1057"/>
      <c r="BA394" s="1057"/>
    </row>
    <row r="395" spans="52:53" x14ac:dyDescent="0.2">
      <c r="AZ395" s="1057"/>
      <c r="BA395" s="1057"/>
    </row>
    <row r="396" spans="52:53" x14ac:dyDescent="0.2">
      <c r="AZ396" s="1057"/>
      <c r="BA396" s="1057"/>
    </row>
    <row r="397" spans="52:53" x14ac:dyDescent="0.2">
      <c r="AZ397" s="1057"/>
      <c r="BA397" s="1057"/>
    </row>
    <row r="398" spans="52:53" x14ac:dyDescent="0.2">
      <c r="AZ398" s="1057"/>
      <c r="BA398" s="1057"/>
    </row>
    <row r="399" spans="52:53" x14ac:dyDescent="0.2">
      <c r="AZ399" s="1057"/>
      <c r="BA399" s="1057"/>
    </row>
    <row r="400" spans="52:53" x14ac:dyDescent="0.2">
      <c r="AZ400" s="1057"/>
      <c r="BA400" s="1057"/>
    </row>
    <row r="401" spans="52:53" x14ac:dyDescent="0.2">
      <c r="AZ401" s="1057"/>
      <c r="BA401" s="1057"/>
    </row>
    <row r="402" spans="52:53" x14ac:dyDescent="0.2">
      <c r="AZ402" s="1057"/>
      <c r="BA402" s="1057"/>
    </row>
    <row r="403" spans="52:53" x14ac:dyDescent="0.2">
      <c r="AZ403" s="1057"/>
      <c r="BA403" s="1057"/>
    </row>
    <row r="404" spans="52:53" x14ac:dyDescent="0.2">
      <c r="AZ404" s="1057"/>
      <c r="BA404" s="1057"/>
    </row>
    <row r="405" spans="52:53" x14ac:dyDescent="0.2">
      <c r="AZ405" s="1057"/>
      <c r="BA405" s="1057"/>
    </row>
    <row r="406" spans="52:53" x14ac:dyDescent="0.2">
      <c r="AZ406" s="1057"/>
      <c r="BA406" s="1057"/>
    </row>
    <row r="407" spans="52:53" x14ac:dyDescent="0.2">
      <c r="AZ407" s="1057"/>
      <c r="BA407" s="1057"/>
    </row>
    <row r="408" spans="52:53" x14ac:dyDescent="0.2">
      <c r="AZ408" s="1057"/>
      <c r="BA408" s="1057"/>
    </row>
    <row r="409" spans="52:53" x14ac:dyDescent="0.2">
      <c r="AZ409" s="1057"/>
      <c r="BA409" s="1057"/>
    </row>
    <row r="410" spans="52:53" x14ac:dyDescent="0.2">
      <c r="AZ410" s="1057"/>
      <c r="BA410" s="1057"/>
    </row>
    <row r="411" spans="52:53" x14ac:dyDescent="0.2">
      <c r="AZ411" s="1057"/>
      <c r="BA411" s="1057"/>
    </row>
    <row r="412" spans="52:53" x14ac:dyDescent="0.2">
      <c r="AZ412" s="1057"/>
      <c r="BA412" s="1057"/>
    </row>
    <row r="413" spans="52:53" x14ac:dyDescent="0.2">
      <c r="AZ413" s="1057"/>
      <c r="BA413" s="1057"/>
    </row>
    <row r="414" spans="52:53" x14ac:dyDescent="0.2">
      <c r="AZ414" s="1057"/>
      <c r="BA414" s="1057"/>
    </row>
    <row r="415" spans="52:53" x14ac:dyDescent="0.2">
      <c r="AZ415" s="1057"/>
      <c r="BA415" s="1057"/>
    </row>
    <row r="416" spans="52:53" x14ac:dyDescent="0.2">
      <c r="AZ416" s="1057"/>
      <c r="BA416" s="1057"/>
    </row>
    <row r="418" spans="52:53" x14ac:dyDescent="0.2">
      <c r="AZ418" s="1065"/>
      <c r="BA418" s="1065"/>
    </row>
    <row r="419" spans="52:53" x14ac:dyDescent="0.2">
      <c r="AZ419" s="1065"/>
      <c r="BA419" s="1065"/>
    </row>
    <row r="420" spans="52:53" x14ac:dyDescent="0.2">
      <c r="AZ420" s="1065"/>
      <c r="BA420" s="1065"/>
    </row>
    <row r="421" spans="52:53" x14ac:dyDescent="0.2">
      <c r="AZ421" s="1065"/>
      <c r="BA421" s="1065"/>
    </row>
    <row r="422" spans="52:53" x14ac:dyDescent="0.2">
      <c r="AZ422" s="1065"/>
      <c r="BA422" s="1065"/>
    </row>
    <row r="423" spans="52:53" x14ac:dyDescent="0.2">
      <c r="AZ423" s="1065"/>
      <c r="BA423" s="1065"/>
    </row>
    <row r="424" spans="52:53" x14ac:dyDescent="0.2">
      <c r="AZ424" s="1065"/>
      <c r="BA424" s="1065"/>
    </row>
    <row r="425" spans="52:53" x14ac:dyDescent="0.2">
      <c r="AZ425" s="1065"/>
      <c r="BA425" s="1065"/>
    </row>
    <row r="426" spans="52:53" x14ac:dyDescent="0.2">
      <c r="AZ426" s="1075"/>
      <c r="BA426" s="1075"/>
    </row>
    <row r="427" spans="52:53" x14ac:dyDescent="0.2">
      <c r="AZ427" s="1081"/>
      <c r="BA427" s="1081"/>
    </row>
    <row r="428" spans="52:53" x14ac:dyDescent="0.2">
      <c r="AZ428" s="1081"/>
      <c r="BA428" s="1081"/>
    </row>
    <row r="429" spans="52:53" x14ac:dyDescent="0.2">
      <c r="AZ429" s="1065"/>
      <c r="BA429" s="1065"/>
    </row>
    <row r="430" spans="52:53" x14ac:dyDescent="0.2">
      <c r="AZ430" s="1065"/>
      <c r="BA430" s="1065"/>
    </row>
  </sheetData>
  <sheetProtection formatCells="0" selectLockedCells="1"/>
  <mergeCells count="431">
    <mergeCell ref="U233:W233"/>
    <mergeCell ref="A234:N234"/>
    <mergeCell ref="W234:AH234"/>
    <mergeCell ref="U221:W221"/>
    <mergeCell ref="U222:W222"/>
    <mergeCell ref="K223:N225"/>
    <mergeCell ref="AG223:AH225"/>
    <mergeCell ref="U231:W231"/>
    <mergeCell ref="U232:W232"/>
    <mergeCell ref="AD217:AF217"/>
    <mergeCell ref="K218:N218"/>
    <mergeCell ref="U218:W218"/>
    <mergeCell ref="AG218:AH218"/>
    <mergeCell ref="U219:W219"/>
    <mergeCell ref="U220:W220"/>
    <mergeCell ref="B217:D217"/>
    <mergeCell ref="E217:G217"/>
    <mergeCell ref="H217:J217"/>
    <mergeCell ref="U217:W217"/>
    <mergeCell ref="X217:Z217"/>
    <mergeCell ref="AA217:AC217"/>
    <mergeCell ref="AA215:AC215"/>
    <mergeCell ref="AD215:AF215"/>
    <mergeCell ref="AG215:AH215"/>
    <mergeCell ref="B216:D216"/>
    <mergeCell ref="E216:G216"/>
    <mergeCell ref="H216:J216"/>
    <mergeCell ref="U216:W216"/>
    <mergeCell ref="X216:Z216"/>
    <mergeCell ref="AA216:AC216"/>
    <mergeCell ref="AD216:AF216"/>
    <mergeCell ref="B213:J213"/>
    <mergeCell ref="K213:Q213"/>
    <mergeCell ref="V213:X213"/>
    <mergeCell ref="Y213:AG213"/>
    <mergeCell ref="AH213:AN213"/>
    <mergeCell ref="B215:D215"/>
    <mergeCell ref="E215:G215"/>
    <mergeCell ref="H215:J215"/>
    <mergeCell ref="L215:N215"/>
    <mergeCell ref="X215:Z215"/>
    <mergeCell ref="B211:J211"/>
    <mergeCell ref="K211:Q211"/>
    <mergeCell ref="V211:X211"/>
    <mergeCell ref="Y211:AG211"/>
    <mergeCell ref="AH211:AN211"/>
    <mergeCell ref="B212:J212"/>
    <mergeCell ref="K212:Q212"/>
    <mergeCell ref="V212:X212"/>
    <mergeCell ref="Y212:AG212"/>
    <mergeCell ref="AH212:AN212"/>
    <mergeCell ref="B209:J209"/>
    <mergeCell ref="K209:Q209"/>
    <mergeCell ref="V209:X209"/>
    <mergeCell ref="Y209:AG209"/>
    <mergeCell ref="AH209:AN209"/>
    <mergeCell ref="B210:J210"/>
    <mergeCell ref="K210:Q210"/>
    <mergeCell ref="V210:X210"/>
    <mergeCell ref="Y210:AG210"/>
    <mergeCell ref="AH210:AN210"/>
    <mergeCell ref="A204:E204"/>
    <mergeCell ref="V204:AB204"/>
    <mergeCell ref="A205:E205"/>
    <mergeCell ref="V205:AB205"/>
    <mergeCell ref="A208:J208"/>
    <mergeCell ref="V208:AG208"/>
    <mergeCell ref="AC202:AF202"/>
    <mergeCell ref="AG202:AI202"/>
    <mergeCell ref="A203:E203"/>
    <mergeCell ref="F203:N203"/>
    <mergeCell ref="U203:AA203"/>
    <mergeCell ref="AC203:AI203"/>
    <mergeCell ref="A200:E200"/>
    <mergeCell ref="J200:Q200"/>
    <mergeCell ref="V200:AB200"/>
    <mergeCell ref="A202:D202"/>
    <mergeCell ref="F202:I202"/>
    <mergeCell ref="J202:N202"/>
    <mergeCell ref="U202:AB202"/>
    <mergeCell ref="J198:Q198"/>
    <mergeCell ref="AG198:AK198"/>
    <mergeCell ref="A199:E199"/>
    <mergeCell ref="F199:I199"/>
    <mergeCell ref="J199:Q199"/>
    <mergeCell ref="V199:AB199"/>
    <mergeCell ref="AC199:AF199"/>
    <mergeCell ref="AG199:AK199"/>
    <mergeCell ref="A195:E195"/>
    <mergeCell ref="V195:AB195"/>
    <mergeCell ref="A196:E196"/>
    <mergeCell ref="V196:AB196"/>
    <mergeCell ref="F197:I197"/>
    <mergeCell ref="AC197:AF197"/>
    <mergeCell ref="A193:E193"/>
    <mergeCell ref="F193:N193"/>
    <mergeCell ref="U193:AA193"/>
    <mergeCell ref="AC193:AI193"/>
    <mergeCell ref="A194:E194"/>
    <mergeCell ref="F194:I194"/>
    <mergeCell ref="J194:N194"/>
    <mergeCell ref="U194:AA194"/>
    <mergeCell ref="AC194:AF194"/>
    <mergeCell ref="AG194:AI194"/>
    <mergeCell ref="A188:P188"/>
    <mergeCell ref="S188:AG188"/>
    <mergeCell ref="A190:E190"/>
    <mergeCell ref="V190:AB190"/>
    <mergeCell ref="A191:E191"/>
    <mergeCell ref="V191:AB191"/>
    <mergeCell ref="AL180:AO180"/>
    <mergeCell ref="A182:AQ182"/>
    <mergeCell ref="A183:AR183"/>
    <mergeCell ref="A184:AR184"/>
    <mergeCell ref="A185:AR185"/>
    <mergeCell ref="A186:L186"/>
    <mergeCell ref="AB179:AE179"/>
    <mergeCell ref="AF179:AK179"/>
    <mergeCell ref="AL179:AO179"/>
    <mergeCell ref="B180:G180"/>
    <mergeCell ref="H180:K180"/>
    <mergeCell ref="L180:Q180"/>
    <mergeCell ref="R180:U180"/>
    <mergeCell ref="V180:AA180"/>
    <mergeCell ref="AB180:AE180"/>
    <mergeCell ref="AF180:AK180"/>
    <mergeCell ref="R178:U178"/>
    <mergeCell ref="V178:AA178"/>
    <mergeCell ref="AB178:AE178"/>
    <mergeCell ref="AF178:AK178"/>
    <mergeCell ref="AL178:AO178"/>
    <mergeCell ref="B179:G179"/>
    <mergeCell ref="H179:K179"/>
    <mergeCell ref="L179:Q179"/>
    <mergeCell ref="R179:U179"/>
    <mergeCell ref="V179:AA179"/>
    <mergeCell ref="A175:AR175"/>
    <mergeCell ref="A176:AQ176"/>
    <mergeCell ref="A177:A178"/>
    <mergeCell ref="B177:K177"/>
    <mergeCell ref="L177:U177"/>
    <mergeCell ref="V177:AE177"/>
    <mergeCell ref="AF177:AO177"/>
    <mergeCell ref="B178:G178"/>
    <mergeCell ref="H178:K178"/>
    <mergeCell ref="L178:Q178"/>
    <mergeCell ref="X108:Z108"/>
    <mergeCell ref="AA108:AC108"/>
    <mergeCell ref="AD108:AF108"/>
    <mergeCell ref="AH142:AL142"/>
    <mergeCell ref="A174:AM174"/>
    <mergeCell ref="AN174:AQ174"/>
    <mergeCell ref="X107:Z107"/>
    <mergeCell ref="AA107:AC107"/>
    <mergeCell ref="AD107:AF107"/>
    <mergeCell ref="B108:D108"/>
    <mergeCell ref="E108:G108"/>
    <mergeCell ref="H108:J108"/>
    <mergeCell ref="L108:N108"/>
    <mergeCell ref="O108:Q108"/>
    <mergeCell ref="R108:T108"/>
    <mergeCell ref="U108:W108"/>
    <mergeCell ref="X106:Z106"/>
    <mergeCell ref="AA106:AC106"/>
    <mergeCell ref="AD106:AF106"/>
    <mergeCell ref="B107:D107"/>
    <mergeCell ref="E107:G107"/>
    <mergeCell ref="H107:J107"/>
    <mergeCell ref="L107:N107"/>
    <mergeCell ref="O107:Q107"/>
    <mergeCell ref="R107:T107"/>
    <mergeCell ref="U107:W107"/>
    <mergeCell ref="X105:Z105"/>
    <mergeCell ref="AA105:AC105"/>
    <mergeCell ref="AD105:AF105"/>
    <mergeCell ref="B106:D106"/>
    <mergeCell ref="E106:G106"/>
    <mergeCell ref="H106:J106"/>
    <mergeCell ref="L106:N106"/>
    <mergeCell ref="O106:Q106"/>
    <mergeCell ref="R106:T106"/>
    <mergeCell ref="U106:W106"/>
    <mergeCell ref="AA104:AC104"/>
    <mergeCell ref="AD104:AF104"/>
    <mergeCell ref="AG104:AR107"/>
    <mergeCell ref="B105:D105"/>
    <mergeCell ref="E105:G105"/>
    <mergeCell ref="H105:J105"/>
    <mergeCell ref="L105:N105"/>
    <mergeCell ref="O105:Q105"/>
    <mergeCell ref="R105:T105"/>
    <mergeCell ref="U105:W105"/>
    <mergeCell ref="B103:AJ103"/>
    <mergeCell ref="B104:D104"/>
    <mergeCell ref="E104:G104"/>
    <mergeCell ref="H104:J104"/>
    <mergeCell ref="K104:K114"/>
    <mergeCell ref="L104:N104"/>
    <mergeCell ref="O104:Q104"/>
    <mergeCell ref="R104:T104"/>
    <mergeCell ref="U104:W104"/>
    <mergeCell ref="X104:Z104"/>
    <mergeCell ref="AA101:AC102"/>
    <mergeCell ref="AD101:AF102"/>
    <mergeCell ref="AG101:AG102"/>
    <mergeCell ref="AH101:AH102"/>
    <mergeCell ref="AI101:AJ102"/>
    <mergeCell ref="B102:D102"/>
    <mergeCell ref="E102:L102"/>
    <mergeCell ref="A101:A102"/>
    <mergeCell ref="B101:D101"/>
    <mergeCell ref="E101:L101"/>
    <mergeCell ref="M101:Q102"/>
    <mergeCell ref="S101:W102"/>
    <mergeCell ref="X101:Z102"/>
    <mergeCell ref="AD99:AF100"/>
    <mergeCell ref="AG99:AG100"/>
    <mergeCell ref="AH99:AH100"/>
    <mergeCell ref="AI99:AJ100"/>
    <mergeCell ref="B100:D100"/>
    <mergeCell ref="E100:L100"/>
    <mergeCell ref="AI97:AJ98"/>
    <mergeCell ref="B98:D98"/>
    <mergeCell ref="E98:L98"/>
    <mergeCell ref="A99:A100"/>
    <mergeCell ref="B99:D99"/>
    <mergeCell ref="E99:L99"/>
    <mergeCell ref="M99:Q100"/>
    <mergeCell ref="S99:W100"/>
    <mergeCell ref="X99:Z100"/>
    <mergeCell ref="AA99:AC100"/>
    <mergeCell ref="S97:W98"/>
    <mergeCell ref="X97:Z98"/>
    <mergeCell ref="AA97:AC98"/>
    <mergeCell ref="AD97:AF98"/>
    <mergeCell ref="AG97:AG98"/>
    <mergeCell ref="AH97:AH98"/>
    <mergeCell ref="B96:D96"/>
    <mergeCell ref="E96:L96"/>
    <mergeCell ref="A97:A98"/>
    <mergeCell ref="B97:D97"/>
    <mergeCell ref="E97:L97"/>
    <mergeCell ref="M97:Q98"/>
    <mergeCell ref="X95:Z96"/>
    <mergeCell ref="AA95:AC96"/>
    <mergeCell ref="AD95:AF96"/>
    <mergeCell ref="AG95:AG96"/>
    <mergeCell ref="AH95:AH96"/>
    <mergeCell ref="AI95:AJ96"/>
    <mergeCell ref="AG93:AG94"/>
    <mergeCell ref="AH93:AH94"/>
    <mergeCell ref="AI93:AJ94"/>
    <mergeCell ref="B94:D94"/>
    <mergeCell ref="E94:L94"/>
    <mergeCell ref="A95:A96"/>
    <mergeCell ref="B95:D95"/>
    <mergeCell ref="E95:L95"/>
    <mergeCell ref="M95:Q96"/>
    <mergeCell ref="S95:W96"/>
    <mergeCell ref="AD92:AF92"/>
    <mergeCell ref="AI92:AJ92"/>
    <mergeCell ref="A93:A94"/>
    <mergeCell ref="B93:D93"/>
    <mergeCell ref="E93:L93"/>
    <mergeCell ref="M93:Q94"/>
    <mergeCell ref="S93:W94"/>
    <mergeCell ref="X93:Z94"/>
    <mergeCell ref="AA93:AC94"/>
    <mergeCell ref="AD93:AF94"/>
    <mergeCell ref="A90:AR90"/>
    <mergeCell ref="C91:H91"/>
    <mergeCell ref="I91:J91"/>
    <mergeCell ref="K91:AJ91"/>
    <mergeCell ref="B92:L92"/>
    <mergeCell ref="M92:Q92"/>
    <mergeCell ref="R92:R102"/>
    <mergeCell ref="S92:W92"/>
    <mergeCell ref="X92:Z92"/>
    <mergeCell ref="AA92:AC92"/>
    <mergeCell ref="X23:Z23"/>
    <mergeCell ref="AA23:AC23"/>
    <mergeCell ref="AD23:AF23"/>
    <mergeCell ref="AH57:AL57"/>
    <mergeCell ref="A89:AM89"/>
    <mergeCell ref="AN89:AQ89"/>
    <mergeCell ref="X22:Z22"/>
    <mergeCell ref="AA22:AC22"/>
    <mergeCell ref="AD22:AF22"/>
    <mergeCell ref="B23:D23"/>
    <mergeCell ref="E23:G23"/>
    <mergeCell ref="H23:J23"/>
    <mergeCell ref="L23:N23"/>
    <mergeCell ref="O23:Q23"/>
    <mergeCell ref="R23:T23"/>
    <mergeCell ref="U23:W23"/>
    <mergeCell ref="X21:Z21"/>
    <mergeCell ref="AA21:AC21"/>
    <mergeCell ref="AD21:AF21"/>
    <mergeCell ref="B22:D22"/>
    <mergeCell ref="E22:G22"/>
    <mergeCell ref="H22:J22"/>
    <mergeCell ref="L22:N22"/>
    <mergeCell ref="O22:Q22"/>
    <mergeCell ref="R22:T22"/>
    <mergeCell ref="U22:W22"/>
    <mergeCell ref="X20:Z20"/>
    <mergeCell ref="AA20:AC20"/>
    <mergeCell ref="AD20:AF20"/>
    <mergeCell ref="B21:D21"/>
    <mergeCell ref="E21:G21"/>
    <mergeCell ref="H21:J21"/>
    <mergeCell ref="L21:N21"/>
    <mergeCell ref="O21:Q21"/>
    <mergeCell ref="R21:T21"/>
    <mergeCell ref="U21:W21"/>
    <mergeCell ref="AA19:AC19"/>
    <mergeCell ref="AD19:AF19"/>
    <mergeCell ref="AG19:AR22"/>
    <mergeCell ref="B20:D20"/>
    <mergeCell ref="E20:G20"/>
    <mergeCell ref="H20:J20"/>
    <mergeCell ref="L20:N20"/>
    <mergeCell ref="O20:Q20"/>
    <mergeCell ref="R20:T20"/>
    <mergeCell ref="U20:W20"/>
    <mergeCell ref="B18:AJ18"/>
    <mergeCell ref="B19:D19"/>
    <mergeCell ref="E19:G19"/>
    <mergeCell ref="H19:J19"/>
    <mergeCell ref="K19:K29"/>
    <mergeCell ref="L19:N19"/>
    <mergeCell ref="O19:Q19"/>
    <mergeCell ref="R19:T19"/>
    <mergeCell ref="U19:W19"/>
    <mergeCell ref="X19:Z19"/>
    <mergeCell ref="AA16:AC17"/>
    <mergeCell ref="AD16:AF17"/>
    <mergeCell ref="AG16:AG17"/>
    <mergeCell ref="AH16:AH17"/>
    <mergeCell ref="AI16:AJ17"/>
    <mergeCell ref="B17:D17"/>
    <mergeCell ref="E17:L17"/>
    <mergeCell ref="AH14:AH15"/>
    <mergeCell ref="AI14:AJ15"/>
    <mergeCell ref="B15:D15"/>
    <mergeCell ref="E15:L15"/>
    <mergeCell ref="A16:A17"/>
    <mergeCell ref="B16:D16"/>
    <mergeCell ref="E16:L16"/>
    <mergeCell ref="M16:Q17"/>
    <mergeCell ref="S16:W17"/>
    <mergeCell ref="X16:Z17"/>
    <mergeCell ref="AT13:AY14"/>
    <mergeCell ref="A14:A15"/>
    <mergeCell ref="B14:D14"/>
    <mergeCell ref="E14:L14"/>
    <mergeCell ref="M14:Q15"/>
    <mergeCell ref="S14:W15"/>
    <mergeCell ref="X14:Z15"/>
    <mergeCell ref="AA14:AC15"/>
    <mergeCell ref="AD14:AF15"/>
    <mergeCell ref="AG14:AG15"/>
    <mergeCell ref="AA12:AC13"/>
    <mergeCell ref="AD12:AF13"/>
    <mergeCell ref="AG12:AG13"/>
    <mergeCell ref="AH12:AH13"/>
    <mergeCell ref="AI12:AJ13"/>
    <mergeCell ref="B13:D13"/>
    <mergeCell ref="E13:L13"/>
    <mergeCell ref="A12:A13"/>
    <mergeCell ref="B12:D12"/>
    <mergeCell ref="E12:L12"/>
    <mergeCell ref="M12:Q13"/>
    <mergeCell ref="S12:W13"/>
    <mergeCell ref="X12:Z13"/>
    <mergeCell ref="AA10:AC11"/>
    <mergeCell ref="AD10:AF11"/>
    <mergeCell ref="AG10:AG11"/>
    <mergeCell ref="AH10:AH11"/>
    <mergeCell ref="AI10:AJ11"/>
    <mergeCell ref="B11:D11"/>
    <mergeCell ref="E11:L11"/>
    <mergeCell ref="AH8:AH9"/>
    <mergeCell ref="AI8:AJ9"/>
    <mergeCell ref="B9:D9"/>
    <mergeCell ref="E9:L9"/>
    <mergeCell ref="A10:A11"/>
    <mergeCell ref="B10:D10"/>
    <mergeCell ref="E10:L10"/>
    <mergeCell ref="M10:Q11"/>
    <mergeCell ref="S10:W11"/>
    <mergeCell ref="X10:Z11"/>
    <mergeCell ref="AI7:AJ7"/>
    <mergeCell ref="A8:A9"/>
    <mergeCell ref="B8:D8"/>
    <mergeCell ref="E8:L8"/>
    <mergeCell ref="M8:Q9"/>
    <mergeCell ref="S8:W9"/>
    <mergeCell ref="X8:Z9"/>
    <mergeCell ref="AA8:AC9"/>
    <mergeCell ref="AD8:AF9"/>
    <mergeCell ref="AG8:AG9"/>
    <mergeCell ref="C6:H6"/>
    <mergeCell ref="I6:J6"/>
    <mergeCell ref="K6:AJ6"/>
    <mergeCell ref="B7:L7"/>
    <mergeCell ref="M7:Q7"/>
    <mergeCell ref="R7:R17"/>
    <mergeCell ref="S7:W7"/>
    <mergeCell ref="X7:Z7"/>
    <mergeCell ref="AA7:AC7"/>
    <mergeCell ref="AD7:AF7"/>
    <mergeCell ref="AE3:AF3"/>
    <mergeCell ref="H4:N4"/>
    <mergeCell ref="O4:U4"/>
    <mergeCell ref="V4:Z4"/>
    <mergeCell ref="AA4:AF4"/>
    <mergeCell ref="B5:J5"/>
    <mergeCell ref="L5:AF5"/>
    <mergeCell ref="B3:C3"/>
    <mergeCell ref="D3:L3"/>
    <mergeCell ref="M3:P3"/>
    <mergeCell ref="Q3:U3"/>
    <mergeCell ref="V3:AA3"/>
    <mergeCell ref="AC3:AD3"/>
    <mergeCell ref="A1:AF1"/>
    <mergeCell ref="AT1:AW1"/>
    <mergeCell ref="AX1:AY1"/>
    <mergeCell ref="J2:U2"/>
    <mergeCell ref="V2:X2"/>
    <mergeCell ref="Y2:AF2"/>
  </mergeCells>
  <conditionalFormatting sqref="A8 A93">
    <cfRule type="expression" dxfId="2967" priority="1" stopIfTrue="1">
      <formula>IF(AL9&gt;0,0,1)</formula>
    </cfRule>
  </conditionalFormatting>
  <conditionalFormatting sqref="A10:A11 A95:A96">
    <cfRule type="expression" dxfId="2966" priority="2" stopIfTrue="1">
      <formula>IF(AL9&gt;1,0,1)</formula>
    </cfRule>
  </conditionalFormatting>
  <conditionalFormatting sqref="A12:A13 A97:A98">
    <cfRule type="expression" dxfId="2965" priority="3" stopIfTrue="1">
      <formula>IF(AL9&gt;2,0,1)</formula>
    </cfRule>
  </conditionalFormatting>
  <conditionalFormatting sqref="A14:A15 A99:A100">
    <cfRule type="expression" dxfId="2964" priority="4" stopIfTrue="1">
      <formula>IF(AL9&gt;3,0,1)</formula>
    </cfRule>
  </conditionalFormatting>
  <conditionalFormatting sqref="A16:A17 A101:A102">
    <cfRule type="expression" dxfId="2963" priority="5" stopIfTrue="1">
      <formula>IF(AL9&gt;4,0,1)</formula>
    </cfRule>
  </conditionalFormatting>
  <conditionalFormatting sqref="B8 B93">
    <cfRule type="expression" dxfId="2962" priority="6" stopIfTrue="1">
      <formula>IF(AL9&gt;0,0,1)</formula>
    </cfRule>
  </conditionalFormatting>
  <conditionalFormatting sqref="B9 B94">
    <cfRule type="expression" dxfId="2961" priority="7" stopIfTrue="1">
      <formula>IF(AL9&gt;0,0,1)</formula>
    </cfRule>
  </conditionalFormatting>
  <conditionalFormatting sqref="B10 B95">
    <cfRule type="expression" dxfId="2960" priority="8" stopIfTrue="1">
      <formula>IF(AL9&gt;1,0,1)</formula>
    </cfRule>
  </conditionalFormatting>
  <conditionalFormatting sqref="B11:D11 B96:D96">
    <cfRule type="expression" dxfId="2959" priority="9" stopIfTrue="1">
      <formula>IF(AL9&gt;1,0,1)</formula>
    </cfRule>
  </conditionalFormatting>
  <conditionalFormatting sqref="B12:D12 B97:D97">
    <cfRule type="expression" dxfId="2958" priority="10" stopIfTrue="1">
      <formula>IF(AL9&gt;2,0,1)</formula>
    </cfRule>
  </conditionalFormatting>
  <conditionalFormatting sqref="B13:D13 B98:D98">
    <cfRule type="expression" dxfId="2957" priority="11" stopIfTrue="1">
      <formula>IF(AL9&gt;2,0,1)</formula>
    </cfRule>
  </conditionalFormatting>
  <conditionalFormatting sqref="B14:D14 B99:D99">
    <cfRule type="expression" dxfId="2956" priority="12" stopIfTrue="1">
      <formula>IF(AL9&gt;3,0,1)</formula>
    </cfRule>
  </conditionalFormatting>
  <conditionalFormatting sqref="B15:D15 B100:D100">
    <cfRule type="expression" dxfId="2955" priority="13" stopIfTrue="1">
      <formula>IF(AL9&gt;3,0,1)</formula>
    </cfRule>
  </conditionalFormatting>
  <conditionalFormatting sqref="B16:D16 B101:D101">
    <cfRule type="expression" dxfId="2954" priority="14" stopIfTrue="1">
      <formula>IF(AL9&gt;4,0,1)</formula>
    </cfRule>
  </conditionalFormatting>
  <conditionalFormatting sqref="B17:D17 B102:D102">
    <cfRule type="expression" dxfId="2953" priority="15" stopIfTrue="1">
      <formula>IF(AL9&gt;4,0,1)</formula>
    </cfRule>
  </conditionalFormatting>
  <conditionalFormatting sqref="E8 E93">
    <cfRule type="expression" dxfId="2952" priority="16" stopIfTrue="1">
      <formula>IF(AL9&gt;0,0,1)</formula>
    </cfRule>
  </conditionalFormatting>
  <conditionalFormatting sqref="E9 E94">
    <cfRule type="expression" dxfId="2951" priority="17" stopIfTrue="1">
      <formula>IF(AL9&gt;0,0,1)</formula>
    </cfRule>
  </conditionalFormatting>
  <conditionalFormatting sqref="E10 E95">
    <cfRule type="expression" dxfId="2950" priority="18" stopIfTrue="1">
      <formula>IF(AL9&gt;1,0,1)</formula>
    </cfRule>
  </conditionalFormatting>
  <conditionalFormatting sqref="E11 E96">
    <cfRule type="expression" dxfId="2949" priority="19" stopIfTrue="1">
      <formula>IF(AL9&gt;1,0,1)</formula>
    </cfRule>
  </conditionalFormatting>
  <conditionalFormatting sqref="E12 E97">
    <cfRule type="expression" dxfId="2948" priority="20" stopIfTrue="1">
      <formula>IF(AL9&gt;2,0,1)</formula>
    </cfRule>
  </conditionalFormatting>
  <conditionalFormatting sqref="E13 E98">
    <cfRule type="expression" dxfId="2947" priority="21" stopIfTrue="1">
      <formula>IF(AL9&gt;2,0,1)</formula>
    </cfRule>
  </conditionalFormatting>
  <conditionalFormatting sqref="E14 E99">
    <cfRule type="expression" dxfId="2946" priority="22" stopIfTrue="1">
      <formula>IF(AL9&gt;3,0,1)</formula>
    </cfRule>
  </conditionalFormatting>
  <conditionalFormatting sqref="E15 E100">
    <cfRule type="expression" dxfId="2945" priority="23" stopIfTrue="1">
      <formula>IF(AL9&gt;3,0,1)</formula>
    </cfRule>
  </conditionalFormatting>
  <conditionalFormatting sqref="E16 E101">
    <cfRule type="expression" dxfId="2944" priority="24" stopIfTrue="1">
      <formula>IF(AL9&gt;4,0,1)</formula>
    </cfRule>
  </conditionalFormatting>
  <conditionalFormatting sqref="E17 E102">
    <cfRule type="expression" dxfId="2943" priority="25" stopIfTrue="1">
      <formula>IF(AL9&gt;4,0,1)</formula>
    </cfRule>
  </conditionalFormatting>
  <conditionalFormatting sqref="AD8 AD93">
    <cfRule type="expression" dxfId="2942" priority="26" stopIfTrue="1">
      <formula>IF(AL11=1,IF(AL9&gt;0,0,1),1)</formula>
    </cfRule>
  </conditionalFormatting>
  <conditionalFormatting sqref="AD10:AF11 AD95:AF96">
    <cfRule type="expression" dxfId="2941" priority="27" stopIfTrue="1">
      <formula>IF(AL11=1,IF(AL9&gt;1,0,1),1)</formula>
    </cfRule>
  </conditionalFormatting>
  <conditionalFormatting sqref="AD12:AF13 AD97:AF98">
    <cfRule type="expression" dxfId="2940" priority="28" stopIfTrue="1">
      <formula>IF(AL11=1,IF(AL9&gt;2,0,1),1)</formula>
    </cfRule>
  </conditionalFormatting>
  <conditionalFormatting sqref="AD14:AF15 AD99:AF100">
    <cfRule type="expression" dxfId="2939" priority="29" stopIfTrue="1">
      <formula>IF(AL11=1,IF(AL9&gt;3,0,1),1)</formula>
    </cfRule>
  </conditionalFormatting>
  <conditionalFormatting sqref="AD16:AF17 AD101:AF102">
    <cfRule type="expression" dxfId="2938" priority="30" stopIfTrue="1">
      <formula>IF(AL11=1,IF(AL9&gt;4,0,1),1)</formula>
    </cfRule>
  </conditionalFormatting>
  <conditionalFormatting sqref="AI8 AI93">
    <cfRule type="expression" dxfId="2937" priority="31" stopIfTrue="1">
      <formula>IF(AL9&gt;0,0,1)</formula>
    </cfRule>
  </conditionalFormatting>
  <conditionalFormatting sqref="AI10:AJ11 AI95:AJ96">
    <cfRule type="expression" dxfId="2936" priority="32" stopIfTrue="1">
      <formula>IF(AL9&gt;1,0,1)</formula>
    </cfRule>
  </conditionalFormatting>
  <conditionalFormatting sqref="AI12:AJ13 AI97:AJ98">
    <cfRule type="expression" dxfId="2935" priority="33" stopIfTrue="1">
      <formula>IF(AL9&gt;2,0,1)</formula>
    </cfRule>
  </conditionalFormatting>
  <conditionalFormatting sqref="AI14:AJ15 AI99:AJ100">
    <cfRule type="expression" dxfId="2934" priority="34" stopIfTrue="1">
      <formula>IF(AL9&gt;3,0,1)</formula>
    </cfRule>
  </conditionalFormatting>
  <conditionalFormatting sqref="AI16:AJ17 AI101:AJ102">
    <cfRule type="expression" dxfId="2933" priority="35" stopIfTrue="1">
      <formula>IF(AL9&gt;4,0,1)</formula>
    </cfRule>
  </conditionalFormatting>
  <conditionalFormatting sqref="B19:D19 B104:D104">
    <cfRule type="expression" dxfId="2932" priority="36" stopIfTrue="1">
      <formula>IF(AL8&gt;0,0,1)</formula>
    </cfRule>
  </conditionalFormatting>
  <conditionalFormatting sqref="E19:G19 E104:G104">
    <cfRule type="expression" dxfId="2931" priority="37" stopIfTrue="1">
      <formula>IF(AL8&gt;1,0,1)</formula>
    </cfRule>
  </conditionalFormatting>
  <conditionalFormatting sqref="H19:J19 H104:J104">
    <cfRule type="expression" dxfId="2930" priority="38" stopIfTrue="1">
      <formula>IF(AL8&gt;2,0,1)</formula>
    </cfRule>
  </conditionalFormatting>
  <conditionalFormatting sqref="L19:N19 L104:N104">
    <cfRule type="expression" dxfId="2929" priority="39" stopIfTrue="1">
      <formula>IF(AL8&gt;3,0,1)</formula>
    </cfRule>
  </conditionalFormatting>
  <conditionalFormatting sqref="O19:Q19 O104:Q104">
    <cfRule type="expression" dxfId="2928" priority="40" stopIfTrue="1">
      <formula>IF(AL8&gt;4,0,1)</formula>
    </cfRule>
  </conditionalFormatting>
  <conditionalFormatting sqref="R19:T19 R104:T104">
    <cfRule type="expression" dxfId="2927" priority="41" stopIfTrue="1">
      <formula>IF(AL8&gt;5,0,1)</formula>
    </cfRule>
  </conditionalFormatting>
  <conditionalFormatting sqref="U19:W19 U104:W104">
    <cfRule type="expression" dxfId="2926" priority="42" stopIfTrue="1">
      <formula>IF(AL8&gt;6,0,1)</formula>
    </cfRule>
  </conditionalFormatting>
  <conditionalFormatting sqref="X19:Z19 X104:Z104">
    <cfRule type="expression" dxfId="2925" priority="43" stopIfTrue="1">
      <formula>IF(AL8&gt;7,0,1)</formula>
    </cfRule>
  </conditionalFormatting>
  <conditionalFormatting sqref="AA19:AC19 AA104:AC104">
    <cfRule type="expression" dxfId="2924" priority="44" stopIfTrue="1">
      <formula>IF(AL8&gt;8,0,1)</formula>
    </cfRule>
  </conditionalFormatting>
  <conditionalFormatting sqref="AD19:AF19 AD104:AF104">
    <cfRule type="expression" dxfId="2923" priority="45" stopIfTrue="1">
      <formula>IF(AL8&gt;9,0,1)</formula>
    </cfRule>
  </conditionalFormatting>
  <conditionalFormatting sqref="B20:D20 B105:D105">
    <cfRule type="expression" dxfId="2922" priority="46" stopIfTrue="1">
      <formula>IF(AL8&gt;0,0,1)</formula>
    </cfRule>
  </conditionalFormatting>
  <conditionalFormatting sqref="E20:G20 E105:G105">
    <cfRule type="expression" dxfId="2921" priority="47" stopIfTrue="1">
      <formula>IF(AL8&gt;1,0,1)</formula>
    </cfRule>
  </conditionalFormatting>
  <conditionalFormatting sqref="H20:J20 H105:J105">
    <cfRule type="expression" dxfId="2920" priority="48" stopIfTrue="1">
      <formula>IF(AL8&gt;2,0,1)</formula>
    </cfRule>
  </conditionalFormatting>
  <conditionalFormatting sqref="L20:N20 L105:N105">
    <cfRule type="expression" dxfId="2919" priority="49" stopIfTrue="1">
      <formula>IF(AL8&gt;3,0,1)</formula>
    </cfRule>
  </conditionalFormatting>
  <conditionalFormatting sqref="O20:Q20 O105:Q105">
    <cfRule type="expression" dxfId="2918" priority="50" stopIfTrue="1">
      <formula>IF(AL8&gt;4,0,1)</formula>
    </cfRule>
  </conditionalFormatting>
  <conditionalFormatting sqref="R20:T20 R105:T105">
    <cfRule type="expression" dxfId="2917" priority="51" stopIfTrue="1">
      <formula>IF(AL8&gt;5,0,1)</formula>
    </cfRule>
  </conditionalFormatting>
  <conditionalFormatting sqref="U20:W20 U105:W105">
    <cfRule type="expression" dxfId="2916" priority="52" stopIfTrue="1">
      <formula>IF(AL8&gt;6,0,1)</formula>
    </cfRule>
  </conditionalFormatting>
  <conditionalFormatting sqref="X20:Z20 X105:Z105">
    <cfRule type="expression" dxfId="2915" priority="53" stopIfTrue="1">
      <formula>IF(AL8&gt;7,0,1)</formula>
    </cfRule>
  </conditionalFormatting>
  <conditionalFormatting sqref="AA20:AC20 AA105:AC105">
    <cfRule type="expression" dxfId="2914" priority="54" stopIfTrue="1">
      <formula>IF(AL8&gt;8,0,1)</formula>
    </cfRule>
  </conditionalFormatting>
  <conditionalFormatting sqref="AD20:AF20 AD105:AF105">
    <cfRule type="expression" dxfId="2913" priority="55" stopIfTrue="1">
      <formula>IF(AL8&gt;9,0,1)</formula>
    </cfRule>
  </conditionalFormatting>
  <conditionalFormatting sqref="E22:G22 E107:G107">
    <cfRule type="expression" dxfId="2912" priority="56" stopIfTrue="1">
      <formula>IF(AL8&gt;1,0,1)</formula>
    </cfRule>
  </conditionalFormatting>
  <conditionalFormatting sqref="H22:J22 H107:J107">
    <cfRule type="expression" dxfId="2911" priority="57" stopIfTrue="1">
      <formula>IF(AL8&gt;2,0,1)</formula>
    </cfRule>
  </conditionalFormatting>
  <conditionalFormatting sqref="L22:N22 L107:N107">
    <cfRule type="expression" dxfId="2910" priority="58" stopIfTrue="1">
      <formula>IF(AL8&gt;3,0,1)</formula>
    </cfRule>
  </conditionalFormatting>
  <conditionalFormatting sqref="O22:Q22 O107:Q107">
    <cfRule type="expression" dxfId="2909" priority="59" stopIfTrue="1">
      <formula>IF(AL8&gt;4,0,1)</formula>
    </cfRule>
  </conditionalFormatting>
  <conditionalFormatting sqref="R22:T22 R107:T107">
    <cfRule type="expression" dxfId="2908" priority="60" stopIfTrue="1">
      <formula>IF(AL8&gt;5,0,1)</formula>
    </cfRule>
  </conditionalFormatting>
  <conditionalFormatting sqref="U22:W22 U107:W107">
    <cfRule type="expression" dxfId="2907" priority="61" stopIfTrue="1">
      <formula>IF(AL8&gt;6,0,1)</formula>
    </cfRule>
  </conditionalFormatting>
  <conditionalFormatting sqref="X22:Z22 X107:Z107">
    <cfRule type="expression" dxfId="2906" priority="62" stopIfTrue="1">
      <formula>IF(AL8&gt;7,0,1)</formula>
    </cfRule>
  </conditionalFormatting>
  <conditionalFormatting sqref="AA22:AC22 AA107:AC107">
    <cfRule type="expression" dxfId="2905" priority="63" stopIfTrue="1">
      <formula>IF(AL8&gt;8,0,1)</formula>
    </cfRule>
  </conditionalFormatting>
  <conditionalFormatting sqref="AD22:AF22 AD107:AF107">
    <cfRule type="expression" dxfId="2904" priority="64" stopIfTrue="1">
      <formula>IF(AL8&gt;9,0,1)</formula>
    </cfRule>
  </conditionalFormatting>
  <conditionalFormatting sqref="B24 B109">
    <cfRule type="expression" dxfId="2903" priority="65" stopIfTrue="1">
      <formula>IF(AL8&gt;0,0,1)</formula>
    </cfRule>
  </conditionalFormatting>
  <conditionalFormatting sqref="C24 C109">
    <cfRule type="expression" dxfId="2902" priority="66" stopIfTrue="1">
      <formula>IF(AL8&gt;0,0,1)</formula>
    </cfRule>
  </conditionalFormatting>
  <conditionalFormatting sqref="D24 D109">
    <cfRule type="expression" dxfId="2901" priority="67" stopIfTrue="1">
      <formula>IF(AL8&gt;0,0,1)</formula>
    </cfRule>
  </conditionalFormatting>
  <conditionalFormatting sqref="E23:G23 E108:G108">
    <cfRule type="expression" dxfId="2900" priority="68" stopIfTrue="1">
      <formula>IF(AL8&gt;1,0,1)</formula>
    </cfRule>
  </conditionalFormatting>
  <conditionalFormatting sqref="F24 F109">
    <cfRule type="expression" dxfId="2899" priority="69" stopIfTrue="1">
      <formula>IF(AL8&gt;1,0,1)</formula>
    </cfRule>
  </conditionalFormatting>
  <conditionalFormatting sqref="G24 G109">
    <cfRule type="expression" dxfId="2898" priority="70" stopIfTrue="1">
      <formula>IF(AL8&gt;1,0,1)</formula>
    </cfRule>
  </conditionalFormatting>
  <conditionalFormatting sqref="H23:J23 H108:J108">
    <cfRule type="expression" dxfId="2897" priority="71" stopIfTrue="1">
      <formula>IF(AL8&gt;2,0,1)</formula>
    </cfRule>
  </conditionalFormatting>
  <conditionalFormatting sqref="I24 I109">
    <cfRule type="expression" dxfId="2896" priority="72" stopIfTrue="1">
      <formula>IF(AL8&gt;2,0,1)</formula>
    </cfRule>
  </conditionalFormatting>
  <conditionalFormatting sqref="J24 J109">
    <cfRule type="expression" dxfId="2895" priority="73" stopIfTrue="1">
      <formula>IF(AL8&gt;2,0,1)</formula>
    </cfRule>
  </conditionalFormatting>
  <conditionalFormatting sqref="L23:N23 L108:N108">
    <cfRule type="expression" dxfId="2894" priority="74" stopIfTrue="1">
      <formula>IF(AL8&gt;3,0,1)</formula>
    </cfRule>
  </conditionalFormatting>
  <conditionalFormatting sqref="M24 M109">
    <cfRule type="expression" dxfId="2893" priority="75" stopIfTrue="1">
      <formula>IF(AL8&gt;3,0,1)</formula>
    </cfRule>
  </conditionalFormatting>
  <conditionalFormatting sqref="N24 N109">
    <cfRule type="expression" dxfId="2892" priority="76" stopIfTrue="1">
      <formula>IF(AL8&gt;3,0,1)</formula>
    </cfRule>
  </conditionalFormatting>
  <conditionalFormatting sqref="O23:Q23 O108:Q108">
    <cfRule type="expression" dxfId="2891" priority="77" stopIfTrue="1">
      <formula>IF(AL8&gt;4,0,1)</formula>
    </cfRule>
  </conditionalFormatting>
  <conditionalFormatting sqref="P24 P109">
    <cfRule type="expression" dxfId="2890" priority="78" stopIfTrue="1">
      <formula>IF(AL8&gt;4,0,1)</formula>
    </cfRule>
  </conditionalFormatting>
  <conditionalFormatting sqref="Q24 Q109">
    <cfRule type="expression" dxfId="2889" priority="79" stopIfTrue="1">
      <formula>IF(AL8&gt;4,0,1)</formula>
    </cfRule>
  </conditionalFormatting>
  <conditionalFormatting sqref="R23:T23 R108:T108">
    <cfRule type="expression" dxfId="2888" priority="80" stopIfTrue="1">
      <formula>IF(AL8&gt;5,0,1)</formula>
    </cfRule>
  </conditionalFormatting>
  <conditionalFormatting sqref="S24 S109">
    <cfRule type="expression" dxfId="2887" priority="81" stopIfTrue="1">
      <formula>IF(AL8&gt;5,0,1)</formula>
    </cfRule>
  </conditionalFormatting>
  <conditionalFormatting sqref="T24 T109">
    <cfRule type="expression" dxfId="2886" priority="82" stopIfTrue="1">
      <formula>IF(AL8&gt;5,0,1)</formula>
    </cfRule>
  </conditionalFormatting>
  <conditionalFormatting sqref="U23:W23 U108:W108">
    <cfRule type="expression" dxfId="2885" priority="83" stopIfTrue="1">
      <formula>IF(AL8&gt;6,0,1)</formula>
    </cfRule>
  </conditionalFormatting>
  <conditionalFormatting sqref="V24 V109">
    <cfRule type="expression" dxfId="2884" priority="84" stopIfTrue="1">
      <formula>IF(AL8&gt;6,0,1)</formula>
    </cfRule>
  </conditionalFormatting>
  <conditionalFormatting sqref="W24 W109">
    <cfRule type="expression" dxfId="2883" priority="85" stopIfTrue="1">
      <formula>IF(AL8&gt;6,0,1)</formula>
    </cfRule>
  </conditionalFormatting>
  <conditionalFormatting sqref="X23:Z23 X108:Z108">
    <cfRule type="expression" dxfId="2882" priority="86" stopIfTrue="1">
      <formula>IF(AL8&gt;7,0,1)</formula>
    </cfRule>
  </conditionalFormatting>
  <conditionalFormatting sqref="Y24 Y109">
    <cfRule type="expression" dxfId="2881" priority="87" stopIfTrue="1">
      <formula>IF(AL8&gt;7,0,1)</formula>
    </cfRule>
  </conditionalFormatting>
  <conditionalFormatting sqref="Z24 Z109">
    <cfRule type="expression" dxfId="2880" priority="88" stopIfTrue="1">
      <formula>IF(AL8&gt;7,0,1)</formula>
    </cfRule>
  </conditionalFormatting>
  <conditionalFormatting sqref="AA23:AC23 AA108:AC108">
    <cfRule type="expression" dxfId="2879" priority="89" stopIfTrue="1">
      <formula>IF(AL8&gt;8,0,1)</formula>
    </cfRule>
  </conditionalFormatting>
  <conditionalFormatting sqref="AB24 AB109">
    <cfRule type="expression" dxfId="2878" priority="90" stopIfTrue="1">
      <formula>IF(AL8&gt;8,0,1)</formula>
    </cfRule>
  </conditionalFormatting>
  <conditionalFormatting sqref="AC24 AC109">
    <cfRule type="expression" dxfId="2877" priority="91" stopIfTrue="1">
      <formula>IF(AL8&gt;8,0,1)</formula>
    </cfRule>
  </conditionalFormatting>
  <conditionalFormatting sqref="AD23:AF23 AD108:AF108">
    <cfRule type="expression" dxfId="2876" priority="92" stopIfTrue="1">
      <formula>IF(AL8&gt;9,0,1)</formula>
    </cfRule>
  </conditionalFormatting>
  <conditionalFormatting sqref="AE24 AE109">
    <cfRule type="expression" dxfId="2875" priority="93" stopIfTrue="1">
      <formula>IF(AL8&gt;9,0,1)</formula>
    </cfRule>
  </conditionalFormatting>
  <conditionalFormatting sqref="AF24 AF109">
    <cfRule type="expression" dxfId="2874" priority="94" stopIfTrue="1">
      <formula>IF(AL8&gt;9,0,1)</formula>
    </cfRule>
  </conditionalFormatting>
  <conditionalFormatting sqref="A26 A111">
    <cfRule type="expression" dxfId="2873" priority="95" stopIfTrue="1">
      <formula>IF(AL7&gt;1,0,1)</formula>
    </cfRule>
  </conditionalFormatting>
  <conditionalFormatting sqref="A27 A112">
    <cfRule type="expression" dxfId="2872" priority="96" stopIfTrue="1">
      <formula>IF(AL7&gt;2,0,1)</formula>
    </cfRule>
  </conditionalFormatting>
  <conditionalFormatting sqref="A28 A113">
    <cfRule type="expression" dxfId="2871" priority="97" stopIfTrue="1">
      <formula>IF(AL7&gt;3,0,1)</formula>
    </cfRule>
  </conditionalFormatting>
  <conditionalFormatting sqref="A29 A114">
    <cfRule type="expression" dxfId="2870" priority="98" stopIfTrue="1">
      <formula>IF(AL7&gt;4,0,1)</formula>
    </cfRule>
  </conditionalFormatting>
  <conditionalFormatting sqref="B25:D25 B110:D110">
    <cfRule type="expression" dxfId="2869" priority="99" stopIfTrue="1">
      <formula>IF($AL8&gt;0,0,1)</formula>
    </cfRule>
  </conditionalFormatting>
  <conditionalFormatting sqref="B26:D26 B111:D111">
    <cfRule type="expression" dxfId="2868" priority="100" stopIfTrue="1">
      <formula>IF($AL8&lt;1,1,IF($AL7&lt;2,1,0))</formula>
    </cfRule>
  </conditionalFormatting>
  <conditionalFormatting sqref="B27:D27 B112:D112">
    <cfRule type="expression" dxfId="2867" priority="101" stopIfTrue="1">
      <formula>IF($AL8&lt;1,1,IF($AL7&lt;3,1,0))</formula>
    </cfRule>
  </conditionalFormatting>
  <conditionalFormatting sqref="B28:D28 B113:D113">
    <cfRule type="expression" dxfId="2866" priority="102" stopIfTrue="1">
      <formula>IF($AL8&lt;1,1,IF($AL7&lt;4,1,0))</formula>
    </cfRule>
  </conditionalFormatting>
  <conditionalFormatting sqref="B29:D29 B114:D114">
    <cfRule type="expression" dxfId="2865" priority="103" stopIfTrue="1">
      <formula>IF($AL8&lt;1,1,IF($AL7&lt;5,1,0))</formula>
    </cfRule>
  </conditionalFormatting>
  <conditionalFormatting sqref="AG26 AG111">
    <cfRule type="expression" dxfId="2864" priority="104" stopIfTrue="1">
      <formula>IF($AL9&gt;2,0,1)</formula>
    </cfRule>
  </conditionalFormatting>
  <conditionalFormatting sqref="AG25 AG110">
    <cfRule type="expression" dxfId="2863" priority="105" stopIfTrue="1">
      <formula>IF($AL9&gt;1,0,1)</formula>
    </cfRule>
  </conditionalFormatting>
  <conditionalFormatting sqref="AG24 AG109">
    <cfRule type="expression" dxfId="2862" priority="106" stopIfTrue="1">
      <formula>IF($AL9&gt;0,0,1)</formula>
    </cfRule>
  </conditionalFormatting>
  <conditionalFormatting sqref="AG27 AG112">
    <cfRule type="expression" dxfId="2861" priority="107" stopIfTrue="1">
      <formula>IF($AL9&gt;3,0,1)</formula>
    </cfRule>
  </conditionalFormatting>
  <conditionalFormatting sqref="AG28 AG113">
    <cfRule type="expression" dxfId="2860" priority="108" stopIfTrue="1">
      <formula>IF($AL9&gt;4,0,1)</formula>
    </cfRule>
  </conditionalFormatting>
  <conditionalFormatting sqref="AH23 AH108">
    <cfRule type="expression" dxfId="2859" priority="109" stopIfTrue="1">
      <formula>IF($AL8&lt;1,1,0)</formula>
    </cfRule>
  </conditionalFormatting>
  <conditionalFormatting sqref="AI23 AI108">
    <cfRule type="expression" dxfId="2858" priority="110" stopIfTrue="1">
      <formula>IF($AL8&lt;2,1,0)</formula>
    </cfRule>
  </conditionalFormatting>
  <conditionalFormatting sqref="AJ23 AJ108">
    <cfRule type="expression" dxfId="2857" priority="111" stopIfTrue="1">
      <formula>IF($AL8&lt;3,1,0)</formula>
    </cfRule>
  </conditionalFormatting>
  <conditionalFormatting sqref="AK23 AK108">
    <cfRule type="expression" dxfId="2856" priority="112" stopIfTrue="1">
      <formula>IF($AL8&lt;4,1,0)</formula>
    </cfRule>
  </conditionalFormatting>
  <conditionalFormatting sqref="AL23 AL108">
    <cfRule type="expression" dxfId="2855" priority="113" stopIfTrue="1">
      <formula>IF($AL8&lt;5,1,0)</formula>
    </cfRule>
  </conditionalFormatting>
  <conditionalFormatting sqref="AM23 AM108">
    <cfRule type="expression" dxfId="2854" priority="114" stopIfTrue="1">
      <formula>IF($AL8&lt;6,1,0)</formula>
    </cfRule>
  </conditionalFormatting>
  <conditionalFormatting sqref="AN23 AN108">
    <cfRule type="expression" dxfId="2853" priority="115" stopIfTrue="1">
      <formula>IF($AL8&lt;7,1,0)</formula>
    </cfRule>
  </conditionalFormatting>
  <conditionalFormatting sqref="AO23 AO108">
    <cfRule type="expression" dxfId="2852" priority="116" stopIfTrue="1">
      <formula>IF($AL8&lt;8,1,0)</formula>
    </cfRule>
  </conditionalFormatting>
  <conditionalFormatting sqref="AP23 AP108">
    <cfRule type="expression" dxfId="2851" priority="117" stopIfTrue="1">
      <formula>IF($AL8&lt;9,1,0)</formula>
    </cfRule>
  </conditionalFormatting>
  <conditionalFormatting sqref="AQ23 AQ108">
    <cfRule type="expression" dxfId="2850" priority="118" stopIfTrue="1">
      <formula>IF($AL8&lt;10,1,0)</formula>
    </cfRule>
  </conditionalFormatting>
  <conditionalFormatting sqref="AR24 AR109">
    <cfRule type="expression" dxfId="2849" priority="119" stopIfTrue="1">
      <formula>IF($AL9&gt;0,0,1)</formula>
    </cfRule>
  </conditionalFormatting>
  <conditionalFormatting sqref="AR25 AR110">
    <cfRule type="expression" dxfId="2848" priority="120" stopIfTrue="1">
      <formula>IF($AL9&gt;1,0,1)</formula>
    </cfRule>
  </conditionalFormatting>
  <conditionalFormatting sqref="AR26 H25:J25 AR111 H110:J110">
    <cfRule type="expression" dxfId="2847" priority="121" stopIfTrue="1">
      <formula>IF($AL8&gt;2,0,1)</formula>
    </cfRule>
  </conditionalFormatting>
  <conditionalFormatting sqref="L25:N25 L110:N110">
    <cfRule type="expression" dxfId="2846" priority="122" stopIfTrue="1">
      <formula>IF($AL8&gt;3,0,1)</formula>
    </cfRule>
  </conditionalFormatting>
  <conditionalFormatting sqref="AR28 AR113">
    <cfRule type="expression" dxfId="2845" priority="123" stopIfTrue="1">
      <formula>IF($AL9&gt;4,0,1)</formula>
    </cfRule>
  </conditionalFormatting>
  <conditionalFormatting sqref="E26:G26 E111:G111">
    <cfRule type="expression" dxfId="2844" priority="124" stopIfTrue="1">
      <formula>IF($AL8&lt;2,1,IF($AL7&lt;2,1,0))</formula>
    </cfRule>
  </conditionalFormatting>
  <conditionalFormatting sqref="E27:G27 E112:G112">
    <cfRule type="expression" dxfId="2843" priority="125" stopIfTrue="1">
      <formula>IF($AL8&lt;2,1,IF($AL7&lt;3,1,0))</formula>
    </cfRule>
  </conditionalFormatting>
  <conditionalFormatting sqref="E28:G28 E113:G113">
    <cfRule type="expression" dxfId="2842" priority="126" stopIfTrue="1">
      <formula>IF($AL8&lt;2,1,IF($AL7&lt;4,1,0))</formula>
    </cfRule>
  </conditionalFormatting>
  <conditionalFormatting sqref="E29:G29 E114:G114">
    <cfRule type="expression" dxfId="2841" priority="127" stopIfTrue="1">
      <formula>IF($AL8&lt;2,1,IF($AL7&lt;5,1,0))</formula>
    </cfRule>
  </conditionalFormatting>
  <conditionalFormatting sqref="O25:Q25 O110:Q110">
    <cfRule type="expression" dxfId="2840" priority="128" stopIfTrue="1">
      <formula>IF($AL8&gt;4,0,1)</formula>
    </cfRule>
  </conditionalFormatting>
  <conditionalFormatting sqref="R25:T25 R110:T110">
    <cfRule type="expression" dxfId="2839" priority="129" stopIfTrue="1">
      <formula>IF($AL8&gt;5,0,1)</formula>
    </cfRule>
  </conditionalFormatting>
  <conditionalFormatting sqref="U25:W25 U110:W110">
    <cfRule type="expression" dxfId="2838" priority="130" stopIfTrue="1">
      <formula>IF($AL8&gt;6,0,1)</formula>
    </cfRule>
  </conditionalFormatting>
  <conditionalFormatting sqref="X25:Z25 X110:Z110">
    <cfRule type="expression" dxfId="2837" priority="131" stopIfTrue="1">
      <formula>IF($AL8&gt;7,0,1)</formula>
    </cfRule>
  </conditionalFormatting>
  <conditionalFormatting sqref="AA25:AC25 AA110:AC110">
    <cfRule type="expression" dxfId="2836" priority="132" stopIfTrue="1">
      <formula>IF($AL8&gt;8,0,1)</formula>
    </cfRule>
  </conditionalFormatting>
  <conditionalFormatting sqref="AD25:AF25 AD110:AF110">
    <cfRule type="expression" dxfId="2835" priority="133" stopIfTrue="1">
      <formula>IF($AL8&gt;9,0,1)</formula>
    </cfRule>
  </conditionalFormatting>
  <conditionalFormatting sqref="H26:J26 H111:J111">
    <cfRule type="expression" dxfId="2834" priority="134" stopIfTrue="1">
      <formula>IF($AL8&lt;3,1,IF($AL7&lt;2,1,0))</formula>
    </cfRule>
  </conditionalFormatting>
  <conditionalFormatting sqref="L26:N26 L111:N111">
    <cfRule type="expression" dxfId="2833" priority="135" stopIfTrue="1">
      <formula>IF($AL8&lt;4,1,IF($AL7&lt;2,1,0))</formula>
    </cfRule>
  </conditionalFormatting>
  <conditionalFormatting sqref="O26:Q26 O111:Q111">
    <cfRule type="expression" dxfId="2832" priority="136" stopIfTrue="1">
      <formula>IF($AL8&lt;5,1,IF($AL7&lt;2,1,0))</formula>
    </cfRule>
  </conditionalFormatting>
  <conditionalFormatting sqref="R26:T26 R111:T111">
    <cfRule type="expression" dxfId="2831" priority="137" stopIfTrue="1">
      <formula>IF($AL8&lt;6,1,IF($AL7&lt;2,1,0))</formula>
    </cfRule>
  </conditionalFormatting>
  <conditionalFormatting sqref="U26:W26 U111:W111">
    <cfRule type="expression" dxfId="2830" priority="138" stopIfTrue="1">
      <formula>IF($AL8&lt;7,1,IF($AL7&lt;2,1,0))</formula>
    </cfRule>
  </conditionalFormatting>
  <conditionalFormatting sqref="X26:Z26 X111:Z111">
    <cfRule type="expression" dxfId="2829" priority="139" stopIfTrue="1">
      <formula>IF($AL8&lt;8,1,IF($AL7&lt;2,1,0))</formula>
    </cfRule>
  </conditionalFormatting>
  <conditionalFormatting sqref="AA26:AC26 AA111:AC111">
    <cfRule type="expression" dxfId="2828" priority="140" stopIfTrue="1">
      <formula>IF($AL8&lt;9,1,IF($AL7&lt;2,1,0))</formula>
    </cfRule>
  </conditionalFormatting>
  <conditionalFormatting sqref="AD26:AF26 AD111:AF111">
    <cfRule type="expression" dxfId="2827" priority="141" stopIfTrue="1">
      <formula>IF($AL8&lt;10,1,IF($AL7&lt;2,1,0))</formula>
    </cfRule>
  </conditionalFormatting>
  <conditionalFormatting sqref="H27:J27 H112:J112">
    <cfRule type="expression" dxfId="2826" priority="142" stopIfTrue="1">
      <formula>IF($AL8&lt;3,1,IF($AL7&lt;3,1,0))</formula>
    </cfRule>
  </conditionalFormatting>
  <conditionalFormatting sqref="L27:N27 L112:N112">
    <cfRule type="expression" dxfId="2825" priority="143" stopIfTrue="1">
      <formula>IF($AL8&lt;4,1,IF($AL7&lt;3,1,0))</formula>
    </cfRule>
  </conditionalFormatting>
  <conditionalFormatting sqref="O27:Q27 O112:Q112">
    <cfRule type="expression" dxfId="2824" priority="144" stopIfTrue="1">
      <formula>IF($AL8&lt;5,1,IF($AL7&lt;3,1,0))</formula>
    </cfRule>
  </conditionalFormatting>
  <conditionalFormatting sqref="R27:T27 R112:T112">
    <cfRule type="expression" dxfId="2823" priority="145" stopIfTrue="1">
      <formula>IF($AL8&lt;6,1,IF($AL7&lt;3,1,0))</formula>
    </cfRule>
  </conditionalFormatting>
  <conditionalFormatting sqref="U27:W27 U112:W112">
    <cfRule type="expression" dxfId="2822" priority="146" stopIfTrue="1">
      <formula>IF($AL8&lt;7,1,IF($AL7&lt;3,1,0))</formula>
    </cfRule>
  </conditionalFormatting>
  <conditionalFormatting sqref="X27:Z27 X112:Z112">
    <cfRule type="expression" dxfId="2821" priority="147" stopIfTrue="1">
      <formula>IF($AL8&lt;8,1,IF($AL7&lt;3,1,0))</formula>
    </cfRule>
  </conditionalFormatting>
  <conditionalFormatting sqref="AA27:AC27 AA112:AC112">
    <cfRule type="expression" dxfId="2820" priority="148" stopIfTrue="1">
      <formula>IF($AL8&lt;9,1,IF($AL7&lt;3,1,0))</formula>
    </cfRule>
  </conditionalFormatting>
  <conditionalFormatting sqref="AD27:AF27 AD112:AF112">
    <cfRule type="expression" dxfId="2819" priority="149" stopIfTrue="1">
      <formula>IF($AL8&lt;10,1,IF($AL7&lt;3,1,0))</formula>
    </cfRule>
  </conditionalFormatting>
  <conditionalFormatting sqref="H28:J28 H113:J113">
    <cfRule type="expression" dxfId="2818" priority="150" stopIfTrue="1">
      <formula>IF($AL8&lt;3,1,IF($AL7&lt;4,1,0))</formula>
    </cfRule>
  </conditionalFormatting>
  <conditionalFormatting sqref="L28:N28 L113:N113">
    <cfRule type="expression" dxfId="2817" priority="151" stopIfTrue="1">
      <formula>IF($AL8&lt;4,1,IF($AL7&lt;4,1,0))</formula>
    </cfRule>
  </conditionalFormatting>
  <conditionalFormatting sqref="O28:Q28 O113:Q113">
    <cfRule type="expression" dxfId="2816" priority="152" stopIfTrue="1">
      <formula>IF($AL8&lt;5,1,IF($AL7&lt;4,1,0))</formula>
    </cfRule>
  </conditionalFormatting>
  <conditionalFormatting sqref="R28:T28 R113:T113">
    <cfRule type="expression" dxfId="2815" priority="153" stopIfTrue="1">
      <formula>IF($AL8&lt;6,1,IF($AL7&lt;4,1,0))</formula>
    </cfRule>
  </conditionalFormatting>
  <conditionalFormatting sqref="U28:W28 U113:W113">
    <cfRule type="expression" dxfId="2814" priority="154" stopIfTrue="1">
      <formula>IF($AL8&lt;7,1,IF($AL7&lt;4,1,0))</formula>
    </cfRule>
  </conditionalFormatting>
  <conditionalFormatting sqref="X28:Z28 X113:Z113">
    <cfRule type="expression" dxfId="2813" priority="155" stopIfTrue="1">
      <formula>IF($AL8&lt;8,1,IF($AL7&lt;4,1,0))</formula>
    </cfRule>
  </conditionalFormatting>
  <conditionalFormatting sqref="AA28:AC28 AA113:AC113">
    <cfRule type="expression" dxfId="2812" priority="156" stopIfTrue="1">
      <formula>IF($AL8&lt;9,1,IF($AL7&lt;4,1,0))</formula>
    </cfRule>
  </conditionalFormatting>
  <conditionalFormatting sqref="AD28:AF28 AD113:AF113">
    <cfRule type="expression" dxfId="2811" priority="157" stopIfTrue="1">
      <formula>IF($AL8&lt;10,1,IF($AL7&lt;4,1,0))</formula>
    </cfRule>
  </conditionalFormatting>
  <conditionalFormatting sqref="H29:J29 H114:J114">
    <cfRule type="expression" dxfId="2810" priority="158" stopIfTrue="1">
      <formula>IF($AL8&lt;3,1,IF($AL7&lt;5,1,0))</formula>
    </cfRule>
  </conditionalFormatting>
  <conditionalFormatting sqref="L29:N29 L114:N114">
    <cfRule type="expression" dxfId="2809" priority="159" stopIfTrue="1">
      <formula>IF($AL8&lt;4,1,IF($AL7&lt;5,1,0))</formula>
    </cfRule>
  </conditionalFormatting>
  <conditionalFormatting sqref="O29:Q29 O114:Q114">
    <cfRule type="expression" dxfId="2808" priority="160" stopIfTrue="1">
      <formula>IF($AL8&lt;5,1,IF($AL7&lt;5,1,0))</formula>
    </cfRule>
  </conditionalFormatting>
  <conditionalFormatting sqref="R29:T29 R114:T114">
    <cfRule type="expression" dxfId="2807" priority="161" stopIfTrue="1">
      <formula>IF($AL8&lt;6,1,IF($AL7&lt;5,1,0))</formula>
    </cfRule>
  </conditionalFormatting>
  <conditionalFormatting sqref="U29:W29 U114:W114">
    <cfRule type="expression" dxfId="2806" priority="162" stopIfTrue="1">
      <formula>IF($AL8&lt;7,1,IF($AL7&lt;5,1,0))</formula>
    </cfRule>
  </conditionalFormatting>
  <conditionalFormatting sqref="X29:Z29 X114:Z114">
    <cfRule type="expression" dxfId="2805" priority="163" stopIfTrue="1">
      <formula>IF($AL8&lt;8,1,IF($AL7&lt;5,1,0))</formula>
    </cfRule>
  </conditionalFormatting>
  <conditionalFormatting sqref="AA29:AC29 AA114:AC114">
    <cfRule type="expression" dxfId="2804" priority="164" stopIfTrue="1">
      <formula>IF($AL8&lt;9,1,IF($AL7&lt;5,1,0))</formula>
    </cfRule>
  </conditionalFormatting>
  <conditionalFormatting sqref="AD29:AF29 AD114:AF114">
    <cfRule type="expression" dxfId="2803" priority="165" stopIfTrue="1">
      <formula>IF($AL8&lt;10,1,IF($AL7&lt;5,1,0))</formula>
    </cfRule>
  </conditionalFormatting>
  <conditionalFormatting sqref="S14:AC15 M14:Q15 S99:AC100 M99:Q100 AG99:AH100 AG14:AH15">
    <cfRule type="expression" dxfId="2802" priority="166" stopIfTrue="1">
      <formula>IF($AL9&gt;3,0,1)</formula>
    </cfRule>
  </conditionalFormatting>
  <conditionalFormatting sqref="S16:AC17 M16:Q17 S101:AC102 M101:Q102 AG101:AH102 AG16:AH17">
    <cfRule type="expression" dxfId="2801" priority="167" stopIfTrue="1">
      <formula>IF($AL9&gt;4,0,1)</formula>
    </cfRule>
  </conditionalFormatting>
  <conditionalFormatting sqref="S8:AC9 M8:Q9 S93:AC94 M93:Q94 AG93:AH94 AG8:AH9">
    <cfRule type="expression" dxfId="2800" priority="168" stopIfTrue="1">
      <formula>IF($AL9&gt;0,0,1)</formula>
    </cfRule>
  </conditionalFormatting>
  <conditionalFormatting sqref="S10:AC11 M10:Q11 S95:AC96 M95:Q96 AG95:AH96 AG10:AH11">
    <cfRule type="expression" dxfId="2799" priority="169" stopIfTrue="1">
      <formula>IF($AL9&gt;1,0,1)</formula>
    </cfRule>
  </conditionalFormatting>
  <conditionalFormatting sqref="S12:AC13 M12:Q13 S97:AC98 M97:Q98 AG97:AH98 AG12:AH13">
    <cfRule type="expression" dxfId="2798" priority="170" stopIfTrue="1">
      <formula>IF($AL9&gt;2,0,1)</formula>
    </cfRule>
  </conditionalFormatting>
  <conditionalFormatting sqref="E24 E109">
    <cfRule type="expression" dxfId="2797" priority="171" stopIfTrue="1">
      <formula>IF(AL8&gt;1,0,1)</formula>
    </cfRule>
  </conditionalFormatting>
  <conditionalFormatting sqref="H24 H109">
    <cfRule type="expression" dxfId="2796" priority="172" stopIfTrue="1">
      <formula>IF(AL8&gt;2,0,1)</formula>
    </cfRule>
  </conditionalFormatting>
  <conditionalFormatting sqref="L24 L109">
    <cfRule type="expression" dxfId="2795" priority="173" stopIfTrue="1">
      <formula>IF(AL8&gt;3,0,1)</formula>
    </cfRule>
  </conditionalFormatting>
  <conditionalFormatting sqref="O24 O109">
    <cfRule type="expression" dxfId="2794" priority="174" stopIfTrue="1">
      <formula>IF(AL8&gt;4,0,1)</formula>
    </cfRule>
  </conditionalFormatting>
  <conditionalFormatting sqref="R24 R109">
    <cfRule type="expression" dxfId="2793" priority="175" stopIfTrue="1">
      <formula>IF(AL8&gt;5,0,1)</formula>
    </cfRule>
  </conditionalFormatting>
  <conditionalFormatting sqref="U24 U109">
    <cfRule type="expression" dxfId="2792" priority="176" stopIfTrue="1">
      <formula>IF(AL8&gt;6,0,1)</formula>
    </cfRule>
  </conditionalFormatting>
  <conditionalFormatting sqref="X24 X109">
    <cfRule type="expression" dxfId="2791" priority="177" stopIfTrue="1">
      <formula>IF(AL8&gt;7,0,1)</formula>
    </cfRule>
  </conditionalFormatting>
  <conditionalFormatting sqref="AA24 AA109">
    <cfRule type="expression" dxfId="2790" priority="178" stopIfTrue="1">
      <formula>IF(AL8&gt;8,0,1)</formula>
    </cfRule>
  </conditionalFormatting>
  <conditionalFormatting sqref="AD24 AD109">
    <cfRule type="expression" dxfId="2789" priority="179" stopIfTrue="1">
      <formula>IF(AL8&gt;9,0,1)</formula>
    </cfRule>
  </conditionalFormatting>
  <conditionalFormatting sqref="AR27 AR112">
    <cfRule type="expression" dxfId="2788" priority="180" stopIfTrue="1">
      <formula>IF($AL9&gt;3,0,1)</formula>
    </cfRule>
  </conditionalFormatting>
  <conditionalFormatting sqref="E25:G25 E110:G110">
    <cfRule type="expression" dxfId="2787" priority="181" stopIfTrue="1">
      <formula>IF($AL8&gt;1,0,1)</formula>
    </cfRule>
  </conditionalFormatting>
  <conditionalFormatting sqref="B21:D21 B106:D106">
    <cfRule type="expression" dxfId="2786" priority="182" stopIfTrue="1">
      <formula>IF(AL8&gt;0,0,1)</formula>
    </cfRule>
  </conditionalFormatting>
  <conditionalFormatting sqref="E21:G21 E106:G106">
    <cfRule type="expression" dxfId="2785" priority="183" stopIfTrue="1">
      <formula>IF(AL8&gt;1,0,1)</formula>
    </cfRule>
  </conditionalFormatting>
  <conditionalFormatting sqref="H21:K21 H106:K106">
    <cfRule type="expression" dxfId="2784" priority="184" stopIfTrue="1">
      <formula>IF(AL8&gt;2,0,1)</formula>
    </cfRule>
  </conditionalFormatting>
  <conditionalFormatting sqref="L21:N21 L106:N106">
    <cfRule type="expression" dxfId="2783" priority="185" stopIfTrue="1">
      <formula>IF(AL8&gt;3,0,1)</formula>
    </cfRule>
  </conditionalFormatting>
  <conditionalFormatting sqref="O21:Q21 O106:Q106">
    <cfRule type="expression" dxfId="2782" priority="186" stopIfTrue="1">
      <formula>IF(AL8&gt;4,0,1)</formula>
    </cfRule>
  </conditionalFormatting>
  <conditionalFormatting sqref="R21:T21 R106:T106">
    <cfRule type="expression" dxfId="2781" priority="187" stopIfTrue="1">
      <formula>IF(AL8&gt;5,0,1)</formula>
    </cfRule>
  </conditionalFormatting>
  <conditionalFormatting sqref="U21:W21 U106:W106">
    <cfRule type="expression" dxfId="2780" priority="188" stopIfTrue="1">
      <formula>IF(AL8&gt;6,0,1)</formula>
    </cfRule>
  </conditionalFormatting>
  <conditionalFormatting sqref="X21:Z21 X106:Z106">
    <cfRule type="expression" dxfId="2779" priority="189" stopIfTrue="1">
      <formula>IF(AL8&gt;7,0,1)</formula>
    </cfRule>
  </conditionalFormatting>
  <conditionalFormatting sqref="AA21:AC21 AA106:AC106">
    <cfRule type="expression" dxfId="2778" priority="190" stopIfTrue="1">
      <formula>IF(AL8&gt;8,0,1)</formula>
    </cfRule>
  </conditionalFormatting>
  <conditionalFormatting sqref="AD21:AF21 AD106:AF106">
    <cfRule type="expression" dxfId="2777" priority="191" stopIfTrue="1">
      <formula>IF(AL8&gt;9,0,1)</formula>
    </cfRule>
  </conditionalFormatting>
  <conditionalFormatting sqref="B215:B216 C215:D215 B218:D223 C224:C225 AE223:AE225 E219:J222 Y224:Y225 X215:X216 Y215:Z215 X218:Z223 AA219:AF222 AB223:AB225 I223:I225 F223:F225">
    <cfRule type="expression" dxfId="2776" priority="192" stopIfTrue="1">
      <formula>IF(#REF!&gt;0,0,1)</formula>
    </cfRule>
  </conditionalFormatting>
  <conditionalFormatting sqref="H223 H215:H218 I215:K215 I218:J218 J223 AD215:AD218 AE215:AF215 AF223 AE218:AF218 AD223">
    <cfRule type="expression" dxfId="2775" priority="193" stopIfTrue="1">
      <formula>IF(#REF!&gt;2,0,1)</formula>
    </cfRule>
  </conditionalFormatting>
  <conditionalFormatting sqref="H224 J224 AD224 AF224">
    <cfRule type="expression" dxfId="2774" priority="194" stopIfTrue="1">
      <formula>IF(#REF!&lt;3,1,IF(#REF!&lt;2,1,0))</formula>
    </cfRule>
  </conditionalFormatting>
  <conditionalFormatting sqref="J225 AD225 AF225 H225">
    <cfRule type="expression" dxfId="2773" priority="195" stopIfTrue="1">
      <formula>IF(#REF!&lt;3,1,IF(#REF!&lt;3,1,0))</formula>
    </cfRule>
  </conditionalFormatting>
  <conditionalFormatting sqref="G223 F218:G218 E223 E215:E218 AB215:AC215 AC223 AB218:AC218 AA223 AA215:AA218 F215:G215">
    <cfRule type="expression" dxfId="2772" priority="196" stopIfTrue="1">
      <formula>IF(#REF!&gt;1,0,1)</formula>
    </cfRule>
  </conditionalFormatting>
  <conditionalFormatting sqref="B224 D224 X224 Z224">
    <cfRule type="expression" dxfId="2771" priority="197" stopIfTrue="1">
      <formula>IF(#REF!&lt;1,1,IF(#REF!&lt;2,1,0))</formula>
    </cfRule>
  </conditionalFormatting>
  <conditionalFormatting sqref="E224 G224 AA224 AC224">
    <cfRule type="expression" dxfId="2770" priority="198" stopIfTrue="1">
      <formula>IF(#REF!&lt;2,1,IF(#REF!&lt;2,1,0))</formula>
    </cfRule>
  </conditionalFormatting>
  <conditionalFormatting sqref="D225 X225 Z225 B225">
    <cfRule type="expression" dxfId="2769" priority="199" stopIfTrue="1">
      <formula>IF(#REF!&lt;1,1,IF(#REF!&lt;3,1,0))</formula>
    </cfRule>
  </conditionalFormatting>
  <conditionalFormatting sqref="G225 AA225 AC225 E225">
    <cfRule type="expression" dxfId="2768" priority="200" stopIfTrue="1">
      <formula>IF(#REF!&lt;2,1,IF(#REF!&lt;3,1,0))</formula>
    </cfRule>
  </conditionalFormatting>
  <conditionalFormatting sqref="AH24:AQ28 AH109:AQ113">
    <cfRule type="cellIs" dxfId="2767" priority="201" stopIfTrue="1" operator="notBetween">
      <formula>-9999</formula>
      <formula>9999</formula>
    </cfRule>
  </conditionalFormatting>
  <conditionalFormatting sqref="B22:D23 B107:D108">
    <cfRule type="cellIs" dxfId="2766" priority="202" stopIfTrue="1" operator="equal">
      <formula>99</formula>
    </cfRule>
  </conditionalFormatting>
  <conditionalFormatting sqref="AD7 AD92">
    <cfRule type="expression" dxfId="2765" priority="203" stopIfTrue="1">
      <formula>IF($AL$11=0,1,0)</formula>
    </cfRule>
  </conditionalFormatting>
  <conditionalFormatting sqref="B18 B103">
    <cfRule type="expression" dxfId="2764" priority="204" stopIfTrue="1">
      <formula>IF($AL$179&gt;0,0,1)</formula>
    </cfRule>
  </conditionalFormatting>
  <conditionalFormatting sqref="C226 F226 Y226 AB226">
    <cfRule type="expression" dxfId="2763" priority="205" stopIfTrue="1">
      <formula>IF(#REF!&gt;0,0,1)</formula>
    </cfRule>
  </conditionalFormatting>
  <pageMargins left="0.25" right="0.25" top="0.25" bottom="0.25" header="0" footer="0"/>
  <pageSetup scale="78" fitToHeight="3" orientation="landscape" r:id="rId1"/>
  <headerFooter alignWithMargins="0"/>
  <rowBreaks count="1" manualBreakCount="1">
    <brk id="90" max="43" man="1"/>
  </rowBreaks>
  <drawing r:id="rId2"/>
  <legacyDrawing r:id="rId3"/>
  <controls>
    <mc:AlternateContent xmlns:mc="http://schemas.openxmlformats.org/markup-compatibility/2006">
      <mc:Choice Requires="x14">
        <control shapeId="16386" r:id="rId4" name="Pool2RecalcFinish">
          <controlPr defaultSize="0" autoLine="0" r:id="rId5">
            <anchor moveWithCells="1" sizeWithCells="1">
              <from>
                <xdr:col>37</xdr:col>
                <xdr:colOff>104775</xdr:colOff>
                <xdr:row>98</xdr:row>
                <xdr:rowOff>9525</xdr:rowOff>
              </from>
              <to>
                <xdr:col>42</xdr:col>
                <xdr:colOff>228600</xdr:colOff>
                <xdr:row>101</xdr:row>
                <xdr:rowOff>104775</xdr:rowOff>
              </to>
            </anchor>
          </controlPr>
        </control>
      </mc:Choice>
      <mc:Fallback>
        <control shapeId="16386" r:id="rId4" name="Pool2RecalcFinish"/>
      </mc:Fallback>
    </mc:AlternateContent>
    <mc:AlternateContent xmlns:mc="http://schemas.openxmlformats.org/markup-compatibility/2006">
      <mc:Choice Requires="x14">
        <control shapeId="16385" r:id="rId6" name="Pool1RecalcFinish">
          <controlPr defaultSize="0" autoLine="0" r:id="rId7">
            <anchor moveWithCells="1" sizeWithCells="1">
              <from>
                <xdr:col>37</xdr:col>
                <xdr:colOff>104775</xdr:colOff>
                <xdr:row>13</xdr:row>
                <xdr:rowOff>9525</xdr:rowOff>
              </from>
              <to>
                <xdr:col>42</xdr:col>
                <xdr:colOff>228600</xdr:colOff>
                <xdr:row>16</xdr:row>
                <xdr:rowOff>104775</xdr:rowOff>
              </to>
            </anchor>
          </controlPr>
        </control>
      </mc:Choice>
      <mc:Fallback>
        <control shapeId="16385" r:id="rId6" name="Pool1RecalcFinish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indexed="11"/>
  </sheetPr>
  <dimension ref="A1:BY658"/>
  <sheetViews>
    <sheetView topLeftCell="K1" zoomScale="70" zoomScaleNormal="70" workbookViewId="0">
      <selection activeCell="AW3" sqref="AW3"/>
    </sheetView>
  </sheetViews>
  <sheetFormatPr defaultColWidth="8.7109375" defaultRowHeight="12.75" x14ac:dyDescent="0.2"/>
  <cols>
    <col min="1" max="1" width="8.7109375" style="134"/>
    <col min="2" max="2" width="3.7109375" style="134" customWidth="1"/>
    <col min="3" max="3" width="2.28515625" style="134" customWidth="1"/>
    <col min="4" max="5" width="3.7109375" style="134" customWidth="1"/>
    <col min="6" max="6" width="2.28515625" style="134" customWidth="1"/>
    <col min="7" max="8" width="3.7109375" style="134" customWidth="1"/>
    <col min="9" max="9" width="2.28515625" style="134" customWidth="1"/>
    <col min="10" max="11" width="3.7109375" style="134" customWidth="1"/>
    <col min="12" max="12" width="2.28515625" style="134" customWidth="1"/>
    <col min="13" max="14" width="3.7109375" style="134" customWidth="1"/>
    <col min="15" max="15" width="2.28515625" style="134" customWidth="1"/>
    <col min="16" max="17" width="3.7109375" style="134" customWidth="1"/>
    <col min="18" max="18" width="2.28515625" style="134" customWidth="1"/>
    <col min="19" max="20" width="3.7109375" style="134" customWidth="1"/>
    <col min="21" max="21" width="2.28515625" style="134" customWidth="1"/>
    <col min="22" max="23" width="3.7109375" style="134" customWidth="1"/>
    <col min="24" max="24" width="2.28515625" style="134" customWidth="1"/>
    <col min="25" max="26" width="3.7109375" style="134" customWidth="1"/>
    <col min="27" max="27" width="2.28515625" style="134" customWidth="1"/>
    <col min="28" max="29" width="3.7109375" style="134" customWidth="1"/>
    <col min="30" max="30" width="2.28515625" style="134" customWidth="1"/>
    <col min="31" max="31" width="3.7109375" style="134" customWidth="1"/>
    <col min="32" max="32" width="9.7109375" style="134" customWidth="1"/>
    <col min="33" max="42" width="3.7109375" style="134" customWidth="1"/>
    <col min="43" max="43" width="11" style="134" customWidth="1"/>
    <col min="44" max="46" width="8.7109375" style="134"/>
    <col min="47" max="47" width="21" style="134" customWidth="1"/>
    <col min="48" max="48" width="24.42578125" style="134" customWidth="1"/>
    <col min="49" max="49" width="15.28515625" style="194" customWidth="1"/>
    <col min="50" max="50" width="10.42578125" style="134" customWidth="1"/>
    <col min="51" max="51" width="11.28515625" style="134" customWidth="1"/>
    <col min="52" max="52" width="25" style="134" customWidth="1"/>
    <col min="53" max="53" width="6" style="134" customWidth="1"/>
    <col min="54" max="16384" width="8.7109375" style="134"/>
  </cols>
  <sheetData>
    <row r="1" spans="1:53" ht="13.5" thickBot="1" x14ac:dyDescent="0.25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131"/>
      <c r="AK1" s="131"/>
      <c r="AL1" s="131"/>
      <c r="AM1" s="131"/>
      <c r="AN1" s="131"/>
      <c r="AO1" s="131"/>
      <c r="AP1" s="131"/>
      <c r="AQ1" s="132" t="s">
        <v>1</v>
      </c>
      <c r="AR1" s="133"/>
      <c r="AT1" s="309" t="s">
        <v>2</v>
      </c>
      <c r="AU1" s="310"/>
      <c r="AV1" s="310"/>
      <c r="AW1" s="311"/>
      <c r="AX1" s="312" t="s">
        <v>3</v>
      </c>
      <c r="AY1" s="313"/>
      <c r="AZ1" s="136" t="s">
        <v>4</v>
      </c>
      <c r="BA1" s="137">
        <v>32</v>
      </c>
    </row>
    <row r="2" spans="1:53" ht="18.75" customHeight="1" thickBot="1" x14ac:dyDescent="0.3">
      <c r="A2" s="314" t="s">
        <v>5</v>
      </c>
      <c r="B2" s="315"/>
      <c r="C2" s="315"/>
      <c r="D2" s="315"/>
      <c r="E2" s="315"/>
      <c r="F2" s="315"/>
      <c r="G2" s="315"/>
      <c r="H2" s="315"/>
      <c r="I2" s="316"/>
      <c r="J2" s="317" t="s">
        <v>6</v>
      </c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9"/>
      <c r="Y2" s="320" t="s">
        <v>7</v>
      </c>
      <c r="Z2" s="321"/>
      <c r="AA2" s="321"/>
      <c r="AB2" s="321"/>
      <c r="AC2" s="322"/>
      <c r="AD2" s="323" t="s">
        <v>168</v>
      </c>
      <c r="AE2" s="323"/>
      <c r="AF2" s="323"/>
      <c r="AG2" s="323"/>
      <c r="AH2" s="323"/>
      <c r="AI2" s="324"/>
      <c r="AJ2" s="138"/>
      <c r="AK2" s="138"/>
      <c r="AL2" s="138"/>
      <c r="AM2" s="138"/>
      <c r="AN2" s="138"/>
      <c r="AO2" s="138"/>
      <c r="AP2" s="138"/>
      <c r="AQ2" s="138"/>
      <c r="AR2" s="133"/>
      <c r="AT2" s="139" t="s">
        <v>9</v>
      </c>
      <c r="AU2" s="140" t="s">
        <v>10</v>
      </c>
      <c r="AV2" s="141" t="s">
        <v>11</v>
      </c>
      <c r="AW2" s="142" t="s">
        <v>12</v>
      </c>
      <c r="AX2" s="143" t="s">
        <v>13</v>
      </c>
      <c r="AY2" s="142" t="s">
        <v>14</v>
      </c>
      <c r="AZ2" s="136" t="s">
        <v>15</v>
      </c>
      <c r="BA2" s="137">
        <v>16</v>
      </c>
    </row>
    <row r="3" spans="1:53" ht="18.75" customHeight="1" thickBot="1" x14ac:dyDescent="0.3">
      <c r="A3" s="144" t="s">
        <v>16</v>
      </c>
      <c r="B3" s="325" t="s">
        <v>1115</v>
      </c>
      <c r="C3" s="326"/>
      <c r="D3" s="326"/>
      <c r="E3" s="326"/>
      <c r="F3" s="326"/>
      <c r="G3" s="326"/>
      <c r="H3" s="326"/>
      <c r="I3" s="326"/>
      <c r="J3" s="326"/>
      <c r="K3" s="326"/>
      <c r="L3" s="326"/>
      <c r="M3" s="326"/>
      <c r="N3" s="326"/>
      <c r="O3" s="327"/>
      <c r="P3" s="328" t="s">
        <v>18</v>
      </c>
      <c r="Q3" s="329"/>
      <c r="R3" s="329"/>
      <c r="S3" s="330">
        <v>12</v>
      </c>
      <c r="T3" s="331"/>
      <c r="U3" s="331"/>
      <c r="V3" s="331"/>
      <c r="W3" s="331"/>
      <c r="X3" s="332"/>
      <c r="Y3" s="333" t="s">
        <v>19</v>
      </c>
      <c r="Z3" s="334"/>
      <c r="AA3" s="334"/>
      <c r="AB3" s="334"/>
      <c r="AC3" s="334"/>
      <c r="AD3" s="335"/>
      <c r="AE3" s="336" t="s">
        <v>20</v>
      </c>
      <c r="AF3" s="337"/>
      <c r="AG3" s="338" t="s">
        <v>21</v>
      </c>
      <c r="AH3" s="338"/>
      <c r="AI3" s="339"/>
      <c r="AJ3" s="138"/>
      <c r="AK3" s="138"/>
      <c r="AL3" s="138"/>
      <c r="AM3" s="138"/>
      <c r="AN3" s="138"/>
      <c r="AO3" s="138"/>
      <c r="AP3" s="138"/>
      <c r="AQ3" s="138"/>
      <c r="AR3" s="133"/>
      <c r="AT3" s="145">
        <v>1</v>
      </c>
      <c r="AU3" s="291" t="s">
        <v>269</v>
      </c>
      <c r="AV3" s="291" t="s">
        <v>267</v>
      </c>
      <c r="AW3" s="147">
        <f>VLOOKUP(AV3,Initial!G:K,5,FALSE)</f>
        <v>1531.814236061155</v>
      </c>
      <c r="AX3" s="148">
        <f t="shared" ref="AX3:AX12" si="0">VLOOKUP(AU3,AT$79:AU$174,2,FALSE)</f>
        <v>1595.6788293469422</v>
      </c>
      <c r="AY3" s="149">
        <f t="shared" ref="AY3:AY12" si="1">IF(ISNA(VLOOKUP(AU3,AT$182:AU$234,2,FALSE)),AX3,VLOOKUP(AU3,AT$182:AU$234,2,FALSE))</f>
        <v>1584.5549621974531</v>
      </c>
    </row>
    <row r="4" spans="1:53" ht="24" customHeight="1" thickBot="1" x14ac:dyDescent="0.25">
      <c r="A4" s="340" t="s">
        <v>24</v>
      </c>
      <c r="B4" s="341"/>
      <c r="C4" s="341"/>
      <c r="D4" s="342"/>
      <c r="E4" s="343" t="s">
        <v>25</v>
      </c>
      <c r="F4" s="344"/>
      <c r="G4" s="344"/>
      <c r="H4" s="344"/>
      <c r="I4" s="344"/>
      <c r="J4" s="344"/>
      <c r="K4" s="344"/>
      <c r="L4" s="344"/>
      <c r="M4" s="345"/>
      <c r="N4" s="340" t="s">
        <v>26</v>
      </c>
      <c r="O4" s="341"/>
      <c r="P4" s="341"/>
      <c r="Q4" s="342"/>
      <c r="R4" s="346"/>
      <c r="S4" s="323"/>
      <c r="T4" s="323"/>
      <c r="U4" s="323"/>
      <c r="V4" s="323"/>
      <c r="W4" s="323"/>
      <c r="X4" s="323"/>
      <c r="Y4" s="323"/>
      <c r="Z4" s="323"/>
      <c r="AA4" s="324"/>
      <c r="AB4" s="340" t="s">
        <v>27</v>
      </c>
      <c r="AC4" s="341"/>
      <c r="AD4" s="341"/>
      <c r="AE4" s="342"/>
      <c r="AF4" s="346"/>
      <c r="AG4" s="323"/>
      <c r="AH4" s="323"/>
      <c r="AI4" s="324"/>
      <c r="AJ4" s="138"/>
      <c r="AK4" s="138"/>
      <c r="AL4" s="138"/>
      <c r="AM4" s="138"/>
      <c r="AN4" s="138"/>
      <c r="AO4" s="138"/>
      <c r="AP4" s="138"/>
      <c r="AQ4" s="138"/>
      <c r="AR4" s="133"/>
      <c r="AT4" s="150">
        <v>2</v>
      </c>
      <c r="AU4" s="291" t="s">
        <v>321</v>
      </c>
      <c r="AV4" s="291" t="s">
        <v>320</v>
      </c>
      <c r="AW4" s="147">
        <f>VLOOKUP(AV4,Initial!G:K,5,FALSE)</f>
        <v>1450.3242032415919</v>
      </c>
      <c r="AX4" s="151">
        <f t="shared" si="0"/>
        <v>1442.9543012131753</v>
      </c>
      <c r="AY4" s="152">
        <f t="shared" si="1"/>
        <v>1438.2606481323326</v>
      </c>
    </row>
    <row r="5" spans="1:53" ht="15.75" thickBot="1" x14ac:dyDescent="0.25">
      <c r="A5" s="131" t="s">
        <v>30</v>
      </c>
      <c r="B5" s="347" t="s">
        <v>30</v>
      </c>
      <c r="C5" s="348"/>
      <c r="D5" s="348"/>
      <c r="E5" s="348"/>
      <c r="F5" s="348"/>
      <c r="G5" s="348"/>
      <c r="H5" s="348"/>
      <c r="I5" s="348"/>
      <c r="J5" s="348"/>
      <c r="K5" s="349" t="s">
        <v>30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49"/>
      <c r="AD5" s="349"/>
      <c r="AE5" s="349"/>
      <c r="AF5" s="131"/>
      <c r="AG5" s="131"/>
      <c r="AH5" s="131"/>
      <c r="AI5" s="131"/>
      <c r="AJ5" s="131"/>
      <c r="AK5" s="131"/>
      <c r="AL5" s="131"/>
      <c r="AM5" s="131"/>
      <c r="AN5" s="131"/>
      <c r="AO5" s="131"/>
      <c r="AP5" s="131"/>
      <c r="AQ5" s="131"/>
      <c r="AR5" s="133"/>
      <c r="AT5" s="150">
        <v>3</v>
      </c>
      <c r="AU5" s="291" t="s">
        <v>307</v>
      </c>
      <c r="AV5" s="291" t="s">
        <v>306</v>
      </c>
      <c r="AW5" s="147">
        <f>VLOOKUP(AV5,Initial!G:K,5,FALSE)</f>
        <v>1400</v>
      </c>
      <c r="AX5" s="151">
        <f t="shared" si="0"/>
        <v>1475.835327254912</v>
      </c>
      <c r="AY5" s="152">
        <f t="shared" si="1"/>
        <v>1498.741500196315</v>
      </c>
    </row>
    <row r="6" spans="1:53" ht="24" customHeight="1" thickBot="1" x14ac:dyDescent="0.25">
      <c r="A6" s="153" t="s">
        <v>33</v>
      </c>
      <c r="B6" s="154" t="s">
        <v>34</v>
      </c>
      <c r="C6" s="350" t="s">
        <v>35</v>
      </c>
      <c r="D6" s="351"/>
      <c r="E6" s="351"/>
      <c r="F6" s="351"/>
      <c r="G6" s="351"/>
      <c r="H6" s="352"/>
      <c r="I6" s="353">
        <v>3</v>
      </c>
      <c r="J6" s="354"/>
      <c r="K6" s="355" t="str">
        <f>"Pool "&amp;B6&amp;" - Round 1 - Court "&amp;I6</f>
        <v>Pool A - Round 1 - Court 3</v>
      </c>
      <c r="L6" s="356"/>
      <c r="M6" s="356"/>
      <c r="N6" s="356"/>
      <c r="O6" s="356"/>
      <c r="P6" s="356"/>
      <c r="Q6" s="356"/>
      <c r="R6" s="356"/>
      <c r="S6" s="356"/>
      <c r="T6" s="356"/>
      <c r="U6" s="356"/>
      <c r="V6" s="356"/>
      <c r="W6" s="356"/>
      <c r="X6" s="356"/>
      <c r="Y6" s="356"/>
      <c r="Z6" s="356"/>
      <c r="AA6" s="356"/>
      <c r="AB6" s="356"/>
      <c r="AC6" s="356"/>
      <c r="AD6" s="356"/>
      <c r="AE6" s="356"/>
      <c r="AF6" s="356"/>
      <c r="AG6" s="356"/>
      <c r="AH6" s="356"/>
      <c r="AI6" s="357"/>
      <c r="AJ6" s="138"/>
      <c r="AK6" s="138"/>
      <c r="AL6" s="138"/>
      <c r="AM6" s="138"/>
      <c r="AN6" s="138"/>
      <c r="AO6" s="138"/>
      <c r="AP6" s="138"/>
      <c r="AQ6" s="138"/>
      <c r="AT6" s="150">
        <v>4</v>
      </c>
      <c r="AU6" s="291" t="s">
        <v>334</v>
      </c>
      <c r="AV6" s="291" t="s">
        <v>332</v>
      </c>
      <c r="AW6" s="147">
        <f>VLOOKUP(AV6,Initial!G:K,5,FALSE)</f>
        <v>1420.369437083843</v>
      </c>
      <c r="AX6" s="151">
        <f t="shared" si="0"/>
        <v>1380.0237816476338</v>
      </c>
      <c r="AY6" s="152">
        <f t="shared" si="1"/>
        <v>1405.1025780622188</v>
      </c>
    </row>
    <row r="7" spans="1:53" ht="27" customHeight="1" thickBot="1" x14ac:dyDescent="0.25">
      <c r="A7" s="155" t="s">
        <v>38</v>
      </c>
      <c r="B7" s="358" t="s">
        <v>10</v>
      </c>
      <c r="C7" s="359"/>
      <c r="D7" s="359"/>
      <c r="E7" s="359"/>
      <c r="F7" s="359"/>
      <c r="G7" s="359"/>
      <c r="H7" s="359"/>
      <c r="I7" s="359"/>
      <c r="J7" s="359"/>
      <c r="K7" s="359"/>
      <c r="L7" s="358" t="str">
        <f>IF($AK10=0,"Games Won","Matches Won")</f>
        <v>Games Won</v>
      </c>
      <c r="M7" s="359"/>
      <c r="N7" s="359"/>
      <c r="O7" s="359"/>
      <c r="P7" s="359"/>
      <c r="Q7" s="360"/>
      <c r="R7" s="358" t="str">
        <f>IF($AK10=0,"Games Lost","Matches Lost")</f>
        <v>Games Lost</v>
      </c>
      <c r="S7" s="361"/>
      <c r="T7" s="361"/>
      <c r="U7" s="361"/>
      <c r="V7" s="362"/>
      <c r="W7" s="363" t="s">
        <v>39</v>
      </c>
      <c r="X7" s="364"/>
      <c r="Y7" s="365"/>
      <c r="Z7" s="363" t="s">
        <v>40</v>
      </c>
      <c r="AA7" s="364"/>
      <c r="AB7" s="365"/>
      <c r="AC7" s="366" t="s">
        <v>41</v>
      </c>
      <c r="AD7" s="367"/>
      <c r="AE7" s="368"/>
      <c r="AF7" s="156" t="s">
        <v>42</v>
      </c>
      <c r="AG7" s="157" t="s">
        <v>9</v>
      </c>
      <c r="AH7" s="369" t="s">
        <v>43</v>
      </c>
      <c r="AI7" s="370"/>
      <c r="AJ7" s="158"/>
      <c r="AK7" s="159">
        <v>2</v>
      </c>
      <c r="AL7" s="160" t="s">
        <v>44</v>
      </c>
      <c r="AM7" s="160"/>
      <c r="AN7" s="160"/>
      <c r="AO7" s="160"/>
      <c r="AP7" s="160"/>
      <c r="AQ7" s="160"/>
      <c r="AR7" s="161"/>
      <c r="AT7" s="150">
        <v>5</v>
      </c>
      <c r="AU7" s="291" t="s">
        <v>285</v>
      </c>
      <c r="AV7" s="291" t="s">
        <v>283</v>
      </c>
      <c r="AW7" s="147">
        <f>VLOOKUP(AV7,Initial!G:K,5,FALSE)</f>
        <v>1410.8128235954669</v>
      </c>
      <c r="AX7" s="151">
        <f t="shared" si="0"/>
        <v>1436.0834595325007</v>
      </c>
      <c r="AY7" s="152">
        <f t="shared" si="1"/>
        <v>1428.9948068214296</v>
      </c>
    </row>
    <row r="8" spans="1:53" ht="18.75" customHeight="1" thickBot="1" x14ac:dyDescent="0.25">
      <c r="A8" s="371" t="str">
        <f>IF($AK9&gt;0,"1","")</f>
        <v>1</v>
      </c>
      <c r="B8" s="373" t="s">
        <v>10</v>
      </c>
      <c r="C8" s="374"/>
      <c r="D8" s="375"/>
      <c r="E8" s="376" t="str">
        <f>AU3</f>
        <v>Chas Jrs 12 Red</v>
      </c>
      <c r="F8" s="377"/>
      <c r="G8" s="377"/>
      <c r="H8" s="377"/>
      <c r="I8" s="377"/>
      <c r="J8" s="377"/>
      <c r="K8" s="378"/>
      <c r="L8" s="379">
        <f>IF($AK10=0,AF64,AF46)</f>
        <v>8</v>
      </c>
      <c r="M8" s="380"/>
      <c r="N8" s="380"/>
      <c r="O8" s="380"/>
      <c r="P8" s="380"/>
      <c r="Q8" s="360"/>
      <c r="R8" s="379">
        <f>IF($AK10=0,AG64,AG46)</f>
        <v>0</v>
      </c>
      <c r="S8" s="380"/>
      <c r="T8" s="380"/>
      <c r="U8" s="380"/>
      <c r="V8" s="380"/>
      <c r="W8" s="379">
        <f>AQ24</f>
        <v>73</v>
      </c>
      <c r="X8" s="380"/>
      <c r="Y8" s="380"/>
      <c r="Z8" s="383">
        <f>IF(AF58&gt;0,(AQ24/AF58),0)</f>
        <v>0.36318407960199006</v>
      </c>
      <c r="AA8" s="384"/>
      <c r="AB8" s="384"/>
      <c r="AC8" s="387">
        <f>IF(AF72=0,0,(AF64/AF72))</f>
        <v>1</v>
      </c>
      <c r="AD8" s="388"/>
      <c r="AE8" s="389"/>
      <c r="AF8" s="393">
        <v>1</v>
      </c>
      <c r="AG8" s="393">
        <v>1</v>
      </c>
      <c r="AH8" s="395"/>
      <c r="AI8" s="396"/>
      <c r="AJ8" s="158"/>
      <c r="AK8" s="159">
        <v>10</v>
      </c>
      <c r="AL8" s="160" t="s">
        <v>47</v>
      </c>
      <c r="AM8" s="160"/>
      <c r="AN8" s="160"/>
      <c r="AO8" s="160"/>
      <c r="AP8" s="160"/>
      <c r="AQ8" s="160"/>
      <c r="AR8" s="161"/>
      <c r="AT8" s="150">
        <v>6</v>
      </c>
      <c r="AU8" s="291" t="s">
        <v>316</v>
      </c>
      <c r="AV8" s="291" t="s">
        <v>314</v>
      </c>
      <c r="AW8" s="147">
        <f>VLOOKUP(AV8,Initial!G:K,5,FALSE)</f>
        <v>1396.2263060585235</v>
      </c>
      <c r="AX8" s="151">
        <f t="shared" si="0"/>
        <v>1383.5239908864794</v>
      </c>
      <c r="AY8" s="152">
        <f t="shared" si="1"/>
        <v>1375.4433983168517</v>
      </c>
    </row>
    <row r="9" spans="1:53" ht="18.75" customHeight="1" thickBot="1" x14ac:dyDescent="0.25">
      <c r="A9" s="372"/>
      <c r="B9" s="399" t="s">
        <v>11</v>
      </c>
      <c r="C9" s="400"/>
      <c r="D9" s="401"/>
      <c r="E9" s="402" t="str">
        <f>AV3</f>
        <v>fj2charl1pm</v>
      </c>
      <c r="F9" s="403"/>
      <c r="G9" s="403"/>
      <c r="H9" s="403"/>
      <c r="I9" s="403"/>
      <c r="J9" s="403"/>
      <c r="K9" s="403"/>
      <c r="L9" s="381"/>
      <c r="M9" s="382"/>
      <c r="N9" s="382"/>
      <c r="O9" s="382"/>
      <c r="P9" s="382"/>
      <c r="Q9" s="360"/>
      <c r="R9" s="381"/>
      <c r="S9" s="382"/>
      <c r="T9" s="382"/>
      <c r="U9" s="382"/>
      <c r="V9" s="382"/>
      <c r="W9" s="381"/>
      <c r="X9" s="382"/>
      <c r="Y9" s="382"/>
      <c r="Z9" s="385"/>
      <c r="AA9" s="386"/>
      <c r="AB9" s="386"/>
      <c r="AC9" s="390"/>
      <c r="AD9" s="391"/>
      <c r="AE9" s="392"/>
      <c r="AF9" s="394"/>
      <c r="AG9" s="394"/>
      <c r="AH9" s="397"/>
      <c r="AI9" s="398"/>
      <c r="AJ9" s="158"/>
      <c r="AK9" s="159">
        <v>5</v>
      </c>
      <c r="AL9" s="160" t="s">
        <v>50</v>
      </c>
      <c r="AM9" s="158"/>
      <c r="AN9" s="158"/>
      <c r="AO9" s="158"/>
      <c r="AP9" s="158"/>
      <c r="AQ9" s="158"/>
      <c r="AR9" s="133"/>
      <c r="AT9" s="150">
        <v>7</v>
      </c>
      <c r="AU9" s="291" t="s">
        <v>302</v>
      </c>
      <c r="AV9" s="291" t="s">
        <v>300</v>
      </c>
      <c r="AW9" s="147">
        <f>VLOOKUP(AV9,Initial!G:K,5,FALSE)</f>
        <v>1304.5564991499768</v>
      </c>
      <c r="AX9" s="151">
        <f t="shared" si="0"/>
        <v>1288.3037875875493</v>
      </c>
      <c r="AY9" s="152">
        <f t="shared" si="1"/>
        <v>1282.8814689298702</v>
      </c>
    </row>
    <row r="10" spans="1:53" ht="18.75" customHeight="1" thickBot="1" x14ac:dyDescent="0.25">
      <c r="A10" s="371" t="str">
        <f>IF($AK9&gt;1,"2","")</f>
        <v>2</v>
      </c>
      <c r="B10" s="373" t="s">
        <v>10</v>
      </c>
      <c r="C10" s="374"/>
      <c r="D10" s="375"/>
      <c r="E10" s="376" t="str">
        <f>AU6</f>
        <v>Lake Murray 12 Black</v>
      </c>
      <c r="F10" s="377"/>
      <c r="G10" s="377"/>
      <c r="H10" s="377"/>
      <c r="I10" s="377"/>
      <c r="J10" s="377"/>
      <c r="K10" s="378"/>
      <c r="L10" s="379">
        <f>IF($AK10=0,AF65,AF47)</f>
        <v>3</v>
      </c>
      <c r="M10" s="380"/>
      <c r="N10" s="380"/>
      <c r="O10" s="380"/>
      <c r="P10" s="380"/>
      <c r="Q10" s="360"/>
      <c r="R10" s="379">
        <f>IF($AK10=0,AG65,AG47)</f>
        <v>5</v>
      </c>
      <c r="S10" s="380"/>
      <c r="T10" s="380"/>
      <c r="U10" s="380"/>
      <c r="V10" s="380"/>
      <c r="W10" s="379">
        <f>AQ25</f>
        <v>-1</v>
      </c>
      <c r="X10" s="380"/>
      <c r="Y10" s="380"/>
      <c r="Z10" s="383">
        <f>IF(AF59&gt;0,(AQ25/AF59),0)</f>
        <v>-4.9504950495049506E-3</v>
      </c>
      <c r="AA10" s="384"/>
      <c r="AB10" s="384"/>
      <c r="AC10" s="387">
        <f>IF(AF73=0,0,(AF65/AF73))</f>
        <v>0.375</v>
      </c>
      <c r="AD10" s="388"/>
      <c r="AE10" s="389"/>
      <c r="AF10" s="393">
        <v>4</v>
      </c>
      <c r="AG10" s="393">
        <v>1</v>
      </c>
      <c r="AH10" s="395"/>
      <c r="AI10" s="396"/>
      <c r="AJ10" s="158"/>
      <c r="AK10" s="159">
        <v>0</v>
      </c>
      <c r="AL10" s="160" t="s">
        <v>53</v>
      </c>
      <c r="AM10" s="160"/>
      <c r="AN10" s="160"/>
      <c r="AO10" s="160"/>
      <c r="AP10" s="160"/>
      <c r="AQ10" s="160"/>
      <c r="AR10" s="161"/>
      <c r="AT10" s="150">
        <v>8</v>
      </c>
      <c r="AU10" s="291" t="s">
        <v>313</v>
      </c>
      <c r="AV10" s="291" t="s">
        <v>312</v>
      </c>
      <c r="AW10" s="147">
        <f>VLOOKUP(AV10,Initial!G:K,5,FALSE)</f>
        <v>1400</v>
      </c>
      <c r="AX10" s="151">
        <f t="shared" si="0"/>
        <v>1404.3859648000866</v>
      </c>
      <c r="AY10" s="152">
        <f t="shared" si="1"/>
        <v>1392.8100796128085</v>
      </c>
    </row>
    <row r="11" spans="1:53" ht="18.75" customHeight="1" thickBot="1" x14ac:dyDescent="0.25">
      <c r="A11" s="372"/>
      <c r="B11" s="404" t="s">
        <v>11</v>
      </c>
      <c r="C11" s="405"/>
      <c r="D11" s="405"/>
      <c r="E11" s="402" t="str">
        <f>AV6</f>
        <v>fj2lakem1pm</v>
      </c>
      <c r="F11" s="403"/>
      <c r="G11" s="403"/>
      <c r="H11" s="403"/>
      <c r="I11" s="403"/>
      <c r="J11" s="403"/>
      <c r="K11" s="403"/>
      <c r="L11" s="381"/>
      <c r="M11" s="382"/>
      <c r="N11" s="382"/>
      <c r="O11" s="382"/>
      <c r="P11" s="382"/>
      <c r="Q11" s="360"/>
      <c r="R11" s="381"/>
      <c r="S11" s="382"/>
      <c r="T11" s="382"/>
      <c r="U11" s="382"/>
      <c r="V11" s="382"/>
      <c r="W11" s="381"/>
      <c r="X11" s="382"/>
      <c r="Y11" s="382"/>
      <c r="Z11" s="385"/>
      <c r="AA11" s="386"/>
      <c r="AB11" s="386"/>
      <c r="AC11" s="390"/>
      <c r="AD11" s="391"/>
      <c r="AE11" s="392"/>
      <c r="AF11" s="394"/>
      <c r="AG11" s="394"/>
      <c r="AH11" s="397"/>
      <c r="AI11" s="398"/>
      <c r="AJ11" s="158"/>
      <c r="AK11" s="159">
        <v>1</v>
      </c>
      <c r="AL11" s="160" t="s">
        <v>56</v>
      </c>
      <c r="AM11" s="158"/>
      <c r="AN11" s="158"/>
      <c r="AO11" s="158"/>
      <c r="AP11" s="158"/>
      <c r="AQ11" s="158"/>
      <c r="AR11" s="133"/>
      <c r="AT11" s="150">
        <v>9</v>
      </c>
      <c r="AU11" s="291" t="s">
        <v>294</v>
      </c>
      <c r="AV11" s="291" t="s">
        <v>292</v>
      </c>
      <c r="AW11" s="147">
        <f>VLOOKUP(AV11,Initial!G:K,5,FALSE)</f>
        <v>1226.0702313271092</v>
      </c>
      <c r="AX11" s="151">
        <f t="shared" si="0"/>
        <v>1172.8946927404108</v>
      </c>
      <c r="AY11" s="152">
        <f t="shared" si="1"/>
        <v>1172.8946927404108</v>
      </c>
    </row>
    <row r="12" spans="1:53" ht="18.75" customHeight="1" thickBot="1" x14ac:dyDescent="0.25">
      <c r="A12" s="371" t="str">
        <f>IF($AK9&gt;2,"3","")</f>
        <v>3</v>
      </c>
      <c r="B12" s="406" t="s">
        <v>10</v>
      </c>
      <c r="C12" s="407"/>
      <c r="D12" s="407"/>
      <c r="E12" s="376" t="str">
        <f>AU7</f>
        <v>CSRA Heat 12 Gold</v>
      </c>
      <c r="F12" s="377"/>
      <c r="G12" s="377"/>
      <c r="H12" s="377"/>
      <c r="I12" s="377"/>
      <c r="J12" s="377"/>
      <c r="K12" s="378"/>
      <c r="L12" s="379">
        <f>IF($AK10=0,AF66,AF48)</f>
        <v>5</v>
      </c>
      <c r="M12" s="380"/>
      <c r="N12" s="380"/>
      <c r="O12" s="380"/>
      <c r="P12" s="380"/>
      <c r="Q12" s="360"/>
      <c r="R12" s="379">
        <f>IF($AK10=0,AG66,AG48)</f>
        <v>3</v>
      </c>
      <c r="S12" s="380"/>
      <c r="T12" s="380"/>
      <c r="U12" s="380"/>
      <c r="V12" s="380"/>
      <c r="W12" s="379">
        <f>AQ26</f>
        <v>16</v>
      </c>
      <c r="X12" s="380"/>
      <c r="Y12" s="380"/>
      <c r="Z12" s="383">
        <f>IF(AF60&gt;0,(AQ26/AF60),0)</f>
        <v>7.9601990049751242E-2</v>
      </c>
      <c r="AA12" s="384"/>
      <c r="AB12" s="384"/>
      <c r="AC12" s="387">
        <f>IF(AF74=0,0,(AF66/AF74))</f>
        <v>0.625</v>
      </c>
      <c r="AD12" s="388"/>
      <c r="AE12" s="389"/>
      <c r="AF12" s="393">
        <v>2</v>
      </c>
      <c r="AG12" s="393">
        <v>1</v>
      </c>
      <c r="AH12" s="395"/>
      <c r="AI12" s="396"/>
      <c r="AJ12" s="167"/>
      <c r="AK12" s="159">
        <v>8</v>
      </c>
      <c r="AL12" s="168" t="s">
        <v>59</v>
      </c>
      <c r="AM12" s="160"/>
      <c r="AN12" s="160"/>
      <c r="AO12" s="160"/>
      <c r="AP12" s="160"/>
      <c r="AQ12" s="160"/>
      <c r="AR12" s="161"/>
      <c r="AT12" s="162">
        <v>10</v>
      </c>
      <c r="AU12" s="291" t="s">
        <v>288</v>
      </c>
      <c r="AV12" s="291" t="s">
        <v>286</v>
      </c>
      <c r="AW12" s="147">
        <f>VLOOKUP(AV12,Initial!G:K,5,FALSE)</f>
        <v>1221.8365208689011</v>
      </c>
      <c r="AX12" s="163">
        <f t="shared" si="0"/>
        <v>1182.3261223768773</v>
      </c>
      <c r="AY12" s="164">
        <f t="shared" si="1"/>
        <v>1182.3261223768773</v>
      </c>
    </row>
    <row r="13" spans="1:53" ht="18.75" customHeight="1" thickBot="1" x14ac:dyDescent="0.25">
      <c r="A13" s="372"/>
      <c r="B13" s="404" t="s">
        <v>11</v>
      </c>
      <c r="C13" s="405"/>
      <c r="D13" s="405"/>
      <c r="E13" s="402" t="str">
        <f>AV7</f>
        <v>fj2csrah1pm</v>
      </c>
      <c r="F13" s="403"/>
      <c r="G13" s="403"/>
      <c r="H13" s="403"/>
      <c r="I13" s="403"/>
      <c r="J13" s="403"/>
      <c r="K13" s="403"/>
      <c r="L13" s="381"/>
      <c r="M13" s="382"/>
      <c r="N13" s="382"/>
      <c r="O13" s="382"/>
      <c r="P13" s="382"/>
      <c r="Q13" s="360"/>
      <c r="R13" s="381"/>
      <c r="S13" s="382"/>
      <c r="T13" s="382"/>
      <c r="U13" s="382"/>
      <c r="V13" s="382"/>
      <c r="W13" s="381"/>
      <c r="X13" s="382"/>
      <c r="Y13" s="382"/>
      <c r="Z13" s="385"/>
      <c r="AA13" s="386"/>
      <c r="AB13" s="386"/>
      <c r="AC13" s="390"/>
      <c r="AD13" s="391"/>
      <c r="AE13" s="392"/>
      <c r="AF13" s="394"/>
      <c r="AG13" s="394"/>
      <c r="AH13" s="397"/>
      <c r="AI13" s="398"/>
      <c r="AJ13" s="167"/>
      <c r="AK13" s="169"/>
      <c r="AL13" s="170"/>
      <c r="AM13" s="170"/>
      <c r="AN13" s="170"/>
      <c r="AO13" s="170"/>
      <c r="AP13" s="170"/>
      <c r="AQ13" s="158"/>
      <c r="AR13" s="133"/>
      <c r="AT13" s="408" t="s">
        <v>62</v>
      </c>
      <c r="AU13" s="409"/>
      <c r="AV13" s="409"/>
      <c r="AW13" s="409"/>
      <c r="AX13" s="409"/>
      <c r="AY13" s="410"/>
    </row>
    <row r="14" spans="1:53" ht="18.75" customHeight="1" thickBot="1" x14ac:dyDescent="0.25">
      <c r="A14" s="371" t="str">
        <f>IF($AK9&gt;3,"4","")</f>
        <v>4</v>
      </c>
      <c r="B14" s="406" t="s">
        <v>10</v>
      </c>
      <c r="C14" s="407"/>
      <c r="D14" s="407"/>
      <c r="E14" s="376" t="str">
        <f>AU10</f>
        <v>Magnum Aiken 12 Yellow</v>
      </c>
      <c r="F14" s="377"/>
      <c r="G14" s="377"/>
      <c r="H14" s="377"/>
      <c r="I14" s="377"/>
      <c r="J14" s="377"/>
      <c r="K14" s="378"/>
      <c r="L14" s="379">
        <f>IF($AK10=0,AF67,AF49)</f>
        <v>4</v>
      </c>
      <c r="M14" s="380"/>
      <c r="N14" s="380"/>
      <c r="O14" s="380"/>
      <c r="P14" s="380"/>
      <c r="Q14" s="360"/>
      <c r="R14" s="379">
        <f>IF($AK10=0,AG67,AG49)</f>
        <v>4</v>
      </c>
      <c r="S14" s="380"/>
      <c r="T14" s="380"/>
      <c r="U14" s="380"/>
      <c r="V14" s="380"/>
      <c r="W14" s="379">
        <f>AQ27</f>
        <v>-1</v>
      </c>
      <c r="X14" s="380"/>
      <c r="Y14" s="380"/>
      <c r="Z14" s="383">
        <f>IF(AF61&gt;0,(AQ27/AF61),0)</f>
        <v>-5.0000000000000001E-3</v>
      </c>
      <c r="AA14" s="384"/>
      <c r="AB14" s="384"/>
      <c r="AC14" s="387">
        <f>IF(AF75=0,0,(AF67/AF75))</f>
        <v>0.5</v>
      </c>
      <c r="AD14" s="388"/>
      <c r="AE14" s="389"/>
      <c r="AF14" s="393">
        <v>3</v>
      </c>
      <c r="AG14" s="393">
        <v>1</v>
      </c>
      <c r="AH14" s="395"/>
      <c r="AI14" s="396"/>
      <c r="AJ14" s="138"/>
      <c r="AK14" s="170"/>
      <c r="AL14" s="170"/>
      <c r="AM14" s="170"/>
      <c r="AN14" s="170"/>
      <c r="AO14" s="170"/>
      <c r="AP14" s="170"/>
      <c r="AQ14" s="160"/>
      <c r="AR14" s="161"/>
      <c r="AT14" s="411"/>
      <c r="AU14" s="412"/>
      <c r="AV14" s="412"/>
      <c r="AW14" s="412"/>
      <c r="AX14" s="412"/>
      <c r="AY14" s="413"/>
    </row>
    <row r="15" spans="1:53" ht="18.75" customHeight="1" thickBot="1" x14ac:dyDescent="0.25">
      <c r="A15" s="372"/>
      <c r="B15" s="404" t="s">
        <v>11</v>
      </c>
      <c r="C15" s="405"/>
      <c r="D15" s="405"/>
      <c r="E15" s="402" t="str">
        <f>AV10</f>
        <v>fj2magnm5pm</v>
      </c>
      <c r="F15" s="403"/>
      <c r="G15" s="403"/>
      <c r="H15" s="403"/>
      <c r="I15" s="403"/>
      <c r="J15" s="403"/>
      <c r="K15" s="403"/>
      <c r="L15" s="381"/>
      <c r="M15" s="382"/>
      <c r="N15" s="382"/>
      <c r="O15" s="382"/>
      <c r="P15" s="382"/>
      <c r="Q15" s="360"/>
      <c r="R15" s="381"/>
      <c r="S15" s="382"/>
      <c r="T15" s="382"/>
      <c r="U15" s="382"/>
      <c r="V15" s="382"/>
      <c r="W15" s="381"/>
      <c r="X15" s="382"/>
      <c r="Y15" s="382"/>
      <c r="Z15" s="385"/>
      <c r="AA15" s="386"/>
      <c r="AB15" s="386"/>
      <c r="AC15" s="390"/>
      <c r="AD15" s="391"/>
      <c r="AE15" s="392"/>
      <c r="AF15" s="394"/>
      <c r="AG15" s="394"/>
      <c r="AH15" s="397"/>
      <c r="AI15" s="398"/>
      <c r="AJ15" s="138"/>
      <c r="AK15" s="170"/>
      <c r="AL15" s="170"/>
      <c r="AM15" s="170"/>
      <c r="AN15" s="170"/>
      <c r="AO15" s="170"/>
      <c r="AP15" s="170"/>
      <c r="AQ15" s="138"/>
      <c r="AR15" s="133"/>
      <c r="AW15" s="166"/>
      <c r="AX15" s="166"/>
      <c r="AY15" s="166"/>
    </row>
    <row r="16" spans="1:53" ht="18.75" customHeight="1" x14ac:dyDescent="0.2">
      <c r="A16" s="371" t="str">
        <f>IF($AK9&gt;4,"5","")</f>
        <v>5</v>
      </c>
      <c r="B16" s="406" t="s">
        <v>10</v>
      </c>
      <c r="C16" s="407"/>
      <c r="D16" s="407"/>
      <c r="E16" s="376" t="str">
        <f>AU11</f>
        <v>High Velocity 12's</v>
      </c>
      <c r="F16" s="377"/>
      <c r="G16" s="377"/>
      <c r="H16" s="377"/>
      <c r="I16" s="377"/>
      <c r="J16" s="377"/>
      <c r="K16" s="378"/>
      <c r="L16" s="379">
        <f>IF($AK10=0,AF68,AF50)</f>
        <v>0</v>
      </c>
      <c r="M16" s="380"/>
      <c r="N16" s="380"/>
      <c r="O16" s="380"/>
      <c r="P16" s="380"/>
      <c r="Q16" s="360"/>
      <c r="R16" s="379">
        <f>IF($AK10=0,AG68,AG50)</f>
        <v>8</v>
      </c>
      <c r="S16" s="380"/>
      <c r="T16" s="380"/>
      <c r="U16" s="380"/>
      <c r="V16" s="380"/>
      <c r="W16" s="379">
        <f>AQ28</f>
        <v>-87</v>
      </c>
      <c r="X16" s="380"/>
      <c r="Y16" s="380"/>
      <c r="Z16" s="383">
        <f>IF(AF62&gt;0,(AQ28/AF62),0)</f>
        <v>-0.435</v>
      </c>
      <c r="AA16" s="384"/>
      <c r="AB16" s="384"/>
      <c r="AC16" s="387">
        <f>IF(AF76=0,0,(AF68/AF76))</f>
        <v>0</v>
      </c>
      <c r="AD16" s="388"/>
      <c r="AE16" s="389"/>
      <c r="AF16" s="393">
        <v>5</v>
      </c>
      <c r="AG16" s="393">
        <v>1</v>
      </c>
      <c r="AH16" s="395"/>
      <c r="AI16" s="396"/>
      <c r="AJ16" s="138"/>
      <c r="AK16" s="170"/>
      <c r="AL16" s="170"/>
      <c r="AM16" s="170"/>
      <c r="AN16" s="170"/>
      <c r="AO16" s="170"/>
      <c r="AP16" s="170"/>
      <c r="AQ16" s="138"/>
      <c r="AR16" s="133"/>
      <c r="AT16" s="165"/>
      <c r="AU16" s="166"/>
      <c r="AV16" s="166"/>
      <c r="AW16" s="166"/>
      <c r="AX16" s="166"/>
      <c r="AY16" s="166"/>
    </row>
    <row r="17" spans="1:51" ht="18.75" customHeight="1" thickBot="1" x14ac:dyDescent="0.25">
      <c r="A17" s="372"/>
      <c r="B17" s="424" t="s">
        <v>11</v>
      </c>
      <c r="C17" s="425"/>
      <c r="D17" s="425"/>
      <c r="E17" s="426" t="str">
        <f>AV11</f>
        <v>fj2hvelo1pm</v>
      </c>
      <c r="F17" s="427"/>
      <c r="G17" s="427"/>
      <c r="H17" s="427"/>
      <c r="I17" s="427"/>
      <c r="J17" s="427"/>
      <c r="K17" s="427"/>
      <c r="L17" s="414"/>
      <c r="M17" s="415"/>
      <c r="N17" s="415"/>
      <c r="O17" s="415"/>
      <c r="P17" s="415"/>
      <c r="Q17" s="360"/>
      <c r="R17" s="414"/>
      <c r="S17" s="415"/>
      <c r="T17" s="415"/>
      <c r="U17" s="415"/>
      <c r="V17" s="415"/>
      <c r="W17" s="414"/>
      <c r="X17" s="415"/>
      <c r="Y17" s="415"/>
      <c r="Z17" s="416"/>
      <c r="AA17" s="417"/>
      <c r="AB17" s="417"/>
      <c r="AC17" s="418"/>
      <c r="AD17" s="419"/>
      <c r="AE17" s="420"/>
      <c r="AF17" s="421"/>
      <c r="AG17" s="421"/>
      <c r="AH17" s="422"/>
      <c r="AI17" s="423"/>
      <c r="AJ17" s="138"/>
      <c r="AK17" s="170"/>
      <c r="AL17" s="170"/>
      <c r="AM17" s="170"/>
      <c r="AN17" s="170"/>
      <c r="AO17" s="170"/>
      <c r="AP17" s="170"/>
      <c r="AQ17" s="138"/>
      <c r="AR17" s="133"/>
      <c r="AT17" s="165"/>
      <c r="AU17" s="166"/>
      <c r="AV17" s="166"/>
      <c r="AW17" s="166"/>
      <c r="AX17" s="166"/>
      <c r="AY17" s="166"/>
    </row>
    <row r="18" spans="1:51" ht="21" customHeight="1" thickTop="1" thickBot="1" x14ac:dyDescent="0.25">
      <c r="A18" s="172"/>
      <c r="B18" s="428" t="s">
        <v>63</v>
      </c>
      <c r="C18" s="429"/>
      <c r="D18" s="429"/>
      <c r="E18" s="429"/>
      <c r="F18" s="429"/>
      <c r="G18" s="429"/>
      <c r="H18" s="429"/>
      <c r="I18" s="429"/>
      <c r="J18" s="429"/>
      <c r="K18" s="429"/>
      <c r="L18" s="429"/>
      <c r="M18" s="429"/>
      <c r="N18" s="429"/>
      <c r="O18" s="429"/>
      <c r="P18" s="429"/>
      <c r="Q18" s="429"/>
      <c r="R18" s="429"/>
      <c r="S18" s="429"/>
      <c r="T18" s="429"/>
      <c r="U18" s="429"/>
      <c r="V18" s="429"/>
      <c r="W18" s="429"/>
      <c r="X18" s="429"/>
      <c r="Y18" s="429"/>
      <c r="Z18" s="429"/>
      <c r="AA18" s="429"/>
      <c r="AB18" s="429"/>
      <c r="AC18" s="429"/>
      <c r="AD18" s="429"/>
      <c r="AE18" s="429"/>
      <c r="AF18" s="429"/>
      <c r="AG18" s="429"/>
      <c r="AH18" s="429"/>
      <c r="AI18" s="430"/>
      <c r="AJ18" s="138"/>
      <c r="AK18" s="170"/>
      <c r="AL18" s="170"/>
      <c r="AM18" s="170"/>
      <c r="AN18" s="170"/>
      <c r="AO18" s="170"/>
      <c r="AP18" s="170"/>
      <c r="AQ18" s="138"/>
      <c r="AR18" s="133"/>
      <c r="AT18" s="165"/>
      <c r="AU18" s="166"/>
      <c r="AV18" s="166"/>
      <c r="AW18" s="134"/>
    </row>
    <row r="19" spans="1:51" ht="13.5" thickTop="1" x14ac:dyDescent="0.2">
      <c r="A19" s="134" t="s">
        <v>64</v>
      </c>
      <c r="B19" s="431">
        <v>0.35416666666666669</v>
      </c>
      <c r="C19" s="432"/>
      <c r="D19" s="433"/>
      <c r="E19" s="431">
        <v>0.38541666666666669</v>
      </c>
      <c r="F19" s="432"/>
      <c r="G19" s="433"/>
      <c r="H19" s="431">
        <v>0.41666666666666669</v>
      </c>
      <c r="I19" s="432"/>
      <c r="J19" s="433"/>
      <c r="K19" s="431">
        <v>0.44791666666666669</v>
      </c>
      <c r="L19" s="432"/>
      <c r="M19" s="433"/>
      <c r="N19" s="431">
        <v>0.47916666666666669</v>
      </c>
      <c r="O19" s="432"/>
      <c r="P19" s="433"/>
      <c r="Q19" s="431">
        <v>0.51041666666666663</v>
      </c>
      <c r="R19" s="432"/>
      <c r="S19" s="433"/>
      <c r="T19" s="431">
        <v>4.1666666666666664E-2</v>
      </c>
      <c r="U19" s="432"/>
      <c r="V19" s="433"/>
      <c r="W19" s="431">
        <v>7.2916666666666671E-2</v>
      </c>
      <c r="X19" s="432"/>
      <c r="Y19" s="433"/>
      <c r="Z19" s="431">
        <v>0.10416666666666667</v>
      </c>
      <c r="AA19" s="432"/>
      <c r="AB19" s="433"/>
      <c r="AC19" s="431">
        <v>0.13541666666666666</v>
      </c>
      <c r="AD19" s="432"/>
      <c r="AE19" s="433"/>
      <c r="AF19" s="434" t="s">
        <v>65</v>
      </c>
      <c r="AG19" s="435"/>
      <c r="AH19" s="435"/>
      <c r="AI19" s="435"/>
      <c r="AJ19" s="436"/>
      <c r="AK19" s="436"/>
      <c r="AL19" s="436"/>
      <c r="AM19" s="436"/>
      <c r="AN19" s="436"/>
      <c r="AO19" s="436"/>
      <c r="AP19" s="436"/>
      <c r="AQ19" s="437"/>
      <c r="AT19" s="165"/>
      <c r="AU19" s="166"/>
      <c r="AV19" s="166"/>
      <c r="AW19" s="134"/>
    </row>
    <row r="20" spans="1:51" x14ac:dyDescent="0.2">
      <c r="A20" s="173" t="s">
        <v>66</v>
      </c>
      <c r="B20" s="442">
        <v>0.35416666666666669</v>
      </c>
      <c r="C20" s="443"/>
      <c r="D20" s="444"/>
      <c r="E20" s="442"/>
      <c r="F20" s="443"/>
      <c r="G20" s="444"/>
      <c r="H20" s="442">
        <v>0.41666666666666669</v>
      </c>
      <c r="I20" s="443"/>
      <c r="J20" s="444"/>
      <c r="K20" s="442"/>
      <c r="L20" s="443"/>
      <c r="M20" s="444"/>
      <c r="N20" s="442">
        <v>0.47916666666666669</v>
      </c>
      <c r="O20" s="443"/>
      <c r="P20" s="444"/>
      <c r="Q20" s="442"/>
      <c r="R20" s="443"/>
      <c r="S20" s="444"/>
      <c r="T20" s="442"/>
      <c r="U20" s="443"/>
      <c r="V20" s="444"/>
      <c r="W20" s="442"/>
      <c r="X20" s="443"/>
      <c r="Y20" s="444"/>
      <c r="Z20" s="442"/>
      <c r="AA20" s="443"/>
      <c r="AB20" s="444"/>
      <c r="AC20" s="442"/>
      <c r="AD20" s="443"/>
      <c r="AE20" s="444"/>
      <c r="AF20" s="434"/>
      <c r="AG20" s="435"/>
      <c r="AH20" s="435"/>
      <c r="AI20" s="435"/>
      <c r="AJ20" s="435"/>
      <c r="AK20" s="435"/>
      <c r="AL20" s="435"/>
      <c r="AM20" s="435"/>
      <c r="AN20" s="435"/>
      <c r="AO20" s="435"/>
      <c r="AP20" s="435"/>
      <c r="AQ20" s="438"/>
      <c r="AT20" s="165"/>
      <c r="AU20" s="166"/>
      <c r="AV20" s="166"/>
      <c r="AW20" s="134"/>
    </row>
    <row r="21" spans="1:51" x14ac:dyDescent="0.2">
      <c r="A21" s="173" t="s">
        <v>67</v>
      </c>
      <c r="B21" s="442"/>
      <c r="C21" s="443"/>
      <c r="D21" s="444"/>
      <c r="E21" s="442"/>
      <c r="F21" s="443"/>
      <c r="G21" s="444"/>
      <c r="H21" s="442">
        <v>0.44097222222222227</v>
      </c>
      <c r="I21" s="443"/>
      <c r="J21" s="444"/>
      <c r="K21" s="442"/>
      <c r="L21" s="443"/>
      <c r="M21" s="444"/>
      <c r="N21" s="442"/>
      <c r="O21" s="443"/>
      <c r="P21" s="444"/>
      <c r="Q21" s="442"/>
      <c r="R21" s="443"/>
      <c r="S21" s="444"/>
      <c r="T21" s="442"/>
      <c r="U21" s="443"/>
      <c r="V21" s="444"/>
      <c r="W21" s="442"/>
      <c r="X21" s="443"/>
      <c r="Y21" s="444"/>
      <c r="Z21" s="442"/>
      <c r="AA21" s="443"/>
      <c r="AB21" s="444"/>
      <c r="AC21" s="442"/>
      <c r="AD21" s="443"/>
      <c r="AE21" s="444"/>
      <c r="AF21" s="434"/>
      <c r="AG21" s="435"/>
      <c r="AH21" s="435"/>
      <c r="AI21" s="435"/>
      <c r="AJ21" s="435"/>
      <c r="AK21" s="435"/>
      <c r="AL21" s="435"/>
      <c r="AM21" s="435"/>
      <c r="AN21" s="435"/>
      <c r="AO21" s="435"/>
      <c r="AP21" s="435"/>
      <c r="AQ21" s="438"/>
      <c r="AT21" s="137"/>
      <c r="AU21" s="137"/>
      <c r="AV21" s="137"/>
      <c r="AW21" s="134"/>
    </row>
    <row r="22" spans="1:51" ht="13.5" thickBot="1" x14ac:dyDescent="0.25">
      <c r="A22" s="138"/>
      <c r="B22" s="445" t="s">
        <v>68</v>
      </c>
      <c r="C22" s="446"/>
      <c r="D22" s="447"/>
      <c r="E22" s="445" t="str">
        <f>IF($AK8&gt;1,"Match 2","")</f>
        <v>Match 2</v>
      </c>
      <c r="F22" s="446"/>
      <c r="G22" s="447"/>
      <c r="H22" s="445" t="str">
        <f>IF($AK8&gt;2,"Match 3","")</f>
        <v>Match 3</v>
      </c>
      <c r="I22" s="446"/>
      <c r="J22" s="447"/>
      <c r="K22" s="445" t="str">
        <f>IF($AK8&gt;3,"Match 4","")</f>
        <v>Match 4</v>
      </c>
      <c r="L22" s="446"/>
      <c r="M22" s="447"/>
      <c r="N22" s="445" t="str">
        <f>IF($AK8&gt;4,"Match 5","")</f>
        <v>Match 5</v>
      </c>
      <c r="O22" s="446"/>
      <c r="P22" s="447"/>
      <c r="Q22" s="445" t="str">
        <f>IF($AK8&gt;5,"Match 6","")</f>
        <v>Match 6</v>
      </c>
      <c r="R22" s="446"/>
      <c r="S22" s="447"/>
      <c r="T22" s="445" t="str">
        <f>IF($AK8&gt;6,"Match 7","")</f>
        <v>Match 7</v>
      </c>
      <c r="U22" s="446"/>
      <c r="V22" s="447"/>
      <c r="W22" s="445" t="str">
        <f>IF($AK8&gt;7,"Match 8","")</f>
        <v>Match 8</v>
      </c>
      <c r="X22" s="446"/>
      <c r="Y22" s="447"/>
      <c r="Z22" s="445" t="str">
        <f>IF($AK8&gt;8,"Match 9","")</f>
        <v>Match 9</v>
      </c>
      <c r="AA22" s="446"/>
      <c r="AB22" s="447"/>
      <c r="AC22" s="445" t="str">
        <f>IF($AK8&gt;9,"Match 10","")</f>
        <v>Match 10</v>
      </c>
      <c r="AD22" s="446"/>
      <c r="AE22" s="447"/>
      <c r="AF22" s="439"/>
      <c r="AG22" s="440"/>
      <c r="AH22" s="440"/>
      <c r="AI22" s="440"/>
      <c r="AJ22" s="440"/>
      <c r="AK22" s="440"/>
      <c r="AL22" s="440"/>
      <c r="AM22" s="440"/>
      <c r="AN22" s="440"/>
      <c r="AO22" s="440"/>
      <c r="AP22" s="440"/>
      <c r="AQ22" s="441"/>
      <c r="AT22" s="165"/>
      <c r="AU22" s="166"/>
      <c r="AV22" s="166"/>
      <c r="AW22" s="134"/>
    </row>
    <row r="23" spans="1:51" ht="15.75" x14ac:dyDescent="0.25">
      <c r="A23" s="138"/>
      <c r="B23" s="448" t="s">
        <v>69</v>
      </c>
      <c r="C23" s="449"/>
      <c r="D23" s="450"/>
      <c r="E23" s="448" t="s">
        <v>70</v>
      </c>
      <c r="F23" s="449"/>
      <c r="G23" s="450"/>
      <c r="H23" s="448" t="s">
        <v>71</v>
      </c>
      <c r="I23" s="449"/>
      <c r="J23" s="450"/>
      <c r="K23" s="448" t="s">
        <v>72</v>
      </c>
      <c r="L23" s="449"/>
      <c r="M23" s="450"/>
      <c r="N23" s="448" t="s">
        <v>73</v>
      </c>
      <c r="O23" s="449"/>
      <c r="P23" s="450"/>
      <c r="Q23" s="448" t="s">
        <v>71</v>
      </c>
      <c r="R23" s="449"/>
      <c r="S23" s="450"/>
      <c r="T23" s="448" t="s">
        <v>69</v>
      </c>
      <c r="U23" s="449"/>
      <c r="V23" s="450"/>
      <c r="W23" s="448" t="s">
        <v>73</v>
      </c>
      <c r="X23" s="449"/>
      <c r="Y23" s="450"/>
      <c r="Z23" s="448" t="s">
        <v>72</v>
      </c>
      <c r="AA23" s="449"/>
      <c r="AB23" s="450"/>
      <c r="AC23" s="448" t="s">
        <v>70</v>
      </c>
      <c r="AD23" s="449"/>
      <c r="AE23" s="450"/>
      <c r="AF23" s="174" t="s">
        <v>74</v>
      </c>
      <c r="AG23" s="175">
        <v>1</v>
      </c>
      <c r="AH23" s="175">
        <v>2</v>
      </c>
      <c r="AI23" s="175">
        <v>3</v>
      </c>
      <c r="AJ23" s="175">
        <v>4</v>
      </c>
      <c r="AK23" s="175">
        <v>5</v>
      </c>
      <c r="AL23" s="175">
        <v>6</v>
      </c>
      <c r="AM23" s="175">
        <v>7</v>
      </c>
      <c r="AN23" s="175">
        <v>8</v>
      </c>
      <c r="AO23" s="175">
        <v>9</v>
      </c>
      <c r="AP23" s="175">
        <v>10</v>
      </c>
      <c r="AQ23" s="176" t="s">
        <v>75</v>
      </c>
      <c r="AT23" s="165"/>
      <c r="AU23" s="166"/>
      <c r="AV23" s="166"/>
      <c r="AW23" s="166"/>
      <c r="AX23" s="166"/>
      <c r="AY23" s="166"/>
    </row>
    <row r="24" spans="1:51" ht="15.75" x14ac:dyDescent="0.25">
      <c r="A24" s="138"/>
      <c r="B24" s="177">
        <v>2</v>
      </c>
      <c r="C24" s="178" t="s">
        <v>76</v>
      </c>
      <c r="D24" s="179">
        <v>5</v>
      </c>
      <c r="E24" s="177">
        <v>1</v>
      </c>
      <c r="F24" s="178" t="str">
        <f>IF($AK8&gt;1,"v","")</f>
        <v>v</v>
      </c>
      <c r="G24" s="179">
        <v>4</v>
      </c>
      <c r="H24" s="177">
        <v>3</v>
      </c>
      <c r="I24" s="178" t="str">
        <f>IF($AK8&gt;2,"v","")</f>
        <v>v</v>
      </c>
      <c r="J24" s="179">
        <v>5</v>
      </c>
      <c r="K24" s="177">
        <v>2</v>
      </c>
      <c r="L24" s="178" t="str">
        <f>IF($AK8&gt;3,"v","")</f>
        <v>v</v>
      </c>
      <c r="M24" s="179">
        <v>4</v>
      </c>
      <c r="N24" s="177">
        <v>1</v>
      </c>
      <c r="O24" s="178" t="str">
        <f>IF($AK8&gt;4,"v","")</f>
        <v>v</v>
      </c>
      <c r="P24" s="179">
        <v>3</v>
      </c>
      <c r="Q24" s="177">
        <v>4</v>
      </c>
      <c r="R24" s="178" t="str">
        <f>IF($AK8&gt;5,"v","")</f>
        <v>v</v>
      </c>
      <c r="S24" s="179">
        <v>5</v>
      </c>
      <c r="T24" s="177">
        <v>2</v>
      </c>
      <c r="U24" s="178" t="str">
        <f>IF($AK8&gt;6,"v","")</f>
        <v>v</v>
      </c>
      <c r="V24" s="179">
        <v>3</v>
      </c>
      <c r="W24" s="177">
        <v>1</v>
      </c>
      <c r="X24" s="178" t="str">
        <f>IF($AK8&gt;7,"v","")</f>
        <v>v</v>
      </c>
      <c r="Y24" s="179">
        <v>5</v>
      </c>
      <c r="Z24" s="177">
        <v>3</v>
      </c>
      <c r="AA24" s="178" t="str">
        <f>IF($AK8&gt;8,"v","")</f>
        <v>v</v>
      </c>
      <c r="AB24" s="179">
        <v>4</v>
      </c>
      <c r="AC24" s="177">
        <v>1</v>
      </c>
      <c r="AD24" s="178" t="str">
        <f>IF($AK8&gt;9,"v","")</f>
        <v>v</v>
      </c>
      <c r="AE24" s="179">
        <v>2</v>
      </c>
      <c r="AF24" s="174" t="str">
        <f>IF($AK9&gt;0,"Team 1","")</f>
        <v>Team 1</v>
      </c>
      <c r="AG24" s="180" t="str">
        <f>IF($AK9&lt;1,"",IF($AK8&lt;1,"",IF(B24=1,B30-D30,IF(D24=1,D30-B30,""))))</f>
        <v/>
      </c>
      <c r="AH24" s="180">
        <f>IF($AK9&lt;1,"",IF($AK8&lt;2,"",IF(E24=1,E30-G30,IF(G24=1,G30-E30,""))))</f>
        <v>26</v>
      </c>
      <c r="AI24" s="180" t="str">
        <f>IF($AK9&lt;1,"",IF($AK8&lt;3,"",IF(H24=1,H30-J30,IF(J24=1,J30-H30,""))))</f>
        <v/>
      </c>
      <c r="AJ24" s="180" t="str">
        <f>IF($AK9&lt;1,"",IF($AK8&lt;4,"",IF(K24=1,K30-M30,IF(M24=1,M30-K30,""))))</f>
        <v/>
      </c>
      <c r="AK24" s="180">
        <f>IF($AK9&lt;1,"",IF($AK8&lt;5,"",IF(N24=1,N30-P30,IF(P24=1,P30-N30,""))))</f>
        <v>6</v>
      </c>
      <c r="AL24" s="180" t="str">
        <f>IF($AK9&lt;1,"",IF($AK8&lt;6,"",IF(Q24=1,Q30-S30,IF(S24=1,S30-Q30,""))))</f>
        <v/>
      </c>
      <c r="AM24" s="180" t="str">
        <f>IF($AK9&lt;1,"",IF($AK8&lt;7,"",IF(T24=1,T30-V30,IF(V24=1,V30-T30,""))))</f>
        <v/>
      </c>
      <c r="AN24" s="180">
        <f>IF($AK9&lt;1,"",IF($AK8&lt;8,"",IF(W24=1,W30-Y30,IF(Y24=1,Y30-W30,""))))</f>
        <v>28</v>
      </c>
      <c r="AO24" s="180" t="str">
        <f>IF($AK9&lt;1,"",IF($AK8&lt;9,"",IF(Z24=1,Z30-AB30,IF(AB24=1,AB30-Z30,""))))</f>
        <v/>
      </c>
      <c r="AP24" s="180">
        <f>IF($AK9&lt;1,"",IF($AK8&lt;10,"",IF(AC24=1,AC30-AE30,IF(AE24=1,AE30-AC30,""))))</f>
        <v>13</v>
      </c>
      <c r="AQ24" s="176">
        <f>SUM(AG24:AP24)</f>
        <v>73</v>
      </c>
      <c r="AT24" s="165"/>
      <c r="AU24" s="166"/>
      <c r="AV24" s="166"/>
      <c r="AW24" s="166"/>
      <c r="AX24" s="166"/>
      <c r="AY24" s="166"/>
    </row>
    <row r="25" spans="1:51" ht="15" x14ac:dyDescent="0.2">
      <c r="A25" s="134" t="s">
        <v>77</v>
      </c>
      <c r="B25" s="181">
        <v>25</v>
      </c>
      <c r="C25" s="182" t="s">
        <v>78</v>
      </c>
      <c r="D25" s="183">
        <v>15</v>
      </c>
      <c r="E25" s="181">
        <v>25</v>
      </c>
      <c r="F25" s="182" t="str">
        <f>IF($AK8&gt;1,"/","")</f>
        <v>/</v>
      </c>
      <c r="G25" s="183">
        <v>9</v>
      </c>
      <c r="H25" s="181">
        <v>25</v>
      </c>
      <c r="I25" s="182" t="str">
        <f>IF($AK8&gt;2,"/","")</f>
        <v>/</v>
      </c>
      <c r="J25" s="183">
        <v>10</v>
      </c>
      <c r="K25" s="181">
        <v>22</v>
      </c>
      <c r="L25" s="182" t="str">
        <f>IF($AK8&gt;3,"/","")</f>
        <v>/</v>
      </c>
      <c r="M25" s="183">
        <v>25</v>
      </c>
      <c r="N25" s="181">
        <v>25</v>
      </c>
      <c r="O25" s="182" t="str">
        <f>IF($AK8&gt;4,"/","")</f>
        <v>/</v>
      </c>
      <c r="P25" s="183">
        <v>22</v>
      </c>
      <c r="Q25" s="181">
        <v>25</v>
      </c>
      <c r="R25" s="182" t="str">
        <f>IF($AK8&gt;5,"/","")</f>
        <v>/</v>
      </c>
      <c r="S25" s="183">
        <v>11</v>
      </c>
      <c r="T25" s="181">
        <v>23</v>
      </c>
      <c r="U25" s="182" t="str">
        <f>IF($AK8&gt;6,"/","")</f>
        <v>/</v>
      </c>
      <c r="V25" s="183">
        <v>25</v>
      </c>
      <c r="W25" s="181">
        <v>25</v>
      </c>
      <c r="X25" s="182" t="str">
        <f>IF($AK8&gt;7,"/","")</f>
        <v>/</v>
      </c>
      <c r="Y25" s="183">
        <v>9</v>
      </c>
      <c r="Z25" s="181">
        <v>25</v>
      </c>
      <c r="AA25" s="182" t="str">
        <f>IF($AK8&gt;8,"/","")</f>
        <v>/</v>
      </c>
      <c r="AB25" s="183">
        <v>21</v>
      </c>
      <c r="AC25" s="181">
        <v>26</v>
      </c>
      <c r="AD25" s="182" t="str">
        <f>IF($AK8&gt;9,"/","")</f>
        <v>/</v>
      </c>
      <c r="AE25" s="183">
        <v>24</v>
      </c>
      <c r="AF25" s="174" t="str">
        <f>IF($AK9&gt;1,"Team 2","")</f>
        <v>Team 2</v>
      </c>
      <c r="AG25" s="180">
        <f>IF($AK9&lt;2,"",IF($AK8&lt;1,"",IF(B24=2,B30-D30,IF(D24=2,D30-B30,""))))</f>
        <v>17</v>
      </c>
      <c r="AH25" s="180" t="str">
        <f>IF($AK9&lt;2,"",IF($AK8&lt;2,"",IF(E24=2,E30-G30,IF(G24=2,G30-E30,""))))</f>
        <v/>
      </c>
      <c r="AI25" s="180" t="str">
        <f>IF($AK9&lt;2,"",IF($AK8&lt;3,"",IF(H24=2,H30-J30,IF(J24=2,J30-H30,""))))</f>
        <v/>
      </c>
      <c r="AJ25" s="180">
        <f>IF($AK9&lt;2,"",IF($AK8&lt;4,"",IF(K24=2,K30-M30,IF(M24=2,M30-K30,""))))</f>
        <v>-1</v>
      </c>
      <c r="AK25" s="180" t="str">
        <f>IF($AK9&lt;2,"",IF($AK8&lt;5,"",IF(N24=2,N30-P30,IF(P24=2,P30-N30,""))))</f>
        <v/>
      </c>
      <c r="AL25" s="180" t="str">
        <f>IF($AK9&lt;2,"",IF($AK8&lt;6,"",IF(Q24=2,Q30-S30,IF(S24=2,S30-Q30,""))))</f>
        <v/>
      </c>
      <c r="AM25" s="180">
        <f>IF($AK9&lt;2,"",IF($AK8&lt;7,"",IF(T24=2,T30-V30,IF(V24=2,V30-T30,""))))</f>
        <v>-4</v>
      </c>
      <c r="AN25" s="180" t="str">
        <f>IF($AK9&lt;2,"",IF($AK8&lt;8,"",IF(W24=2,W30-Y30,IF(Y24=2,Y30-W30,""))))</f>
        <v/>
      </c>
      <c r="AO25" s="180" t="str">
        <f>IF($AK9&lt;2,"",IF($AK8&lt;9,"",IF(Z24=2,Z30-AB30,IF(AB24=2,AB30-Z30,""))))</f>
        <v/>
      </c>
      <c r="AP25" s="180">
        <f>IF($AK9&lt;2,"",IF($AK8&lt;10,"",IF(AC24=2,AC30-AE30,IF(AE24=2,AE30-AC30,""))))</f>
        <v>-13</v>
      </c>
      <c r="AQ25" s="176">
        <f>SUM(AG25:AP25)</f>
        <v>-1</v>
      </c>
      <c r="AW25" s="134"/>
    </row>
    <row r="26" spans="1:51" ht="15" x14ac:dyDescent="0.2">
      <c r="A26" s="133" t="str">
        <f>IF($AK7&gt;1,"Game 2","")</f>
        <v>Game 2</v>
      </c>
      <c r="B26" s="181">
        <v>25</v>
      </c>
      <c r="C26" s="182" t="s">
        <v>78</v>
      </c>
      <c r="D26" s="183">
        <v>18</v>
      </c>
      <c r="E26" s="181">
        <v>25</v>
      </c>
      <c r="F26" s="182" t="str">
        <f>IF($AK8&gt;1,IF($AK7&gt;1,"/",""),"")</f>
        <v>/</v>
      </c>
      <c r="G26" s="183">
        <v>15</v>
      </c>
      <c r="H26" s="181">
        <v>25</v>
      </c>
      <c r="I26" s="182" t="str">
        <f>IF($AK8&gt;2,IF($AK7&gt;1,"/",""),"")</f>
        <v>/</v>
      </c>
      <c r="J26" s="183">
        <v>17</v>
      </c>
      <c r="K26" s="181">
        <v>25</v>
      </c>
      <c r="L26" s="182" t="str">
        <f>IF($AK8&gt;3,IF($AK7&gt;1,"/",""),"")</f>
        <v>/</v>
      </c>
      <c r="M26" s="183">
        <v>23</v>
      </c>
      <c r="N26" s="181">
        <v>25</v>
      </c>
      <c r="O26" s="182" t="str">
        <f>IF($AK8&gt;4,IF($AK7&gt;1,"/",""),"")</f>
        <v>/</v>
      </c>
      <c r="P26" s="183">
        <v>22</v>
      </c>
      <c r="Q26" s="181">
        <v>25</v>
      </c>
      <c r="R26" s="182" t="str">
        <f>IF($AK8&gt;5,IF($AK7&gt;1,"/",""),"")</f>
        <v>/</v>
      </c>
      <c r="S26" s="183">
        <v>20</v>
      </c>
      <c r="T26" s="181">
        <v>24</v>
      </c>
      <c r="U26" s="182" t="str">
        <f>IF($AK8&gt;6,IF($AK7&gt;1,"/",""),"")</f>
        <v>/</v>
      </c>
      <c r="V26" s="183">
        <v>26</v>
      </c>
      <c r="W26" s="181">
        <v>25</v>
      </c>
      <c r="X26" s="182" t="str">
        <f>IF($AK8&gt;7,IF($AK7&gt;1,"/",""),"")</f>
        <v>/</v>
      </c>
      <c r="Y26" s="183">
        <v>13</v>
      </c>
      <c r="Z26" s="181">
        <v>16</v>
      </c>
      <c r="AA26" s="182" t="str">
        <f>IF($AK8&gt;8,IF($AK7&gt;1,"/",""),"")</f>
        <v>/</v>
      </c>
      <c r="AB26" s="183">
        <v>25</v>
      </c>
      <c r="AC26" s="181">
        <v>25</v>
      </c>
      <c r="AD26" s="182" t="str">
        <f>IF($AK8&gt;9,IF($AK7&gt;1,"/",""),"")</f>
        <v>/</v>
      </c>
      <c r="AE26" s="183">
        <v>14</v>
      </c>
      <c r="AF26" s="174" t="str">
        <f>IF($AK9&gt;2,"Team 3","")</f>
        <v>Team 3</v>
      </c>
      <c r="AG26" s="180" t="str">
        <f>IF($AK9&lt;3,"",IF($AK8&lt;1,"",IF(B24=3,B30-D30,IF(D24=3,D30-B30,""))))</f>
        <v/>
      </c>
      <c r="AH26" s="180" t="str">
        <f>IF($AK9&lt;3,"",IF($AK8&lt;2,"",IF(E24=3,E30-G30,IF(G24=3,G30-E30,""))))</f>
        <v/>
      </c>
      <c r="AI26" s="180">
        <f>IF($AK9&lt;3,"",IF($AK8&lt;3,"",IF(H24=3,H30-J30,IF(J24=3,J30-H30,""))))</f>
        <v>23</v>
      </c>
      <c r="AJ26" s="180" t="str">
        <f>IF($AK9&lt;3,"",IF($AK8&lt;4,"",IF(K24=3,K30-M30,IF(M24=3,M30-K30,""))))</f>
        <v/>
      </c>
      <c r="AK26" s="180">
        <f>IF($AK9&lt;3,"",IF($AK8&lt;5,"",IF(N24=3,N30-P30,IF(P24=3,P30-N30,""))))</f>
        <v>-6</v>
      </c>
      <c r="AL26" s="180" t="str">
        <f>IF($AK9&lt;3,"",IF($AK8&lt;6,"",IF(Q24=3,Q30-S30,IF(S24=3,S30-Q30,""))))</f>
        <v/>
      </c>
      <c r="AM26" s="180">
        <f>IF($AK9&lt;3,"",IF($AK8&lt;7,"",IF(T24=3,T30-V30,IF(V24=3,V30-T30,""))))</f>
        <v>4</v>
      </c>
      <c r="AN26" s="180" t="str">
        <f>IF($AK9&lt;3,"",IF($AK8&lt;8,"",IF(W24=3,W30-Y30,IF(Y24=3,Y30-W30,""))))</f>
        <v/>
      </c>
      <c r="AO26" s="180">
        <f>IF($AK9&lt;3,"",IF($AK8&lt;9,"",IF(Z24=3,Z30-AB30,IF(AB24=3,AB30-Z30,""))))</f>
        <v>-5</v>
      </c>
      <c r="AP26" s="180" t="str">
        <f>IF($AK9&lt;3,"",IF($AK8&lt;9,"",IF(AC24=3,AC30-AE30,IF(AE24=3,AE30-AC30,""))))</f>
        <v/>
      </c>
      <c r="AQ26" s="176">
        <f>SUM(AG26:AP26)</f>
        <v>16</v>
      </c>
      <c r="AW26" s="134"/>
    </row>
    <row r="27" spans="1:51" ht="15" x14ac:dyDescent="0.2">
      <c r="A27" s="133" t="str">
        <f>IF($AK7&gt;2,"Game 3","")</f>
        <v/>
      </c>
      <c r="B27" s="181"/>
      <c r="C27" s="182" t="s">
        <v>78</v>
      </c>
      <c r="D27" s="183"/>
      <c r="E27" s="181"/>
      <c r="F27" s="182" t="str">
        <f>IF($AK8&gt;1,IF($AK7&gt;2,"/",""),"")</f>
        <v/>
      </c>
      <c r="G27" s="183"/>
      <c r="H27" s="181"/>
      <c r="I27" s="182" t="str">
        <f>IF($AK8&gt;2,IF($AK7&gt;2,"/",""),"")</f>
        <v/>
      </c>
      <c r="J27" s="183"/>
      <c r="K27" s="181"/>
      <c r="L27" s="182" t="str">
        <f>IF($AK8&gt;3,IF($AK7&gt;2,"/",""),"")</f>
        <v/>
      </c>
      <c r="M27" s="183"/>
      <c r="N27" s="181"/>
      <c r="O27" s="182" t="str">
        <f>IF($AK8&gt;4,IF($AK7&gt;2,"/",""),"")</f>
        <v/>
      </c>
      <c r="P27" s="183"/>
      <c r="Q27" s="181"/>
      <c r="R27" s="182" t="str">
        <f>IF($AK8&gt;5,IF($AK7&gt;2,"/",""),"")</f>
        <v/>
      </c>
      <c r="S27" s="183"/>
      <c r="T27" s="181"/>
      <c r="U27" s="182" t="str">
        <f>IF($AK8&gt;6,IF($AK7&gt;2,"/",""),"")</f>
        <v/>
      </c>
      <c r="V27" s="183"/>
      <c r="W27" s="181"/>
      <c r="X27" s="182" t="str">
        <f>IF($AK8&gt;7,IF($AK7&gt;2,"/",""),"")</f>
        <v/>
      </c>
      <c r="Y27" s="183"/>
      <c r="Z27" s="181"/>
      <c r="AA27" s="182" t="str">
        <f>IF($AK8&gt;8,IF($AK7&gt;2,"/",""),"")</f>
        <v/>
      </c>
      <c r="AB27" s="183"/>
      <c r="AC27" s="181"/>
      <c r="AD27" s="182" t="str">
        <f>IF($AK8&gt;9,IF($AK7&gt;2,"/",""),"")</f>
        <v/>
      </c>
      <c r="AE27" s="183"/>
      <c r="AF27" s="174" t="str">
        <f>IF($AK9&gt;3,"Team 4","")</f>
        <v>Team 4</v>
      </c>
      <c r="AG27" s="180" t="str">
        <f>IF($AK9&lt;4,"",IF($AK8&lt;1,"",IF(B24=4,B30-D30,IF(D24=4,D30-B30,""))))</f>
        <v/>
      </c>
      <c r="AH27" s="180">
        <f>IF($AK9&lt;4,"",IF($AK8&lt;2,"",IF(E24=4,E30-G30,IF(G24=4,G30-E30,""))))</f>
        <v>-26</v>
      </c>
      <c r="AI27" s="180" t="str">
        <f>IF($AK9&lt;4,"",IF($AK8&lt;3,"",IF(H24=4,H30-J30,IF(J24=4,J30-H30,""))))</f>
        <v/>
      </c>
      <c r="AJ27" s="180">
        <f>IF($AK9&lt;4,"",IF($AK8&lt;4,"",IF(K24=4,K30-M30,IF(M24=4,M30-K30,""))))</f>
        <v>1</v>
      </c>
      <c r="AK27" s="180" t="str">
        <f>IF($AK9&lt;4,"",IF($AK8&lt;5,"",IF(N24=4,N30-P30,IF(P24=4,P30-N30,""))))</f>
        <v/>
      </c>
      <c r="AL27" s="180">
        <f>IF($AK9&lt;4,"",IF($AK8&lt;6,"",IF(Q24=4,Q30-S30,IF(S24=4,S30-Q30,""))))</f>
        <v>19</v>
      </c>
      <c r="AM27" s="180" t="str">
        <f>IF($AK9&lt;4,"",IF($AK8&lt;7,"",IF(T24=4,T30-V30,IF(V24=4,V30-T30,""))))</f>
        <v/>
      </c>
      <c r="AN27" s="180" t="str">
        <f>IF($AK9&lt;4,"",IF($AK8&lt;8,"",IF(W24=4,W30-Y30,IF(Y24=4,Y30-W30,""))))</f>
        <v/>
      </c>
      <c r="AO27" s="180">
        <f>IF($AK9&lt;4,"",IF($AK8&lt;9,"",IF(Z24=4,Z30-AB30,IF(AB24=4,AB30-Z30,""))))</f>
        <v>5</v>
      </c>
      <c r="AP27" s="180" t="str">
        <f>IF($AK9&lt;4,"",IF($AK8&lt;10,"",IF(AC24=4,AC30-AE30,IF(AE24=4,AE30-AC30,""))))</f>
        <v/>
      </c>
      <c r="AQ27" s="176">
        <f>SUM(AG27:AP27)</f>
        <v>-1</v>
      </c>
      <c r="AW27" s="134"/>
    </row>
    <row r="28" spans="1:51" ht="15" x14ac:dyDescent="0.2">
      <c r="A28" s="133" t="str">
        <f>IF($AK7&gt;3,"Game 4","")</f>
        <v/>
      </c>
      <c r="B28" s="181"/>
      <c r="C28" s="182" t="s">
        <v>78</v>
      </c>
      <c r="D28" s="183"/>
      <c r="E28" s="181"/>
      <c r="F28" s="182" t="str">
        <f>IF($AK8&gt;1,IF($AK7&gt;3,"/",""),"")</f>
        <v/>
      </c>
      <c r="G28" s="183"/>
      <c r="H28" s="181"/>
      <c r="I28" s="182" t="str">
        <f>IF($AK8&gt;2,IF($AK7&gt;3,"/",""),"")</f>
        <v/>
      </c>
      <c r="J28" s="183"/>
      <c r="K28" s="181"/>
      <c r="L28" s="182" t="str">
        <f>IF($AK8&gt;3,IF($AK7&gt;3,"/",""),"")</f>
        <v/>
      </c>
      <c r="M28" s="183"/>
      <c r="N28" s="181"/>
      <c r="O28" s="182" t="str">
        <f>IF($AK8&gt;4,IF($AK7&gt;3,"/",""),"")</f>
        <v/>
      </c>
      <c r="P28" s="183"/>
      <c r="Q28" s="181"/>
      <c r="R28" s="182" t="str">
        <f>IF($AK8&gt;5,IF($AK7&gt;3,"/",""),"")</f>
        <v/>
      </c>
      <c r="S28" s="183"/>
      <c r="T28" s="181"/>
      <c r="U28" s="182" t="str">
        <f>IF($AK8&gt;6,IF($AK7&gt;3,"/",""),"")</f>
        <v/>
      </c>
      <c r="V28" s="183"/>
      <c r="W28" s="181"/>
      <c r="X28" s="182" t="str">
        <f>IF($AK8&gt;7,IF($AK7&gt;3,"/",""),"")</f>
        <v/>
      </c>
      <c r="Y28" s="183"/>
      <c r="Z28" s="181"/>
      <c r="AA28" s="182" t="str">
        <f>IF($AK8&gt;8,IF($AK7&gt;3,"/",""),"")</f>
        <v/>
      </c>
      <c r="AB28" s="183"/>
      <c r="AC28" s="181"/>
      <c r="AD28" s="182" t="str">
        <f>IF($AK8&gt;9,IF($AK7&gt;3,"/",""),"")</f>
        <v/>
      </c>
      <c r="AE28" s="183"/>
      <c r="AF28" s="174" t="str">
        <f>IF($AK9&gt;4,"Team 5","")</f>
        <v>Team 5</v>
      </c>
      <c r="AG28" s="184">
        <f>IF($AK9&lt;5,"",IF($AK8&lt;1,"",IF(B24=5,B30-D30,IF(D24=5,D30-B30,""))))</f>
        <v>-17</v>
      </c>
      <c r="AH28" s="180" t="str">
        <f>IF($AK9&lt;5,"",IF($AK8&lt;2,"",IF(E24=5,E30-G30,IF(G24=5,G30-E30,""))))</f>
        <v/>
      </c>
      <c r="AI28" s="180">
        <f>IF($AK9&lt;5,"",IF($AK8&lt;3,"",IF(H24=5,H30-J30,IF(J24=5,J30-H30,""))))</f>
        <v>-23</v>
      </c>
      <c r="AJ28" s="180" t="str">
        <f>IF($AK9&lt;5,"",IF($AK8&lt;4,"",IF(K24=5,K30-M30,IF(M24=5,M30-K30,""))))</f>
        <v/>
      </c>
      <c r="AK28" s="180" t="str">
        <f>IF($AK9&lt;5,"",IF($AK8&lt;5,"",IF(N24=5,N30-P30,IF(P24=5,P30-N30,""))))</f>
        <v/>
      </c>
      <c r="AL28" s="180">
        <f>IF($AK9&lt;5,"",IF($AK8&lt;6,"",IF(Q24=5,Q30-S30,IF(S24=5,S30-Q30,""))))</f>
        <v>-19</v>
      </c>
      <c r="AM28" s="180" t="str">
        <f>IF($AK9&lt;5,"",IF($AK8&lt;7,"",IF(T24=5,T30-V30,IF(V24=5,V30-T30,""))))</f>
        <v/>
      </c>
      <c r="AN28" s="180">
        <f>IF($AK9&lt;5,"",IF($AK8&lt;8,"",IF(W24=5,W30-Y30,IF(Y24=5,Y30-W30,""))))</f>
        <v>-28</v>
      </c>
      <c r="AO28" s="180" t="str">
        <f>IF($AK9&lt;5,"",IF($AK8&lt;9,"",IF(Z24=5,Z30-AB30,IF(AB24=5,AB30-Z30,""))))</f>
        <v/>
      </c>
      <c r="AP28" s="180" t="str">
        <f>IF($AK9&lt;5,"",IF($AK8&lt;10,"",IF(AC24=5,AC30-AE30,IF(AE24=5,AE30-AC30,""))))</f>
        <v/>
      </c>
      <c r="AQ28" s="176">
        <f>SUM(AG28:AP28)</f>
        <v>-87</v>
      </c>
      <c r="AW28" s="137"/>
      <c r="AX28" s="137"/>
      <c r="AY28" s="137"/>
    </row>
    <row r="29" spans="1:51" ht="15" x14ac:dyDescent="0.2">
      <c r="A29" s="133" t="str">
        <f>IF($AK7&gt;4,"Game 5","")</f>
        <v/>
      </c>
      <c r="B29" s="181"/>
      <c r="C29" s="182" t="s">
        <v>78</v>
      </c>
      <c r="D29" s="183"/>
      <c r="E29" s="181"/>
      <c r="F29" s="182" t="str">
        <f>IF($AK8&gt;1,IF($AK7&gt;4,"/",""),"")</f>
        <v/>
      </c>
      <c r="G29" s="183"/>
      <c r="H29" s="181"/>
      <c r="I29" s="182" t="str">
        <f>IF($AK8&gt;2,IF($AK7&gt;4,"/",""),"")</f>
        <v/>
      </c>
      <c r="J29" s="183"/>
      <c r="K29" s="181"/>
      <c r="L29" s="182" t="str">
        <f>IF($AK8&gt;3,IF($AK7&gt;4,"/",""),"")</f>
        <v/>
      </c>
      <c r="M29" s="183"/>
      <c r="N29" s="181"/>
      <c r="O29" s="182" t="str">
        <f>IF($AK8&gt;4,IF($AK7&gt;4,"/",""),"")</f>
        <v/>
      </c>
      <c r="P29" s="183"/>
      <c r="Q29" s="181"/>
      <c r="R29" s="182" t="str">
        <f>IF($AK8&gt;5,IF($AK7&gt;4,"/",""),"")</f>
        <v/>
      </c>
      <c r="S29" s="183"/>
      <c r="T29" s="181"/>
      <c r="U29" s="182" t="str">
        <f>IF($AK8&gt;6,IF($AK7&gt;4,"/",""),"")</f>
        <v/>
      </c>
      <c r="V29" s="183"/>
      <c r="W29" s="181"/>
      <c r="X29" s="182" t="str">
        <f>IF($AK8&gt;7,IF($AK7&gt;4,"/",""),"")</f>
        <v/>
      </c>
      <c r="Y29" s="183"/>
      <c r="Z29" s="181"/>
      <c r="AA29" s="182" t="str">
        <f>IF($AK8&gt;8,IF($AK7&gt;4,"/",""),"")</f>
        <v/>
      </c>
      <c r="AB29" s="183"/>
      <c r="AC29" s="181"/>
      <c r="AD29" s="182" t="str">
        <f>IF($AK8&gt;9,IF($AK7&gt;4,"/",""),"")</f>
        <v/>
      </c>
      <c r="AE29" s="183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W29" s="137"/>
      <c r="AX29" s="137"/>
      <c r="AY29" s="137"/>
    </row>
    <row r="30" spans="1:51" hidden="1" x14ac:dyDescent="0.2">
      <c r="A30" s="185"/>
      <c r="B30" s="185">
        <f>IF($AK7=5,SUM(B25:B29),IF($AK7=4,SUM(B25:B28),IF($AK7=3,SUM(B25:B27),IF($AK7=2,SUM(B25:B26),B25))))</f>
        <v>50</v>
      </c>
      <c r="C30" s="185"/>
      <c r="D30" s="185">
        <f>IF($AK7=5,SUM(D25:D29),IF($AK7=4,SUM(D25:D28),IF($AK7=3,SUM(D25:D27),IF($AK7=2,SUM(D25:D26),D25))))</f>
        <v>33</v>
      </c>
      <c r="E30" s="185">
        <f>IF($AK7=5,SUM(E25:E29),IF($AK7=4,SUM(E25:E28),IF($AK7=3,SUM(E25:E27),IF($AK7=2,SUM(E25:E26),E25))))</f>
        <v>50</v>
      </c>
      <c r="F30" s="185"/>
      <c r="G30" s="185">
        <f>IF($AK7=5,SUM(G25:G29),IF($AK7=4,SUM(G25:G28),IF($AK7=3,SUM(G25:G27),IF($AK7=2,SUM(G25:G26),G25))))</f>
        <v>24</v>
      </c>
      <c r="H30" s="185">
        <f>IF($AK7=5,SUM(H25:H29),IF($AK7=4,SUM(H25:H28),IF($AK7=3,SUM(H25:H27),IF($AK7=2,SUM(H25:H26),H25))))</f>
        <v>50</v>
      </c>
      <c r="I30" s="185"/>
      <c r="J30" s="185">
        <f>IF($AK7=5,SUM(J25:J29),IF($AK7=4,SUM(J25:J28),IF($AK7=3,SUM(J25:J27),IF($AK7=2,SUM(J25:J26),J25))))</f>
        <v>27</v>
      </c>
      <c r="K30" s="185">
        <f>IF($AK7=5,SUM(K25:K29),IF($AK7=4,SUM(K25:K28),IF($AK7=3,SUM(K25:K27),IF($AK7=2,SUM(K25:K26),K25))))</f>
        <v>47</v>
      </c>
      <c r="L30" s="185"/>
      <c r="M30" s="185">
        <f>IF($AK7=5,SUM(M25:M29),IF($AK7=4,SUM(M25:M28),IF($AK7=3,SUM(M25:M27),IF($AK7=2,SUM(M25:M26),M25))))</f>
        <v>48</v>
      </c>
      <c r="N30" s="185">
        <f>IF($AK7=5,SUM(N25:N29),IF($AK7=4,SUM(N25:N28),IF($AK7=3,SUM(N25:N27),IF($AK7=2,SUM(N25:N26),N25))))</f>
        <v>50</v>
      </c>
      <c r="O30" s="185"/>
      <c r="P30" s="185">
        <f>IF($AK7=5,SUM(P25:P29),IF($AK7=4,SUM(P25:P28),IF($AK7=3,SUM(P25:P27),IF($AK7=2,SUM(P25:P26),P25))))</f>
        <v>44</v>
      </c>
      <c r="Q30" s="185">
        <f>IF($AK7=5,SUM(Q25:Q29),IF($AK7=4,SUM(Q25:Q28),IF($AK7=3,SUM(Q25:Q27),IF($AK7=2,SUM(Q25:Q26),Q25))))</f>
        <v>50</v>
      </c>
      <c r="R30" s="185"/>
      <c r="S30" s="185">
        <f>IF($AK7=5,SUM(S25:S29),IF($AK7=4,SUM(S25:S28),IF($AK7=3,SUM(S25:S27),IF($AK7=2,SUM(S25:S26),S25))))</f>
        <v>31</v>
      </c>
      <c r="T30" s="185">
        <f>IF($AK7=5,SUM(T25:T29),IF($AK7=4,SUM(T25:T28),IF($AK7=3,SUM(T25:T27),IF($AK7=2,SUM(T25:T26),T25))))</f>
        <v>47</v>
      </c>
      <c r="U30" s="185"/>
      <c r="V30" s="185">
        <f>IF($AK7=5,SUM(V25:V29),IF($AK7=4,SUM(V25:V28),IF($AK7=3,SUM(V25:V27),IF($AK7=2,SUM(V25:V26),V25))))</f>
        <v>51</v>
      </c>
      <c r="W30" s="185">
        <f>IF($AK7=5,SUM(W25:W29),IF($AK7=4,SUM(W25:W28),IF($AK7=3,SUM(W25:W27),IF($AK7=2,SUM(W25:W26),W25))))</f>
        <v>50</v>
      </c>
      <c r="X30" s="185"/>
      <c r="Y30" s="185">
        <f>IF($AK7=5,SUM(Y25:Y29),IF($AK7=4,SUM(Y25:Y28),IF($AK7=3,SUM(Y25:Y27),IF($AK7=2,SUM(Y25:Y26),Y25))))</f>
        <v>22</v>
      </c>
      <c r="Z30" s="185">
        <f>IF($AK7=5,SUM(Z25:Z29),IF($AK7=4,SUM(Z25:Z28),IF($AK7=3,SUM(Z25:Z27),IF($AK7=2,SUM(Z25:Z26),Z25))))</f>
        <v>41</v>
      </c>
      <c r="AA30" s="185"/>
      <c r="AB30" s="185">
        <f>IF($AK7=5,SUM(AB25:AB29),IF($AK7=4,SUM(AB25:AB28),IF($AK7=3,SUM(AB25:AB27),IF($AK7=2,SUM(AB25:AB26),AB25))))</f>
        <v>46</v>
      </c>
      <c r="AC30" s="185">
        <f>IF($AK7=5,SUM(AC25:AC29),IF($AK7=4,SUM(AC25:AC28),IF($AK7=3,SUM(AC25:AC27),IF($AK7=2,SUM(AC25:AC26),AC25))))</f>
        <v>51</v>
      </c>
      <c r="AD30" s="185"/>
      <c r="AE30" s="185">
        <f>IF($AK7=5,SUM(AE25:AE29),IF($AK7=4,SUM(AE25:AE28),IF($AK7=3,SUM(AE25:AE27),IF($AK7=2,SUM(AE25:AE26),AE25))))</f>
        <v>38</v>
      </c>
      <c r="AF30" s="138"/>
      <c r="AG30" s="138"/>
      <c r="AH30" s="138"/>
      <c r="AI30" s="138"/>
      <c r="AJ30" s="138"/>
      <c r="AK30" s="138"/>
      <c r="AL30" s="138"/>
      <c r="AM30" s="138"/>
      <c r="AN30" s="138"/>
      <c r="AO30" s="138"/>
      <c r="AP30" s="138"/>
      <c r="AQ30" s="138"/>
    </row>
    <row r="31" spans="1:51" s="186" customFormat="1" ht="12.75" hidden="1" customHeight="1" x14ac:dyDescent="0.2">
      <c r="A31" s="186" t="s">
        <v>79</v>
      </c>
      <c r="B31" s="187">
        <f>IF(AND(B25&gt;D25,$AK8&gt;0,ISNUMBER(B25),ISNUMBER(D25)),1,0)</f>
        <v>1</v>
      </c>
      <c r="C31" s="187"/>
      <c r="D31" s="188">
        <f>IF(AND(D25&gt;B25,$AK8&gt;0,ISNUMBER(B25),ISNUMBER(D25)),1,0)</f>
        <v>0</v>
      </c>
      <c r="E31" s="187">
        <f>IF(AND(E25&gt;G25,$AK8&gt;1,ISNUMBER(E25),ISNUMBER(G25)),1,0)</f>
        <v>1</v>
      </c>
      <c r="F31" s="187"/>
      <c r="G31" s="188">
        <f>IF(AND(G25&gt;E25,$AK8&gt;1,ISNUMBER(E25),ISNUMBER(G25)),1,0)</f>
        <v>0</v>
      </c>
      <c r="H31" s="187">
        <f>IF(AND(H25&gt;J25,$AK8&gt;2,ISNUMBER(H25),ISNUMBER(J25)),1,0)</f>
        <v>1</v>
      </c>
      <c r="I31" s="187"/>
      <c r="J31" s="188">
        <f>IF(AND(J25&gt;H25,$AK8&gt;2,ISNUMBER(H25),ISNUMBER(J25)),1,0)</f>
        <v>0</v>
      </c>
      <c r="K31" s="187">
        <f>IF(AND(K25&gt;M25,$AK8&gt;3,ISNUMBER(K25),ISNUMBER(M25)),1,0)</f>
        <v>0</v>
      </c>
      <c r="L31" s="187"/>
      <c r="M31" s="188">
        <f>IF(AND(M25&gt;K25,$AK8&gt;3,ISNUMBER(K25),ISNUMBER(M25)),1,0)</f>
        <v>1</v>
      </c>
      <c r="N31" s="187">
        <f>IF(AND(N25&gt;P25,$AK8&gt;4,ISNUMBER(N25),ISNUMBER(P25)),1,0)</f>
        <v>1</v>
      </c>
      <c r="O31" s="187"/>
      <c r="P31" s="188">
        <f>IF(AND(P25&gt;N25,$AK8&gt;4,ISNUMBER(N25),ISNUMBER(P25)),1,0)</f>
        <v>0</v>
      </c>
      <c r="Q31" s="187">
        <f>IF(AND(Q25&gt;S25,$AK8&gt;5,ISNUMBER(Q25),ISNUMBER(S25)),1,0)</f>
        <v>1</v>
      </c>
      <c r="R31" s="187"/>
      <c r="S31" s="188">
        <f>IF(AND(S25&gt;Q25,$AK8&gt;5,ISNUMBER(Q25),ISNUMBER(S25)),1,0)</f>
        <v>0</v>
      </c>
      <c r="T31" s="187">
        <f>IF(AND(T25&gt;V25,$AK8&gt;6,ISNUMBER(T25),ISNUMBER(V25)),1,0)</f>
        <v>0</v>
      </c>
      <c r="U31" s="187"/>
      <c r="V31" s="188">
        <f>IF(AND(V25&gt;T25,$AK8&gt;6,ISNUMBER(T25),ISNUMBER(V25)),1,0)</f>
        <v>1</v>
      </c>
      <c r="W31" s="187">
        <f>IF(AND(W25&gt;Y25,$AK8&gt;7,ISNUMBER(W25),ISNUMBER(Y25)),1,0)</f>
        <v>1</v>
      </c>
      <c r="X31" s="187"/>
      <c r="Y31" s="188">
        <f>IF(AND(Y25&gt;W25,$AK8&gt;7,ISNUMBER(W25),ISNUMBER(Y25)),1,0)</f>
        <v>0</v>
      </c>
      <c r="Z31" s="187">
        <f>IF(AND(Z25&gt;AB25,$AK8&gt;8,ISNUMBER(Z25),ISNUMBER(AB25)),1,0)</f>
        <v>1</v>
      </c>
      <c r="AA31" s="187"/>
      <c r="AB31" s="188">
        <f>IF(AND(AB25&gt;Z25,$AK8&gt;8,ISNUMBER(Z25),ISNUMBER(AB25)),1,0)</f>
        <v>0</v>
      </c>
      <c r="AC31" s="187">
        <f>IF(AND(AC25&gt;AE25,$AK8&gt;9,ISNUMBER(AC25),ISNUMBER(AE25)),1,0)</f>
        <v>1</v>
      </c>
      <c r="AD31" s="187"/>
      <c r="AE31" s="188">
        <f>IF(AND(AE25&gt;AC25,$AK8&gt;9,ISNUMBER(AC25),ISNUMBER(AE25)),1,0)</f>
        <v>0</v>
      </c>
      <c r="AW31" s="274"/>
    </row>
    <row r="32" spans="1:51" s="186" customFormat="1" ht="12.75" hidden="1" customHeight="1" x14ac:dyDescent="0.2">
      <c r="A32" s="186" t="s">
        <v>80</v>
      </c>
      <c r="B32" s="187">
        <f>IF(AND(B26&gt;D26,$AK8&gt;0,$AK7&gt;1,ISNUMBER(B26),ISNUMBER(D26)),1,0)</f>
        <v>1</v>
      </c>
      <c r="C32" s="187"/>
      <c r="D32" s="188">
        <f>IF(AND(D26&gt;B26,$AK8&gt;0,$AK7&gt;1,ISNUMBER(B26),ISNUMBER(D26)),1,0)</f>
        <v>0</v>
      </c>
      <c r="E32" s="187">
        <f>IF(AND(E26&gt;G26,$AK8&gt;1,$AK7&gt;1,ISNUMBER(E26),ISNUMBER(G26)),1,0)</f>
        <v>1</v>
      </c>
      <c r="F32" s="187"/>
      <c r="G32" s="188">
        <f>IF(AND(G26&gt;E26,$AK8&gt;1,$AK7&gt;1,ISNUMBER(E26),ISNUMBER(G26)),1,0)</f>
        <v>0</v>
      </c>
      <c r="H32" s="187">
        <f>IF(AND(H26&gt;J26,$AK8&gt;2,$AK7&gt;1,ISNUMBER(H26),ISNUMBER(J26)),1,0)</f>
        <v>1</v>
      </c>
      <c r="I32" s="187"/>
      <c r="J32" s="188">
        <f>IF(AND(J26&gt;H26,$AK8&gt;2,$AK7&gt;1,ISNUMBER(H26),ISNUMBER(J26)),1,0)</f>
        <v>0</v>
      </c>
      <c r="K32" s="187">
        <f>IF(AND(K26&gt;M26,$AK8&gt;3,$AK7&gt;1,ISNUMBER(K26),ISNUMBER(M26)),1,0)</f>
        <v>1</v>
      </c>
      <c r="L32" s="187"/>
      <c r="M32" s="188">
        <f>IF(AND(M26&gt;K26,$AK8&gt;3,$AK7&gt;1,ISNUMBER(K26),ISNUMBER(M26)),1,0)</f>
        <v>0</v>
      </c>
      <c r="N32" s="187">
        <f>IF(AND(N26&gt;P26,$AK8&gt;4,$AK7&gt;1,ISNUMBER(N26),ISNUMBER(P26)),1,0)</f>
        <v>1</v>
      </c>
      <c r="O32" s="187"/>
      <c r="P32" s="188">
        <f>IF(AND(P26&gt;N26,$AK8&gt;4,$AK7&gt;1,ISNUMBER(N26),ISNUMBER(P26)),1,0)</f>
        <v>0</v>
      </c>
      <c r="Q32" s="187">
        <f>IF(AND(Q26&gt;S26,$AK8&gt;5,$AK7&gt;1,ISNUMBER(Q26),ISNUMBER(S26)),1,0)</f>
        <v>1</v>
      </c>
      <c r="R32" s="187"/>
      <c r="S32" s="188">
        <f>IF(AND(S26&gt;Q26,$AK8&gt;5,$AK7&gt;1,ISNUMBER(Q26),ISNUMBER(S26)),1,0)</f>
        <v>0</v>
      </c>
      <c r="T32" s="187">
        <f>IF(AND(T26&gt;V26,$AK8&gt;6,$AK7&gt;1,ISNUMBER(T26),ISNUMBER(V26)),1,0)</f>
        <v>0</v>
      </c>
      <c r="U32" s="187"/>
      <c r="V32" s="188">
        <f>IF(AND(V26&gt;T26,$AK8&gt;6,$AK7&gt;1,ISNUMBER(T26),ISNUMBER(V26)),1,0)</f>
        <v>1</v>
      </c>
      <c r="W32" s="187">
        <f>IF(AND(W26&gt;Y26,$AK8&gt;7,$AK7&gt;1,ISNUMBER(W26),ISNUMBER(Y26)),1,0)</f>
        <v>1</v>
      </c>
      <c r="X32" s="187"/>
      <c r="Y32" s="188">
        <f>IF(AND(Y26&gt;W26,$AK8&gt;7,$AK7&gt;1,ISNUMBER(W26),ISNUMBER(Y26)),1,0)</f>
        <v>0</v>
      </c>
      <c r="Z32" s="187">
        <f>IF(AND(Z26&gt;AB26,$AK8&gt;8,$AK7&gt;1,ISNUMBER(Z26),ISNUMBER(AB26)),1,0)</f>
        <v>0</v>
      </c>
      <c r="AA32" s="187"/>
      <c r="AB32" s="188">
        <f>IF(AND(AB26&gt;Z26,$AK8&gt;8,$AK7&gt;1,ISNUMBER(Z26),ISNUMBER(AB26)),1,0)</f>
        <v>1</v>
      </c>
      <c r="AC32" s="187">
        <f>IF(AND(AC26&gt;AE26,$AK8&gt;9,$AK7&gt;1,ISNUMBER(AC26),ISNUMBER(AE26)),1,0)</f>
        <v>1</v>
      </c>
      <c r="AD32" s="187"/>
      <c r="AE32" s="188">
        <f>IF(AND(AE26&gt;AC26,$AK8&gt;9,$AK7&gt;1,ISNUMBER(AC26),ISNUMBER(AE26)),1,0)</f>
        <v>0</v>
      </c>
      <c r="AW32" s="274"/>
    </row>
    <row r="33" spans="1:49" s="186" customFormat="1" ht="12.75" hidden="1" customHeight="1" x14ac:dyDescent="0.2">
      <c r="A33" s="186" t="s">
        <v>81</v>
      </c>
      <c r="B33" s="187">
        <f>IF(AND(B27&gt;D27,$AK8&gt;0,$AK7&gt;2,ISNUMBER(B27),ISNUMBER(D27)),1,0)</f>
        <v>0</v>
      </c>
      <c r="C33" s="187"/>
      <c r="D33" s="188">
        <f>IF(AND(D27&gt;B27,$AK8&gt;0,$AK7&gt;2,ISNUMBER(B27),ISNUMBER(D27)),1,0)</f>
        <v>0</v>
      </c>
      <c r="E33" s="187">
        <f>IF(AND(E27&gt;G27,$AK8&gt;1,$AK7&gt;2,ISNUMBER(E27),ISNUMBER(G27)),1,0)</f>
        <v>0</v>
      </c>
      <c r="F33" s="187"/>
      <c r="G33" s="188">
        <f>IF(AND(G27&gt;E27,$AK8&gt;1,$AK7&gt;2,ISNUMBER(E27),ISNUMBER(G27)),1,0)</f>
        <v>0</v>
      </c>
      <c r="H33" s="187">
        <f>IF(AND(H27&gt;J27,$AK8&gt;2,$AK7&gt;2,ISNUMBER(H27),ISNUMBER(J27)),1,0)</f>
        <v>0</v>
      </c>
      <c r="I33" s="187"/>
      <c r="J33" s="188">
        <f>IF(AND(J27&gt;H27,$AK8&gt;2,$AK7&gt;2,ISNUMBER(H27),ISNUMBER(J27)),1,0)</f>
        <v>0</v>
      </c>
      <c r="K33" s="187">
        <f>IF(AND(K27&gt;M27,$AK8&gt;3,$AK7&gt;2,ISNUMBER(K27),ISNUMBER(M27)),1,0)</f>
        <v>0</v>
      </c>
      <c r="L33" s="187"/>
      <c r="M33" s="188">
        <f>IF(AND(M27&gt;K27,$AK8&gt;3,$AK7&gt;2,ISNUMBER(K27),ISNUMBER(M27)),1,0)</f>
        <v>0</v>
      </c>
      <c r="N33" s="187">
        <f>IF(AND(N27&gt;P27,$AK8&gt;4,$AK7&gt;2,ISNUMBER(N27),ISNUMBER(P27)),1,0)</f>
        <v>0</v>
      </c>
      <c r="O33" s="187"/>
      <c r="P33" s="188">
        <f>IF(AND(P27&gt;N27,$AK8&gt;4,$AK7&gt;2,ISNUMBER(N27),ISNUMBER(P27)),1,0)</f>
        <v>0</v>
      </c>
      <c r="Q33" s="187">
        <f>IF(AND(Q27&gt;S27,$AK8&gt;5,$AK7&gt;2,ISNUMBER(Q27),ISNUMBER(S27)),1,0)</f>
        <v>0</v>
      </c>
      <c r="R33" s="187"/>
      <c r="S33" s="188">
        <f>IF(AND(S27&gt;Q27,$AK8&gt;5,$AK7&gt;2,ISNUMBER(Q27),ISNUMBER(S27)),1,0)</f>
        <v>0</v>
      </c>
      <c r="T33" s="187">
        <f>IF(AND(T27&gt;V27,$AK8&gt;6,$AK7&gt;2,ISNUMBER(T27),ISNUMBER(V27)),1,0)</f>
        <v>0</v>
      </c>
      <c r="U33" s="187"/>
      <c r="V33" s="188">
        <f>IF(AND(V27&gt;T27,$AK8&gt;6,$AK7&gt;2,ISNUMBER(T27),ISNUMBER(V27)),1,0)</f>
        <v>0</v>
      </c>
      <c r="W33" s="187">
        <f>IF(AND(W27&gt;Y27,$AK8&gt;7,$AK7&gt;2,ISNUMBER(W27),ISNUMBER(Y27)),1,0)</f>
        <v>0</v>
      </c>
      <c r="X33" s="187"/>
      <c r="Y33" s="188">
        <f>IF(AND(Y27&gt;W27,$AK8&gt;7,$AK7&gt;2,ISNUMBER(W27),ISNUMBER(Y27)),1,0)</f>
        <v>0</v>
      </c>
      <c r="Z33" s="187">
        <f>IF(AND(Z27&gt;AB27,$AK8&gt;8,$AK7&gt;2,ISNUMBER(Z27),ISNUMBER(AB27)),1,0)</f>
        <v>0</v>
      </c>
      <c r="AA33" s="187"/>
      <c r="AB33" s="188">
        <f>IF(AND(AB27&gt;Z27,$AK8&gt;8,$AK7&gt;2,ISNUMBER(Z27),ISNUMBER(AB27)),1,0)</f>
        <v>0</v>
      </c>
      <c r="AC33" s="187">
        <f>IF(AND(AC27&gt;AE27,$AK8&gt;9,$AK7&gt;2,ISNUMBER(AC27),ISNUMBER(AE27)),1,0)</f>
        <v>0</v>
      </c>
      <c r="AD33" s="187"/>
      <c r="AE33" s="188">
        <f>IF(AND(AE27&gt;AC27,$AK8&gt;9,$AK7&gt;2,ISNUMBER(AC27),ISNUMBER(AE27)),1,0)</f>
        <v>0</v>
      </c>
      <c r="AW33" s="274"/>
    </row>
    <row r="34" spans="1:49" s="186" customFormat="1" ht="12.75" hidden="1" customHeight="1" x14ac:dyDescent="0.2">
      <c r="A34" s="186" t="s">
        <v>82</v>
      </c>
      <c r="B34" s="187">
        <f>IF(AND(B28&gt;D28,$AK8&gt;0,$AK7&gt;3,ISNUMBER(B28),ISNUMBER(D28)),1,0)</f>
        <v>0</v>
      </c>
      <c r="C34" s="187"/>
      <c r="D34" s="188">
        <f>IF(AND(D28&gt;B28,$AK8&gt;0,$AK7&gt;3,ISNUMBER(B28),ISNUMBER(D28)),1,0)</f>
        <v>0</v>
      </c>
      <c r="E34" s="187">
        <f>IF(AND(E28&gt;G28,$AK8&gt;1,$AK7&gt;3,ISNUMBER(E28),ISNUMBER(G28)),1,0)</f>
        <v>0</v>
      </c>
      <c r="F34" s="187"/>
      <c r="G34" s="188">
        <f>IF(AND(G28&gt;E28,$AK8&gt;1,$AK7&gt;3,ISNUMBER(E28),ISNUMBER(G28)),1,0)</f>
        <v>0</v>
      </c>
      <c r="H34" s="187">
        <f>IF(AND(H28&gt;J28,$AK8&gt;2,$AK7&gt;3,ISNUMBER(H28),ISNUMBER(J28)),1,0)</f>
        <v>0</v>
      </c>
      <c r="I34" s="187"/>
      <c r="J34" s="188">
        <f>IF(AND(J28&gt;H28,$AK8&gt;2,$AK7&gt;3,ISNUMBER(H28),ISNUMBER(J28)),1,0)</f>
        <v>0</v>
      </c>
      <c r="K34" s="187">
        <f>IF(AND(K28&gt;M28,$AK8&gt;3,$AK7&gt;3,ISNUMBER(K28),ISNUMBER(M28)),1,0)</f>
        <v>0</v>
      </c>
      <c r="L34" s="187"/>
      <c r="M34" s="188">
        <f>IF(AND(M28&gt;K28,$AK8&gt;3,$AK7&gt;3,ISNUMBER(K28),ISNUMBER(M28)),1,0)</f>
        <v>0</v>
      </c>
      <c r="N34" s="187">
        <f>IF(AND(N28&gt;P28,$AK8&gt;4,$AK7&gt;3,ISNUMBER(N28),ISNUMBER(P28)),1,0)</f>
        <v>0</v>
      </c>
      <c r="O34" s="187"/>
      <c r="P34" s="188">
        <f>IF(AND(P28&gt;N28,$AK8&gt;4,$AK7&gt;3,ISNUMBER(N28),ISNUMBER(P28)),1,0)</f>
        <v>0</v>
      </c>
      <c r="Q34" s="187">
        <f>IF(AND(Q28&gt;S28,$AK8&gt;5,$AK7&gt;3,ISNUMBER(Q28),ISNUMBER(S28)),1,0)</f>
        <v>0</v>
      </c>
      <c r="R34" s="187"/>
      <c r="S34" s="188">
        <f>IF(AND(S28&gt;Q28,$AK8&gt;5,$AK7&gt;3,ISNUMBER(Q28),ISNUMBER(S28)),1,0)</f>
        <v>0</v>
      </c>
      <c r="T34" s="187">
        <f>IF(AND(T28&gt;V28,$AK8&gt;6,$AK7&gt;3,ISNUMBER(T28),ISNUMBER(V28)),1,0)</f>
        <v>0</v>
      </c>
      <c r="U34" s="187"/>
      <c r="V34" s="188">
        <f>IF(AND(V28&gt;T28,$AK8&gt;6,$AK7&gt;3,ISNUMBER(T28),ISNUMBER(V28)),1,0)</f>
        <v>0</v>
      </c>
      <c r="W34" s="187">
        <f>IF(AND(W28&gt;Y28,$AK8&gt;7,$AK7&gt;3,ISNUMBER(W28),ISNUMBER(Y28)),1,0)</f>
        <v>0</v>
      </c>
      <c r="X34" s="187"/>
      <c r="Y34" s="188">
        <f>IF(AND(Y28&gt;W28,$AK8&gt;7,$AK7&gt;3,ISNUMBER(W28),ISNUMBER(Y28)),1,0)</f>
        <v>0</v>
      </c>
      <c r="Z34" s="187">
        <f>IF(AND(Z28&gt;AB28,$AK8&gt;8,$AK7&gt;3,ISNUMBER(Z28),ISNUMBER(AB28)),1,0)</f>
        <v>0</v>
      </c>
      <c r="AA34" s="187"/>
      <c r="AB34" s="188">
        <f>IF(AND(AB28&gt;Z28,$AK8&gt;8,$AK7&gt;3,ISNUMBER(Z28),ISNUMBER(AB28)),1,0)</f>
        <v>0</v>
      </c>
      <c r="AC34" s="187">
        <f>IF(AND(AC28&gt;AE28,$AK8&gt;9,$AK7&gt;3,ISNUMBER(AC28),ISNUMBER(AE28)),1,0)</f>
        <v>0</v>
      </c>
      <c r="AD34" s="187"/>
      <c r="AE34" s="188">
        <f>IF(AND(AE28&gt;AC28,$AK8&gt;9,$AK7&gt;3,ISNUMBER(AC28),ISNUMBER(AE28)),1,0)</f>
        <v>0</v>
      </c>
      <c r="AW34" s="274"/>
    </row>
    <row r="35" spans="1:49" s="186" customFormat="1" ht="12.75" hidden="1" customHeight="1" x14ac:dyDescent="0.2">
      <c r="A35" s="186" t="s">
        <v>83</v>
      </c>
      <c r="B35" s="187">
        <f>IF(AND(B29&gt;D29,$AK8&gt;0,$AK7&gt;4,ISNUMBER(B29),ISNUMBER(D29)),1,0)</f>
        <v>0</v>
      </c>
      <c r="C35" s="187"/>
      <c r="D35" s="188">
        <f>IF(AND(D29&gt;B29,$AK8&gt;0,$AK7&gt;4,ISNUMBER(B29),ISNUMBER(D29)),1,0)</f>
        <v>0</v>
      </c>
      <c r="E35" s="187">
        <f>IF(AND(E29&gt;G29,$AK8&gt;1,$AK7&gt;4,ISNUMBER(E29),ISNUMBER(G29)),1,0)</f>
        <v>0</v>
      </c>
      <c r="F35" s="187"/>
      <c r="G35" s="188">
        <f>IF(AND(G29&gt;E29,$AK8&gt;1,$AK7&gt;4,ISNUMBER(E29),ISNUMBER(G29)),1,0)</f>
        <v>0</v>
      </c>
      <c r="H35" s="187">
        <f>IF(AND(H29&gt;J29,$AK8&gt;2,$AK7&gt;4,ISNUMBER(H29),ISNUMBER(J29)),1,0)</f>
        <v>0</v>
      </c>
      <c r="I35" s="187"/>
      <c r="J35" s="188">
        <f>IF(AND(J29&gt;H29,$AK8&gt;2,$AK7&gt;4,ISNUMBER(H29),ISNUMBER(J29)),1,0)</f>
        <v>0</v>
      </c>
      <c r="K35" s="187">
        <f>IF(AND(K29&gt;M29,$AK8&gt;3,$AK7&gt;4,ISNUMBER(K29),ISNUMBER(M29)),1,0)</f>
        <v>0</v>
      </c>
      <c r="L35" s="187"/>
      <c r="M35" s="188">
        <f>IF(AND(M29&gt;K29,$AK8&gt;3,$AK7&gt;4,ISNUMBER(K29),ISNUMBER(M29)),1,0)</f>
        <v>0</v>
      </c>
      <c r="N35" s="187">
        <f>IF(AND(N29&gt;P29,$AK8&gt;4,$AK7&gt;4,ISNUMBER(N29),ISNUMBER(P29)),1,0)</f>
        <v>0</v>
      </c>
      <c r="O35" s="187"/>
      <c r="P35" s="188">
        <f>IF(AND(P29&gt;N29,$AK8&gt;4,$AK7&gt;4,ISNUMBER(N29),ISNUMBER(P29)),1,0)</f>
        <v>0</v>
      </c>
      <c r="Q35" s="187">
        <f>IF(AND(Q29&gt;S29,$AK8&gt;5,$AK7&gt;4,ISNUMBER(Q29),ISNUMBER(S29)),1,0)</f>
        <v>0</v>
      </c>
      <c r="R35" s="187"/>
      <c r="S35" s="188">
        <f>IF(AND(S29&gt;Q29,$AK8&gt;5,$AK7&gt;4,ISNUMBER(Q29),ISNUMBER(S29)),1,0)</f>
        <v>0</v>
      </c>
      <c r="T35" s="187">
        <f>IF(AND(T29&gt;V29,$AK8&gt;6,$AK7&gt;4,ISNUMBER(T29),ISNUMBER(V29)),1,0)</f>
        <v>0</v>
      </c>
      <c r="U35" s="187"/>
      <c r="V35" s="188">
        <f>IF(AND(V29&gt;T29,$AK8&gt;6,$AK7&gt;4,ISNUMBER(T29),ISNUMBER(V29)),1,0)</f>
        <v>0</v>
      </c>
      <c r="W35" s="187">
        <f>IF(AND(W29&gt;Y29,$AK8&gt;7,$AK7&gt;4,ISNUMBER(W29),ISNUMBER(Y29)),1,0)</f>
        <v>0</v>
      </c>
      <c r="X35" s="187"/>
      <c r="Y35" s="188">
        <f>IF(AND(Y29&gt;W29,$AK8&gt;7,$AK7&gt;4,ISNUMBER(W29),ISNUMBER(Y29)),1,0)</f>
        <v>0</v>
      </c>
      <c r="Z35" s="187">
        <f>IF(AND(Z29&gt;AB29,$AK8&gt;8,$AK7&gt;4,ISNUMBER(Z29),ISNUMBER(AB29)),1,0)</f>
        <v>0</v>
      </c>
      <c r="AA35" s="187"/>
      <c r="AB35" s="188">
        <f>IF(AND(AB29&gt;Z29,$AK8&gt;8,$AK7&gt;4,ISNUMBER(Z29),ISNUMBER(AB29)),1,0)</f>
        <v>0</v>
      </c>
      <c r="AC35" s="187">
        <f>IF(AND(AC29&gt;AE29,$AK8&gt;9,$AK7&gt;4,ISNUMBER(AC29),ISNUMBER(AE29)),1,0)</f>
        <v>0</v>
      </c>
      <c r="AD35" s="187"/>
      <c r="AE35" s="188">
        <f>IF(AND(AE29&gt;AC29,$AK8&gt;9,$AK7&gt;4,ISNUMBER(AC29),ISNUMBER(AE29)),1,0)</f>
        <v>0</v>
      </c>
      <c r="AW35" s="274"/>
    </row>
    <row r="36" spans="1:49" s="186" customFormat="1" ht="38.25" hidden="1" customHeight="1" x14ac:dyDescent="0.2">
      <c r="A36" s="189" t="s">
        <v>84</v>
      </c>
      <c r="B36" s="186">
        <f>SUM(B31:B35)</f>
        <v>2</v>
      </c>
      <c r="D36" s="190">
        <f>SUM(D31:D35)</f>
        <v>0</v>
      </c>
      <c r="E36" s="186">
        <f>SUM(E31:E35)</f>
        <v>2</v>
      </c>
      <c r="G36" s="190">
        <f>SUM(G31:G35)</f>
        <v>0</v>
      </c>
      <c r="H36" s="186">
        <f>SUM(H31:H35)</f>
        <v>2</v>
      </c>
      <c r="J36" s="190">
        <f>SUM(J31:J35)</f>
        <v>0</v>
      </c>
      <c r="K36" s="186">
        <f>SUM(K31:K35)</f>
        <v>1</v>
      </c>
      <c r="M36" s="190">
        <f>SUM(M31:M35)</f>
        <v>1</v>
      </c>
      <c r="N36" s="186">
        <f>SUM(N31:N35)</f>
        <v>2</v>
      </c>
      <c r="P36" s="190">
        <f>SUM(P31:P35)</f>
        <v>0</v>
      </c>
      <c r="Q36" s="186">
        <f>SUM(Q31:Q35)</f>
        <v>2</v>
      </c>
      <c r="S36" s="190">
        <f>SUM(S31:S35)</f>
        <v>0</v>
      </c>
      <c r="T36" s="186">
        <f>SUM(T31:T35)</f>
        <v>0</v>
      </c>
      <c r="V36" s="190">
        <f>SUM(V31:V35)</f>
        <v>2</v>
      </c>
      <c r="W36" s="186">
        <f>SUM(W31:W35)</f>
        <v>2</v>
      </c>
      <c r="Y36" s="190">
        <f>SUM(Y31:Y35)</f>
        <v>0</v>
      </c>
      <c r="Z36" s="186">
        <f>SUM(Z31:Z35)</f>
        <v>1</v>
      </c>
      <c r="AB36" s="190">
        <f>SUM(AB31:AB35)</f>
        <v>1</v>
      </c>
      <c r="AC36" s="186">
        <f>SUM(AC31:AC35)</f>
        <v>2</v>
      </c>
      <c r="AE36" s="190">
        <f>SUM(AE31:AE35)</f>
        <v>0</v>
      </c>
      <c r="AW36" s="274"/>
    </row>
    <row r="37" spans="1:49" s="186" customFormat="1" ht="25.5" hidden="1" customHeight="1" x14ac:dyDescent="0.2">
      <c r="A37" s="189" t="s">
        <v>85</v>
      </c>
      <c r="B37" s="186">
        <f>IF(B36&gt;D36,IF(C71=AK7,1,IF(C71=AK7-1,1,0)),0)</f>
        <v>1</v>
      </c>
      <c r="C37" s="186">
        <f>B37+D37</f>
        <v>1</v>
      </c>
      <c r="D37" s="190">
        <f>IF(D36&gt;B36,IF(C71=AK7,1,IF(C71=AK7-1,1,0)),0)</f>
        <v>0</v>
      </c>
      <c r="E37" s="186">
        <f>IF(E36&gt;G36,IF(F71=AK7,1,IF(F71=AK7-1,1,0)),0)</f>
        <v>1</v>
      </c>
      <c r="F37" s="186">
        <f>E37+G37</f>
        <v>1</v>
      </c>
      <c r="G37" s="190">
        <f>IF(G36&gt;E36,IF(F71=AK7,1,IF(F71=AK7-1,1,0)),0)</f>
        <v>0</v>
      </c>
      <c r="H37" s="186">
        <f>IF(H36&gt;J36,IF(I71=AK7,1,IF(I71=AK7-1,1,0)),0)</f>
        <v>1</v>
      </c>
      <c r="I37" s="186">
        <f>H37+J37</f>
        <v>1</v>
      </c>
      <c r="J37" s="190">
        <f>IF(J36&gt;H36,IF(I71=AK7,1,IF(I71=AK7-1,1,0)),0)</f>
        <v>0</v>
      </c>
      <c r="K37" s="186">
        <f>IF(K36&gt;M36,IF(L71=AK7,1,IF(L71=AK7-1,1,0)),0)</f>
        <v>0</v>
      </c>
      <c r="L37" s="186">
        <f>K37+M37</f>
        <v>0</v>
      </c>
      <c r="M37" s="190">
        <f>IF(M36&gt;K36,IF(L71=AK7,1,IF(L71=AK7-1,1,0)),0)</f>
        <v>0</v>
      </c>
      <c r="N37" s="186">
        <f>IF(N36&gt;P36,IF(O71=AK7,1,IF(O71=AK7-1,1,0)),0)</f>
        <v>1</v>
      </c>
      <c r="O37" s="186">
        <f>N37+P37</f>
        <v>1</v>
      </c>
      <c r="P37" s="190">
        <f>IF(P36&gt;N36,IF(O71=AK7,1,IF(O71=AK7-1,1,0)),0)</f>
        <v>0</v>
      </c>
      <c r="Q37" s="186">
        <f>IF(Q36&gt;S36,IF(R71=AK7,1,IF(R71=AK7-1,1,0)),0)</f>
        <v>1</v>
      </c>
      <c r="R37" s="186">
        <f>Q37+S37</f>
        <v>1</v>
      </c>
      <c r="S37" s="190">
        <f>IF(S36&gt;Q36,IF(R71=AK7,1,IF(R71=AK7-1,1,0)),0)</f>
        <v>0</v>
      </c>
      <c r="T37" s="186">
        <f>IF(T36&gt;V36,IF(U71=AK7,1,IF(U71=AK7-1,1,0)),0)</f>
        <v>0</v>
      </c>
      <c r="U37" s="186">
        <f>T37+V37</f>
        <v>1</v>
      </c>
      <c r="V37" s="190">
        <f>IF(V36&gt;T36,IF(U71=AK7,1,IF(U71=AK7-1,1,0)),0)</f>
        <v>1</v>
      </c>
      <c r="W37" s="186">
        <f>IF(W36&gt;Y36,IF(X71=AK7,1,IF(X71=AK7-1,1,0)),0)</f>
        <v>1</v>
      </c>
      <c r="X37" s="186">
        <f>W37+Y37</f>
        <v>1</v>
      </c>
      <c r="Y37" s="190">
        <f>IF(Y36&gt;W36,IF(X71=AK7,1,IF(X71=AK7-1,1,0)),0)</f>
        <v>0</v>
      </c>
      <c r="Z37" s="186">
        <f>IF(Z36&gt;AB36,IF(AA71=AK7,1,IF(AA71=AK7-1,1,0)),0)</f>
        <v>0</v>
      </c>
      <c r="AA37" s="186">
        <f>Z37+AB37</f>
        <v>0</v>
      </c>
      <c r="AB37" s="190">
        <f>IF(AB36&gt;Z36,IF(AA71=AK7,1,IF(AA71=AK7-1,1,0)),0)</f>
        <v>0</v>
      </c>
      <c r="AC37" s="186">
        <f>IF(AC36&gt;AE36,IF(AD71=AK7,1,IF(AD71=AK7-1,1,0)),0)</f>
        <v>1</v>
      </c>
      <c r="AD37" s="186">
        <f>AC37+AE37</f>
        <v>1</v>
      </c>
      <c r="AE37" s="190">
        <f>IF(AE36&gt;AC36,IF(AD71=AK7,1,IF(AD71=AK7-1,1,0)),0)</f>
        <v>0</v>
      </c>
      <c r="AW37" s="274"/>
    </row>
    <row r="38" spans="1:49" s="186" customFormat="1" ht="25.5" hidden="1" customHeight="1" x14ac:dyDescent="0.2">
      <c r="A38" s="189"/>
      <c r="D38" s="190"/>
      <c r="G38" s="190"/>
      <c r="J38" s="190"/>
      <c r="M38" s="190"/>
      <c r="P38" s="190"/>
      <c r="S38" s="190"/>
      <c r="V38" s="190"/>
      <c r="Y38" s="190"/>
      <c r="AB38" s="190"/>
      <c r="AE38" s="190"/>
      <c r="AW38" s="274"/>
    </row>
    <row r="39" spans="1:49" s="186" customFormat="1" ht="12.75" hidden="1" customHeight="1" x14ac:dyDescent="0.2">
      <c r="A39" s="186" t="s">
        <v>86</v>
      </c>
      <c r="B39" s="186">
        <f>IF(B31=1,B25,0)</f>
        <v>25</v>
      </c>
      <c r="D39" s="190">
        <f t="shared" ref="D39:E43" si="2">IF(D31=1,D25,0)</f>
        <v>0</v>
      </c>
      <c r="E39" s="186">
        <f t="shared" si="2"/>
        <v>25</v>
      </c>
      <c r="G39" s="190">
        <f t="shared" ref="G39:H43" si="3">IF(G31=1,G25,0)</f>
        <v>0</v>
      </c>
      <c r="H39" s="186">
        <f t="shared" si="3"/>
        <v>25</v>
      </c>
      <c r="J39" s="190">
        <f t="shared" ref="J39:K43" si="4">IF(J31=1,J25,0)</f>
        <v>0</v>
      </c>
      <c r="K39" s="186">
        <f t="shared" si="4"/>
        <v>0</v>
      </c>
      <c r="M39" s="190">
        <f t="shared" ref="M39:N43" si="5">IF(M31=1,M25,0)</f>
        <v>25</v>
      </c>
      <c r="N39" s="186">
        <f t="shared" si="5"/>
        <v>25</v>
      </c>
      <c r="P39" s="190">
        <f t="shared" ref="P39:Q43" si="6">IF(P31=1,P25,0)</f>
        <v>0</v>
      </c>
      <c r="Q39" s="186">
        <f t="shared" si="6"/>
        <v>25</v>
      </c>
      <c r="S39" s="190">
        <f t="shared" ref="S39:T43" si="7">IF(S31=1,S25,0)</f>
        <v>0</v>
      </c>
      <c r="T39" s="186">
        <f t="shared" si="7"/>
        <v>0</v>
      </c>
      <c r="V39" s="190">
        <f t="shared" ref="V39:W43" si="8">IF(V31=1,V25,0)</f>
        <v>25</v>
      </c>
      <c r="W39" s="186">
        <f t="shared" si="8"/>
        <v>25</v>
      </c>
      <c r="Y39" s="190">
        <f t="shared" ref="Y39:Z43" si="9">IF(Y31=1,Y25,0)</f>
        <v>0</v>
      </c>
      <c r="Z39" s="186">
        <f t="shared" si="9"/>
        <v>25</v>
      </c>
      <c r="AB39" s="190">
        <f t="shared" ref="AB39:AC43" si="10">IF(AB31=1,AB25,0)</f>
        <v>0</v>
      </c>
      <c r="AC39" s="186">
        <f t="shared" si="10"/>
        <v>26</v>
      </c>
      <c r="AE39" s="190">
        <f>IF(AE31=1,AE25,0)</f>
        <v>0</v>
      </c>
      <c r="AW39" s="274"/>
    </row>
    <row r="40" spans="1:49" s="186" customFormat="1" ht="12.75" hidden="1" customHeight="1" x14ac:dyDescent="0.2">
      <c r="A40" s="186" t="s">
        <v>87</v>
      </c>
      <c r="B40" s="186">
        <f>IF(B32=1,B26,0)</f>
        <v>25</v>
      </c>
      <c r="D40" s="190">
        <f t="shared" si="2"/>
        <v>0</v>
      </c>
      <c r="E40" s="186">
        <f t="shared" si="2"/>
        <v>25</v>
      </c>
      <c r="G40" s="190">
        <f t="shared" si="3"/>
        <v>0</v>
      </c>
      <c r="H40" s="186">
        <f t="shared" si="3"/>
        <v>25</v>
      </c>
      <c r="J40" s="190">
        <f t="shared" si="4"/>
        <v>0</v>
      </c>
      <c r="K40" s="186">
        <f t="shared" si="4"/>
        <v>25</v>
      </c>
      <c r="M40" s="190">
        <f t="shared" si="5"/>
        <v>0</v>
      </c>
      <c r="N40" s="186">
        <f t="shared" si="5"/>
        <v>25</v>
      </c>
      <c r="P40" s="190">
        <f t="shared" si="6"/>
        <v>0</v>
      </c>
      <c r="Q40" s="186">
        <f t="shared" si="6"/>
        <v>25</v>
      </c>
      <c r="S40" s="190">
        <f t="shared" si="7"/>
        <v>0</v>
      </c>
      <c r="T40" s="186">
        <f t="shared" si="7"/>
        <v>0</v>
      </c>
      <c r="V40" s="190">
        <f t="shared" si="8"/>
        <v>26</v>
      </c>
      <c r="W40" s="186">
        <f t="shared" si="8"/>
        <v>25</v>
      </c>
      <c r="Y40" s="190">
        <f t="shared" si="9"/>
        <v>0</v>
      </c>
      <c r="Z40" s="186">
        <f t="shared" si="9"/>
        <v>0</v>
      </c>
      <c r="AB40" s="190">
        <f t="shared" si="10"/>
        <v>25</v>
      </c>
      <c r="AC40" s="186">
        <f t="shared" si="10"/>
        <v>25</v>
      </c>
      <c r="AE40" s="190">
        <f>IF(AE32=1,AE26,0)</f>
        <v>0</v>
      </c>
      <c r="AW40" s="274"/>
    </row>
    <row r="41" spans="1:49" s="186" customFormat="1" ht="12.75" hidden="1" customHeight="1" x14ac:dyDescent="0.2">
      <c r="A41" s="186" t="s">
        <v>88</v>
      </c>
      <c r="B41" s="186">
        <f>IF(B33=1,B27,0)</f>
        <v>0</v>
      </c>
      <c r="D41" s="190">
        <f t="shared" si="2"/>
        <v>0</v>
      </c>
      <c r="E41" s="186">
        <f t="shared" si="2"/>
        <v>0</v>
      </c>
      <c r="G41" s="190">
        <f t="shared" si="3"/>
        <v>0</v>
      </c>
      <c r="H41" s="186">
        <f t="shared" si="3"/>
        <v>0</v>
      </c>
      <c r="J41" s="190">
        <f t="shared" si="4"/>
        <v>0</v>
      </c>
      <c r="K41" s="186">
        <f t="shared" si="4"/>
        <v>0</v>
      </c>
      <c r="M41" s="190">
        <f t="shared" si="5"/>
        <v>0</v>
      </c>
      <c r="N41" s="186">
        <f t="shared" si="5"/>
        <v>0</v>
      </c>
      <c r="P41" s="190">
        <f t="shared" si="6"/>
        <v>0</v>
      </c>
      <c r="Q41" s="186">
        <f t="shared" si="6"/>
        <v>0</v>
      </c>
      <c r="S41" s="190">
        <f t="shared" si="7"/>
        <v>0</v>
      </c>
      <c r="T41" s="186">
        <f t="shared" si="7"/>
        <v>0</v>
      </c>
      <c r="V41" s="190">
        <f t="shared" si="8"/>
        <v>0</v>
      </c>
      <c r="W41" s="186">
        <f t="shared" si="8"/>
        <v>0</v>
      </c>
      <c r="Y41" s="190">
        <f t="shared" si="9"/>
        <v>0</v>
      </c>
      <c r="Z41" s="186">
        <f t="shared" si="9"/>
        <v>0</v>
      </c>
      <c r="AB41" s="190">
        <f t="shared" si="10"/>
        <v>0</v>
      </c>
      <c r="AC41" s="186">
        <f t="shared" si="10"/>
        <v>0</v>
      </c>
      <c r="AE41" s="190">
        <f>IF(AE33=1,AE27,0)</f>
        <v>0</v>
      </c>
      <c r="AW41" s="274"/>
    </row>
    <row r="42" spans="1:49" s="186" customFormat="1" ht="12.75" hidden="1" customHeight="1" x14ac:dyDescent="0.2">
      <c r="A42" s="186" t="s">
        <v>89</v>
      </c>
      <c r="B42" s="186">
        <f>IF(B34=1,B28,0)</f>
        <v>0</v>
      </c>
      <c r="D42" s="190">
        <f t="shared" si="2"/>
        <v>0</v>
      </c>
      <c r="E42" s="186">
        <f t="shared" si="2"/>
        <v>0</v>
      </c>
      <c r="G42" s="190">
        <f t="shared" si="3"/>
        <v>0</v>
      </c>
      <c r="H42" s="186">
        <f t="shared" si="3"/>
        <v>0</v>
      </c>
      <c r="J42" s="190">
        <f t="shared" si="4"/>
        <v>0</v>
      </c>
      <c r="K42" s="186">
        <f t="shared" si="4"/>
        <v>0</v>
      </c>
      <c r="M42" s="190">
        <f t="shared" si="5"/>
        <v>0</v>
      </c>
      <c r="N42" s="186">
        <f t="shared" si="5"/>
        <v>0</v>
      </c>
      <c r="P42" s="190">
        <f t="shared" si="6"/>
        <v>0</v>
      </c>
      <c r="Q42" s="186">
        <f t="shared" si="6"/>
        <v>0</v>
      </c>
      <c r="S42" s="190">
        <f t="shared" si="7"/>
        <v>0</v>
      </c>
      <c r="T42" s="186">
        <f t="shared" si="7"/>
        <v>0</v>
      </c>
      <c r="V42" s="190">
        <f t="shared" si="8"/>
        <v>0</v>
      </c>
      <c r="W42" s="186">
        <f t="shared" si="8"/>
        <v>0</v>
      </c>
      <c r="Y42" s="190">
        <f t="shared" si="9"/>
        <v>0</v>
      </c>
      <c r="Z42" s="186">
        <f t="shared" si="9"/>
        <v>0</v>
      </c>
      <c r="AB42" s="190">
        <f t="shared" si="10"/>
        <v>0</v>
      </c>
      <c r="AC42" s="186">
        <f t="shared" si="10"/>
        <v>0</v>
      </c>
      <c r="AE42" s="190">
        <f>IF(AE34=1,AE28,0)</f>
        <v>0</v>
      </c>
      <c r="AW42" s="274"/>
    </row>
    <row r="43" spans="1:49" s="186" customFormat="1" ht="12.75" hidden="1" customHeight="1" x14ac:dyDescent="0.2">
      <c r="A43" s="186" t="s">
        <v>90</v>
      </c>
      <c r="B43" s="186">
        <f>IF(B35=1,B29,0)</f>
        <v>0</v>
      </c>
      <c r="D43" s="190">
        <f t="shared" si="2"/>
        <v>0</v>
      </c>
      <c r="E43" s="186">
        <f t="shared" si="2"/>
        <v>0</v>
      </c>
      <c r="G43" s="190">
        <f t="shared" si="3"/>
        <v>0</v>
      </c>
      <c r="H43" s="186">
        <f t="shared" si="3"/>
        <v>0</v>
      </c>
      <c r="J43" s="190">
        <f t="shared" si="4"/>
        <v>0</v>
      </c>
      <c r="K43" s="186">
        <f t="shared" si="4"/>
        <v>0</v>
      </c>
      <c r="M43" s="190">
        <f t="shared" si="5"/>
        <v>0</v>
      </c>
      <c r="N43" s="186">
        <f t="shared" si="5"/>
        <v>0</v>
      </c>
      <c r="P43" s="190">
        <f t="shared" si="6"/>
        <v>0</v>
      </c>
      <c r="Q43" s="186">
        <f t="shared" si="6"/>
        <v>0</v>
      </c>
      <c r="S43" s="190">
        <f t="shared" si="7"/>
        <v>0</v>
      </c>
      <c r="T43" s="186">
        <f t="shared" si="7"/>
        <v>0</v>
      </c>
      <c r="V43" s="190">
        <f t="shared" si="8"/>
        <v>0</v>
      </c>
      <c r="W43" s="186">
        <f t="shared" si="8"/>
        <v>0</v>
      </c>
      <c r="Y43" s="190">
        <f t="shared" si="9"/>
        <v>0</v>
      </c>
      <c r="Z43" s="186">
        <f t="shared" si="9"/>
        <v>0</v>
      </c>
      <c r="AB43" s="190">
        <f t="shared" si="10"/>
        <v>0</v>
      </c>
      <c r="AC43" s="186">
        <f t="shared" si="10"/>
        <v>0</v>
      </c>
      <c r="AE43" s="190">
        <f>IF(AE35=1,AE29,0)</f>
        <v>0</v>
      </c>
      <c r="AW43" s="274"/>
    </row>
    <row r="44" spans="1:49" s="186" customFormat="1" ht="38.25" hidden="1" customHeight="1" x14ac:dyDescent="0.2">
      <c r="A44" s="189" t="s">
        <v>91</v>
      </c>
      <c r="B44" s="186">
        <f>SUM(B39:D43)</f>
        <v>50</v>
      </c>
      <c r="D44" s="190"/>
      <c r="E44" s="186">
        <f>SUM(E39:G43)</f>
        <v>50</v>
      </c>
      <c r="G44" s="190"/>
      <c r="H44" s="186">
        <f>SUM(H39:J43)</f>
        <v>50</v>
      </c>
      <c r="J44" s="190"/>
      <c r="K44" s="186">
        <f>SUM(K39:M43)</f>
        <v>50</v>
      </c>
      <c r="M44" s="190"/>
      <c r="N44" s="186">
        <f>SUM(N39:P43)</f>
        <v>50</v>
      </c>
      <c r="P44" s="190"/>
      <c r="Q44" s="186">
        <f>SUM(Q39:S43)</f>
        <v>50</v>
      </c>
      <c r="S44" s="190"/>
      <c r="T44" s="186">
        <f>SUM(T39:V43)</f>
        <v>51</v>
      </c>
      <c r="V44" s="190"/>
      <c r="W44" s="186">
        <f>SUM(W39:Y43)</f>
        <v>50</v>
      </c>
      <c r="Y44" s="190"/>
      <c r="Z44" s="186">
        <f>SUM(Z39:AB43)</f>
        <v>50</v>
      </c>
      <c r="AB44" s="190"/>
      <c r="AC44" s="186">
        <f>SUM(AC39:AE43)</f>
        <v>51</v>
      </c>
      <c r="AE44" s="190"/>
      <c r="AW44" s="274"/>
    </row>
    <row r="45" spans="1:49" s="186" customFormat="1" ht="38.25" hidden="1" customHeight="1" x14ac:dyDescent="0.2">
      <c r="A45" s="186" t="s">
        <v>92</v>
      </c>
      <c r="D45" s="190"/>
      <c r="G45" s="190"/>
      <c r="J45" s="190"/>
      <c r="M45" s="190"/>
      <c r="P45" s="190"/>
      <c r="S45" s="190"/>
      <c r="V45" s="190"/>
      <c r="Y45" s="190"/>
      <c r="AB45" s="190"/>
      <c r="AE45" s="190"/>
      <c r="AF45" s="189" t="s">
        <v>93</v>
      </c>
      <c r="AG45" s="186" t="s">
        <v>94</v>
      </c>
      <c r="AW45" s="274"/>
    </row>
    <row r="46" spans="1:49" s="186" customFormat="1" ht="12.75" hidden="1" customHeight="1" x14ac:dyDescent="0.2">
      <c r="A46" s="186" t="s">
        <v>95</v>
      </c>
      <c r="B46" s="186">
        <f>IF(B24=1,IF(B37=1,1,0),0)</f>
        <v>0</v>
      </c>
      <c r="D46" s="190">
        <f>IF(D24=1,IF(D37=1,1,0),0)</f>
        <v>0</v>
      </c>
      <c r="E46" s="186">
        <f>IF(E24=1,IF(E37=1,1,0),0)</f>
        <v>1</v>
      </c>
      <c r="G46" s="190">
        <f>IF(G24=1,IF(G37=1,1,0),0)</f>
        <v>0</v>
      </c>
      <c r="H46" s="186">
        <f>IF(H24=1,IF(H37=1,1,0),0)</f>
        <v>0</v>
      </c>
      <c r="J46" s="190">
        <f>IF(J24=1,IF(J37=1,1,0),0)</f>
        <v>0</v>
      </c>
      <c r="K46" s="186">
        <f>IF(K24=1,IF(K37=1,1,0),0)</f>
        <v>0</v>
      </c>
      <c r="M46" s="190">
        <f>IF(M24=1,IF(M37=1,1,0),0)</f>
        <v>0</v>
      </c>
      <c r="N46" s="186">
        <f>IF(N24=1,IF(N37=1,1,0),0)</f>
        <v>1</v>
      </c>
      <c r="P46" s="190">
        <f>IF(P24=1,IF(P37=1,1,0),0)</f>
        <v>0</v>
      </c>
      <c r="Q46" s="186">
        <f>IF(Q24=1,IF(Q37=1,1,0),0)</f>
        <v>0</v>
      </c>
      <c r="S46" s="190">
        <f>IF(S24=1,IF(S37=1,1,0),0)</f>
        <v>0</v>
      </c>
      <c r="T46" s="186">
        <f>IF(T24=1,IF(T37=1,1,0),0)</f>
        <v>0</v>
      </c>
      <c r="V46" s="190">
        <f>IF(V24=1,IF(V37=1,1,0),0)</f>
        <v>0</v>
      </c>
      <c r="W46" s="186">
        <f>IF(W24=1,IF(W37=1,1,0),0)</f>
        <v>1</v>
      </c>
      <c r="Y46" s="190">
        <f>IF(Y24=1,IF(Y37=1,1,0),0)</f>
        <v>0</v>
      </c>
      <c r="Z46" s="186">
        <f>IF(Z24=1,IF(Z37=1,1,0),0)</f>
        <v>0</v>
      </c>
      <c r="AB46" s="190">
        <f>IF(AB24=1,IF(AB37=1,1,0),0)</f>
        <v>0</v>
      </c>
      <c r="AC46" s="186">
        <f>IF(AC24=1,IF(AC37=1,1,0),0)</f>
        <v>1</v>
      </c>
      <c r="AE46" s="190">
        <f>IF(AE24=1,IF(AE37=1,1,0),0)</f>
        <v>0</v>
      </c>
      <c r="AF46" s="186">
        <f>SUM(B46:AE46)</f>
        <v>4</v>
      </c>
      <c r="AG46" s="186">
        <f>AF52-AF46</f>
        <v>0</v>
      </c>
      <c r="AW46" s="274"/>
    </row>
    <row r="47" spans="1:49" s="186" customFormat="1" ht="12.75" hidden="1" customHeight="1" x14ac:dyDescent="0.2">
      <c r="A47" s="186" t="s">
        <v>96</v>
      </c>
      <c r="B47" s="186">
        <f>IF(B24=2,IF(B37=1,1,0),0)</f>
        <v>1</v>
      </c>
      <c r="D47" s="190">
        <f>IF(D24=2,IF(D37=1,1,0),0)</f>
        <v>0</v>
      </c>
      <c r="E47" s="186">
        <f>IF(E24=2,IF(E37=1,1,0),0)</f>
        <v>0</v>
      </c>
      <c r="G47" s="190">
        <f>IF(G24=2,IF(G37=1,1,0),0)</f>
        <v>0</v>
      </c>
      <c r="H47" s="186">
        <f>IF(H24=2,IF(H37=1,1,0),0)</f>
        <v>0</v>
      </c>
      <c r="J47" s="190">
        <f>IF(J24=2,IF(J37=1,1,0),0)</f>
        <v>0</v>
      </c>
      <c r="K47" s="186">
        <f>IF(K24=2,IF(K37=1,1,0),0)</f>
        <v>0</v>
      </c>
      <c r="M47" s="190">
        <f>IF(M24=2,IF(M37=1,1,0),0)</f>
        <v>0</v>
      </c>
      <c r="N47" s="186">
        <f>IF(N24=2,IF(N37=1,1,0),0)</f>
        <v>0</v>
      </c>
      <c r="P47" s="190">
        <f>IF(P24=2,IF(P37=1,1,0),0)</f>
        <v>0</v>
      </c>
      <c r="Q47" s="186">
        <f>IF(Q24=2,IF(Q37=1,1,0),0)</f>
        <v>0</v>
      </c>
      <c r="S47" s="190">
        <f>IF(S24=2,IF(S37=1,1,0),0)</f>
        <v>0</v>
      </c>
      <c r="T47" s="186">
        <f>IF(T24=2,IF(T37=1,1,0),0)</f>
        <v>0</v>
      </c>
      <c r="V47" s="190">
        <f>IF(V24=2,IF(V37=1,1,0),0)</f>
        <v>0</v>
      </c>
      <c r="W47" s="186">
        <f>IF(W24=2,IF(W37=1,1,0),0)</f>
        <v>0</v>
      </c>
      <c r="Y47" s="190">
        <f>IF(Y24=2,IF(Y37=1,1,0),0)</f>
        <v>0</v>
      </c>
      <c r="Z47" s="186">
        <f>IF(Z24=2,IF(Z37=1,1,0),0)</f>
        <v>0</v>
      </c>
      <c r="AB47" s="190">
        <f>IF(AB24=2,IF(AB37=1,1,0),0)</f>
        <v>0</v>
      </c>
      <c r="AC47" s="186">
        <f>IF(AC24=2,IF(AC37=1,1,0),0)</f>
        <v>0</v>
      </c>
      <c r="AE47" s="190">
        <f>IF(AE24=2,IF(AE37=1,1,0),0)</f>
        <v>0</v>
      </c>
      <c r="AF47" s="186">
        <f>SUM(B47:AE47)</f>
        <v>1</v>
      </c>
      <c r="AG47" s="186">
        <f>AF53-AF47</f>
        <v>2</v>
      </c>
      <c r="AW47" s="274"/>
    </row>
    <row r="48" spans="1:49" s="186" customFormat="1" ht="12.75" hidden="1" customHeight="1" x14ac:dyDescent="0.2">
      <c r="A48" s="186" t="s">
        <v>97</v>
      </c>
      <c r="B48" s="186">
        <f>IF(B24=3,IF(B37=1,1,0),0)</f>
        <v>0</v>
      </c>
      <c r="D48" s="190">
        <f>IF(D24=3,IF(D37=1,1,0),0)</f>
        <v>0</v>
      </c>
      <c r="E48" s="186">
        <f>IF(E24=3,IF(E37=1,1,0),0)</f>
        <v>0</v>
      </c>
      <c r="G48" s="190">
        <f>IF(G24=3,IF(G37=1,1,0),0)</f>
        <v>0</v>
      </c>
      <c r="H48" s="186">
        <f>IF(H24=3,IF(H37=1,1,0),0)</f>
        <v>1</v>
      </c>
      <c r="J48" s="190">
        <f>IF(J24=3,IF(J37=1,1,0),0)</f>
        <v>0</v>
      </c>
      <c r="K48" s="186">
        <f>IF(K24=3,IF(K37=1,1,0),0)</f>
        <v>0</v>
      </c>
      <c r="M48" s="190">
        <f>IF(M24=3,IF(M37=1,1,0),0)</f>
        <v>0</v>
      </c>
      <c r="N48" s="186">
        <f>IF(N24=3,IF(N37=1,1,0),0)</f>
        <v>0</v>
      </c>
      <c r="P48" s="190">
        <f>IF(P24=3,IF(P37=1,1,0),0)</f>
        <v>0</v>
      </c>
      <c r="Q48" s="186">
        <f>IF(Q24=3,IF(Q37=1,1,0),0)</f>
        <v>0</v>
      </c>
      <c r="S48" s="190">
        <f>IF(S24=3,IF(S37=1,1,0),0)</f>
        <v>0</v>
      </c>
      <c r="T48" s="186">
        <f>IF(T24=3,IF(T37=1,1,0),0)</f>
        <v>0</v>
      </c>
      <c r="V48" s="190">
        <f>IF(V24=3,IF(V37=1,1,0),0)</f>
        <v>1</v>
      </c>
      <c r="W48" s="186">
        <f>IF(W24=3,IF(W37=1,1,0),0)</f>
        <v>0</v>
      </c>
      <c r="Y48" s="190">
        <f>IF(Y24=3,IF(Y37=1,1,0),0)</f>
        <v>0</v>
      </c>
      <c r="Z48" s="186">
        <f>IF(Z24=3,IF(Z37=1,1,0),0)</f>
        <v>0</v>
      </c>
      <c r="AB48" s="190">
        <f>IF(AB24=3,IF(AB37=1,1,0),0)</f>
        <v>0</v>
      </c>
      <c r="AC48" s="186">
        <f>IF(AC24=3,IF(AC37=1,1,0),0)</f>
        <v>0</v>
      </c>
      <c r="AE48" s="190">
        <f>IF(AE24=3,IF(AE37=1,1,0),0)</f>
        <v>0</v>
      </c>
      <c r="AF48" s="186">
        <f>SUM(B48:AE48)</f>
        <v>2</v>
      </c>
      <c r="AG48" s="186">
        <f>AF54-AF48</f>
        <v>1</v>
      </c>
      <c r="AW48" s="274"/>
    </row>
    <row r="49" spans="1:49" s="186" customFormat="1" ht="12.75" hidden="1" customHeight="1" x14ac:dyDescent="0.2">
      <c r="A49" s="186" t="s">
        <v>98</v>
      </c>
      <c r="B49" s="186">
        <f>IF(B24=4,IF(B37=1,1,0),0)</f>
        <v>0</v>
      </c>
      <c r="D49" s="190">
        <f>IF(D24=4,IF(D37=1,1,0),0)</f>
        <v>0</v>
      </c>
      <c r="E49" s="186">
        <f>IF(E24=4,IF(E37=1,1,0),0)</f>
        <v>0</v>
      </c>
      <c r="G49" s="190">
        <f>IF(G24=4,IF(G37=1,1,0),0)</f>
        <v>0</v>
      </c>
      <c r="H49" s="186">
        <f>IF(H24=4,IF(H37=1,1,0),0)</f>
        <v>0</v>
      </c>
      <c r="J49" s="190">
        <f>IF(J24=4,IF(J37=1,1,0),0)</f>
        <v>0</v>
      </c>
      <c r="K49" s="186">
        <f>IF(K24=4,IF(K37=1,1,0),0)</f>
        <v>0</v>
      </c>
      <c r="M49" s="190">
        <f>IF(M24=4,IF(M37=1,1,0),0)</f>
        <v>0</v>
      </c>
      <c r="N49" s="186">
        <f>IF(N24=4,IF(N37=1,1,0),0)</f>
        <v>0</v>
      </c>
      <c r="P49" s="190">
        <f>IF(P24=4,IF(P37=1,1,0),0)</f>
        <v>0</v>
      </c>
      <c r="Q49" s="186">
        <f>IF(Q24=4,IF(Q37=1,1,0),0)</f>
        <v>1</v>
      </c>
      <c r="S49" s="190">
        <f>IF(S24=4,IF(S37=1,1,0),0)</f>
        <v>0</v>
      </c>
      <c r="T49" s="186">
        <f>IF(T24=4,IF(T37=1,1,0),0)</f>
        <v>0</v>
      </c>
      <c r="V49" s="190">
        <f>IF(V24=4,IF(V37=1,1,0),0)</f>
        <v>0</v>
      </c>
      <c r="W49" s="186">
        <f>IF(W24=4,IF(W37=1,1,0),0)</f>
        <v>0</v>
      </c>
      <c r="Y49" s="190">
        <f>IF(Y24=4,IF(Y37=1,1,0),0)</f>
        <v>0</v>
      </c>
      <c r="Z49" s="186">
        <f>IF(Z24=4,IF(Z37=1,1,0),0)</f>
        <v>0</v>
      </c>
      <c r="AB49" s="190">
        <f>IF(AB24=4,IF(AB37=1,1,0),0)</f>
        <v>0</v>
      </c>
      <c r="AC49" s="186">
        <f>IF(AC24=4,IF(AC37=1,1,0),0)</f>
        <v>0</v>
      </c>
      <c r="AE49" s="190">
        <f>IF(AE24=4,IF(AE37=1,1,0),0)</f>
        <v>0</v>
      </c>
      <c r="AF49" s="186">
        <f>SUM(B49:AE49)</f>
        <v>1</v>
      </c>
      <c r="AG49" s="186">
        <f>AF55-AF49</f>
        <v>1</v>
      </c>
      <c r="AW49" s="274"/>
    </row>
    <row r="50" spans="1:49" s="186" customFormat="1" ht="12.75" hidden="1" customHeight="1" x14ac:dyDescent="0.2">
      <c r="A50" s="186" t="s">
        <v>99</v>
      </c>
      <c r="B50" s="186">
        <f>IF(B24=5,IF(B37=1,1,0),0)</f>
        <v>0</v>
      </c>
      <c r="D50" s="190">
        <f>IF(D24=5,IF(D37=1,1,0),0)</f>
        <v>0</v>
      </c>
      <c r="E50" s="186">
        <f>IF(E24=5,IF(E37=1,1,0),0)</f>
        <v>0</v>
      </c>
      <c r="G50" s="190">
        <f>IF(G24=5,IF(G37=1,1,0),0)</f>
        <v>0</v>
      </c>
      <c r="H50" s="186">
        <f>IF(H24=5,IF(H37=1,1,0),0)</f>
        <v>0</v>
      </c>
      <c r="J50" s="190">
        <f>IF(J24=5,IF(J37=1,1,0),0)</f>
        <v>0</v>
      </c>
      <c r="K50" s="186">
        <f>IF(K24=5,IF(K37=1,1,0),0)</f>
        <v>0</v>
      </c>
      <c r="M50" s="190">
        <f>IF(M24=5,IF(M37=1,1,0),0)</f>
        <v>0</v>
      </c>
      <c r="N50" s="186">
        <f>IF(N24=5,IF(N37=1,1,0),0)</f>
        <v>0</v>
      </c>
      <c r="P50" s="190">
        <f>IF(P24=5,IF(P37=1,1,0),0)</f>
        <v>0</v>
      </c>
      <c r="Q50" s="186">
        <f>IF(Q24=5,IF(Q37=1,1,0),0)</f>
        <v>0</v>
      </c>
      <c r="S50" s="190">
        <f>IF(S24=5,IF(S37=1,1,0),0)</f>
        <v>0</v>
      </c>
      <c r="T50" s="186">
        <f>IF(T24=5,IF(T37=1,1,0),0)</f>
        <v>0</v>
      </c>
      <c r="V50" s="190">
        <f>IF(V24=5,IF(V37=1,1,0),0)</f>
        <v>0</v>
      </c>
      <c r="W50" s="186">
        <f>IF(W24=5,IF(W37=1,1,0),0)</f>
        <v>0</v>
      </c>
      <c r="Y50" s="190">
        <f>IF(Y24=5,IF(Y37=1,1,0),0)</f>
        <v>0</v>
      </c>
      <c r="Z50" s="186">
        <f>IF(Z24=5,IF(Z37=1,1,0),0)</f>
        <v>0</v>
      </c>
      <c r="AB50" s="190">
        <f>IF(AB24=5,IF(AB37=1,1,0),0)</f>
        <v>0</v>
      </c>
      <c r="AC50" s="186">
        <f>IF(AC24=5,IF(AC37=1,1,0),0)</f>
        <v>0</v>
      </c>
      <c r="AE50" s="190">
        <f>IF(AE24=5,IF(AE37=1,1,0),0)</f>
        <v>0</v>
      </c>
      <c r="AF50" s="186">
        <f>SUM(B50:AE50)</f>
        <v>0</v>
      </c>
      <c r="AG50" s="186">
        <f>AF56-AF50</f>
        <v>4</v>
      </c>
      <c r="AW50" s="274"/>
    </row>
    <row r="51" spans="1:49" s="186" customFormat="1" ht="38.25" hidden="1" customHeight="1" x14ac:dyDescent="0.2">
      <c r="A51" s="189"/>
      <c r="D51" s="190"/>
      <c r="G51" s="190"/>
      <c r="J51" s="190"/>
      <c r="M51" s="190"/>
      <c r="P51" s="190"/>
      <c r="S51" s="190"/>
      <c r="V51" s="190"/>
      <c r="Y51" s="190"/>
      <c r="AB51" s="190"/>
      <c r="AE51" s="190"/>
      <c r="AF51" s="189" t="s">
        <v>100</v>
      </c>
      <c r="AW51" s="274"/>
    </row>
    <row r="52" spans="1:49" s="186" customFormat="1" ht="12.75" hidden="1" customHeight="1" x14ac:dyDescent="0.2">
      <c r="A52" s="186" t="s">
        <v>101</v>
      </c>
      <c r="B52" s="186">
        <f>IF(B24=1,IF(C37=1,1,0),0)</f>
        <v>0</v>
      </c>
      <c r="D52" s="190">
        <f>IF(D24=1,IF(C37=1,1,0),0)</f>
        <v>0</v>
      </c>
      <c r="E52" s="186">
        <f>IF(E24=1,IF(F37=1,1,0),0)</f>
        <v>1</v>
      </c>
      <c r="G52" s="190">
        <f>IF(G24=1,IF(F37=1,1,0),0)</f>
        <v>0</v>
      </c>
      <c r="H52" s="186">
        <f>IF(H24=1,IF(I37=1,1,0),0)</f>
        <v>0</v>
      </c>
      <c r="J52" s="190">
        <f>IF(J24=1,IF(I37=1,1,0),0)</f>
        <v>0</v>
      </c>
      <c r="K52" s="186">
        <f>IF(K24=1,IF(L37=1,1,0),0)</f>
        <v>0</v>
      </c>
      <c r="M52" s="190">
        <f>IF(M24=1,IF(L37=1,1,0),0)</f>
        <v>0</v>
      </c>
      <c r="N52" s="186">
        <f>IF(N24=1,IF(O37=1,1,0),0)</f>
        <v>1</v>
      </c>
      <c r="P52" s="190">
        <f>IF(P24=1,IF(O37=1,1,0),0)</f>
        <v>0</v>
      </c>
      <c r="Q52" s="186">
        <f>IF(Q24=1,IF(R37=1,1,0),0)</f>
        <v>0</v>
      </c>
      <c r="S52" s="190">
        <f>IF(S24=1,IF(R37=1,1,0),0)</f>
        <v>0</v>
      </c>
      <c r="T52" s="186">
        <f>IF(T24=1,IF(U37=1,1,0),0)</f>
        <v>0</v>
      </c>
      <c r="V52" s="190">
        <f>IF(V24=1,IF(U37=1,1,0),0)</f>
        <v>0</v>
      </c>
      <c r="W52" s="186">
        <f>IF(W24=1,IF(X37=1,1,0),0)</f>
        <v>1</v>
      </c>
      <c r="Y52" s="190">
        <f>IF(Y24=1,IF(X37=1,1,0),0)</f>
        <v>0</v>
      </c>
      <c r="Z52" s="186">
        <f>IF(Z24=1,IF(AA37=1,1,0),0)</f>
        <v>0</v>
      </c>
      <c r="AB52" s="190">
        <f>IF(AB24=1,IF(AA37=1,1,0),0)</f>
        <v>0</v>
      </c>
      <c r="AC52" s="186">
        <f>IF(AC24=1,IF(AD37=1,1,0),0)</f>
        <v>1</v>
      </c>
      <c r="AE52" s="190">
        <f>IF(AE24=1,IF(AD37=1,1,0),0)</f>
        <v>0</v>
      </c>
      <c r="AF52" s="186">
        <f>SUM(B52:AE52)</f>
        <v>4</v>
      </c>
      <c r="AW52" s="274"/>
    </row>
    <row r="53" spans="1:49" s="186" customFormat="1" ht="12.75" hidden="1" customHeight="1" x14ac:dyDescent="0.2">
      <c r="A53" s="186" t="s">
        <v>102</v>
      </c>
      <c r="B53" s="186">
        <f>IF(B24=2,IF(C37=1,1,0),0)</f>
        <v>1</v>
      </c>
      <c r="D53" s="190">
        <f>IF(D24=2,IF(C37=1,1,0),0)</f>
        <v>0</v>
      </c>
      <c r="E53" s="186">
        <f>IF(E24=2,IF(F37=1,1,0),0)</f>
        <v>0</v>
      </c>
      <c r="G53" s="190">
        <f>IF(G24=2,IF(F37=1,1,0),0)</f>
        <v>0</v>
      </c>
      <c r="H53" s="186">
        <f>IF(H24=2,IF(I37=1,1,0),0)</f>
        <v>0</v>
      </c>
      <c r="J53" s="190">
        <f>IF(J24=2,IF(I37=1,1,0),0)</f>
        <v>0</v>
      </c>
      <c r="K53" s="186">
        <f>IF(K24=2,IF(L37=1,1,0),0)</f>
        <v>0</v>
      </c>
      <c r="M53" s="190">
        <f>IF(M24=2,IF(L37=1,1,0),0)</f>
        <v>0</v>
      </c>
      <c r="N53" s="186">
        <f>IF(N24=2,IF(O37=1,1,0),0)</f>
        <v>0</v>
      </c>
      <c r="P53" s="190">
        <f>IF(P24=2,IF(O37=1,1,0),0)</f>
        <v>0</v>
      </c>
      <c r="Q53" s="186">
        <f>IF(Q24=2,IF(R37=1,1,0),0)</f>
        <v>0</v>
      </c>
      <c r="S53" s="190">
        <f>IF(S24=2,IF(R37=1,1,0),0)</f>
        <v>0</v>
      </c>
      <c r="T53" s="186">
        <f>IF(T24=2,IF(U37=1,1,0),0)</f>
        <v>1</v>
      </c>
      <c r="V53" s="190">
        <f>IF(V24=2,IF(U37=1,1,0),0)</f>
        <v>0</v>
      </c>
      <c r="W53" s="186">
        <f>IF(W24=2,IF(X37=1,1,0),0)</f>
        <v>0</v>
      </c>
      <c r="Y53" s="190">
        <f>IF(Y24=2,IF(X37=1,1,0),0)</f>
        <v>0</v>
      </c>
      <c r="Z53" s="186">
        <f>IF(Z24=2,IF(AA37=1,1,0),0)</f>
        <v>0</v>
      </c>
      <c r="AB53" s="190">
        <f>IF(AB24=2,IF(AA37=1,1,0),0)</f>
        <v>0</v>
      </c>
      <c r="AC53" s="186">
        <f>IF(AC24=2,IF(AD37=1,1,0),0)</f>
        <v>0</v>
      </c>
      <c r="AE53" s="190">
        <f>IF(AE24=2,IF(AD37=1,1,0),0)</f>
        <v>1</v>
      </c>
      <c r="AF53" s="186">
        <f>SUM(B53:AE53)</f>
        <v>3</v>
      </c>
      <c r="AW53" s="274"/>
    </row>
    <row r="54" spans="1:49" s="186" customFormat="1" ht="12.75" hidden="1" customHeight="1" x14ac:dyDescent="0.2">
      <c r="A54" s="186" t="s">
        <v>103</v>
      </c>
      <c r="B54" s="186">
        <f>IF(B24=3,IF(C37=1,1,0),0)</f>
        <v>0</v>
      </c>
      <c r="D54" s="190">
        <f>IF(D24=3,IF(C37=1,1,0),0)</f>
        <v>0</v>
      </c>
      <c r="E54" s="186">
        <f>IF(E24=3,IF(F37=1,1,0),0)</f>
        <v>0</v>
      </c>
      <c r="G54" s="190">
        <f>IF(G24=3,IF(F37=1,1,0),0)</f>
        <v>0</v>
      </c>
      <c r="H54" s="186">
        <f>IF(H24=3,IF(I37=1,1,0),0)</f>
        <v>1</v>
      </c>
      <c r="J54" s="190">
        <f>IF(J24=3,IF(I37=1,1,0),0)</f>
        <v>0</v>
      </c>
      <c r="K54" s="186">
        <f>IF(K24=3,IF(L37=1,1,0),0)</f>
        <v>0</v>
      </c>
      <c r="M54" s="190">
        <f>IF(M24=3,IF(L37=1,1,0),0)</f>
        <v>0</v>
      </c>
      <c r="N54" s="186">
        <f>IF(N24=3,IF(O37=1,1,0),0)</f>
        <v>0</v>
      </c>
      <c r="P54" s="190">
        <f>IF(P24=3,IF(O37=1,1,0),0)</f>
        <v>1</v>
      </c>
      <c r="Q54" s="186">
        <f>IF(Q24=3,IF(R37=1,1,0),0)</f>
        <v>0</v>
      </c>
      <c r="S54" s="190">
        <f>IF(S24=3,IF(R37=1,1,0),0)</f>
        <v>0</v>
      </c>
      <c r="T54" s="186">
        <f>IF(T24=3,IF(U37=1,1,0),0)</f>
        <v>0</v>
      </c>
      <c r="V54" s="190">
        <f>IF(V24=3,IF(U37=1,1,0),0)</f>
        <v>1</v>
      </c>
      <c r="W54" s="186">
        <f>IF(W24=3,IF(X37=1,1,0),0)</f>
        <v>0</v>
      </c>
      <c r="Y54" s="190">
        <f>IF(Y24=3,IF(X37=1,1,0),0)</f>
        <v>0</v>
      </c>
      <c r="Z54" s="186">
        <f>IF(Z24=3,IF(AA37=1,1,0),0)</f>
        <v>0</v>
      </c>
      <c r="AB54" s="190">
        <f>IF(AB24=3,IF(AA37=1,1,0),0)</f>
        <v>0</v>
      </c>
      <c r="AC54" s="186">
        <f>IF(AC24=3,IF(AD37=1,1,0),0)</f>
        <v>0</v>
      </c>
      <c r="AE54" s="190">
        <f>IF(AE24=3,IF(AD37=1,1,0),0)</f>
        <v>0</v>
      </c>
      <c r="AF54" s="186">
        <f>SUM(B54:AE54)</f>
        <v>3</v>
      </c>
      <c r="AW54" s="274"/>
    </row>
    <row r="55" spans="1:49" s="186" customFormat="1" ht="12.75" hidden="1" customHeight="1" x14ac:dyDescent="0.2">
      <c r="A55" s="186" t="s">
        <v>104</v>
      </c>
      <c r="B55" s="186">
        <f>IF(B24=4,IF(C37=1,1,0),0)</f>
        <v>0</v>
      </c>
      <c r="D55" s="190">
        <f>IF(D24=4,IF(C37=1,1,0),0)</f>
        <v>0</v>
      </c>
      <c r="E55" s="186">
        <f>IF(E24=4,IF(F37=1,1,0),0)</f>
        <v>0</v>
      </c>
      <c r="G55" s="190">
        <f>IF(G24=4,IF(F37=1,1,0),0)</f>
        <v>1</v>
      </c>
      <c r="H55" s="186">
        <f>IF(H24=4,IF(I37=1,1,0),0)</f>
        <v>0</v>
      </c>
      <c r="J55" s="190">
        <f>IF(J24=4,IF(I37=1,1,0),0)</f>
        <v>0</v>
      </c>
      <c r="K55" s="186">
        <f>IF(K24=4,IF(L37=1,1,0),0)</f>
        <v>0</v>
      </c>
      <c r="M55" s="190">
        <f>IF(M24=4,IF(L37=1,1,0),0)</f>
        <v>0</v>
      </c>
      <c r="N55" s="186">
        <f>IF(N24=4,IF(O37=1,1,0),0)</f>
        <v>0</v>
      </c>
      <c r="P55" s="190">
        <f>IF(P24=4,IF(O37=1,1,0),0)</f>
        <v>0</v>
      </c>
      <c r="Q55" s="186">
        <f>IF(Q24=4,IF(R37=1,1,0),0)</f>
        <v>1</v>
      </c>
      <c r="S55" s="190">
        <f>IF(S24=4,IF(R37=1,1,0),0)</f>
        <v>0</v>
      </c>
      <c r="T55" s="186">
        <f>IF(T24=4,IF(U37=1,1,0),0)</f>
        <v>0</v>
      </c>
      <c r="V55" s="190">
        <f>IF(V24=4,IF(U37=1,1,0),0)</f>
        <v>0</v>
      </c>
      <c r="W55" s="186">
        <f>IF(W24=4,IF(X37=1,1,0),0)</f>
        <v>0</v>
      </c>
      <c r="Y55" s="190">
        <f>IF(Y24=4,IF(X37=1,1,0),0)</f>
        <v>0</v>
      </c>
      <c r="Z55" s="186">
        <f>IF(Z24=4,IF(AA37=1,1,0),0)</f>
        <v>0</v>
      </c>
      <c r="AB55" s="190">
        <f>IF(AB24=4,IF(AA37=1,1,0),0)</f>
        <v>0</v>
      </c>
      <c r="AC55" s="186">
        <f>IF(AC24=4,IF(AD37=1,1,0),0)</f>
        <v>0</v>
      </c>
      <c r="AE55" s="190">
        <f>IF(AE24=4,IF(AD37=1,1,0),0)</f>
        <v>0</v>
      </c>
      <c r="AF55" s="186">
        <f>SUM(B55:AE55)</f>
        <v>2</v>
      </c>
      <c r="AW55" s="274"/>
    </row>
    <row r="56" spans="1:49" s="186" customFormat="1" ht="12.75" hidden="1" customHeight="1" x14ac:dyDescent="0.2">
      <c r="A56" s="186" t="s">
        <v>105</v>
      </c>
      <c r="B56" s="186">
        <f>IF(B24=5,IF(C37=1,1,0),0)</f>
        <v>0</v>
      </c>
      <c r="D56" s="190">
        <f>IF(D24=5,IF(C37=1,1,0),0)</f>
        <v>1</v>
      </c>
      <c r="E56" s="186">
        <f>IF(E24=5,IF(F37=1,1,0),0)</f>
        <v>0</v>
      </c>
      <c r="G56" s="190">
        <f>IF(G24=5,IF(F37=1,1,0),0)</f>
        <v>0</v>
      </c>
      <c r="H56" s="186">
        <f>IF(H24=5,IF(I37=1,1,0),0)</f>
        <v>0</v>
      </c>
      <c r="J56" s="190">
        <f>IF(J24=5,IF(I37=1,1,0),0)</f>
        <v>1</v>
      </c>
      <c r="K56" s="186">
        <f>IF(K24=5,IF(L37=1,1,0),0)</f>
        <v>0</v>
      </c>
      <c r="M56" s="190">
        <f>IF(M24=5,IF(L37=1,1,0),0)</f>
        <v>0</v>
      </c>
      <c r="N56" s="186">
        <f>IF(N24=5,IF(O37=1,1,0),0)</f>
        <v>0</v>
      </c>
      <c r="P56" s="190">
        <f>IF(P24=5,IF(O37=1,1,0),0)</f>
        <v>0</v>
      </c>
      <c r="Q56" s="186">
        <f>IF(Q24=5,IF(R37=1,1,0),0)</f>
        <v>0</v>
      </c>
      <c r="S56" s="190">
        <f>IF(S24=5,IF(R37=1,1,0),0)</f>
        <v>1</v>
      </c>
      <c r="T56" s="186">
        <f>IF(T24=5,IF(U37=1,1,0),0)</f>
        <v>0</v>
      </c>
      <c r="V56" s="190">
        <f>IF(V24=5,IF(U37=1,1,0),0)</f>
        <v>0</v>
      </c>
      <c r="W56" s="186">
        <f>IF(W24=5,IF(X37=1,1,0),0)</f>
        <v>0</v>
      </c>
      <c r="Y56" s="190">
        <f>IF(Y24=5,IF(X37=1,1,0),0)</f>
        <v>1</v>
      </c>
      <c r="Z56" s="186">
        <f>IF(Z24=5,IF(AA37=1,1,0),0)</f>
        <v>0</v>
      </c>
      <c r="AB56" s="190">
        <f>IF(AB24=5,IF(AA37=1,1,0),0)</f>
        <v>0</v>
      </c>
      <c r="AC56" s="186">
        <f>IF(AC24=5,IF(AD37=1,1,0),0)</f>
        <v>0</v>
      </c>
      <c r="AE56" s="190">
        <f>IF(AE24=5,IF(AD37=1,1,0),0)</f>
        <v>0</v>
      </c>
      <c r="AF56" s="186">
        <f>SUM(B56:AE56)</f>
        <v>4</v>
      </c>
      <c r="AW56" s="274"/>
    </row>
    <row r="57" spans="1:49" s="186" customFormat="1" ht="38.25" hidden="1" customHeight="1" x14ac:dyDescent="0.2">
      <c r="A57" s="189"/>
      <c r="D57" s="190"/>
      <c r="G57" s="190"/>
      <c r="J57" s="190"/>
      <c r="M57" s="190"/>
      <c r="P57" s="190"/>
      <c r="S57" s="190"/>
      <c r="V57" s="190"/>
      <c r="Y57" s="190"/>
      <c r="AB57" s="190"/>
      <c r="AE57" s="190"/>
      <c r="AF57" s="189" t="s">
        <v>106</v>
      </c>
      <c r="AG57" s="451"/>
      <c r="AH57" s="451"/>
      <c r="AI57" s="451"/>
      <c r="AJ57" s="451"/>
      <c r="AK57" s="451"/>
      <c r="AW57" s="274"/>
    </row>
    <row r="58" spans="1:49" s="186" customFormat="1" ht="12.75" hidden="1" customHeight="1" x14ac:dyDescent="0.2">
      <c r="A58" s="186" t="s">
        <v>101</v>
      </c>
      <c r="B58" s="186">
        <f>IF(B24=1,B44,0)</f>
        <v>0</v>
      </c>
      <c r="D58" s="190">
        <f>IF(D24=1,B44,0)</f>
        <v>0</v>
      </c>
      <c r="E58" s="186">
        <f>IF(E24=1,E44,0)</f>
        <v>50</v>
      </c>
      <c r="G58" s="190">
        <f>IF(G24=1,E44,0)</f>
        <v>0</v>
      </c>
      <c r="H58" s="186">
        <f>IF(H24=1,H44,0)</f>
        <v>0</v>
      </c>
      <c r="J58" s="190">
        <f>IF(J24=1,H44,0)</f>
        <v>0</v>
      </c>
      <c r="K58" s="186">
        <f>IF(K24=1,K44,0)</f>
        <v>0</v>
      </c>
      <c r="M58" s="190">
        <f>IF(M24=1,K44,0)</f>
        <v>0</v>
      </c>
      <c r="N58" s="186">
        <f>IF(N24=1,N44,0)</f>
        <v>50</v>
      </c>
      <c r="P58" s="190">
        <f>IF(P24=1,N44,0)</f>
        <v>0</v>
      </c>
      <c r="Q58" s="186">
        <f>IF(Q24=1,Q44,0)</f>
        <v>0</v>
      </c>
      <c r="S58" s="190">
        <f>IF(S24=1,Q44,0)</f>
        <v>0</v>
      </c>
      <c r="T58" s="186">
        <f>IF(T24=1,T44,0)</f>
        <v>0</v>
      </c>
      <c r="V58" s="190">
        <f>IF(V24=1,T44,0)</f>
        <v>0</v>
      </c>
      <c r="W58" s="186">
        <f>IF(W24=1,W44,0)</f>
        <v>50</v>
      </c>
      <c r="Y58" s="190">
        <f>IF(Y24=1,W44,0)</f>
        <v>0</v>
      </c>
      <c r="Z58" s="186">
        <f>IF(Z24=1,Z44,0)</f>
        <v>0</v>
      </c>
      <c r="AB58" s="190">
        <f>IF(AB24=1,Z44,0)</f>
        <v>0</v>
      </c>
      <c r="AC58" s="186">
        <f>IF(AC24=1,AC44,0)</f>
        <v>51</v>
      </c>
      <c r="AE58" s="190">
        <f>IF(AE24=1,AC44,0)</f>
        <v>0</v>
      </c>
      <c r="AF58" s="186">
        <f>SUM(B58:AE58)</f>
        <v>201</v>
      </c>
      <c r="AW58" s="274"/>
    </row>
    <row r="59" spans="1:49" s="186" customFormat="1" ht="12.75" hidden="1" customHeight="1" x14ac:dyDescent="0.2">
      <c r="A59" s="186" t="s">
        <v>102</v>
      </c>
      <c r="B59" s="186">
        <f>IF(B24=2,B44,0)</f>
        <v>50</v>
      </c>
      <c r="D59" s="190">
        <f>IF(D24=2,B44,0)</f>
        <v>0</v>
      </c>
      <c r="E59" s="186">
        <f>IF(E24=2,E44,0)</f>
        <v>0</v>
      </c>
      <c r="G59" s="190">
        <f>IF(G24=2,E44,0)</f>
        <v>0</v>
      </c>
      <c r="H59" s="186">
        <f>IF(H24=2,H44,0)</f>
        <v>0</v>
      </c>
      <c r="J59" s="190">
        <f>IF(J24=2,H44,0)</f>
        <v>0</v>
      </c>
      <c r="K59" s="186">
        <f>IF(K24=2,K44,0)</f>
        <v>50</v>
      </c>
      <c r="M59" s="190">
        <f>IF(M24=2,K44,0)</f>
        <v>0</v>
      </c>
      <c r="N59" s="186">
        <f>IF(N24=2,N44,0)</f>
        <v>0</v>
      </c>
      <c r="P59" s="190">
        <f>IF(P24=2,N44,0)</f>
        <v>0</v>
      </c>
      <c r="Q59" s="186">
        <f>IF(Q24=2,Q44,0)</f>
        <v>0</v>
      </c>
      <c r="S59" s="190">
        <f>IF(S24=2,Q44,0)</f>
        <v>0</v>
      </c>
      <c r="T59" s="186">
        <f>IF(T24=2,T44,0)</f>
        <v>51</v>
      </c>
      <c r="V59" s="190">
        <f>IF(V24=2,T44,0)</f>
        <v>0</v>
      </c>
      <c r="W59" s="186">
        <f>IF(W24=2,W44,0)</f>
        <v>0</v>
      </c>
      <c r="Y59" s="190">
        <f>IF(Y24=2,W44,0)</f>
        <v>0</v>
      </c>
      <c r="Z59" s="186">
        <f>IF(Z24=2,Z44,0)</f>
        <v>0</v>
      </c>
      <c r="AB59" s="190">
        <f>IF(AB24=2,Z44,0)</f>
        <v>0</v>
      </c>
      <c r="AC59" s="186">
        <f>IF(AC24=2,AC44,0)</f>
        <v>0</v>
      </c>
      <c r="AE59" s="190">
        <f>IF(AE24=2,AC44,0)</f>
        <v>51</v>
      </c>
      <c r="AF59" s="186">
        <f>SUM(B59:AE59)</f>
        <v>202</v>
      </c>
      <c r="AW59" s="274"/>
    </row>
    <row r="60" spans="1:49" s="186" customFormat="1" ht="12.75" hidden="1" customHeight="1" x14ac:dyDescent="0.2">
      <c r="A60" s="186" t="s">
        <v>103</v>
      </c>
      <c r="B60" s="186">
        <f>IF(B24=3,B44,0)</f>
        <v>0</v>
      </c>
      <c r="D60" s="190">
        <f>IF(D24=3,B44,0)</f>
        <v>0</v>
      </c>
      <c r="E60" s="186">
        <f>IF(E24=3,E44,0)</f>
        <v>0</v>
      </c>
      <c r="G60" s="190">
        <f>IF(G24=3,E44,0)</f>
        <v>0</v>
      </c>
      <c r="H60" s="186">
        <f>IF(H24=3,H44,0)</f>
        <v>50</v>
      </c>
      <c r="J60" s="190">
        <f>IF(J24=3,H44,0)</f>
        <v>0</v>
      </c>
      <c r="K60" s="186">
        <f>IF(K24=3,K44,0)</f>
        <v>0</v>
      </c>
      <c r="M60" s="190">
        <f>IF(M24=3,K44,0)</f>
        <v>0</v>
      </c>
      <c r="N60" s="186">
        <f>IF(N24=3,N44,0)</f>
        <v>0</v>
      </c>
      <c r="P60" s="190">
        <f>IF(P24=3,N44,0)</f>
        <v>50</v>
      </c>
      <c r="Q60" s="186">
        <f>IF(Q24=3,Q44,0)</f>
        <v>0</v>
      </c>
      <c r="S60" s="190">
        <f>IF(S24=3,Q44,0)</f>
        <v>0</v>
      </c>
      <c r="T60" s="186">
        <f>IF(T24=3,T44,0)</f>
        <v>0</v>
      </c>
      <c r="V60" s="190">
        <f>IF(V24=3,T44,0)</f>
        <v>51</v>
      </c>
      <c r="W60" s="186">
        <f>IF(W24=3,W44,0)</f>
        <v>0</v>
      </c>
      <c r="Y60" s="190">
        <f>IF(Y24=3,W44,0)</f>
        <v>0</v>
      </c>
      <c r="Z60" s="186">
        <f>IF(Z24=3,Z44,0)</f>
        <v>50</v>
      </c>
      <c r="AB60" s="190">
        <f>IF(AB24=3,Z44,0)</f>
        <v>0</v>
      </c>
      <c r="AC60" s="186">
        <f>IF(AC24=3,AC44,0)</f>
        <v>0</v>
      </c>
      <c r="AE60" s="190">
        <f>IF(AE24=3,AC44,0)</f>
        <v>0</v>
      </c>
      <c r="AF60" s="186">
        <f>SUM(B60:AE60)</f>
        <v>201</v>
      </c>
      <c r="AW60" s="274"/>
    </row>
    <row r="61" spans="1:49" s="186" customFormat="1" ht="12.75" hidden="1" customHeight="1" x14ac:dyDescent="0.2">
      <c r="A61" s="186" t="s">
        <v>104</v>
      </c>
      <c r="B61" s="186">
        <f>IF(B24=4,B44,0)</f>
        <v>0</v>
      </c>
      <c r="D61" s="190">
        <f>IF(D24=4,B44,0)</f>
        <v>0</v>
      </c>
      <c r="E61" s="186">
        <f>IF(E24=4,E44,0)</f>
        <v>0</v>
      </c>
      <c r="G61" s="190">
        <f>IF(G24=4,E44,0)</f>
        <v>50</v>
      </c>
      <c r="H61" s="186">
        <f>IF(H24=4,H44,0)</f>
        <v>0</v>
      </c>
      <c r="J61" s="190">
        <f>IF(J24=4,H44,0)</f>
        <v>0</v>
      </c>
      <c r="K61" s="186">
        <f>IF(K24=4,K44,0)</f>
        <v>0</v>
      </c>
      <c r="M61" s="190">
        <f>IF(M24=4,K44,0)</f>
        <v>50</v>
      </c>
      <c r="N61" s="186">
        <f>IF(N24=4,N44,0)</f>
        <v>0</v>
      </c>
      <c r="P61" s="190">
        <f>IF(P24=4,N44,0)</f>
        <v>0</v>
      </c>
      <c r="Q61" s="186">
        <f>IF(Q24=4,Q44,0)</f>
        <v>50</v>
      </c>
      <c r="S61" s="190">
        <f>IF(S24=4,Q44,0)</f>
        <v>0</v>
      </c>
      <c r="T61" s="186">
        <f>IF(T24=4,T44,0)</f>
        <v>0</v>
      </c>
      <c r="V61" s="190">
        <f>IF(V24=4,T44,0)</f>
        <v>0</v>
      </c>
      <c r="W61" s="186">
        <f>IF(W24=4,W44,0)</f>
        <v>0</v>
      </c>
      <c r="Y61" s="190">
        <f>IF(Y24=4,W44,0)</f>
        <v>0</v>
      </c>
      <c r="Z61" s="186">
        <f>IF(Z24=4,Z44,0)</f>
        <v>0</v>
      </c>
      <c r="AB61" s="190">
        <f>IF(AB24=4,Z44,0)</f>
        <v>50</v>
      </c>
      <c r="AC61" s="186">
        <f>IF(AC24=4,AC44,0)</f>
        <v>0</v>
      </c>
      <c r="AE61" s="190">
        <f>IF(AE24=4,AC44,0)</f>
        <v>0</v>
      </c>
      <c r="AF61" s="186">
        <f>SUM(B61:AE61)</f>
        <v>200</v>
      </c>
      <c r="AW61" s="274"/>
    </row>
    <row r="62" spans="1:49" s="186" customFormat="1" ht="12.75" hidden="1" customHeight="1" x14ac:dyDescent="0.2">
      <c r="A62" s="186" t="s">
        <v>105</v>
      </c>
      <c r="B62" s="186">
        <f>IF(B24=5,B44,0)</f>
        <v>0</v>
      </c>
      <c r="D62" s="190">
        <f>IF(D24=5,B44,0)</f>
        <v>50</v>
      </c>
      <c r="E62" s="186">
        <f>IF(E24=5,E44,0)</f>
        <v>0</v>
      </c>
      <c r="G62" s="190">
        <f>IF(G24=5,E44,0)</f>
        <v>0</v>
      </c>
      <c r="H62" s="186">
        <f>IF(H24=5,H44,0)</f>
        <v>0</v>
      </c>
      <c r="J62" s="190">
        <f>IF(J24=5,H44,0)</f>
        <v>50</v>
      </c>
      <c r="K62" s="186">
        <f>IF(K24=5,K44,0)</f>
        <v>0</v>
      </c>
      <c r="M62" s="190">
        <f>IF(M24=5,K44,0)</f>
        <v>0</v>
      </c>
      <c r="N62" s="186">
        <f>IF(N24=5,N44,0)</f>
        <v>0</v>
      </c>
      <c r="P62" s="190">
        <f>IF(P24=5,N44,0)</f>
        <v>0</v>
      </c>
      <c r="Q62" s="186">
        <f>IF(Q24=5,Q44,0)</f>
        <v>0</v>
      </c>
      <c r="S62" s="190">
        <f>IF(S24=5,Q44,0)</f>
        <v>50</v>
      </c>
      <c r="T62" s="186">
        <f>IF(T24=5,T44,0)</f>
        <v>0</v>
      </c>
      <c r="V62" s="190">
        <f>IF(V24=5,T44,0)</f>
        <v>0</v>
      </c>
      <c r="W62" s="186">
        <f>IF(W24=5,W44,0)</f>
        <v>0</v>
      </c>
      <c r="Y62" s="190">
        <f>IF(Y24=5,W44,0)</f>
        <v>50</v>
      </c>
      <c r="Z62" s="186">
        <f>IF(Z24=5,Z44,0)</f>
        <v>0</v>
      </c>
      <c r="AB62" s="190">
        <f>IF(AB24=5,Z44,0)</f>
        <v>0</v>
      </c>
      <c r="AC62" s="186">
        <f>IF(AC24=5,AC44,0)</f>
        <v>0</v>
      </c>
      <c r="AE62" s="190">
        <f>IF(AE24=5,AC44,0)</f>
        <v>0</v>
      </c>
      <c r="AF62" s="186">
        <f>SUM(B62:AE62)</f>
        <v>200</v>
      </c>
      <c r="AW62" s="274"/>
    </row>
    <row r="63" spans="1:49" s="186" customFormat="1" ht="38.25" hidden="1" customHeight="1" x14ac:dyDescent="0.2">
      <c r="A63" s="186" t="s">
        <v>107</v>
      </c>
      <c r="D63" s="190"/>
      <c r="G63" s="190"/>
      <c r="J63" s="190"/>
      <c r="M63" s="190"/>
      <c r="P63" s="190"/>
      <c r="S63" s="190"/>
      <c r="V63" s="190"/>
      <c r="Y63" s="190"/>
      <c r="AB63" s="190"/>
      <c r="AE63" s="190"/>
      <c r="AF63" s="189" t="s">
        <v>108</v>
      </c>
      <c r="AG63" s="186" t="s">
        <v>109</v>
      </c>
      <c r="AW63" s="274"/>
    </row>
    <row r="64" spans="1:49" s="186" customFormat="1" ht="12.75" hidden="1" customHeight="1" x14ac:dyDescent="0.2">
      <c r="A64" s="186" t="s">
        <v>95</v>
      </c>
      <c r="B64" s="186">
        <f>IF(B24=1,SUMIF(B31:B35,"&gt;0"),0)</f>
        <v>0</v>
      </c>
      <c r="D64" s="190">
        <f>IF(D24=1,SUMIF(D31:D35,"&gt;0"),0)</f>
        <v>0</v>
      </c>
      <c r="E64" s="186">
        <f>IF(E24=1,SUMIF(E31:E35,"&gt;0"),0)</f>
        <v>2</v>
      </c>
      <c r="G64" s="190">
        <f>IF(G24=1,SUMIF(G31:G35,"&gt;0"),0)</f>
        <v>0</v>
      </c>
      <c r="H64" s="186">
        <f>IF(H24=1,SUMIF(H31:H35,"&gt;0"),0)</f>
        <v>0</v>
      </c>
      <c r="J64" s="190">
        <f>IF(J24=1,SUMIF(J31:J35,"&gt;0"),0)</f>
        <v>0</v>
      </c>
      <c r="K64" s="186">
        <f>IF(K24=1,SUMIF(K31:K35,"&gt;0"),0)</f>
        <v>0</v>
      </c>
      <c r="M64" s="190">
        <f>IF(M24=1,SUMIF(M31:M35,"&gt;0"),0)</f>
        <v>0</v>
      </c>
      <c r="N64" s="186">
        <f>IF(N24=1,SUMIF(N31:N35,"&gt;0"),0)</f>
        <v>2</v>
      </c>
      <c r="P64" s="190">
        <f>IF(P24=1,SUMIF(P31:P35,"&gt;0"),0)</f>
        <v>0</v>
      </c>
      <c r="Q64" s="186">
        <f>IF(Q24=1,SUMIF(Q31:Q35,"&gt;0"),0)</f>
        <v>0</v>
      </c>
      <c r="S64" s="190">
        <f>IF(S24=1,SUMIF(S31:S35,"&gt;0"),0)</f>
        <v>0</v>
      </c>
      <c r="T64" s="186">
        <f>IF(T24=1,SUMIF(T31:T35,"&gt;0"),0)</f>
        <v>0</v>
      </c>
      <c r="V64" s="190">
        <f>IF(V24=1,SUMIF(V31:V35,"&gt;0"),0)</f>
        <v>0</v>
      </c>
      <c r="W64" s="186">
        <f>IF(W24=1,SUMIF(W31:W35,"&gt;0"),0)</f>
        <v>2</v>
      </c>
      <c r="Y64" s="190">
        <f>IF(Y24=1,SUMIF(Y31:Y35,"&gt;0"),0)</f>
        <v>0</v>
      </c>
      <c r="Z64" s="186">
        <f>IF(Z24=1,SUMIF(Z31:Z35,"&gt;0"),0)</f>
        <v>0</v>
      </c>
      <c r="AB64" s="190">
        <f>IF(AB24=1,SUMIF(AB31:AB35,"&gt;0"),0)</f>
        <v>0</v>
      </c>
      <c r="AC64" s="186">
        <f>IF(AC24=1,SUMIF(AC31:AC35,"&gt;0"),0)</f>
        <v>2</v>
      </c>
      <c r="AE64" s="190">
        <f>IF(AE24=1,SUMIF(AE31:AE35,"&gt;0"),0)</f>
        <v>0</v>
      </c>
      <c r="AF64" s="186">
        <f>SUM(B64:AE64)</f>
        <v>8</v>
      </c>
      <c r="AG64" s="186">
        <f>AF72-AF64</f>
        <v>0</v>
      </c>
      <c r="AW64" s="274"/>
    </row>
    <row r="65" spans="1:54" s="186" customFormat="1" ht="12.75" hidden="1" customHeight="1" x14ac:dyDescent="0.2">
      <c r="A65" s="186" t="s">
        <v>96</v>
      </c>
      <c r="B65" s="186">
        <f>IF(B24=2,SUMIF(B31:B35,"&gt;0"),0)</f>
        <v>2</v>
      </c>
      <c r="D65" s="190">
        <f>IF(D24=2,SUMIF(D31:D35,"&gt;0"),0)</f>
        <v>0</v>
      </c>
      <c r="E65" s="186">
        <f>IF(E24=2,SUMIF(E31:E35,"&gt;0"),0)</f>
        <v>0</v>
      </c>
      <c r="G65" s="190">
        <f>IF(G24=2,SUMIF(G31:G35,"&gt;0"),0)</f>
        <v>0</v>
      </c>
      <c r="H65" s="186">
        <f>IF(H24=2,SUMIF(H31:H35,"&gt;0"),0)</f>
        <v>0</v>
      </c>
      <c r="J65" s="190">
        <f>IF(J24=2,SUMIF(J31:J35,"&gt;0"),0)</f>
        <v>0</v>
      </c>
      <c r="K65" s="186">
        <f>IF(K24=2,SUMIF(K31:K35,"&gt;0"),0)</f>
        <v>1</v>
      </c>
      <c r="M65" s="190">
        <f>IF(M24=2,SUMIF(M31:M35,"&gt;0"),0)</f>
        <v>0</v>
      </c>
      <c r="N65" s="186">
        <f>IF(N24=2,SUMIF(N31:N35,"&gt;0"),0)</f>
        <v>0</v>
      </c>
      <c r="P65" s="190">
        <f>IF(P24=2,SUMIF(P31:P35,"&gt;0"),0)</f>
        <v>0</v>
      </c>
      <c r="Q65" s="186">
        <f>IF(Q24=2,SUMIF(Q31:Q35,"&gt;0"),0)</f>
        <v>0</v>
      </c>
      <c r="S65" s="190">
        <f>IF(S24=2,SUMIF(S31:S35,"&gt;0"),0)</f>
        <v>0</v>
      </c>
      <c r="T65" s="186">
        <f>IF(T24=2,SUMIF(T31:T35,"&gt;0"),0)</f>
        <v>0</v>
      </c>
      <c r="V65" s="190">
        <f>IF(V24=2,SUMIF(V31:V35,"&gt;0"),0)</f>
        <v>0</v>
      </c>
      <c r="W65" s="186">
        <f>IF(W24=2,SUMIF(W31:W35,"&gt;0"),0)</f>
        <v>0</v>
      </c>
      <c r="Y65" s="190">
        <f>IF(Y24=2,SUMIF(Y31:Y35,"&gt;0"),0)</f>
        <v>0</v>
      </c>
      <c r="Z65" s="186">
        <f>IF(Z24=2,SUMIF(Z31:Z35,"&gt;0"),0)</f>
        <v>0</v>
      </c>
      <c r="AB65" s="190">
        <f>IF(AB24=2,SUMIF(AB31:AB35,"&gt;0"),0)</f>
        <v>0</v>
      </c>
      <c r="AC65" s="186">
        <f>IF(AC24=2,SUMIF(AC31:AC35,"&gt;0"),0)</f>
        <v>0</v>
      </c>
      <c r="AE65" s="190">
        <f>IF(AE24=2,SUMIF(AE31:AE35,"&gt;0"),0)</f>
        <v>0</v>
      </c>
      <c r="AF65" s="186">
        <f>SUM(B65:AE65)</f>
        <v>3</v>
      </c>
      <c r="AG65" s="186">
        <f>AF73-AF65</f>
        <v>5</v>
      </c>
      <c r="AW65" s="274"/>
    </row>
    <row r="66" spans="1:54" s="186" customFormat="1" ht="12.75" hidden="1" customHeight="1" x14ac:dyDescent="0.2">
      <c r="A66" s="186" t="s">
        <v>97</v>
      </c>
      <c r="B66" s="186">
        <f>IF(B24=3,SUMIF(B31:B35,"&gt;0"),0)</f>
        <v>0</v>
      </c>
      <c r="D66" s="190">
        <f>IF(D24=3,SUMIF(D31:D35,"&gt;0"),0)</f>
        <v>0</v>
      </c>
      <c r="E66" s="186">
        <f>IF(E24=3,SUMIF(E31:E35,"&gt;0"),0)</f>
        <v>0</v>
      </c>
      <c r="G66" s="190">
        <f>IF(G24=3,SUMIF(G31:G35,"&gt;0"),0)</f>
        <v>0</v>
      </c>
      <c r="H66" s="186">
        <f>IF(H24=3,SUMIF(H31:H35,"&gt;0"),0)</f>
        <v>2</v>
      </c>
      <c r="J66" s="190">
        <f>IF(J24=3,SUMIF(J31:J35,"&gt;0"),0)</f>
        <v>0</v>
      </c>
      <c r="K66" s="186">
        <f>IF(K24=3,SUMIF(K31:K35,"&gt;0"),0)</f>
        <v>0</v>
      </c>
      <c r="M66" s="190">
        <f>IF(M24=3,SUMIF(M31:M35,"&gt;0"),0)</f>
        <v>0</v>
      </c>
      <c r="N66" s="186">
        <f>IF(N24=3,SUMIF(N31:N35,"&gt;0"),0)</f>
        <v>0</v>
      </c>
      <c r="P66" s="190">
        <f>IF(P24=3,SUMIF(P31:P35,"&gt;0"),0)</f>
        <v>0</v>
      </c>
      <c r="Q66" s="186">
        <f>IF(Q24=3,SUMIF(Q31:Q35,"&gt;0"),0)</f>
        <v>0</v>
      </c>
      <c r="S66" s="190">
        <f>IF(S24=3,SUMIF(S31:S35,"&gt;0"),0)</f>
        <v>0</v>
      </c>
      <c r="T66" s="186">
        <f>IF(T24=3,SUMIF(T31:T35,"&gt;0"),0)</f>
        <v>0</v>
      </c>
      <c r="V66" s="190">
        <f>IF(V24=3,SUMIF(V31:V35,"&gt;0"),0)</f>
        <v>2</v>
      </c>
      <c r="W66" s="186">
        <f>IF(W24=3,SUMIF(W31:W35,"&gt;0"),0)</f>
        <v>0</v>
      </c>
      <c r="Y66" s="190">
        <f>IF(Y24=3,SUMIF(Y31:Y35,"&gt;0"),0)</f>
        <v>0</v>
      </c>
      <c r="Z66" s="186">
        <f>IF(Z24=3,SUMIF(Z31:Z35,"&gt;0"),0)</f>
        <v>1</v>
      </c>
      <c r="AB66" s="190">
        <f>IF(AB24=3,SUMIF(AB31:AB35,"&gt;0"),0)</f>
        <v>0</v>
      </c>
      <c r="AC66" s="186">
        <f>IF(AC24=3,SUMIF(AC31:AC35,"&gt;0"),0)</f>
        <v>0</v>
      </c>
      <c r="AE66" s="190">
        <f>IF(AE24=3,SUMIF(AE31:AE35,"&gt;0"),0)</f>
        <v>0</v>
      </c>
      <c r="AF66" s="186">
        <f>SUM(B66:AE66)</f>
        <v>5</v>
      </c>
      <c r="AG66" s="186">
        <f>AF74-AF66</f>
        <v>3</v>
      </c>
      <c r="AW66" s="274"/>
    </row>
    <row r="67" spans="1:54" s="186" customFormat="1" ht="12.75" hidden="1" customHeight="1" x14ac:dyDescent="0.2">
      <c r="A67" s="186" t="s">
        <v>98</v>
      </c>
      <c r="B67" s="186">
        <f>IF(B24=4,SUMIF(B31:B35,"&gt;0"),0)</f>
        <v>0</v>
      </c>
      <c r="D67" s="190">
        <f>IF(D24=4,SUMIF(D31:D35,"&gt;0"),0)</f>
        <v>0</v>
      </c>
      <c r="E67" s="186">
        <f>IF(E24=4,SUMIF(E31:E35,"&gt;0"),0)</f>
        <v>0</v>
      </c>
      <c r="G67" s="190">
        <f>IF(G24=4,SUMIF(G31:G35,"&gt;0"),0)</f>
        <v>0</v>
      </c>
      <c r="H67" s="186">
        <f>IF(H24=4,SUMIF(H31:H35,"&gt;0"),0)</f>
        <v>0</v>
      </c>
      <c r="J67" s="190">
        <f>IF(J24=4,SUMIF(J31:J35,"&gt;0"),0)</f>
        <v>0</v>
      </c>
      <c r="K67" s="186">
        <f>IF(K24=4,SUMIF(K31:K35,"&gt;0"),0)</f>
        <v>0</v>
      </c>
      <c r="M67" s="190">
        <f>IF(M24=4,SUMIF(M31:M35,"&gt;0"),0)</f>
        <v>1</v>
      </c>
      <c r="N67" s="186">
        <f>IF(N24=4,SUMIF(N31:N35,"&gt;0"),0)</f>
        <v>0</v>
      </c>
      <c r="P67" s="190">
        <f>IF(P24=4,SUMIF(P31:P35,"&gt;0"),0)</f>
        <v>0</v>
      </c>
      <c r="Q67" s="186">
        <f>IF(Q24=4,SUMIF(Q31:Q35,"&gt;0"),0)</f>
        <v>2</v>
      </c>
      <c r="S67" s="190">
        <f>IF(S24=4,SUMIF(S31:S35,"&gt;0"),0)</f>
        <v>0</v>
      </c>
      <c r="T67" s="186">
        <f>IF(T24=4,SUMIF(T31:T35,"&gt;0"),0)</f>
        <v>0</v>
      </c>
      <c r="V67" s="190">
        <f>IF(V24=4,SUMIF(V31:V35,"&gt;0"),0)</f>
        <v>0</v>
      </c>
      <c r="W67" s="186">
        <f>IF(W24=4,SUMIF(W31:W35,"&gt;0"),0)</f>
        <v>0</v>
      </c>
      <c r="Y67" s="190">
        <f>IF(Y24=4,SUMIF(Y31:Y35,"&gt;0"),0)</f>
        <v>0</v>
      </c>
      <c r="Z67" s="186">
        <f>IF(Z24=4,SUMIF(Z31:Z35,"&gt;0"),0)</f>
        <v>0</v>
      </c>
      <c r="AB67" s="190">
        <f>IF(AB24=4,SUMIF(AB31:AB35,"&gt;0"),0)</f>
        <v>1</v>
      </c>
      <c r="AC67" s="186">
        <f>IF(AC24=4,SUMIF(AC31:AC35,"&gt;0"),0)</f>
        <v>0</v>
      </c>
      <c r="AE67" s="190">
        <f>IF(AE24=4,SUMIF(AE31:AE35,"&gt;0"),0)</f>
        <v>0</v>
      </c>
      <c r="AF67" s="186">
        <f>SUM(B67:AE67)</f>
        <v>4</v>
      </c>
      <c r="AG67" s="186">
        <f>AF75-AF67</f>
        <v>4</v>
      </c>
      <c r="AW67" s="274"/>
    </row>
    <row r="68" spans="1:54" s="186" customFormat="1" ht="12.75" hidden="1" customHeight="1" x14ac:dyDescent="0.2">
      <c r="A68" s="186" t="s">
        <v>99</v>
      </c>
      <c r="B68" s="186">
        <f>IF(B24=5,SUMIF(B31:B35,"&gt;0"),0)</f>
        <v>0</v>
      </c>
      <c r="D68" s="190">
        <f>IF(D24=5,SUMIF(D31:D35,"&gt;0"),0)</f>
        <v>0</v>
      </c>
      <c r="E68" s="186">
        <f>IF(E24=5,SUMIF(E31:E35,"&gt;0"),0)</f>
        <v>0</v>
      </c>
      <c r="G68" s="190">
        <f>IF(G24=5,SUMIF(G31:G35,"&gt;0"),0)</f>
        <v>0</v>
      </c>
      <c r="H68" s="186">
        <f>IF(H24=5,SUMIF(H31:H35,"&gt;0"),0)</f>
        <v>0</v>
      </c>
      <c r="J68" s="190">
        <f>IF(J24=5,SUMIF(J31:J35,"&gt;0"),0)</f>
        <v>0</v>
      </c>
      <c r="K68" s="186">
        <f>IF(K24=5,SUMIF(K31:K35,"&gt;0"),0)</f>
        <v>0</v>
      </c>
      <c r="M68" s="190">
        <f>IF(M24=5,SUMIF(M31:M35,"&gt;0"),0)</f>
        <v>0</v>
      </c>
      <c r="N68" s="186">
        <f>IF(N24=5,SUMIF(N31:N35,"&gt;0"),0)</f>
        <v>0</v>
      </c>
      <c r="P68" s="190">
        <f>IF(P24=5,SUMIF(P31:P35,"&gt;0"),0)</f>
        <v>0</v>
      </c>
      <c r="Q68" s="186">
        <f>IF(Q24=5,SUMIF(Q31:Q35,"&gt;0"),0)</f>
        <v>0</v>
      </c>
      <c r="S68" s="190">
        <f>IF(S24=5,SUMIF(S31:S35,"&gt;0"),0)</f>
        <v>0</v>
      </c>
      <c r="T68" s="186">
        <f>IF(T24=5,SUMIF(T31:T35,"&gt;0"),0)</f>
        <v>0</v>
      </c>
      <c r="V68" s="190">
        <f>IF(V24=5,SUMIF(V31:V35,"&gt;0"),0)</f>
        <v>0</v>
      </c>
      <c r="W68" s="186">
        <f>IF(W24=5,SUMIF(W31:W35,"&gt;0"),0)</f>
        <v>0</v>
      </c>
      <c r="Y68" s="190">
        <f>IF(Y24=5,SUMIF(Y31:Y35,"&gt;0"),0)</f>
        <v>0</v>
      </c>
      <c r="Z68" s="186">
        <f>IF(Z24=5,SUMIF(Z31:Z35,"&gt;0"),0)</f>
        <v>0</v>
      </c>
      <c r="AB68" s="190">
        <f>IF(AB24=5,SUMIF(AB31:AB35,"&gt;0"),0)</f>
        <v>0</v>
      </c>
      <c r="AC68" s="186">
        <f>IF(AC24=5,SUMIF(AC31:AC35,"&gt;0"),0)</f>
        <v>0</v>
      </c>
      <c r="AE68" s="190">
        <f>IF(AE24=5,SUMIF(AE31:AE35,"&gt;0"),0)</f>
        <v>0</v>
      </c>
      <c r="AF68" s="186">
        <f>SUM(B68:AE68)</f>
        <v>0</v>
      </c>
      <c r="AG68" s="186">
        <f>AF76-AF68</f>
        <v>8</v>
      </c>
      <c r="AW68" s="274"/>
    </row>
    <row r="69" spans="1:54" s="186" customFormat="1" ht="12.75" hidden="1" customHeight="1" x14ac:dyDescent="0.2">
      <c r="D69" s="190"/>
      <c r="G69" s="190"/>
      <c r="J69" s="190"/>
      <c r="M69" s="190"/>
      <c r="P69" s="190"/>
      <c r="S69" s="190"/>
      <c r="V69" s="190"/>
      <c r="Y69" s="190"/>
      <c r="AB69" s="190"/>
      <c r="AE69" s="190"/>
      <c r="AW69" s="274"/>
    </row>
    <row r="70" spans="1:54" s="186" customFormat="1" ht="12.75" hidden="1" customHeight="1" x14ac:dyDescent="0.2">
      <c r="D70" s="190"/>
      <c r="G70" s="190"/>
      <c r="J70" s="190"/>
      <c r="M70" s="190"/>
      <c r="P70" s="190"/>
      <c r="S70" s="190"/>
      <c r="V70" s="190"/>
      <c r="Y70" s="190"/>
      <c r="AB70" s="190"/>
      <c r="AE70" s="190"/>
      <c r="AW70" s="274"/>
    </row>
    <row r="71" spans="1:54" s="186" customFormat="1" ht="51" hidden="1" customHeight="1" x14ac:dyDescent="0.2">
      <c r="A71" s="189" t="s">
        <v>110</v>
      </c>
      <c r="C71" s="186">
        <f>SUMIF(B64:D68,"&gt;0")</f>
        <v>2</v>
      </c>
      <c r="D71" s="190"/>
      <c r="F71" s="186">
        <f>SUMIF(E64:G68,"&gt;0")</f>
        <v>2</v>
      </c>
      <c r="G71" s="190"/>
      <c r="I71" s="186">
        <f>SUMIF(H64:J68,"&gt;0")</f>
        <v>2</v>
      </c>
      <c r="J71" s="190"/>
      <c r="L71" s="186">
        <f>SUMIF(K64:M68,"&gt;0")</f>
        <v>2</v>
      </c>
      <c r="M71" s="190"/>
      <c r="O71" s="186">
        <f>SUMIF(N64:P68,"&gt;0")</f>
        <v>2</v>
      </c>
      <c r="P71" s="190"/>
      <c r="R71" s="186">
        <f>SUMIF(Q64:S68,"&gt;0")</f>
        <v>2</v>
      </c>
      <c r="S71" s="190"/>
      <c r="U71" s="186">
        <f>SUMIF(T64:V68,"&gt;0")</f>
        <v>2</v>
      </c>
      <c r="V71" s="190"/>
      <c r="X71" s="186">
        <f>SUMIF(W64:Y68,"&gt;0")</f>
        <v>2</v>
      </c>
      <c r="Y71" s="190"/>
      <c r="AA71" s="186">
        <f>SUMIF(Z64:AB68,"&gt;0")</f>
        <v>2</v>
      </c>
      <c r="AB71" s="190"/>
      <c r="AD71" s="186">
        <f>SUMIF(AC64:AE68,"&gt;0")</f>
        <v>2</v>
      </c>
      <c r="AE71" s="190"/>
      <c r="AF71" s="189" t="s">
        <v>111</v>
      </c>
      <c r="AW71" s="274"/>
    </row>
    <row r="72" spans="1:54" s="186" customFormat="1" ht="12.75" hidden="1" customHeight="1" x14ac:dyDescent="0.2">
      <c r="A72" s="186" t="s">
        <v>101</v>
      </c>
      <c r="B72" s="186">
        <f>IF(B24=1,C71,0)</f>
        <v>0</v>
      </c>
      <c r="D72" s="190">
        <f>IF(D24=1,C71,0)</f>
        <v>0</v>
      </c>
      <c r="E72" s="186">
        <f>IF(E24=1,F71,0)</f>
        <v>2</v>
      </c>
      <c r="G72" s="190">
        <f>IF(G24=1,F71,0)</f>
        <v>0</v>
      </c>
      <c r="H72" s="186">
        <f>IF(H24=1,I71,0)</f>
        <v>0</v>
      </c>
      <c r="J72" s="190">
        <f>IF(J24=1,I71,0)</f>
        <v>0</v>
      </c>
      <c r="K72" s="186">
        <f>IF(K24=1,L71,0)</f>
        <v>0</v>
      </c>
      <c r="M72" s="190">
        <f>IF(M24=1,L71,0)</f>
        <v>0</v>
      </c>
      <c r="N72" s="186">
        <f>IF(N24=1,O71,0)</f>
        <v>2</v>
      </c>
      <c r="P72" s="190">
        <f>IF(P24=1,O71,0)</f>
        <v>0</v>
      </c>
      <c r="Q72" s="186">
        <f>IF(Q24=1,R71,0)</f>
        <v>0</v>
      </c>
      <c r="S72" s="190">
        <f>IF(S24=1,R71,0)</f>
        <v>0</v>
      </c>
      <c r="T72" s="186">
        <f>IF(T24=1,U71,0)</f>
        <v>0</v>
      </c>
      <c r="V72" s="190">
        <f>IF(V24=1,U71,0)</f>
        <v>0</v>
      </c>
      <c r="W72" s="186">
        <f>IF(W24=1,X71,0)</f>
        <v>2</v>
      </c>
      <c r="Y72" s="190">
        <f>IF(Y24=1,X71,0)</f>
        <v>0</v>
      </c>
      <c r="Z72" s="186">
        <f>IF(Z24=1,AA71,0)</f>
        <v>0</v>
      </c>
      <c r="AB72" s="190">
        <f>IF(AB24=1,AA71,0)</f>
        <v>0</v>
      </c>
      <c r="AC72" s="186">
        <f>IF(AC24=1,AD71,0)</f>
        <v>2</v>
      </c>
      <c r="AE72" s="190">
        <f>IF(AE24=1,AD71,0)</f>
        <v>0</v>
      </c>
      <c r="AF72" s="186">
        <f>SUM(B72:AE72)</f>
        <v>8</v>
      </c>
      <c r="AW72" s="274"/>
    </row>
    <row r="73" spans="1:54" s="186" customFormat="1" ht="12.75" hidden="1" customHeight="1" x14ac:dyDescent="0.2">
      <c r="A73" s="186" t="s">
        <v>102</v>
      </c>
      <c r="B73" s="186">
        <f>IF(B24=2,C71,0)</f>
        <v>2</v>
      </c>
      <c r="D73" s="190">
        <f>IF(D24=2,C71,0)</f>
        <v>0</v>
      </c>
      <c r="E73" s="186">
        <f>IF(E24=2,F71,0)</f>
        <v>0</v>
      </c>
      <c r="G73" s="190">
        <f>IF(G24=2,F71,0)</f>
        <v>0</v>
      </c>
      <c r="H73" s="186">
        <f>IF(H24=2,I71,0)</f>
        <v>0</v>
      </c>
      <c r="J73" s="190">
        <f>IF(J24=2,I71,0)</f>
        <v>0</v>
      </c>
      <c r="K73" s="186">
        <f>IF(K24=2,L71,0)</f>
        <v>2</v>
      </c>
      <c r="M73" s="190">
        <f>IF(M24=2,L71,0)</f>
        <v>0</v>
      </c>
      <c r="N73" s="186">
        <f>IF(N24=2,O71,0)</f>
        <v>0</v>
      </c>
      <c r="P73" s="190">
        <f>IF(P24=2,O71,0)</f>
        <v>0</v>
      </c>
      <c r="Q73" s="186">
        <f>IF(Q24=2,R71,0)</f>
        <v>0</v>
      </c>
      <c r="S73" s="190">
        <f>IF(S24=2,R71,0)</f>
        <v>0</v>
      </c>
      <c r="T73" s="186">
        <f>IF(T24=2,U71,0)</f>
        <v>2</v>
      </c>
      <c r="V73" s="190">
        <f>IF(V24=2,U71,0)</f>
        <v>0</v>
      </c>
      <c r="W73" s="186">
        <f>IF(W24=2,X71,0)</f>
        <v>0</v>
      </c>
      <c r="Y73" s="190">
        <f>IF(Y24=2,X71,0)</f>
        <v>0</v>
      </c>
      <c r="Z73" s="186">
        <f>IF(Z24=2,AA71,0)</f>
        <v>0</v>
      </c>
      <c r="AB73" s="190">
        <f>IF(AB24=2,AA71,0)</f>
        <v>0</v>
      </c>
      <c r="AC73" s="186">
        <f>IF(AC24=2,AD71,0)</f>
        <v>0</v>
      </c>
      <c r="AE73" s="190">
        <f>IF(AE24=2,AD71,0)</f>
        <v>2</v>
      </c>
      <c r="AF73" s="186">
        <f>SUM(B73:AE73)</f>
        <v>8</v>
      </c>
      <c r="AW73" s="274"/>
    </row>
    <row r="74" spans="1:54" s="186" customFormat="1" ht="12.75" hidden="1" customHeight="1" x14ac:dyDescent="0.2">
      <c r="A74" s="186" t="s">
        <v>103</v>
      </c>
      <c r="B74" s="186">
        <f>IF(B24=3,C71,0)</f>
        <v>0</v>
      </c>
      <c r="D74" s="190">
        <f>IF(D24=3,C71,0)</f>
        <v>0</v>
      </c>
      <c r="E74" s="186">
        <f>IF(E24=3,F71,0)</f>
        <v>0</v>
      </c>
      <c r="G74" s="190">
        <f>IF(G24=3,F71,0)</f>
        <v>0</v>
      </c>
      <c r="H74" s="186">
        <f>IF(H24=3,I71,0)</f>
        <v>2</v>
      </c>
      <c r="J74" s="190">
        <f>IF(J24=3,I71,0)</f>
        <v>0</v>
      </c>
      <c r="K74" s="186">
        <f>IF(K24=3,L71,0)</f>
        <v>0</v>
      </c>
      <c r="M74" s="190">
        <f>IF(M24=3,L71,0)</f>
        <v>0</v>
      </c>
      <c r="N74" s="186">
        <f>IF(N24=3,O71,0)</f>
        <v>0</v>
      </c>
      <c r="P74" s="190">
        <f>IF(P24=3,O71,0)</f>
        <v>2</v>
      </c>
      <c r="Q74" s="186">
        <f>IF(Q24=3,R71,0)</f>
        <v>0</v>
      </c>
      <c r="S74" s="190">
        <f>IF(S24=3,R71,0)</f>
        <v>0</v>
      </c>
      <c r="T74" s="186">
        <f>IF(T24=3,U71,0)</f>
        <v>0</v>
      </c>
      <c r="V74" s="190">
        <f>IF(V24=3,U71,0)</f>
        <v>2</v>
      </c>
      <c r="W74" s="186">
        <f>IF(W24=3,X71,0)</f>
        <v>0</v>
      </c>
      <c r="Y74" s="190">
        <f>IF(Y24=3,X71,0)</f>
        <v>0</v>
      </c>
      <c r="Z74" s="186">
        <f>IF(Z24=3,AA71,0)</f>
        <v>2</v>
      </c>
      <c r="AB74" s="190">
        <f>IF(AB24=3,AA71,0)</f>
        <v>0</v>
      </c>
      <c r="AC74" s="186">
        <f>IF(AC24=3,AD71,0)</f>
        <v>0</v>
      </c>
      <c r="AE74" s="190">
        <f>IF(AE24=3,AD71,0)</f>
        <v>0</v>
      </c>
      <c r="AF74" s="186">
        <f>SUM(B74:AE74)</f>
        <v>8</v>
      </c>
      <c r="AW74" s="274"/>
    </row>
    <row r="75" spans="1:54" s="186" customFormat="1" ht="12.75" hidden="1" customHeight="1" x14ac:dyDescent="0.2">
      <c r="A75" s="186" t="s">
        <v>104</v>
      </c>
      <c r="B75" s="186">
        <f>IF(B24=4,C71,0)</f>
        <v>0</v>
      </c>
      <c r="D75" s="190">
        <f>IF(D24=4,C71,0)</f>
        <v>0</v>
      </c>
      <c r="E75" s="186">
        <f>IF(E24=4,F71,0)</f>
        <v>0</v>
      </c>
      <c r="G75" s="190">
        <f>IF(G24=4,F71,0)</f>
        <v>2</v>
      </c>
      <c r="H75" s="186">
        <f>IF(H24=4,I71,0)</f>
        <v>0</v>
      </c>
      <c r="J75" s="190">
        <f>IF(J24=4,I71,0)</f>
        <v>0</v>
      </c>
      <c r="K75" s="186">
        <f>IF(K24=4,L71,0)</f>
        <v>0</v>
      </c>
      <c r="M75" s="190">
        <f>IF(M24=4,L71,0)</f>
        <v>2</v>
      </c>
      <c r="N75" s="186">
        <f>IF(N24=4,O71,0)</f>
        <v>0</v>
      </c>
      <c r="P75" s="190">
        <f>IF(P24=4,O71,0)</f>
        <v>0</v>
      </c>
      <c r="Q75" s="186">
        <f>IF(Q24=4,R71,0)</f>
        <v>2</v>
      </c>
      <c r="S75" s="190">
        <f>IF(S24=4,R71,0)</f>
        <v>0</v>
      </c>
      <c r="T75" s="186">
        <f>IF(T24=4,U71,0)</f>
        <v>0</v>
      </c>
      <c r="V75" s="190">
        <f>IF(V24=4,U71,0)</f>
        <v>0</v>
      </c>
      <c r="W75" s="186">
        <f>IF(W24=4,X71,0)</f>
        <v>0</v>
      </c>
      <c r="Y75" s="190">
        <f>IF(Y24=4,X71,0)</f>
        <v>0</v>
      </c>
      <c r="Z75" s="186">
        <f>IF(Z24=4,AA71,0)</f>
        <v>0</v>
      </c>
      <c r="AB75" s="190">
        <f>IF(AB24=4,AA71,0)</f>
        <v>2</v>
      </c>
      <c r="AC75" s="186">
        <f>IF(AC24=4,AD71,0)</f>
        <v>0</v>
      </c>
      <c r="AE75" s="190">
        <f>IF(AE24=4,AD71,0)</f>
        <v>0</v>
      </c>
      <c r="AF75" s="186">
        <f>SUM(B75:AE75)</f>
        <v>8</v>
      </c>
      <c r="AW75" s="274"/>
    </row>
    <row r="76" spans="1:54" s="186" customFormat="1" ht="12.75" hidden="1" customHeight="1" x14ac:dyDescent="0.2">
      <c r="A76" s="186" t="s">
        <v>105</v>
      </c>
      <c r="B76" s="186">
        <f>IF(B24=5,C71,0)</f>
        <v>0</v>
      </c>
      <c r="D76" s="190">
        <f>IF(D24=5,C71,0)</f>
        <v>2</v>
      </c>
      <c r="E76" s="186">
        <f>IF(E24=5,F71,0)</f>
        <v>0</v>
      </c>
      <c r="G76" s="190">
        <f>IF(G24=5,F71,0)</f>
        <v>0</v>
      </c>
      <c r="H76" s="186">
        <f>IF(H24=5,I71,0)</f>
        <v>0</v>
      </c>
      <c r="J76" s="190">
        <f>IF(J24=5,I71,0)</f>
        <v>2</v>
      </c>
      <c r="K76" s="186">
        <f>IF(K24=5,L71,0)</f>
        <v>0</v>
      </c>
      <c r="M76" s="190">
        <f>IF(M24=5,L71,0)</f>
        <v>0</v>
      </c>
      <c r="N76" s="186">
        <f>IF(N24=5,O71,0)</f>
        <v>0</v>
      </c>
      <c r="P76" s="190">
        <f>IF(P24=5,O71,0)</f>
        <v>0</v>
      </c>
      <c r="Q76" s="186">
        <f>IF(Q24=5,R71,0)</f>
        <v>0</v>
      </c>
      <c r="S76" s="190">
        <f>IF(S24=5,R71,0)</f>
        <v>2</v>
      </c>
      <c r="T76" s="186">
        <f>IF(T24=5,U71,0)</f>
        <v>0</v>
      </c>
      <c r="V76" s="190">
        <f>IF(V24=5,U71,0)</f>
        <v>0</v>
      </c>
      <c r="W76" s="186">
        <f>IF(W24=5,X71,0)</f>
        <v>0</v>
      </c>
      <c r="Y76" s="190">
        <f>IF(Y24=5,X71,0)</f>
        <v>2</v>
      </c>
      <c r="Z76" s="186">
        <f>IF(Z24=5,AA71,0)</f>
        <v>0</v>
      </c>
      <c r="AB76" s="190">
        <f>IF(AB24=5,AA71,0)</f>
        <v>0</v>
      </c>
      <c r="AC76" s="186">
        <f>IF(AC24=5,AD71,0)</f>
        <v>0</v>
      </c>
      <c r="AE76" s="190">
        <f>IF(AE24=5,AD71,0)</f>
        <v>0</v>
      </c>
      <c r="AF76" s="186">
        <f>SUM(B76:AE76)</f>
        <v>8</v>
      </c>
      <c r="AW76" s="274"/>
    </row>
    <row r="77" spans="1:54" hidden="1" x14ac:dyDescent="0.2">
      <c r="A77" s="191"/>
      <c r="B77" s="191"/>
      <c r="C77" s="191"/>
      <c r="D77" s="191"/>
      <c r="E77" s="191"/>
      <c r="F77" s="191"/>
      <c r="G77" s="191"/>
      <c r="H77" s="191"/>
      <c r="I77" s="191"/>
      <c r="J77" s="191"/>
      <c r="K77" s="191"/>
      <c r="L77" s="191"/>
      <c r="M77" s="191"/>
      <c r="N77" s="191"/>
      <c r="O77" s="191"/>
      <c r="P77" s="191"/>
      <c r="Q77" s="191"/>
      <c r="R77" s="191"/>
      <c r="S77" s="191"/>
      <c r="T77" s="191"/>
      <c r="U77" s="191"/>
      <c r="V77" s="191"/>
      <c r="W77" s="191"/>
      <c r="X77" s="191"/>
      <c r="Y77" s="191"/>
      <c r="Z77" s="191"/>
      <c r="AA77" s="191"/>
      <c r="AB77" s="191"/>
      <c r="AC77" s="191"/>
      <c r="AD77" s="191"/>
      <c r="AE77" s="191"/>
      <c r="AF77" s="191"/>
      <c r="AG77" s="191"/>
      <c r="AH77" s="191"/>
      <c r="AI77" s="191"/>
      <c r="AJ77" s="191"/>
      <c r="AK77" s="191"/>
      <c r="AL77" s="191"/>
      <c r="AM77" s="191"/>
      <c r="AN77" s="192"/>
      <c r="AO77" s="192"/>
      <c r="AP77" s="192"/>
      <c r="AQ77" s="192"/>
      <c r="AR77" s="193"/>
      <c r="AS77" s="193"/>
      <c r="AT77" s="193"/>
      <c r="AU77" s="193"/>
      <c r="AV77" s="193"/>
      <c r="BB77" s="194"/>
    </row>
    <row r="78" spans="1:54" s="193" customFormat="1" hidden="1" x14ac:dyDescent="0.2">
      <c r="A78" s="195"/>
      <c r="B78" s="195"/>
      <c r="C78" s="195" t="s">
        <v>112</v>
      </c>
      <c r="D78" s="195">
        <v>1</v>
      </c>
      <c r="E78" s="195"/>
      <c r="F78" s="195"/>
      <c r="G78" s="195">
        <v>2</v>
      </c>
      <c r="H78" s="195"/>
      <c r="I78" s="195"/>
      <c r="J78" s="195">
        <v>3</v>
      </c>
      <c r="K78" s="195"/>
      <c r="L78" s="195"/>
      <c r="M78" s="195">
        <v>4</v>
      </c>
      <c r="N78" s="195"/>
      <c r="O78" s="195"/>
      <c r="P78" s="195">
        <v>5</v>
      </c>
      <c r="Q78" s="195"/>
      <c r="R78" s="195"/>
      <c r="S78" s="195">
        <v>6</v>
      </c>
      <c r="T78" s="195"/>
      <c r="U78" s="195"/>
      <c r="V78" s="195">
        <v>7</v>
      </c>
      <c r="W78" s="195"/>
      <c r="X78" s="195"/>
      <c r="Y78" s="195">
        <v>8</v>
      </c>
      <c r="Z78" s="195"/>
      <c r="AA78" s="195"/>
      <c r="AB78" s="195">
        <v>9</v>
      </c>
      <c r="AC78" s="195"/>
      <c r="AD78" s="195"/>
      <c r="AE78" s="195">
        <v>10</v>
      </c>
      <c r="AF78" s="134"/>
      <c r="AG78" s="195"/>
      <c r="AI78" s="196"/>
      <c r="AJ78" s="134"/>
      <c r="AK78" s="134"/>
      <c r="AL78" s="134"/>
      <c r="AM78" s="134"/>
      <c r="AN78" s="134"/>
      <c r="AO78" s="134"/>
      <c r="AT78" s="196" t="s">
        <v>113</v>
      </c>
      <c r="AW78" s="197"/>
      <c r="BB78" s="197"/>
    </row>
    <row r="79" spans="1:54" s="193" customFormat="1" hidden="1" x14ac:dyDescent="0.2">
      <c r="A79" s="198">
        <v>1</v>
      </c>
      <c r="B79" s="198" t="str">
        <f>E8</f>
        <v>Chas Jrs 12 Red</v>
      </c>
      <c r="C79" s="198">
        <f>VLOOKUP(B79,AU$3:AY$12,3,FALSE)</f>
        <v>1531.814236061155</v>
      </c>
      <c r="D79" s="198">
        <f>IF(B72,B87,IF(D72,D87,C79))</f>
        <v>1531.814236061155</v>
      </c>
      <c r="E79" s="198"/>
      <c r="F79" s="198"/>
      <c r="G79" s="198">
        <f>IF(E72,E87,IF(G72,G87,D79))</f>
        <v>1552.2245009053204</v>
      </c>
      <c r="H79" s="198"/>
      <c r="I79" s="198"/>
      <c r="J79" s="198">
        <f>IF(H72,H87,IF(J72,J87,G79))</f>
        <v>1552.2245009053204</v>
      </c>
      <c r="K79" s="198"/>
      <c r="L79" s="198"/>
      <c r="M79" s="198">
        <f>IF(K72,K87,IF(M72,M87,J79))</f>
        <v>1552.2245009053204</v>
      </c>
      <c r="N79" s="198"/>
      <c r="O79" s="198"/>
      <c r="P79" s="198">
        <f>IF(N72,N87,IF(P72,P87,M79))</f>
        <v>1573.0972019652422</v>
      </c>
      <c r="Q79" s="198"/>
      <c r="R79" s="198"/>
      <c r="S79" s="198">
        <f>IF(Q72,Q87,IF(S72,S87,P79))</f>
        <v>1573.0972019652422</v>
      </c>
      <c r="T79" s="198"/>
      <c r="U79" s="198"/>
      <c r="V79" s="198">
        <f>IF(T72,T87,IF(V72,V87,S79))</f>
        <v>1573.0972019652422</v>
      </c>
      <c r="W79" s="198"/>
      <c r="X79" s="198"/>
      <c r="Y79" s="198">
        <f>IF(W72,W87,IF(Y72,Y87,V79))</f>
        <v>1579.09423600129</v>
      </c>
      <c r="Z79" s="198"/>
      <c r="AA79" s="198"/>
      <c r="AB79" s="198">
        <f>IF(Z72,Z87,IF(AB72,AB87,Y79))</f>
        <v>1579.09423600129</v>
      </c>
      <c r="AC79" s="198"/>
      <c r="AD79" s="198"/>
      <c r="AE79" s="198">
        <f>IF(AC72,AC87,IF(AE72,AE87,AB79))</f>
        <v>1595.6788293469422</v>
      </c>
      <c r="AF79" s="134"/>
      <c r="AG79" s="134"/>
      <c r="AJ79" s="134"/>
      <c r="AK79" s="134"/>
      <c r="AL79" s="134"/>
      <c r="AM79" s="134"/>
      <c r="AN79" s="134"/>
      <c r="AO79" s="134"/>
      <c r="AT79" s="193" t="str">
        <f>B79</f>
        <v>Chas Jrs 12 Red</v>
      </c>
      <c r="AU79" s="193">
        <f>AE79</f>
        <v>1595.6788293469422</v>
      </c>
      <c r="AW79" s="197"/>
      <c r="BB79" s="197"/>
    </row>
    <row r="80" spans="1:54" s="193" customFormat="1" hidden="1" x14ac:dyDescent="0.2">
      <c r="A80" s="198">
        <v>2</v>
      </c>
      <c r="B80" s="198" t="str">
        <f>E10</f>
        <v>Lake Murray 12 Black</v>
      </c>
      <c r="C80" s="198">
        <f>VLOOKUP(B80,AU$3:AY$12,3,FALSE)</f>
        <v>1420.369437083843</v>
      </c>
      <c r="D80" s="198">
        <f>IF(B73,B87,IF(D73,D87,C80))</f>
        <v>1436.1322565334842</v>
      </c>
      <c r="E80" s="198"/>
      <c r="F80" s="198"/>
      <c r="G80" s="198">
        <f>IF(E73,E87,IF(G73,G87,D80))</f>
        <v>1436.1322565334842</v>
      </c>
      <c r="H80" s="198"/>
      <c r="I80" s="198"/>
      <c r="J80" s="198">
        <f>IF(H73,H87,IF(J73,J87,G80))</f>
        <v>1436.1322565334842</v>
      </c>
      <c r="K80" s="198"/>
      <c r="L80" s="198"/>
      <c r="M80" s="198">
        <f>IF(K73,K87,IF(M73,M87,J80))</f>
        <v>1430.9699919705004</v>
      </c>
      <c r="N80" s="198"/>
      <c r="O80" s="198"/>
      <c r="P80" s="198">
        <f>IF(N73,N87,IF(P73,P87,M80))</f>
        <v>1430.9699919705004</v>
      </c>
      <c r="Q80" s="198"/>
      <c r="R80" s="198"/>
      <c r="S80" s="198">
        <f>IF(Q73,Q87,IF(S73,S87,P80))</f>
        <v>1430.9699919705004</v>
      </c>
      <c r="T80" s="198"/>
      <c r="U80" s="198"/>
      <c r="V80" s="198">
        <f>IF(T73,T87,IF(V73,V87,S80))</f>
        <v>1396.6083749932859</v>
      </c>
      <c r="W80" s="198"/>
      <c r="X80" s="198"/>
      <c r="Y80" s="198">
        <f>IF(W73,W87,IF(Y73,Y87,V80))</f>
        <v>1396.6083749932859</v>
      </c>
      <c r="Z80" s="198"/>
      <c r="AA80" s="198"/>
      <c r="AB80" s="198">
        <f>IF(Z73,Z87,IF(AB73,AB87,Y80))</f>
        <v>1396.6083749932859</v>
      </c>
      <c r="AC80" s="198"/>
      <c r="AD80" s="198"/>
      <c r="AE80" s="198">
        <f>IF(AC73,AC87,IF(AE73,AE87,AB80))</f>
        <v>1380.0237816476338</v>
      </c>
      <c r="AF80" s="134"/>
      <c r="AG80" s="134"/>
      <c r="AJ80" s="134"/>
      <c r="AL80" s="134"/>
      <c r="AM80" s="134"/>
      <c r="AN80" s="134"/>
      <c r="AO80" s="134"/>
      <c r="AT80" s="193" t="str">
        <f>B80</f>
        <v>Lake Murray 12 Black</v>
      </c>
      <c r="AU80" s="193">
        <f>AE80</f>
        <v>1380.0237816476338</v>
      </c>
      <c r="AW80" s="197"/>
      <c r="BB80" s="197"/>
    </row>
    <row r="81" spans="1:54" s="193" customFormat="1" hidden="1" x14ac:dyDescent="0.2">
      <c r="A81" s="198">
        <v>3</v>
      </c>
      <c r="B81" s="198" t="str">
        <f>E12</f>
        <v>CSRA Heat 12 Gold</v>
      </c>
      <c r="C81" s="198">
        <f>VLOOKUP(B81,AU$3:AY$12,3,FALSE)</f>
        <v>1410.8128235954669</v>
      </c>
      <c r="D81" s="198">
        <f>IF(B74,B87,IF(D74,D87,C81))</f>
        <v>1410.8128235954669</v>
      </c>
      <c r="E81" s="198"/>
      <c r="F81" s="198"/>
      <c r="G81" s="198">
        <f>IF(E74,E87,IF(G74,G87,D81))</f>
        <v>1410.8128235954669</v>
      </c>
      <c r="H81" s="198"/>
      <c r="I81" s="198"/>
      <c r="J81" s="198">
        <f>IF(H74,H87,IF(J74,J87,G81))</f>
        <v>1426.1550585054852</v>
      </c>
      <c r="K81" s="198"/>
      <c r="L81" s="198"/>
      <c r="M81" s="198">
        <f>IF(K74,K87,IF(M74,M87,J81))</f>
        <v>1426.1550585054852</v>
      </c>
      <c r="N81" s="198"/>
      <c r="O81" s="198"/>
      <c r="P81" s="198">
        <f>IF(N74,N87,IF(P74,P87,M81))</f>
        <v>1405.2823574455633</v>
      </c>
      <c r="Q81" s="198"/>
      <c r="R81" s="198"/>
      <c r="S81" s="198">
        <f>IF(Q74,Q87,IF(S74,S87,P81))</f>
        <v>1405.2823574455633</v>
      </c>
      <c r="T81" s="198"/>
      <c r="U81" s="198"/>
      <c r="V81" s="198">
        <f>IF(T74,T87,IF(V74,V87,S81))</f>
        <v>1439.6439744227778</v>
      </c>
      <c r="W81" s="198"/>
      <c r="X81" s="198"/>
      <c r="Y81" s="198">
        <f>IF(W74,W87,IF(Y74,Y87,V81))</f>
        <v>1439.6439744227778</v>
      </c>
      <c r="Z81" s="198"/>
      <c r="AA81" s="198"/>
      <c r="AB81" s="198">
        <f>IF(Z74,Z87,IF(AB74,AB87,Y81))</f>
        <v>1436.0834595325007</v>
      </c>
      <c r="AC81" s="198"/>
      <c r="AD81" s="198"/>
      <c r="AE81" s="198">
        <f>IF(AC74,AC87,IF(AE74,AE87,AB81))</f>
        <v>1436.0834595325007</v>
      </c>
      <c r="AF81" s="134"/>
      <c r="AG81" s="134"/>
      <c r="AJ81" s="134"/>
      <c r="AL81" s="134"/>
      <c r="AM81" s="134"/>
      <c r="AN81" s="134"/>
      <c r="AO81" s="134"/>
      <c r="AT81" s="193" t="str">
        <f>B81</f>
        <v>CSRA Heat 12 Gold</v>
      </c>
      <c r="AU81" s="193">
        <f>AE81</f>
        <v>1436.0834595325007</v>
      </c>
      <c r="AW81" s="197"/>
      <c r="BB81" s="197"/>
    </row>
    <row r="82" spans="1:54" s="193" customFormat="1" hidden="1" x14ac:dyDescent="0.2">
      <c r="A82" s="198">
        <v>4</v>
      </c>
      <c r="B82" s="198" t="str">
        <f>E14</f>
        <v>Magnum Aiken 12 Yellow</v>
      </c>
      <c r="C82" s="198">
        <f>VLOOKUP(B82,AU$3:AY$12,3,FALSE)</f>
        <v>1400</v>
      </c>
      <c r="D82" s="198">
        <f>IF(B75,B87,IF(D75,D87,C82))</f>
        <v>1400</v>
      </c>
      <c r="E82" s="198"/>
      <c r="F82" s="198"/>
      <c r="G82" s="198">
        <f>IF(E75,E87,IF(G75,G87,D82))</f>
        <v>1379.5897351558347</v>
      </c>
      <c r="H82" s="198"/>
      <c r="I82" s="198"/>
      <c r="J82" s="198">
        <f>IF(H75,H87,IF(J75,J87,G82))</f>
        <v>1379.5897351558347</v>
      </c>
      <c r="K82" s="198"/>
      <c r="L82" s="198"/>
      <c r="M82" s="198">
        <f>IF(K75,K87,IF(M75,M87,J82))</f>
        <v>1384.7519997188185</v>
      </c>
      <c r="N82" s="198"/>
      <c r="O82" s="198"/>
      <c r="P82" s="198">
        <f>IF(N75,N87,IF(P75,P87,M82))</f>
        <v>1384.7519997188185</v>
      </c>
      <c r="Q82" s="198"/>
      <c r="R82" s="198"/>
      <c r="S82" s="198">
        <f>IF(Q75,Q87,IF(S75,S87,P82))</f>
        <v>1400.8254499098095</v>
      </c>
      <c r="T82" s="198"/>
      <c r="U82" s="198"/>
      <c r="V82" s="198">
        <f>IF(T75,T87,IF(V75,V87,S82))</f>
        <v>1400.8254499098095</v>
      </c>
      <c r="W82" s="198"/>
      <c r="X82" s="198"/>
      <c r="Y82" s="198">
        <f>IF(W75,W87,IF(Y75,Y87,V82))</f>
        <v>1400.8254499098095</v>
      </c>
      <c r="Z82" s="198"/>
      <c r="AA82" s="198"/>
      <c r="AB82" s="198">
        <f>IF(Z75,Z87,IF(AB75,AB87,Y82))</f>
        <v>1404.3859648000866</v>
      </c>
      <c r="AC82" s="198"/>
      <c r="AD82" s="198"/>
      <c r="AE82" s="198">
        <f>IF(AC75,AC87,IF(AE75,AE87,AB82))</f>
        <v>1404.3859648000866</v>
      </c>
      <c r="AF82" s="134"/>
      <c r="AG82" s="134"/>
      <c r="AJ82" s="134"/>
      <c r="AL82" s="134"/>
      <c r="AM82" s="134"/>
      <c r="AN82" s="134"/>
      <c r="AO82" s="134"/>
      <c r="AT82" s="193" t="str">
        <f>B82</f>
        <v>Magnum Aiken 12 Yellow</v>
      </c>
      <c r="AU82" s="193">
        <f>AE82</f>
        <v>1404.3859648000866</v>
      </c>
      <c r="AW82" s="197"/>
      <c r="BB82" s="197"/>
    </row>
    <row r="83" spans="1:54" s="193" customFormat="1" hidden="1" x14ac:dyDescent="0.2">
      <c r="A83" s="198">
        <v>5</v>
      </c>
      <c r="B83" s="198" t="str">
        <f>E16</f>
        <v>High Velocity 12's</v>
      </c>
      <c r="C83" s="198">
        <f>VLOOKUP(B83,AU$3:AY$12,3,FALSE)</f>
        <v>1226.0702313271092</v>
      </c>
      <c r="D83" s="198">
        <f>IF(B76,B87,IF(D76,D87,C83))</f>
        <v>1210.307411877468</v>
      </c>
      <c r="E83" s="198"/>
      <c r="F83" s="198"/>
      <c r="G83" s="198">
        <f>IF(E76,E87,IF(G76,G87,D83))</f>
        <v>1210.307411877468</v>
      </c>
      <c r="H83" s="198"/>
      <c r="I83" s="198"/>
      <c r="J83" s="198">
        <f>IF(H76,H87,IF(J76,J87,G83))</f>
        <v>1194.9651769674497</v>
      </c>
      <c r="K83" s="198"/>
      <c r="L83" s="198"/>
      <c r="M83" s="198">
        <f>IF(K76,K87,IF(M76,M87,J83))</f>
        <v>1194.9651769674497</v>
      </c>
      <c r="N83" s="198"/>
      <c r="O83" s="198"/>
      <c r="P83" s="198">
        <f>IF(N76,N87,IF(P76,P87,M83))</f>
        <v>1194.9651769674497</v>
      </c>
      <c r="Q83" s="198"/>
      <c r="R83" s="198"/>
      <c r="S83" s="198">
        <f>IF(Q76,Q87,IF(S76,S87,P83))</f>
        <v>1178.8917267764587</v>
      </c>
      <c r="T83" s="198"/>
      <c r="U83" s="198"/>
      <c r="V83" s="198">
        <f>IF(T76,T87,IF(V76,V87,S83))</f>
        <v>1178.8917267764587</v>
      </c>
      <c r="W83" s="198"/>
      <c r="X83" s="198"/>
      <c r="Y83" s="198">
        <f>IF(W76,W87,IF(Y76,Y87,V83))</f>
        <v>1172.8946927404108</v>
      </c>
      <c r="Z83" s="198"/>
      <c r="AA83" s="198"/>
      <c r="AB83" s="198">
        <f>IF(Z76,Z87,IF(AB76,AB87,Y83))</f>
        <v>1172.8946927404108</v>
      </c>
      <c r="AC83" s="198"/>
      <c r="AD83" s="198"/>
      <c r="AE83" s="198">
        <f>IF(AC76,AC87,IF(AE76,AE87,AB83))</f>
        <v>1172.8946927404108</v>
      </c>
      <c r="AF83" s="134"/>
      <c r="AG83" s="134"/>
      <c r="AJ83" s="134"/>
      <c r="AL83" s="134"/>
      <c r="AM83" s="134"/>
      <c r="AN83" s="134"/>
      <c r="AO83" s="134"/>
      <c r="AT83" s="193" t="str">
        <f>B83</f>
        <v>High Velocity 12's</v>
      </c>
      <c r="AU83" s="193">
        <f>AE83</f>
        <v>1172.8946927404108</v>
      </c>
      <c r="AW83" s="197"/>
      <c r="BB83" s="197"/>
    </row>
    <row r="84" spans="1:54" s="193" customFormat="1" hidden="1" x14ac:dyDescent="0.2">
      <c r="A84" s="198"/>
      <c r="B84" s="198"/>
      <c r="C84" s="198"/>
      <c r="D84" s="198"/>
      <c r="E84" s="198"/>
      <c r="F84" s="198"/>
      <c r="G84" s="198"/>
      <c r="H84" s="198"/>
      <c r="I84" s="198"/>
      <c r="J84" s="198"/>
      <c r="K84" s="198"/>
      <c r="L84" s="198"/>
      <c r="M84" s="198"/>
      <c r="N84" s="198"/>
      <c r="O84" s="198"/>
      <c r="P84" s="198"/>
      <c r="Q84" s="198"/>
      <c r="R84" s="198"/>
      <c r="S84" s="198"/>
      <c r="T84" s="198"/>
      <c r="U84" s="198"/>
      <c r="V84" s="198"/>
      <c r="W84" s="198"/>
      <c r="X84" s="198"/>
      <c r="Y84" s="198"/>
      <c r="Z84" s="198"/>
      <c r="AA84" s="198"/>
      <c r="AB84" s="198"/>
      <c r="AC84" s="198"/>
      <c r="AD84" s="198"/>
      <c r="AE84" s="198"/>
      <c r="AF84" s="134"/>
      <c r="AG84" s="134"/>
      <c r="AJ84" s="134"/>
      <c r="AL84" s="134"/>
      <c r="AM84" s="134"/>
      <c r="AN84" s="134"/>
      <c r="AO84" s="134"/>
      <c r="AW84" s="197"/>
      <c r="BB84" s="197"/>
    </row>
    <row r="85" spans="1:54" s="193" customFormat="1" hidden="1" x14ac:dyDescent="0.2">
      <c r="A85" s="198" t="s">
        <v>114</v>
      </c>
      <c r="B85" s="198">
        <f>VLOOKUP(B24,$A79:$AE83,3,FALSE)</f>
        <v>1420.369437083843</v>
      </c>
      <c r="C85" s="198">
        <v>1</v>
      </c>
      <c r="D85" s="198">
        <f>VLOOKUP(D24,$A79:$AE83,3,FALSE)</f>
        <v>1226.0702313271092</v>
      </c>
      <c r="E85" s="198">
        <f>VLOOKUP(E24,$A79:$AE83,4,FALSE)</f>
        <v>1531.814236061155</v>
      </c>
      <c r="F85" s="198">
        <v>2</v>
      </c>
      <c r="G85" s="198">
        <f>VLOOKUP(G24,$A79:$AE83,4,FALSE)</f>
        <v>1400</v>
      </c>
      <c r="H85" s="198">
        <f>VLOOKUP(H24,$A79:$AE83,7,FALSE)</f>
        <v>1410.8128235954669</v>
      </c>
      <c r="I85" s="198">
        <v>3</v>
      </c>
      <c r="J85" s="198">
        <f>VLOOKUP(J24,$A79:$AE83,7,FALSE)</f>
        <v>1210.307411877468</v>
      </c>
      <c r="K85" s="198">
        <f>VLOOKUP(K24,$A79:$AE83,10,FALSE)</f>
        <v>1436.1322565334842</v>
      </c>
      <c r="L85" s="198">
        <v>4</v>
      </c>
      <c r="M85" s="198">
        <f>VLOOKUP(M24,$A79:$AE83,10,FALSE)</f>
        <v>1379.5897351558347</v>
      </c>
      <c r="N85" s="198">
        <f>VLOOKUP(N24,$A79:$AE83,13,FALSE)</f>
        <v>1552.2245009053204</v>
      </c>
      <c r="O85" s="198">
        <v>5</v>
      </c>
      <c r="P85" s="198">
        <f>VLOOKUP(P24,$A79:$AE83,13,FALSE)</f>
        <v>1426.1550585054852</v>
      </c>
      <c r="Q85" s="198">
        <f>VLOOKUP(Q24,$A79:$AE83,16,FALSE)</f>
        <v>1384.7519997188185</v>
      </c>
      <c r="R85" s="198">
        <v>6</v>
      </c>
      <c r="S85" s="198">
        <f>VLOOKUP(S24,$A79:$AE83,16,FALSE)</f>
        <v>1194.9651769674497</v>
      </c>
      <c r="T85" s="198">
        <f>VLOOKUP(T24,$A79:$AE83,19,FALSE)</f>
        <v>1430.9699919705004</v>
      </c>
      <c r="U85" s="198">
        <v>7</v>
      </c>
      <c r="V85" s="198">
        <f>VLOOKUP(V24,$A79:$AE83,19,FALSE)</f>
        <v>1405.2823574455633</v>
      </c>
      <c r="W85" s="198">
        <f>VLOOKUP(W24,$A79:$AE83,22,FALSE)</f>
        <v>1573.0972019652422</v>
      </c>
      <c r="X85" s="198">
        <v>8</v>
      </c>
      <c r="Y85" s="198">
        <f>VLOOKUP(Y24,$A79:$AE83,22,FALSE)</f>
        <v>1178.8917267764587</v>
      </c>
      <c r="Z85" s="198">
        <f>VLOOKUP(Z24,$A79:$AE83,25,FALSE)</f>
        <v>1439.6439744227778</v>
      </c>
      <c r="AA85" s="198">
        <v>9</v>
      </c>
      <c r="AB85" s="198">
        <f>VLOOKUP(AB24,$A79:$AE83,25,FALSE)</f>
        <v>1400.8254499098095</v>
      </c>
      <c r="AC85" s="198">
        <f>VLOOKUP(AC24,$A79:$AE83,28,FALSE)</f>
        <v>1579.09423600129</v>
      </c>
      <c r="AD85" s="198">
        <v>10</v>
      </c>
      <c r="AE85" s="198">
        <f>VLOOKUP(AE24,$A79:$AE83,28,FALSE)</f>
        <v>1396.6083749932859</v>
      </c>
      <c r="AF85" s="134"/>
      <c r="AG85" s="191"/>
      <c r="AH85" s="191"/>
      <c r="AI85" s="191"/>
      <c r="AJ85" s="191"/>
      <c r="AK85" s="191"/>
      <c r="AL85" s="191"/>
      <c r="AM85" s="191"/>
      <c r="AN85" s="192"/>
      <c r="AO85" s="192"/>
      <c r="AP85" s="192"/>
      <c r="AQ85" s="192"/>
      <c r="AW85" s="197"/>
      <c r="BB85" s="197"/>
    </row>
    <row r="86" spans="1:54" s="203" customFormat="1" hidden="1" x14ac:dyDescent="0.2">
      <c r="A86" s="199" t="s">
        <v>115</v>
      </c>
      <c r="B86" s="199">
        <f>1/(1+(10^-((B85-D85)/400)))*(B36+D36)</f>
        <v>1.5074118921987136</v>
      </c>
      <c r="C86" s="199"/>
      <c r="D86" s="199">
        <f>1/(1+(10^-((D85-B85)/400)))*(B36+D36)</f>
        <v>0.49258810780128642</v>
      </c>
      <c r="E86" s="199">
        <f>1/(1+(10^-((E85-G85)/400)))*(E36+G36)</f>
        <v>1.36217922361983</v>
      </c>
      <c r="F86" s="199"/>
      <c r="G86" s="199">
        <f>1/(1+(10^-((G85-E85)/400)))*(E36+G36)</f>
        <v>0.6378207763801701</v>
      </c>
      <c r="H86" s="199">
        <f>1/(1+(10^-((H85-J85)/400)))*(H36+J36)</f>
        <v>1.5205551590619282</v>
      </c>
      <c r="I86" s="199"/>
      <c r="J86" s="199">
        <f>1/(1+(10^-((J85-H85)/400)))*(H36+J36)</f>
        <v>0.47944484093807171</v>
      </c>
      <c r="K86" s="199">
        <f>1/(1+(10^-((K85-M85)/400)))*(K36+M36)</f>
        <v>1.1613207675932473</v>
      </c>
      <c r="L86" s="199"/>
      <c r="M86" s="199">
        <f>1/(1+(10^-((M85-K85)/400)))*(K36+M36)</f>
        <v>0.83867923240675279</v>
      </c>
      <c r="N86" s="199">
        <f>1/(1+(10^-((N85-P85)/400)))*(N36+P36)</f>
        <v>1.3477280918774437</v>
      </c>
      <c r="O86" s="199"/>
      <c r="P86" s="199">
        <f>1/(1+(10^-((P85-N85)/400)))*(N36+P36)</f>
        <v>0.65227190812255631</v>
      </c>
      <c r="Q86" s="199">
        <f>1/(1+(10^-((Q85-S85)/400)))*(Q36+S36)</f>
        <v>1.4977046815315276</v>
      </c>
      <c r="R86" s="199"/>
      <c r="S86" s="199">
        <f>1/(1+(10^-((S85-Q85)/400)))*(Q36+S36)</f>
        <v>0.5022953184684722</v>
      </c>
      <c r="T86" s="199">
        <f>1/(1+(10^-((T85-V85)/400)))*(T36+V36)</f>
        <v>1.0738005305379521</v>
      </c>
      <c r="U86" s="199"/>
      <c r="V86" s="199">
        <f>1/(1+(10^-((V85-T85)/400)))*(T36+V36)</f>
        <v>0.92619946946204779</v>
      </c>
      <c r="W86" s="199">
        <f>1/(1+(10^-((W85-Y85)/400)))*(W36+Y36)</f>
        <v>1.8125926863735067</v>
      </c>
      <c r="X86" s="199"/>
      <c r="Y86" s="199">
        <f>1/(1+(10^-((Y85-W85)/400)))*(W36+Y36)</f>
        <v>0.18740731362649338</v>
      </c>
      <c r="Z86" s="199">
        <f>1/(1+(10^-((Z85-AB85)/400)))*(Z36+AB36)</f>
        <v>1.111266090321162</v>
      </c>
      <c r="AA86" s="199"/>
      <c r="AB86" s="199">
        <f>1/(1+(10^-((AB85-Z85)/400)))*(Z36+AB36)</f>
        <v>0.88873390967883803</v>
      </c>
      <c r="AC86" s="199">
        <f>1/(1+(10^-((AC85-AE85)/400)))*(AC36+AE36)</f>
        <v>1.4817314579483702</v>
      </c>
      <c r="AD86" s="199"/>
      <c r="AE86" s="199">
        <f>1/(1+(10^-((AE85-AC85)/400)))*(AC36+AE36)</f>
        <v>0.51826854205162953</v>
      </c>
      <c r="AF86" s="200"/>
      <c r="AG86" s="201"/>
      <c r="AH86" s="201"/>
      <c r="AI86" s="201"/>
      <c r="AJ86" s="201"/>
      <c r="AK86" s="201"/>
      <c r="AL86" s="201"/>
      <c r="AM86" s="201"/>
      <c r="AN86" s="202"/>
      <c r="AO86" s="202"/>
      <c r="AP86" s="202"/>
      <c r="AQ86" s="202"/>
      <c r="AW86" s="204"/>
      <c r="BB86" s="204"/>
    </row>
    <row r="87" spans="1:54" s="209" customFormat="1" hidden="1" x14ac:dyDescent="0.2">
      <c r="A87" s="205" t="s">
        <v>116</v>
      </c>
      <c r="B87" s="205">
        <f>B85+(B36-B86)*$BA$1</f>
        <v>1436.1322565334842</v>
      </c>
      <c r="C87" s="205"/>
      <c r="D87" s="205">
        <f>D85+(D36-D86)*$BA$1</f>
        <v>1210.307411877468</v>
      </c>
      <c r="E87" s="205">
        <f>E85+(E36-E86)*$BA$1</f>
        <v>1552.2245009053204</v>
      </c>
      <c r="F87" s="205"/>
      <c r="G87" s="205">
        <f>G85+(G36-G86)*$BA$1</f>
        <v>1379.5897351558347</v>
      </c>
      <c r="H87" s="205">
        <f>H85+(H36-H86)*$BA$1</f>
        <v>1426.1550585054852</v>
      </c>
      <c r="I87" s="205"/>
      <c r="J87" s="205">
        <f>J85+(J36-J86)*$BA$1</f>
        <v>1194.9651769674497</v>
      </c>
      <c r="K87" s="205">
        <f>K85+(K36-K86)*$BA$1</f>
        <v>1430.9699919705004</v>
      </c>
      <c r="L87" s="205"/>
      <c r="M87" s="205">
        <f>M85+(M36-M86)*$BA$1</f>
        <v>1384.7519997188185</v>
      </c>
      <c r="N87" s="205">
        <f>N85+(N36-N86)*$BA$1</f>
        <v>1573.0972019652422</v>
      </c>
      <c r="O87" s="205"/>
      <c r="P87" s="205">
        <f>P85+(P36-P86)*$BA$1</f>
        <v>1405.2823574455633</v>
      </c>
      <c r="Q87" s="205">
        <f>Q85+(Q36-Q86)*$BA$1</f>
        <v>1400.8254499098095</v>
      </c>
      <c r="R87" s="205"/>
      <c r="S87" s="205">
        <f>S85+(S36-S86)*$BA$1</f>
        <v>1178.8917267764587</v>
      </c>
      <c r="T87" s="205">
        <f>T85+(T36-T86)*$BA$1</f>
        <v>1396.6083749932859</v>
      </c>
      <c r="U87" s="205"/>
      <c r="V87" s="205">
        <f>V85+(V36-V86)*$BA$1</f>
        <v>1439.6439744227778</v>
      </c>
      <c r="W87" s="205">
        <f>W85+(W36-W86)*$BA$1</f>
        <v>1579.09423600129</v>
      </c>
      <c r="X87" s="205"/>
      <c r="Y87" s="205">
        <f>Y85+(Y36-Y86)*$BA$1</f>
        <v>1172.8946927404108</v>
      </c>
      <c r="Z87" s="205">
        <f>Z85+(Z36-Z86)*$BA$1</f>
        <v>1436.0834595325007</v>
      </c>
      <c r="AA87" s="205"/>
      <c r="AB87" s="205">
        <f>AB85+(AB36-AB86)*$BA$1</f>
        <v>1404.3859648000866</v>
      </c>
      <c r="AC87" s="205">
        <f>AC85+(AC36-AC86)*$BA$1</f>
        <v>1595.6788293469422</v>
      </c>
      <c r="AD87" s="205"/>
      <c r="AE87" s="205">
        <f>AE85+(AE36-AE86)*$BA$1</f>
        <v>1380.0237816476338</v>
      </c>
      <c r="AF87" s="206"/>
      <c r="AG87" s="207"/>
      <c r="AH87" s="207"/>
      <c r="AI87" s="207"/>
      <c r="AJ87" s="207"/>
      <c r="AK87" s="207"/>
      <c r="AL87" s="207"/>
      <c r="AM87" s="207"/>
      <c r="AN87" s="208"/>
      <c r="AO87" s="208"/>
      <c r="AP87" s="208"/>
      <c r="AQ87" s="208"/>
      <c r="AW87" s="210"/>
      <c r="BB87" s="210"/>
    </row>
    <row r="88" spans="1:54" s="209" customFormat="1" hidden="1" x14ac:dyDescent="0.2">
      <c r="A88" s="205"/>
      <c r="B88" s="205"/>
      <c r="C88" s="205"/>
      <c r="D88" s="205"/>
      <c r="E88" s="205"/>
      <c r="F88" s="205"/>
      <c r="G88" s="205"/>
      <c r="H88" s="205"/>
      <c r="I88" s="205"/>
      <c r="J88" s="205"/>
      <c r="K88" s="205"/>
      <c r="L88" s="205"/>
      <c r="M88" s="205"/>
      <c r="N88" s="205"/>
      <c r="O88" s="205"/>
      <c r="P88" s="205"/>
      <c r="Q88" s="205"/>
      <c r="R88" s="205"/>
      <c r="S88" s="205"/>
      <c r="T88" s="205"/>
      <c r="U88" s="205"/>
      <c r="V88" s="205"/>
      <c r="W88" s="205"/>
      <c r="X88" s="205"/>
      <c r="Y88" s="205"/>
      <c r="Z88" s="205"/>
      <c r="AA88" s="205"/>
      <c r="AB88" s="205"/>
      <c r="AC88" s="205"/>
      <c r="AD88" s="205"/>
      <c r="AE88" s="205"/>
      <c r="AF88" s="206"/>
      <c r="AG88" s="207"/>
      <c r="AH88" s="207"/>
      <c r="AI88" s="207"/>
      <c r="AJ88" s="207"/>
      <c r="AK88" s="207"/>
      <c r="AL88" s="207"/>
      <c r="AM88" s="207"/>
      <c r="AN88" s="208"/>
      <c r="AO88" s="208"/>
      <c r="AP88" s="208"/>
      <c r="AQ88" s="208"/>
      <c r="AW88" s="210"/>
      <c r="BB88" s="210"/>
    </row>
    <row r="89" spans="1:54" s="193" customFormat="1" x14ac:dyDescent="0.2">
      <c r="A89" s="452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452"/>
      <c r="C89" s="452"/>
      <c r="D89" s="452"/>
      <c r="E89" s="452"/>
      <c r="F89" s="452"/>
      <c r="G89" s="452"/>
      <c r="H89" s="452"/>
      <c r="I89" s="452"/>
      <c r="J89" s="452"/>
      <c r="K89" s="452"/>
      <c r="L89" s="452"/>
      <c r="M89" s="452"/>
      <c r="N89" s="452"/>
      <c r="O89" s="452"/>
      <c r="P89" s="452"/>
      <c r="Q89" s="452"/>
      <c r="R89" s="452"/>
      <c r="S89" s="452"/>
      <c r="T89" s="452"/>
      <c r="U89" s="452"/>
      <c r="V89" s="452"/>
      <c r="W89" s="452"/>
      <c r="X89" s="452"/>
      <c r="Y89" s="452"/>
      <c r="Z89" s="452"/>
      <c r="AA89" s="452"/>
      <c r="AB89" s="452"/>
      <c r="AC89" s="452"/>
      <c r="AD89" s="452"/>
      <c r="AE89" s="452"/>
      <c r="AF89" s="452"/>
      <c r="AG89" s="452"/>
      <c r="AH89" s="452"/>
      <c r="AI89" s="452"/>
      <c r="AJ89" s="452"/>
      <c r="AK89" s="452"/>
      <c r="AL89" s="452"/>
      <c r="AM89" s="452"/>
      <c r="AN89" s="453"/>
      <c r="AO89" s="453"/>
      <c r="AP89" s="453"/>
      <c r="AQ89" s="453"/>
      <c r="AW89" s="197"/>
    </row>
    <row r="90" spans="1:54" s="193" customFormat="1" ht="13.5" thickBot="1" x14ac:dyDescent="0.25">
      <c r="A90" s="454"/>
      <c r="B90" s="454"/>
      <c r="C90" s="454"/>
      <c r="D90" s="454"/>
      <c r="E90" s="454"/>
      <c r="F90" s="454"/>
      <c r="G90" s="454"/>
      <c r="H90" s="454"/>
      <c r="I90" s="454"/>
      <c r="J90" s="454"/>
      <c r="K90" s="454"/>
      <c r="L90" s="454"/>
      <c r="M90" s="454"/>
      <c r="N90" s="454"/>
      <c r="O90" s="454"/>
      <c r="P90" s="454"/>
      <c r="Q90" s="454"/>
      <c r="R90" s="454"/>
      <c r="S90" s="454"/>
      <c r="T90" s="454"/>
      <c r="U90" s="454"/>
      <c r="V90" s="454"/>
      <c r="W90" s="454"/>
      <c r="X90" s="454"/>
      <c r="Y90" s="454"/>
      <c r="Z90" s="454"/>
      <c r="AA90" s="454"/>
      <c r="AB90" s="454"/>
      <c r="AC90" s="454"/>
      <c r="AD90" s="454"/>
      <c r="AE90" s="454"/>
      <c r="AF90" s="454"/>
      <c r="AG90" s="454"/>
      <c r="AH90" s="454"/>
      <c r="AI90" s="454"/>
      <c r="AJ90" s="454"/>
      <c r="AK90" s="454"/>
      <c r="AL90" s="454"/>
      <c r="AM90" s="454"/>
      <c r="AN90" s="454"/>
      <c r="AO90" s="454"/>
      <c r="AP90" s="454"/>
      <c r="AQ90" s="454"/>
      <c r="AW90" s="197"/>
    </row>
    <row r="91" spans="1:54" ht="24" customHeight="1" thickBot="1" x14ac:dyDescent="0.25">
      <c r="A91" s="153" t="s">
        <v>33</v>
      </c>
      <c r="B91" s="154" t="s">
        <v>117</v>
      </c>
      <c r="C91" s="350" t="s">
        <v>35</v>
      </c>
      <c r="D91" s="351"/>
      <c r="E91" s="351"/>
      <c r="F91" s="351"/>
      <c r="G91" s="351"/>
      <c r="H91" s="352"/>
      <c r="I91" s="353">
        <v>4</v>
      </c>
      <c r="J91" s="354"/>
      <c r="K91" s="355" t="str">
        <f>"Pool "&amp;B91&amp;" - Round 1 - Court "&amp;I91</f>
        <v>Pool B - Round 1 - Court 4</v>
      </c>
      <c r="L91" s="356"/>
      <c r="M91" s="356"/>
      <c r="N91" s="356"/>
      <c r="O91" s="356"/>
      <c r="P91" s="356"/>
      <c r="Q91" s="356"/>
      <c r="R91" s="356"/>
      <c r="S91" s="356"/>
      <c r="T91" s="356"/>
      <c r="U91" s="356"/>
      <c r="V91" s="356"/>
      <c r="W91" s="356"/>
      <c r="X91" s="356"/>
      <c r="Y91" s="356"/>
      <c r="Z91" s="356"/>
      <c r="AA91" s="356"/>
      <c r="AB91" s="356"/>
      <c r="AC91" s="356"/>
      <c r="AD91" s="356"/>
      <c r="AE91" s="356"/>
      <c r="AF91" s="356"/>
      <c r="AG91" s="356"/>
      <c r="AH91" s="356"/>
      <c r="AI91" s="357"/>
      <c r="AJ91" s="138"/>
      <c r="AK91" s="138"/>
      <c r="AL91" s="138"/>
      <c r="AM91" s="138"/>
      <c r="AN91" s="138"/>
      <c r="AO91" s="138"/>
      <c r="AP91" s="138"/>
      <c r="AQ91" s="138"/>
    </row>
    <row r="92" spans="1:54" ht="27" customHeight="1" thickBot="1" x14ac:dyDescent="0.25">
      <c r="A92" s="155" t="s">
        <v>38</v>
      </c>
      <c r="B92" s="358" t="s">
        <v>10</v>
      </c>
      <c r="C92" s="359"/>
      <c r="D92" s="359"/>
      <c r="E92" s="359"/>
      <c r="F92" s="359"/>
      <c r="G92" s="359"/>
      <c r="H92" s="359"/>
      <c r="I92" s="359"/>
      <c r="J92" s="359"/>
      <c r="K92" s="359"/>
      <c r="L92" s="358" t="str">
        <f>IF($AK95=0,"Games Won","Matches Won")</f>
        <v>Games Won</v>
      </c>
      <c r="M92" s="359"/>
      <c r="N92" s="359"/>
      <c r="O92" s="359"/>
      <c r="P92" s="359"/>
      <c r="Q92" s="360"/>
      <c r="R92" s="358" t="str">
        <f>IF($AK95=0,"Games Lost","Matches Lost")</f>
        <v>Games Lost</v>
      </c>
      <c r="S92" s="361"/>
      <c r="T92" s="361"/>
      <c r="U92" s="361"/>
      <c r="V92" s="362"/>
      <c r="W92" s="363" t="s">
        <v>39</v>
      </c>
      <c r="X92" s="364"/>
      <c r="Y92" s="365"/>
      <c r="Z92" s="363" t="s">
        <v>40</v>
      </c>
      <c r="AA92" s="364"/>
      <c r="AB92" s="365"/>
      <c r="AC92" s="366" t="s">
        <v>41</v>
      </c>
      <c r="AD92" s="367"/>
      <c r="AE92" s="368"/>
      <c r="AF92" s="156" t="s">
        <v>42</v>
      </c>
      <c r="AG92" s="157" t="s">
        <v>9</v>
      </c>
      <c r="AH92" s="369" t="s">
        <v>43</v>
      </c>
      <c r="AI92" s="370"/>
      <c r="AJ92" s="158"/>
      <c r="AK92" s="159">
        <v>2</v>
      </c>
      <c r="AL92" s="160" t="s">
        <v>44</v>
      </c>
      <c r="AM92" s="160"/>
      <c r="AN92" s="160"/>
      <c r="AO92" s="160"/>
      <c r="AP92" s="160"/>
      <c r="AQ92" s="160"/>
      <c r="AR92" s="161"/>
    </row>
    <row r="93" spans="1:54" ht="18.75" customHeight="1" x14ac:dyDescent="0.2">
      <c r="A93" s="371" t="str">
        <f>IF($AK94&gt;0,"1","")</f>
        <v>1</v>
      </c>
      <c r="B93" s="373" t="s">
        <v>10</v>
      </c>
      <c r="C93" s="374"/>
      <c r="D93" s="375"/>
      <c r="E93" s="376" t="str">
        <f>AU4</f>
        <v>SC Midlands 12 Black</v>
      </c>
      <c r="F93" s="377"/>
      <c r="G93" s="377"/>
      <c r="H93" s="377"/>
      <c r="I93" s="377"/>
      <c r="J93" s="377"/>
      <c r="K93" s="378"/>
      <c r="L93" s="379">
        <f>IF($AK95=0,AF149,AF131)</f>
        <v>5</v>
      </c>
      <c r="M93" s="380"/>
      <c r="N93" s="380"/>
      <c r="O93" s="380"/>
      <c r="P93" s="380"/>
      <c r="Q93" s="360"/>
      <c r="R93" s="379">
        <f>IF($AK95=0,AG149,AG131)</f>
        <v>3</v>
      </c>
      <c r="S93" s="380"/>
      <c r="T93" s="380"/>
      <c r="U93" s="380"/>
      <c r="V93" s="380"/>
      <c r="W93" s="379">
        <f>AQ109</f>
        <v>17</v>
      </c>
      <c r="X93" s="380"/>
      <c r="Y93" s="380"/>
      <c r="Z93" s="383">
        <f>IF(AF143&gt;0,(AQ109/AF143),0)</f>
        <v>8.5000000000000006E-2</v>
      </c>
      <c r="AA93" s="384"/>
      <c r="AB93" s="384"/>
      <c r="AC93" s="387">
        <f>IF(AF157=0,0,(AF149/AF157))</f>
        <v>0.625</v>
      </c>
      <c r="AD93" s="388"/>
      <c r="AE93" s="389"/>
      <c r="AF93" s="393">
        <v>2</v>
      </c>
      <c r="AG93" s="393">
        <v>1</v>
      </c>
      <c r="AH93" s="395"/>
      <c r="AI93" s="396"/>
      <c r="AJ93" s="158"/>
      <c r="AK93" s="159">
        <v>10</v>
      </c>
      <c r="AL93" s="160" t="s">
        <v>47</v>
      </c>
      <c r="AM93" s="160"/>
      <c r="AN93" s="160"/>
      <c r="AO93" s="160"/>
      <c r="AP93" s="160"/>
      <c r="AQ93" s="160"/>
      <c r="AR93" s="161"/>
    </row>
    <row r="94" spans="1:54" ht="18.75" customHeight="1" thickBot="1" x14ac:dyDescent="0.25">
      <c r="A94" s="372"/>
      <c r="B94" s="399" t="s">
        <v>11</v>
      </c>
      <c r="C94" s="400"/>
      <c r="D94" s="401"/>
      <c r="E94" s="402" t="str">
        <f>AV4</f>
        <v>fj2scmid1pm</v>
      </c>
      <c r="F94" s="403"/>
      <c r="G94" s="403"/>
      <c r="H94" s="403"/>
      <c r="I94" s="403"/>
      <c r="J94" s="403"/>
      <c r="K94" s="403"/>
      <c r="L94" s="381"/>
      <c r="M94" s="382"/>
      <c r="N94" s="382"/>
      <c r="O94" s="382"/>
      <c r="P94" s="382"/>
      <c r="Q94" s="360"/>
      <c r="R94" s="381"/>
      <c r="S94" s="382"/>
      <c r="T94" s="382"/>
      <c r="U94" s="382"/>
      <c r="V94" s="382"/>
      <c r="W94" s="381"/>
      <c r="X94" s="382"/>
      <c r="Y94" s="382"/>
      <c r="Z94" s="385"/>
      <c r="AA94" s="386"/>
      <c r="AB94" s="386"/>
      <c r="AC94" s="390"/>
      <c r="AD94" s="391"/>
      <c r="AE94" s="392"/>
      <c r="AF94" s="394"/>
      <c r="AG94" s="394"/>
      <c r="AH94" s="397"/>
      <c r="AI94" s="398"/>
      <c r="AJ94" s="158"/>
      <c r="AK94" s="159">
        <v>5</v>
      </c>
      <c r="AL94" s="160" t="s">
        <v>50</v>
      </c>
      <c r="AM94" s="158"/>
      <c r="AN94" s="158"/>
      <c r="AO94" s="158"/>
      <c r="AP94" s="158"/>
      <c r="AQ94" s="158"/>
      <c r="AR94" s="133"/>
    </row>
    <row r="95" spans="1:54" ht="18.75" customHeight="1" x14ac:dyDescent="0.2">
      <c r="A95" s="371" t="str">
        <f>IF($AK94&gt;1,"2","")</f>
        <v>2</v>
      </c>
      <c r="B95" s="373" t="s">
        <v>10</v>
      </c>
      <c r="C95" s="374"/>
      <c r="D95" s="375"/>
      <c r="E95" s="376" t="str">
        <f>AU5</f>
        <v>Magnum Aiken 12 Green</v>
      </c>
      <c r="F95" s="377"/>
      <c r="G95" s="377"/>
      <c r="H95" s="377"/>
      <c r="I95" s="377"/>
      <c r="J95" s="377"/>
      <c r="K95" s="378"/>
      <c r="L95" s="379">
        <f>IF($AK95=0,AF150,AF132)</f>
        <v>7</v>
      </c>
      <c r="M95" s="380"/>
      <c r="N95" s="380"/>
      <c r="O95" s="380"/>
      <c r="P95" s="380"/>
      <c r="Q95" s="360"/>
      <c r="R95" s="379">
        <f>IF($AK95=0,AG150,AG132)</f>
        <v>1</v>
      </c>
      <c r="S95" s="380"/>
      <c r="T95" s="380"/>
      <c r="U95" s="380"/>
      <c r="V95" s="380"/>
      <c r="W95" s="379">
        <f>AQ110</f>
        <v>62</v>
      </c>
      <c r="X95" s="380"/>
      <c r="Y95" s="380"/>
      <c r="Z95" s="383">
        <f>IF(AF144&gt;0,(AQ110/AF144),0)</f>
        <v>0.31</v>
      </c>
      <c r="AA95" s="384"/>
      <c r="AB95" s="384"/>
      <c r="AC95" s="387">
        <f>IF(AF158=0,0,(AF150/AF158))</f>
        <v>0.875</v>
      </c>
      <c r="AD95" s="388"/>
      <c r="AE95" s="389"/>
      <c r="AF95" s="393">
        <v>1</v>
      </c>
      <c r="AG95" s="393">
        <v>1</v>
      </c>
      <c r="AH95" s="395"/>
      <c r="AI95" s="396"/>
      <c r="AJ95" s="158"/>
      <c r="AK95" s="159">
        <v>0</v>
      </c>
      <c r="AL95" s="160" t="s">
        <v>53</v>
      </c>
      <c r="AM95" s="160"/>
      <c r="AN95" s="160"/>
      <c r="AO95" s="160"/>
      <c r="AP95" s="160"/>
      <c r="AQ95" s="160"/>
      <c r="AR95" s="161"/>
    </row>
    <row r="96" spans="1:54" ht="18.75" customHeight="1" thickBot="1" x14ac:dyDescent="0.25">
      <c r="A96" s="372"/>
      <c r="B96" s="404" t="s">
        <v>11</v>
      </c>
      <c r="C96" s="405"/>
      <c r="D96" s="405"/>
      <c r="E96" s="402" t="str">
        <f>AV5</f>
        <v>fj2magnm2pm</v>
      </c>
      <c r="F96" s="403"/>
      <c r="G96" s="403"/>
      <c r="H96" s="403"/>
      <c r="I96" s="403"/>
      <c r="J96" s="403"/>
      <c r="K96" s="403"/>
      <c r="L96" s="381"/>
      <c r="M96" s="382"/>
      <c r="N96" s="382"/>
      <c r="O96" s="382"/>
      <c r="P96" s="382"/>
      <c r="Q96" s="360"/>
      <c r="R96" s="381"/>
      <c r="S96" s="382"/>
      <c r="T96" s="382"/>
      <c r="U96" s="382"/>
      <c r="V96" s="382"/>
      <c r="W96" s="381"/>
      <c r="X96" s="382"/>
      <c r="Y96" s="382"/>
      <c r="Z96" s="385"/>
      <c r="AA96" s="386"/>
      <c r="AB96" s="386"/>
      <c r="AC96" s="390"/>
      <c r="AD96" s="391"/>
      <c r="AE96" s="392"/>
      <c r="AF96" s="394"/>
      <c r="AG96" s="394"/>
      <c r="AH96" s="397"/>
      <c r="AI96" s="398"/>
      <c r="AJ96" s="158"/>
      <c r="AK96" s="159">
        <v>1</v>
      </c>
      <c r="AL96" s="160" t="s">
        <v>56</v>
      </c>
      <c r="AM96" s="158"/>
      <c r="AN96" s="158"/>
      <c r="AO96" s="158"/>
      <c r="AP96" s="158"/>
      <c r="AQ96" s="158"/>
      <c r="AR96" s="133"/>
    </row>
    <row r="97" spans="1:44" ht="18.75" customHeight="1" x14ac:dyDescent="0.2">
      <c r="A97" s="371" t="str">
        <f>IF($AK94&gt;2,"3","")</f>
        <v>3</v>
      </c>
      <c r="B97" s="406" t="s">
        <v>10</v>
      </c>
      <c r="C97" s="407"/>
      <c r="D97" s="407"/>
      <c r="E97" s="376" t="str">
        <f>AU8</f>
        <v>Palm Strikers 12 Platinum</v>
      </c>
      <c r="F97" s="377"/>
      <c r="G97" s="377"/>
      <c r="H97" s="377"/>
      <c r="I97" s="377"/>
      <c r="J97" s="377"/>
      <c r="K97" s="378"/>
      <c r="L97" s="379">
        <f>IF($AK95=0,AF151,AF133)</f>
        <v>4</v>
      </c>
      <c r="M97" s="380"/>
      <c r="N97" s="380"/>
      <c r="O97" s="380"/>
      <c r="P97" s="380"/>
      <c r="Q97" s="360"/>
      <c r="R97" s="379">
        <f>IF($AK95=0,AG151,AG133)</f>
        <v>4</v>
      </c>
      <c r="S97" s="380"/>
      <c r="T97" s="380"/>
      <c r="U97" s="380"/>
      <c r="V97" s="380"/>
      <c r="W97" s="379">
        <f>AQ111</f>
        <v>-26</v>
      </c>
      <c r="X97" s="380"/>
      <c r="Y97" s="380"/>
      <c r="Z97" s="383">
        <f>IF(AF145&gt;0,(AQ111/AF145),0)</f>
        <v>-0.12745098039215685</v>
      </c>
      <c r="AA97" s="384"/>
      <c r="AB97" s="384"/>
      <c r="AC97" s="387">
        <f>IF(AF159=0,0,(AF151/AF159))</f>
        <v>0.5</v>
      </c>
      <c r="AD97" s="388"/>
      <c r="AE97" s="389"/>
      <c r="AF97" s="393">
        <v>3</v>
      </c>
      <c r="AG97" s="393">
        <v>1</v>
      </c>
      <c r="AH97" s="395"/>
      <c r="AI97" s="396"/>
      <c r="AJ97" s="167"/>
      <c r="AK97" s="159">
        <v>8</v>
      </c>
      <c r="AL97" s="168" t="s">
        <v>59</v>
      </c>
      <c r="AM97" s="160"/>
      <c r="AN97" s="160"/>
      <c r="AO97" s="160"/>
      <c r="AP97" s="160"/>
      <c r="AQ97" s="160"/>
      <c r="AR97" s="161"/>
    </row>
    <row r="98" spans="1:44" ht="18.75" customHeight="1" thickBot="1" x14ac:dyDescent="0.25">
      <c r="A98" s="372"/>
      <c r="B98" s="404" t="s">
        <v>11</v>
      </c>
      <c r="C98" s="405"/>
      <c r="D98" s="405"/>
      <c r="E98" s="402" t="str">
        <f>AV8</f>
        <v>fj2pstri1pm</v>
      </c>
      <c r="F98" s="403"/>
      <c r="G98" s="403"/>
      <c r="H98" s="403"/>
      <c r="I98" s="403"/>
      <c r="J98" s="403"/>
      <c r="K98" s="403"/>
      <c r="L98" s="381"/>
      <c r="M98" s="382"/>
      <c r="N98" s="382"/>
      <c r="O98" s="382"/>
      <c r="P98" s="382"/>
      <c r="Q98" s="360"/>
      <c r="R98" s="381"/>
      <c r="S98" s="382"/>
      <c r="T98" s="382"/>
      <c r="U98" s="382"/>
      <c r="V98" s="382"/>
      <c r="W98" s="381"/>
      <c r="X98" s="382"/>
      <c r="Y98" s="382"/>
      <c r="Z98" s="385"/>
      <c r="AA98" s="386"/>
      <c r="AB98" s="386"/>
      <c r="AC98" s="390"/>
      <c r="AD98" s="391"/>
      <c r="AE98" s="392"/>
      <c r="AF98" s="394"/>
      <c r="AG98" s="394"/>
      <c r="AH98" s="397"/>
      <c r="AI98" s="398"/>
      <c r="AJ98" s="167"/>
      <c r="AK98" s="169"/>
      <c r="AL98" s="170"/>
      <c r="AM98" s="170"/>
      <c r="AN98" s="170"/>
      <c r="AO98" s="170"/>
      <c r="AP98" s="170"/>
      <c r="AQ98" s="158"/>
      <c r="AR98" s="133"/>
    </row>
    <row r="99" spans="1:44" ht="18.75" customHeight="1" x14ac:dyDescent="0.2">
      <c r="A99" s="371" t="str">
        <f>IF($AK94&gt;3,"4","")</f>
        <v>4</v>
      </c>
      <c r="B99" s="406" t="s">
        <v>10</v>
      </c>
      <c r="C99" s="407"/>
      <c r="D99" s="407"/>
      <c r="E99" s="376" t="str">
        <f>AU9</f>
        <v>OLC 12s Purple</v>
      </c>
      <c r="F99" s="377"/>
      <c r="G99" s="377"/>
      <c r="H99" s="377"/>
      <c r="I99" s="377"/>
      <c r="J99" s="377"/>
      <c r="K99" s="378"/>
      <c r="L99" s="379">
        <f>IF($AK95=0,AF152,AF134)</f>
        <v>3</v>
      </c>
      <c r="M99" s="380"/>
      <c r="N99" s="380"/>
      <c r="O99" s="380"/>
      <c r="P99" s="380"/>
      <c r="Q99" s="360"/>
      <c r="R99" s="379">
        <f>IF($AK95=0,AG152,AG134)</f>
        <v>5</v>
      </c>
      <c r="S99" s="380"/>
      <c r="T99" s="380"/>
      <c r="U99" s="380"/>
      <c r="V99" s="380"/>
      <c r="W99" s="379">
        <f>AQ112</f>
        <v>-21</v>
      </c>
      <c r="X99" s="380"/>
      <c r="Y99" s="380"/>
      <c r="Z99" s="383">
        <f>IF(AF146&gt;0,(AQ112/AF146),0)</f>
        <v>-0.105</v>
      </c>
      <c r="AA99" s="384"/>
      <c r="AB99" s="384"/>
      <c r="AC99" s="387">
        <f>IF(AF160=0,0,(AF152/AF160))</f>
        <v>0.375</v>
      </c>
      <c r="AD99" s="388"/>
      <c r="AE99" s="389"/>
      <c r="AF99" s="393">
        <v>4</v>
      </c>
      <c r="AG99" s="393">
        <v>1</v>
      </c>
      <c r="AH99" s="395"/>
      <c r="AI99" s="396"/>
      <c r="AJ99" s="138"/>
      <c r="AK99" s="170"/>
      <c r="AL99" s="170"/>
      <c r="AM99" s="170"/>
      <c r="AN99" s="170"/>
      <c r="AO99" s="170"/>
      <c r="AP99" s="170"/>
      <c r="AQ99" s="160"/>
      <c r="AR99" s="161"/>
    </row>
    <row r="100" spans="1:44" ht="18.75" customHeight="1" thickBot="1" x14ac:dyDescent="0.25">
      <c r="A100" s="372"/>
      <c r="B100" s="404" t="s">
        <v>11</v>
      </c>
      <c r="C100" s="405"/>
      <c r="D100" s="405"/>
      <c r="E100" s="402" t="str">
        <f>AV9</f>
        <v>fj2ladyc1pm</v>
      </c>
      <c r="F100" s="403"/>
      <c r="G100" s="403"/>
      <c r="H100" s="403"/>
      <c r="I100" s="403"/>
      <c r="J100" s="403"/>
      <c r="K100" s="403"/>
      <c r="L100" s="381"/>
      <c r="M100" s="382"/>
      <c r="N100" s="382"/>
      <c r="O100" s="382"/>
      <c r="P100" s="382"/>
      <c r="Q100" s="360"/>
      <c r="R100" s="381"/>
      <c r="S100" s="382"/>
      <c r="T100" s="382"/>
      <c r="U100" s="382"/>
      <c r="V100" s="382"/>
      <c r="W100" s="381"/>
      <c r="X100" s="382"/>
      <c r="Y100" s="382"/>
      <c r="Z100" s="385"/>
      <c r="AA100" s="386"/>
      <c r="AB100" s="386"/>
      <c r="AC100" s="390"/>
      <c r="AD100" s="391"/>
      <c r="AE100" s="392"/>
      <c r="AF100" s="394"/>
      <c r="AG100" s="394"/>
      <c r="AH100" s="397"/>
      <c r="AI100" s="398"/>
      <c r="AJ100" s="138"/>
      <c r="AK100" s="170"/>
      <c r="AL100" s="170"/>
      <c r="AM100" s="170"/>
      <c r="AN100" s="170"/>
      <c r="AO100" s="170"/>
      <c r="AP100" s="170"/>
      <c r="AQ100" s="138"/>
      <c r="AR100" s="133"/>
    </row>
    <row r="101" spans="1:44" ht="18.75" customHeight="1" x14ac:dyDescent="0.2">
      <c r="A101" s="371" t="str">
        <f>IF($AK94&gt;4,"5","")</f>
        <v>5</v>
      </c>
      <c r="B101" s="406" t="s">
        <v>10</v>
      </c>
      <c r="C101" s="407"/>
      <c r="D101" s="407"/>
      <c r="E101" s="376" t="str">
        <f>AU12</f>
        <v>Foothills 12U King</v>
      </c>
      <c r="F101" s="377"/>
      <c r="G101" s="377"/>
      <c r="H101" s="377"/>
      <c r="I101" s="377"/>
      <c r="J101" s="377"/>
      <c r="K101" s="378"/>
      <c r="L101" s="379">
        <f>IF($AK95=0,AF153,AF135)</f>
        <v>1</v>
      </c>
      <c r="M101" s="380"/>
      <c r="N101" s="380"/>
      <c r="O101" s="380"/>
      <c r="P101" s="380"/>
      <c r="Q101" s="360"/>
      <c r="R101" s="379">
        <f>IF($AK95=0,AG153,AG135)</f>
        <v>7</v>
      </c>
      <c r="S101" s="380"/>
      <c r="T101" s="380"/>
      <c r="U101" s="380"/>
      <c r="V101" s="380"/>
      <c r="W101" s="379">
        <f>AQ113</f>
        <v>-32</v>
      </c>
      <c r="X101" s="380"/>
      <c r="Y101" s="380"/>
      <c r="Z101" s="383">
        <f>IF(AF147&gt;0,(AQ113/AF147),0)</f>
        <v>-0.15686274509803921</v>
      </c>
      <c r="AA101" s="384"/>
      <c r="AB101" s="384"/>
      <c r="AC101" s="387">
        <f>IF(AF161=0,0,(AF153/AF161))</f>
        <v>0.125</v>
      </c>
      <c r="AD101" s="388"/>
      <c r="AE101" s="389"/>
      <c r="AF101" s="393">
        <v>5</v>
      </c>
      <c r="AG101" s="393">
        <v>1</v>
      </c>
      <c r="AH101" s="395"/>
      <c r="AI101" s="396"/>
      <c r="AJ101" s="138"/>
      <c r="AK101" s="170"/>
      <c r="AL101" s="170"/>
      <c r="AM101" s="170"/>
      <c r="AN101" s="170"/>
      <c r="AO101" s="170"/>
      <c r="AP101" s="170"/>
      <c r="AQ101" s="138"/>
      <c r="AR101" s="133"/>
    </row>
    <row r="102" spans="1:44" ht="18.75" customHeight="1" thickBot="1" x14ac:dyDescent="0.25">
      <c r="A102" s="372"/>
      <c r="B102" s="424" t="s">
        <v>11</v>
      </c>
      <c r="C102" s="425"/>
      <c r="D102" s="425"/>
      <c r="E102" s="426" t="str">
        <f>AV12</f>
        <v>fj2footh1pm</v>
      </c>
      <c r="F102" s="427"/>
      <c r="G102" s="427"/>
      <c r="H102" s="427"/>
      <c r="I102" s="427"/>
      <c r="J102" s="427"/>
      <c r="K102" s="427"/>
      <c r="L102" s="414"/>
      <c r="M102" s="415"/>
      <c r="N102" s="415"/>
      <c r="O102" s="415"/>
      <c r="P102" s="415"/>
      <c r="Q102" s="360"/>
      <c r="R102" s="414"/>
      <c r="S102" s="415"/>
      <c r="T102" s="415"/>
      <c r="U102" s="415"/>
      <c r="V102" s="415"/>
      <c r="W102" s="414"/>
      <c r="X102" s="415"/>
      <c r="Y102" s="415"/>
      <c r="Z102" s="416"/>
      <c r="AA102" s="417"/>
      <c r="AB102" s="417"/>
      <c r="AC102" s="418"/>
      <c r="AD102" s="419"/>
      <c r="AE102" s="420"/>
      <c r="AF102" s="421"/>
      <c r="AG102" s="421"/>
      <c r="AH102" s="422"/>
      <c r="AI102" s="423"/>
      <c r="AJ102" s="138"/>
      <c r="AK102" s="170"/>
      <c r="AL102" s="170"/>
      <c r="AM102" s="170"/>
      <c r="AN102" s="170"/>
      <c r="AO102" s="170"/>
      <c r="AP102" s="170"/>
      <c r="AQ102" s="138"/>
      <c r="AR102" s="133"/>
    </row>
    <row r="103" spans="1:44" ht="21" customHeight="1" thickTop="1" thickBot="1" x14ac:dyDescent="0.25">
      <c r="A103" s="172"/>
      <c r="B103" s="428" t="s">
        <v>63</v>
      </c>
      <c r="C103" s="429"/>
      <c r="D103" s="429"/>
      <c r="E103" s="429"/>
      <c r="F103" s="429"/>
      <c r="G103" s="429"/>
      <c r="H103" s="429"/>
      <c r="I103" s="429"/>
      <c r="J103" s="429"/>
      <c r="K103" s="429"/>
      <c r="L103" s="429"/>
      <c r="M103" s="429"/>
      <c r="N103" s="429"/>
      <c r="O103" s="429"/>
      <c r="P103" s="429"/>
      <c r="Q103" s="429"/>
      <c r="R103" s="429"/>
      <c r="S103" s="429"/>
      <c r="T103" s="429"/>
      <c r="U103" s="429"/>
      <c r="V103" s="429"/>
      <c r="W103" s="429"/>
      <c r="X103" s="429"/>
      <c r="Y103" s="429"/>
      <c r="Z103" s="429"/>
      <c r="AA103" s="429"/>
      <c r="AB103" s="429"/>
      <c r="AC103" s="429"/>
      <c r="AD103" s="429"/>
      <c r="AE103" s="429"/>
      <c r="AF103" s="429"/>
      <c r="AG103" s="429"/>
      <c r="AH103" s="429"/>
      <c r="AI103" s="430"/>
      <c r="AJ103" s="138"/>
      <c r="AK103" s="170"/>
      <c r="AL103" s="170"/>
      <c r="AM103" s="170"/>
      <c r="AN103" s="170"/>
      <c r="AO103" s="170"/>
      <c r="AP103" s="170"/>
      <c r="AQ103" s="138"/>
      <c r="AR103" s="133"/>
    </row>
    <row r="104" spans="1:44" ht="13.5" thickTop="1" x14ac:dyDescent="0.2">
      <c r="A104" s="134" t="s">
        <v>64</v>
      </c>
      <c r="B104" s="431">
        <v>0.35416666666666669</v>
      </c>
      <c r="C104" s="432"/>
      <c r="D104" s="433"/>
      <c r="E104" s="431">
        <v>0.38541666666666669</v>
      </c>
      <c r="F104" s="432"/>
      <c r="G104" s="433"/>
      <c r="H104" s="431">
        <v>0.41666666666666669</v>
      </c>
      <c r="I104" s="432"/>
      <c r="J104" s="433"/>
      <c r="K104" s="431">
        <v>0.44791666666666669</v>
      </c>
      <c r="L104" s="432"/>
      <c r="M104" s="433"/>
      <c r="N104" s="431">
        <v>0.47916666666666669</v>
      </c>
      <c r="O104" s="432"/>
      <c r="P104" s="433"/>
      <c r="Q104" s="431">
        <v>0.51041666666666663</v>
      </c>
      <c r="R104" s="432"/>
      <c r="S104" s="433"/>
      <c r="T104" s="431">
        <v>4.1666666666666664E-2</v>
      </c>
      <c r="U104" s="432"/>
      <c r="V104" s="433"/>
      <c r="W104" s="431">
        <v>7.2916666666666671E-2</v>
      </c>
      <c r="X104" s="432"/>
      <c r="Y104" s="433"/>
      <c r="Z104" s="431">
        <v>0.10416666666666667</v>
      </c>
      <c r="AA104" s="432"/>
      <c r="AB104" s="433"/>
      <c r="AC104" s="431">
        <v>0.13541666666666666</v>
      </c>
      <c r="AD104" s="432"/>
      <c r="AE104" s="433"/>
      <c r="AF104" s="434" t="s">
        <v>65</v>
      </c>
      <c r="AG104" s="435"/>
      <c r="AH104" s="435"/>
      <c r="AI104" s="435"/>
      <c r="AJ104" s="436"/>
      <c r="AK104" s="436"/>
      <c r="AL104" s="436"/>
      <c r="AM104" s="436"/>
      <c r="AN104" s="436"/>
      <c r="AO104" s="436"/>
      <c r="AP104" s="436"/>
      <c r="AQ104" s="437"/>
    </row>
    <row r="105" spans="1:44" x14ac:dyDescent="0.2">
      <c r="A105" s="173" t="s">
        <v>66</v>
      </c>
      <c r="B105" s="442">
        <v>0.35416666666666669</v>
      </c>
      <c r="C105" s="443"/>
      <c r="D105" s="444"/>
      <c r="E105" s="442">
        <v>0.38611111111111113</v>
      </c>
      <c r="F105" s="443"/>
      <c r="G105" s="444"/>
      <c r="H105" s="442">
        <v>0.42083333333333334</v>
      </c>
      <c r="I105" s="443"/>
      <c r="J105" s="444"/>
      <c r="K105" s="442"/>
      <c r="L105" s="443"/>
      <c r="M105" s="444"/>
      <c r="N105" s="442"/>
      <c r="O105" s="443"/>
      <c r="P105" s="444"/>
      <c r="Q105" s="442">
        <v>0.51041666666666663</v>
      </c>
      <c r="R105" s="443"/>
      <c r="S105" s="444"/>
      <c r="T105" s="442">
        <v>4.1666666666666664E-2</v>
      </c>
      <c r="U105" s="443"/>
      <c r="V105" s="444"/>
      <c r="W105" s="442">
        <v>7.4305555555555555E-2</v>
      </c>
      <c r="X105" s="443"/>
      <c r="Y105" s="444"/>
      <c r="Z105" s="442"/>
      <c r="AA105" s="443"/>
      <c r="AB105" s="444"/>
      <c r="AC105" s="442"/>
      <c r="AD105" s="443"/>
      <c r="AE105" s="444"/>
      <c r="AF105" s="434"/>
      <c r="AG105" s="435"/>
      <c r="AH105" s="435"/>
      <c r="AI105" s="435"/>
      <c r="AJ105" s="435"/>
      <c r="AK105" s="435"/>
      <c r="AL105" s="435"/>
      <c r="AM105" s="435"/>
      <c r="AN105" s="435"/>
      <c r="AO105" s="435"/>
      <c r="AP105" s="435"/>
      <c r="AQ105" s="438"/>
    </row>
    <row r="106" spans="1:44" x14ac:dyDescent="0.2">
      <c r="A106" s="173" t="s">
        <v>67</v>
      </c>
      <c r="B106" s="442">
        <v>0.38541666666666669</v>
      </c>
      <c r="C106" s="443"/>
      <c r="D106" s="444"/>
      <c r="E106" s="442">
        <v>0.41666666666666669</v>
      </c>
      <c r="F106" s="443"/>
      <c r="G106" s="444"/>
      <c r="H106" s="442"/>
      <c r="I106" s="443"/>
      <c r="J106" s="444"/>
      <c r="K106" s="442"/>
      <c r="L106" s="443"/>
      <c r="M106" s="444"/>
      <c r="N106" s="442"/>
      <c r="O106" s="443"/>
      <c r="P106" s="444"/>
      <c r="Q106" s="442"/>
      <c r="R106" s="443"/>
      <c r="S106" s="444"/>
      <c r="T106" s="442"/>
      <c r="U106" s="443"/>
      <c r="V106" s="444"/>
      <c r="W106" s="442"/>
      <c r="X106" s="443"/>
      <c r="Y106" s="444"/>
      <c r="Z106" s="442"/>
      <c r="AA106" s="443"/>
      <c r="AB106" s="444"/>
      <c r="AC106" s="442"/>
      <c r="AD106" s="443"/>
      <c r="AE106" s="444"/>
      <c r="AF106" s="434"/>
      <c r="AG106" s="435"/>
      <c r="AH106" s="435"/>
      <c r="AI106" s="435"/>
      <c r="AJ106" s="435"/>
      <c r="AK106" s="435"/>
      <c r="AL106" s="435"/>
      <c r="AM106" s="435"/>
      <c r="AN106" s="435"/>
      <c r="AO106" s="435"/>
      <c r="AP106" s="435"/>
      <c r="AQ106" s="438"/>
    </row>
    <row r="107" spans="1:44" ht="13.5" thickBot="1" x14ac:dyDescent="0.25">
      <c r="A107" s="138"/>
      <c r="B107" s="445" t="s">
        <v>68</v>
      </c>
      <c r="C107" s="446"/>
      <c r="D107" s="447"/>
      <c r="E107" s="445" t="str">
        <f>IF(AK93&gt;1,"Match 2","")</f>
        <v>Match 2</v>
      </c>
      <c r="F107" s="446"/>
      <c r="G107" s="447"/>
      <c r="H107" s="445" t="str">
        <f>IF(AK93&gt;2,"Match 3","")</f>
        <v>Match 3</v>
      </c>
      <c r="I107" s="446"/>
      <c r="J107" s="447"/>
      <c r="K107" s="445" t="str">
        <f>IF(AK93&gt;3,"Match 4","")</f>
        <v>Match 4</v>
      </c>
      <c r="L107" s="446"/>
      <c r="M107" s="447"/>
      <c r="N107" s="445" t="str">
        <f>IF(AK93&gt;4,"Match 5","")</f>
        <v>Match 5</v>
      </c>
      <c r="O107" s="446"/>
      <c r="P107" s="447"/>
      <c r="Q107" s="445" t="str">
        <f>IF(AK93&gt;5,"Match 6","")</f>
        <v>Match 6</v>
      </c>
      <c r="R107" s="446"/>
      <c r="S107" s="447"/>
      <c r="T107" s="445" t="str">
        <f>IF(AK93&gt;6,"Match 7","")</f>
        <v>Match 7</v>
      </c>
      <c r="U107" s="446"/>
      <c r="V107" s="447"/>
      <c r="W107" s="445" t="str">
        <f>IF(AK93&gt;7,"Match 8","")</f>
        <v>Match 8</v>
      </c>
      <c r="X107" s="446"/>
      <c r="Y107" s="447"/>
      <c r="Z107" s="445" t="str">
        <f>IF(AK93&gt;8,"Match 9","")</f>
        <v>Match 9</v>
      </c>
      <c r="AA107" s="446"/>
      <c r="AB107" s="447"/>
      <c r="AC107" s="445" t="str">
        <f>IF(AK93&gt;9,"Match 10","")</f>
        <v>Match 10</v>
      </c>
      <c r="AD107" s="446"/>
      <c r="AE107" s="447"/>
      <c r="AF107" s="439"/>
      <c r="AG107" s="440"/>
      <c r="AH107" s="440"/>
      <c r="AI107" s="440"/>
      <c r="AJ107" s="440"/>
      <c r="AK107" s="440"/>
      <c r="AL107" s="440"/>
      <c r="AM107" s="440"/>
      <c r="AN107" s="440"/>
      <c r="AO107" s="440"/>
      <c r="AP107" s="440"/>
      <c r="AQ107" s="441"/>
    </row>
    <row r="108" spans="1:44" ht="15.75" x14ac:dyDescent="0.25">
      <c r="A108" s="138"/>
      <c r="B108" s="448" t="s">
        <v>69</v>
      </c>
      <c r="C108" s="449"/>
      <c r="D108" s="450"/>
      <c r="E108" s="448" t="s">
        <v>70</v>
      </c>
      <c r="F108" s="449"/>
      <c r="G108" s="450"/>
      <c r="H108" s="448" t="s">
        <v>71</v>
      </c>
      <c r="I108" s="449"/>
      <c r="J108" s="450"/>
      <c r="K108" s="448" t="s">
        <v>72</v>
      </c>
      <c r="L108" s="449"/>
      <c r="M108" s="450"/>
      <c r="N108" s="448" t="s">
        <v>73</v>
      </c>
      <c r="O108" s="449"/>
      <c r="P108" s="450"/>
      <c r="Q108" s="448" t="s">
        <v>71</v>
      </c>
      <c r="R108" s="449"/>
      <c r="S108" s="450"/>
      <c r="T108" s="448" t="s">
        <v>69</v>
      </c>
      <c r="U108" s="449"/>
      <c r="V108" s="450"/>
      <c r="W108" s="448" t="s">
        <v>73</v>
      </c>
      <c r="X108" s="449"/>
      <c r="Y108" s="450"/>
      <c r="Z108" s="448" t="s">
        <v>72</v>
      </c>
      <c r="AA108" s="449"/>
      <c r="AB108" s="450"/>
      <c r="AC108" s="448" t="s">
        <v>70</v>
      </c>
      <c r="AD108" s="449"/>
      <c r="AE108" s="450"/>
      <c r="AF108" s="174" t="s">
        <v>74</v>
      </c>
      <c r="AG108" s="175">
        <v>1</v>
      </c>
      <c r="AH108" s="175">
        <v>2</v>
      </c>
      <c r="AI108" s="175">
        <v>3</v>
      </c>
      <c r="AJ108" s="175">
        <v>4</v>
      </c>
      <c r="AK108" s="175">
        <v>5</v>
      </c>
      <c r="AL108" s="175">
        <v>6</v>
      </c>
      <c r="AM108" s="175">
        <v>7</v>
      </c>
      <c r="AN108" s="175">
        <v>8</v>
      </c>
      <c r="AO108" s="175">
        <v>9</v>
      </c>
      <c r="AP108" s="175">
        <v>10</v>
      </c>
      <c r="AQ108" s="176" t="s">
        <v>75</v>
      </c>
    </row>
    <row r="109" spans="1:44" ht="15.75" x14ac:dyDescent="0.25">
      <c r="A109" s="138"/>
      <c r="B109" s="177">
        <v>2</v>
      </c>
      <c r="C109" s="178" t="s">
        <v>76</v>
      </c>
      <c r="D109" s="179">
        <v>5</v>
      </c>
      <c r="E109" s="177">
        <v>1</v>
      </c>
      <c r="F109" s="178" t="str">
        <f>IF(AK93&gt;1,"v","")</f>
        <v>v</v>
      </c>
      <c r="G109" s="179">
        <v>4</v>
      </c>
      <c r="H109" s="177">
        <v>3</v>
      </c>
      <c r="I109" s="178" t="str">
        <f>IF(AK93&gt;2,"v","")</f>
        <v>v</v>
      </c>
      <c r="J109" s="179">
        <v>5</v>
      </c>
      <c r="K109" s="177">
        <v>2</v>
      </c>
      <c r="L109" s="178" t="str">
        <f>IF(AK93&gt;3,"v","")</f>
        <v>v</v>
      </c>
      <c r="M109" s="179">
        <v>4</v>
      </c>
      <c r="N109" s="177">
        <v>1</v>
      </c>
      <c r="O109" s="178" t="str">
        <f>IF(AK93&gt;4,"v","")</f>
        <v>v</v>
      </c>
      <c r="P109" s="179">
        <v>3</v>
      </c>
      <c r="Q109" s="177">
        <v>4</v>
      </c>
      <c r="R109" s="178" t="str">
        <f>IF(AK93&gt;5,"v","")</f>
        <v>v</v>
      </c>
      <c r="S109" s="179">
        <v>5</v>
      </c>
      <c r="T109" s="177">
        <v>2</v>
      </c>
      <c r="U109" s="178" t="str">
        <f>IF(AK93&gt;6,"v","")</f>
        <v>v</v>
      </c>
      <c r="V109" s="179">
        <v>3</v>
      </c>
      <c r="W109" s="177">
        <v>1</v>
      </c>
      <c r="X109" s="178" t="str">
        <f>IF(AK93&gt;7,"v","")</f>
        <v>v</v>
      </c>
      <c r="Y109" s="179">
        <v>5</v>
      </c>
      <c r="Z109" s="177">
        <v>3</v>
      </c>
      <c r="AA109" s="178" t="str">
        <f>IF(AK93&gt;8,"v","")</f>
        <v>v</v>
      </c>
      <c r="AB109" s="179">
        <v>4</v>
      </c>
      <c r="AC109" s="177">
        <v>1</v>
      </c>
      <c r="AD109" s="178" t="str">
        <f>IF(AK93&gt;9,"v","")</f>
        <v>v</v>
      </c>
      <c r="AE109" s="179">
        <v>2</v>
      </c>
      <c r="AF109" s="174" t="str">
        <f>IF(AK94&gt;0,"Team 1","")</f>
        <v>Team 1</v>
      </c>
      <c r="AG109" s="180" t="str">
        <f>IF(AK94&lt;1,"",IF(AK93&lt;1,"",IF(B109=1,B115-D115,IF(D109=1,D115-B115,""))))</f>
        <v/>
      </c>
      <c r="AH109" s="180">
        <f>IF(AK94&lt;1,"",IF(AK93&lt;2,"",IF(E109=1,E115-G115,IF(G109=1,G115-E115,""))))</f>
        <v>7</v>
      </c>
      <c r="AI109" s="180" t="str">
        <f>IF(AK94&lt;1,"",IF(AK93&lt;3,"",IF(H109=1,H115-J115,IF(J109=1,J115-H115,""))))</f>
        <v/>
      </c>
      <c r="AJ109" s="180" t="str">
        <f>IF(AK94&lt;1,"",IF(AK93&lt;4,"",IF(K109=1,K115-M115,IF(M109=1,M115-K115,""))))</f>
        <v/>
      </c>
      <c r="AK109" s="180">
        <f>IF(AK94&lt;1,"",IF(AK93&lt;5,"",IF(N109=1,N115-P115,IF(P109=1,P115-N115,""))))</f>
        <v>12</v>
      </c>
      <c r="AL109" s="180" t="str">
        <f>IF(AK94&lt;1,"",IF(AK93&lt;6,"",IF(Q109=1,Q115-S115,IF(S109=1,S115-Q115,""))))</f>
        <v/>
      </c>
      <c r="AM109" s="180" t="str">
        <f>IF(AK94&lt;1,"",IF(AK93&lt;7,"",IF(T109=1,T115-V115,IF(V109=1,V115-T115,""))))</f>
        <v/>
      </c>
      <c r="AN109" s="180">
        <f>IF(AK94&lt;1,"",IF(AK93&lt;8,"",IF(W109=1,W115-Y115,IF(Y109=1,Y115-W115,""))))</f>
        <v>11</v>
      </c>
      <c r="AO109" s="180" t="str">
        <f>IF(AK94&lt;1,"",IF(AK93&lt;9,"",IF(Z109=1,Z115-AB115,IF(AB109=1,AB115-Z115,""))))</f>
        <v/>
      </c>
      <c r="AP109" s="180">
        <f>IF(AK94&lt;1,"",IF(AK93&lt;10,"",IF(AC109=1,AC115-AE115,IF(AE109=1,AE115-AC115,""))))</f>
        <v>-13</v>
      </c>
      <c r="AQ109" s="176">
        <f>SUM(AG109:AP109)</f>
        <v>17</v>
      </c>
    </row>
    <row r="110" spans="1:44" ht="15" x14ac:dyDescent="0.2">
      <c r="A110" s="134" t="s">
        <v>77</v>
      </c>
      <c r="B110" s="181">
        <v>25</v>
      </c>
      <c r="C110" s="182" t="s">
        <v>78</v>
      </c>
      <c r="D110" s="183">
        <v>16</v>
      </c>
      <c r="E110" s="181">
        <v>18</v>
      </c>
      <c r="F110" s="182" t="str">
        <f>IF(AK93&gt;1,"/","")</f>
        <v>/</v>
      </c>
      <c r="G110" s="183">
        <v>25</v>
      </c>
      <c r="H110" s="181">
        <v>27</v>
      </c>
      <c r="I110" s="182" t="str">
        <f>IF(AK93&gt;2,"/","")</f>
        <v>/</v>
      </c>
      <c r="J110" s="183">
        <v>25</v>
      </c>
      <c r="K110" s="181">
        <v>25</v>
      </c>
      <c r="L110" s="182" t="str">
        <f>IF(AK93&gt;3,"/","")</f>
        <v>/</v>
      </c>
      <c r="M110" s="183">
        <v>17</v>
      </c>
      <c r="N110" s="181">
        <v>25</v>
      </c>
      <c r="O110" s="182" t="str">
        <f>IF(AK93&gt;4,"/","")</f>
        <v>/</v>
      </c>
      <c r="P110" s="183">
        <v>22</v>
      </c>
      <c r="Q110" s="181">
        <v>25</v>
      </c>
      <c r="R110" s="182" t="str">
        <f>IF(AK93&gt;5,"/","")</f>
        <v>/</v>
      </c>
      <c r="S110" s="183">
        <v>20</v>
      </c>
      <c r="T110" s="181">
        <v>25</v>
      </c>
      <c r="U110" s="182" t="str">
        <f>IF(AK93&gt;6,"/","")</f>
        <v>/</v>
      </c>
      <c r="V110" s="183">
        <v>13</v>
      </c>
      <c r="W110" s="181">
        <v>25</v>
      </c>
      <c r="X110" s="182" t="str">
        <f>IF(AK93&gt;7,"/","")</f>
        <v>/</v>
      </c>
      <c r="Y110" s="183">
        <v>18</v>
      </c>
      <c r="Z110" s="181">
        <v>25</v>
      </c>
      <c r="AA110" s="182" t="str">
        <f>IF(AK93&gt;8,"/","")</f>
        <v>/</v>
      </c>
      <c r="AB110" s="183">
        <v>19</v>
      </c>
      <c r="AC110" s="181">
        <v>18</v>
      </c>
      <c r="AD110" s="182" t="str">
        <f>IF(AK93&gt;9,"/","")</f>
        <v>/</v>
      </c>
      <c r="AE110" s="183">
        <v>25</v>
      </c>
      <c r="AF110" s="174" t="str">
        <f>IF(AK94&gt;1,"Team 2","")</f>
        <v>Team 2</v>
      </c>
      <c r="AG110" s="180">
        <f>IF(AK94&lt;2,"",IF(AK93&lt;1,"",IF(B109=2,B115-D115,IF(D109=2,D115-B115,""))))</f>
        <v>3</v>
      </c>
      <c r="AH110" s="180" t="str">
        <f>IF(AK94&lt;2,"",IF(AK93&lt;2,"",IF(E109=2,E115-G115,IF(G109=2,G115-E115,""))))</f>
        <v/>
      </c>
      <c r="AI110" s="180" t="str">
        <f>IF(AK94&lt;2,"",IF(AK93&lt;3,"",IF(H109=2,H115-J115,IF(J109=2,J115-H115,""))))</f>
        <v/>
      </c>
      <c r="AJ110" s="180">
        <f>IF(AK94&lt;2,"",IF(AK93&lt;4,"",IF(K109=2,K115-M115,IF(M109=2,M115-K115,""))))</f>
        <v>20</v>
      </c>
      <c r="AK110" s="180" t="str">
        <f>IF(AK94&lt;2,"",IF(AK93&lt;5,"",IF(N109=2,N115-P115,IF(P109=2,P115-N115,""))))</f>
        <v/>
      </c>
      <c r="AL110" s="180" t="str">
        <f>IF(AK94&lt;2,"",IF(AK93&lt;6,"",IF(Q109=2,Q115-S115,IF(S109=2,S115-Q115,""))))</f>
        <v/>
      </c>
      <c r="AM110" s="180">
        <f>IF(AK94&lt;2,"",IF(AK93&lt;7,"",IF(T109=2,T115-V115,IF(V109=2,V115-T115,""))))</f>
        <v>26</v>
      </c>
      <c r="AN110" s="180" t="str">
        <f>IF(AK94&lt;2,"",IF(AK93&lt;8,"",IF(W109=2,W115-Y115,IF(Y109=2,Y115-W115,""))))</f>
        <v/>
      </c>
      <c r="AO110" s="180" t="str">
        <f>IF(AK94&lt;2,"",IF(AK93&lt;9,"",IF(Z109=2,Z115-AB115,IF(AB109=2,AB115-Z115,""))))</f>
        <v/>
      </c>
      <c r="AP110" s="180">
        <f>IF(AK94&lt;2,"",IF(AK93&lt;10,"",IF(AC109=2,AC115-AE115,IF(AE109=2,AE115-AC115,""))))</f>
        <v>13</v>
      </c>
      <c r="AQ110" s="176">
        <f>SUM(AG110:AP110)</f>
        <v>62</v>
      </c>
    </row>
    <row r="111" spans="1:44" ht="15" x14ac:dyDescent="0.2">
      <c r="A111" s="133" t="str">
        <f>IF(AK92&gt;1,"Game 2","")</f>
        <v>Game 2</v>
      </c>
      <c r="B111" s="181">
        <v>19</v>
      </c>
      <c r="C111" s="182" t="s">
        <v>78</v>
      </c>
      <c r="D111" s="183">
        <v>25</v>
      </c>
      <c r="E111" s="181">
        <v>25</v>
      </c>
      <c r="F111" s="182" t="str">
        <f>IF(AK93&gt;1,IF(AK92&gt;1,"/",""),"")</f>
        <v>/</v>
      </c>
      <c r="G111" s="183">
        <v>11</v>
      </c>
      <c r="H111" s="181">
        <v>27</v>
      </c>
      <c r="I111" s="182" t="str">
        <f>IF(AK93&gt;2,IF(AK92&gt;1,"/",""),"")</f>
        <v>/</v>
      </c>
      <c r="J111" s="183">
        <v>25</v>
      </c>
      <c r="K111" s="181">
        <v>25</v>
      </c>
      <c r="L111" s="182" t="str">
        <f>IF(AK93&gt;3,IF(AK92&gt;1,"/",""),"")</f>
        <v>/</v>
      </c>
      <c r="M111" s="183">
        <v>13</v>
      </c>
      <c r="N111" s="181">
        <v>25</v>
      </c>
      <c r="O111" s="182" t="str">
        <f>IF(AK93&gt;4,IF(AK92&gt;1,"/",""),"")</f>
        <v>/</v>
      </c>
      <c r="P111" s="183">
        <v>16</v>
      </c>
      <c r="Q111" s="181">
        <v>25</v>
      </c>
      <c r="R111" s="182" t="str">
        <f>IF(AK93&gt;5,IF(AK92&gt;1,"/",""),"")</f>
        <v>/</v>
      </c>
      <c r="S111" s="183">
        <v>16</v>
      </c>
      <c r="T111" s="181">
        <v>25</v>
      </c>
      <c r="U111" s="182" t="str">
        <f>IF(AK93&gt;6,IF(AK92&gt;1,"/",""),"")</f>
        <v>/</v>
      </c>
      <c r="V111" s="183">
        <v>11</v>
      </c>
      <c r="W111" s="181">
        <v>25</v>
      </c>
      <c r="X111" s="182" t="str">
        <f>IF(AK93&gt;7,IF(AK92&gt;1,"/",""),"")</f>
        <v>/</v>
      </c>
      <c r="Y111" s="183">
        <v>21</v>
      </c>
      <c r="Z111" s="181">
        <v>25</v>
      </c>
      <c r="AA111" s="182" t="str">
        <f>IF(AK93&gt;8,IF(AK92&gt;1,"/",""),"")</f>
        <v>/</v>
      </c>
      <c r="AB111" s="183">
        <v>23</v>
      </c>
      <c r="AC111" s="181">
        <v>19</v>
      </c>
      <c r="AD111" s="182" t="str">
        <f>IF(AK93&gt;9,IF(AK92&gt;1,"/",""),"")</f>
        <v>/</v>
      </c>
      <c r="AE111" s="183">
        <v>25</v>
      </c>
      <c r="AF111" s="174" t="str">
        <f>IF(AK94&gt;2,"Team 3","")</f>
        <v>Team 3</v>
      </c>
      <c r="AG111" s="180" t="str">
        <f>IF(AK94&lt;3,"",IF(AK93&lt;1,"",IF(B109=3,B115-D115,IF(D109=3,D115-B115,""))))</f>
        <v/>
      </c>
      <c r="AH111" s="180" t="str">
        <f>IF(AK94&lt;3,"",IF(AK93&lt;2,"",IF(E109=3,E115-G115,IF(G109=3,G115-E115,""))))</f>
        <v/>
      </c>
      <c r="AI111" s="180">
        <f>IF(AK94&lt;3,"",IF(AK93&lt;3,"",IF(H109=3,H115-J115,IF(J109=3,J115-H115,""))))</f>
        <v>4</v>
      </c>
      <c r="AJ111" s="180" t="str">
        <f>IF(AK94&lt;3,"",IF(AK93&lt;4,"",IF(K109=3,K115-M115,IF(M109=3,M115-K115,""))))</f>
        <v/>
      </c>
      <c r="AK111" s="180">
        <f>IF(AK94&lt;3,"",IF(AK93&lt;5,"",IF(N109=3,N115-P115,IF(P109=3,P115-N115,""))))</f>
        <v>-12</v>
      </c>
      <c r="AL111" s="180" t="str">
        <f>IF(AK94&lt;3,"",IF(AK93&lt;6,"",IF(Q109=3,Q115-S115,IF(S109=3,S115-Q115,""))))</f>
        <v/>
      </c>
      <c r="AM111" s="180">
        <f>IF(AK94&lt;3,"",IF(AK93&lt;7,"",IF(T109=3,T115-V115,IF(V109=3,V115-T115,""))))</f>
        <v>-26</v>
      </c>
      <c r="AN111" s="180" t="str">
        <f>IF(AK94&lt;3,"",IF(AK93&lt;8,"",IF(W109=3,W115-Y115,IF(Y109=3,Y115-W115,""))))</f>
        <v/>
      </c>
      <c r="AO111" s="180">
        <f>IF(AK94&lt;3,"",IF(AK93&lt;9,"",IF(Z109=3,Z115-AB115,IF(AB109=3,AB115-Z115,""))))</f>
        <v>8</v>
      </c>
      <c r="AP111" s="180" t="str">
        <f>IF(AK94&lt;3,"",IF(AK93&lt;9,"",IF(AC109=3,AC115-AE115,IF(AE109=3,AE115-AC115,""))))</f>
        <v/>
      </c>
      <c r="AQ111" s="176">
        <f>SUM(AG111:AP111)</f>
        <v>-26</v>
      </c>
    </row>
    <row r="112" spans="1:44" ht="15" x14ac:dyDescent="0.2">
      <c r="A112" s="133" t="str">
        <f>IF(AK92&gt;2,"Game 3","")</f>
        <v/>
      </c>
      <c r="B112" s="181"/>
      <c r="C112" s="182" t="s">
        <v>78</v>
      </c>
      <c r="D112" s="183"/>
      <c r="E112" s="181"/>
      <c r="F112" s="182" t="str">
        <f>IF(AK93&gt;1,IF(AK92&gt;2,"/",""),"")</f>
        <v/>
      </c>
      <c r="G112" s="183"/>
      <c r="H112" s="181"/>
      <c r="I112" s="182" t="str">
        <f>IF(AK93&gt;2,IF(AK92&gt;2,"/",""),"")</f>
        <v/>
      </c>
      <c r="J112" s="183"/>
      <c r="K112" s="181"/>
      <c r="L112" s="182" t="str">
        <f>IF(AK93&gt;3,IF(AK92&gt;2,"/",""),"")</f>
        <v/>
      </c>
      <c r="M112" s="183"/>
      <c r="N112" s="181"/>
      <c r="O112" s="182" t="str">
        <f>IF(AK93&gt;4,IF(AK92&gt;2,"/",""),"")</f>
        <v/>
      </c>
      <c r="P112" s="183"/>
      <c r="Q112" s="181"/>
      <c r="R112" s="182" t="str">
        <f>IF(AK93&gt;5,IF(AK92&gt;2,"/",""),"")</f>
        <v/>
      </c>
      <c r="S112" s="183"/>
      <c r="T112" s="181"/>
      <c r="U112" s="182" t="str">
        <f>IF(AK93&gt;6,IF(AK92&gt;2,"/",""),"")</f>
        <v/>
      </c>
      <c r="V112" s="183"/>
      <c r="W112" s="181"/>
      <c r="X112" s="182" t="str">
        <f>IF(AK93&gt;7,IF(AK92&gt;2,"/",""),"")</f>
        <v/>
      </c>
      <c r="Y112" s="183"/>
      <c r="Z112" s="181"/>
      <c r="AA112" s="182" t="str">
        <f>IF(AK93&gt;8,IF(AK92&gt;2,"/",""),"")</f>
        <v/>
      </c>
      <c r="AB112" s="183"/>
      <c r="AC112" s="181"/>
      <c r="AD112" s="182" t="str">
        <f>IF(AK93&gt;9,IF(AK92&gt;2,"/",""),"")</f>
        <v/>
      </c>
      <c r="AE112" s="183"/>
      <c r="AF112" s="174" t="str">
        <f>IF(AK94&gt;3,"Team 4","")</f>
        <v>Team 4</v>
      </c>
      <c r="AG112" s="180" t="str">
        <f>IF(AK94&lt;4,"",IF(AK93&lt;1,"",IF(B109=4,B115-D115,IF(D109=4,D115-B115,""))))</f>
        <v/>
      </c>
      <c r="AH112" s="180">
        <f>IF(AK94&lt;4,"",IF(AK93&lt;2,"",IF(E109=4,E115-G115,IF(G109=4,G115-E115,""))))</f>
        <v>-7</v>
      </c>
      <c r="AI112" s="180" t="str">
        <f>IF(AK94&lt;4,"",IF(AK93&lt;3,"",IF(H109=4,H115-J115,IF(J109=4,J115-H115,""))))</f>
        <v/>
      </c>
      <c r="AJ112" s="180">
        <f>IF(AK94&lt;4,"",IF(AK93&lt;4,"",IF(K109=4,K115-M115,IF(M109=4,M115-K115,""))))</f>
        <v>-20</v>
      </c>
      <c r="AK112" s="180" t="str">
        <f>IF(AK94&lt;4,"",IF(AK93&lt;5,"",IF(N109=4,N115-P115,IF(P109=4,P115-N115,""))))</f>
        <v/>
      </c>
      <c r="AL112" s="180">
        <f>IF(AK94&lt;4,"",IF(AK93&lt;6,"",IF(Q109=4,Q115-S115,IF(S109=4,S115-Q115,""))))</f>
        <v>14</v>
      </c>
      <c r="AM112" s="180" t="str">
        <f>IF(AK94&lt;4,"",IF(AK93&lt;7,"",IF(T109=4,T115-V115,IF(V109=4,V115-T115,""))))</f>
        <v/>
      </c>
      <c r="AN112" s="180" t="str">
        <f>IF(AK94&lt;4,"",IF(AK93&lt;8,"",IF(W109=4,W115-Y115,IF(Y109=4,Y115-W115,""))))</f>
        <v/>
      </c>
      <c r="AO112" s="180">
        <f>IF(AK94&lt;4,"",IF(AK93&lt;9,"",IF(Z109=4,Z115-AB115,IF(AB109=4,AB115-Z115,""))))</f>
        <v>-8</v>
      </c>
      <c r="AP112" s="180" t="str">
        <f>IF(AK94&lt;4,"",IF(AK93&lt;10,"",IF(AC109=4,AC115-AE115,IF(AE109=4,AE115-AC115,""))))</f>
        <v/>
      </c>
      <c r="AQ112" s="176">
        <f>SUM(AG112:AP112)</f>
        <v>-21</v>
      </c>
    </row>
    <row r="113" spans="1:49" ht="15" x14ac:dyDescent="0.2">
      <c r="A113" s="133" t="str">
        <f>IF(AK92&gt;3,"Game 4","")</f>
        <v/>
      </c>
      <c r="B113" s="181"/>
      <c r="C113" s="182" t="s">
        <v>78</v>
      </c>
      <c r="D113" s="183"/>
      <c r="E113" s="181"/>
      <c r="F113" s="182" t="str">
        <f>IF(AK93&gt;1,IF(AK92&gt;3,"/",""),"")</f>
        <v/>
      </c>
      <c r="G113" s="183"/>
      <c r="H113" s="181"/>
      <c r="I113" s="182" t="str">
        <f>IF(AK93&gt;2,IF(AK92&gt;3,"/",""),"")</f>
        <v/>
      </c>
      <c r="J113" s="183"/>
      <c r="K113" s="181"/>
      <c r="L113" s="182" t="str">
        <f>IF(AK93&gt;3,IF(AK92&gt;3,"/",""),"")</f>
        <v/>
      </c>
      <c r="M113" s="183"/>
      <c r="N113" s="181"/>
      <c r="O113" s="182" t="str">
        <f>IF(AK93&gt;4,IF(AK92&gt;3,"/",""),"")</f>
        <v/>
      </c>
      <c r="P113" s="183"/>
      <c r="Q113" s="181"/>
      <c r="R113" s="182" t="str">
        <f>IF(AK93&gt;5,IF(AK92&gt;3,"/",""),"")</f>
        <v/>
      </c>
      <c r="S113" s="183"/>
      <c r="T113" s="181"/>
      <c r="U113" s="182" t="str">
        <f>IF(AK93&gt;6,IF(AK92&gt;3,"/",""),"")</f>
        <v/>
      </c>
      <c r="V113" s="183"/>
      <c r="W113" s="181"/>
      <c r="X113" s="182" t="str">
        <f>IF(AK93&gt;7,IF(AK92&gt;3,"/",""),"")</f>
        <v/>
      </c>
      <c r="Y113" s="183"/>
      <c r="Z113" s="181"/>
      <c r="AA113" s="182" t="str">
        <f>IF(AK93&gt;8,IF(AK92&gt;3,"/",""),"")</f>
        <v/>
      </c>
      <c r="AB113" s="183"/>
      <c r="AC113" s="181"/>
      <c r="AD113" s="182" t="str">
        <f>IF(AK93&gt;9,IF(AK92&gt;3,"/",""),"")</f>
        <v/>
      </c>
      <c r="AE113" s="183"/>
      <c r="AF113" s="174" t="str">
        <f>IF(AK94&gt;4,"Team 5","")</f>
        <v>Team 5</v>
      </c>
      <c r="AG113" s="184">
        <f>IF(AK94&lt;5,"",IF(AK93&lt;1,"",IF(B109=5,B115-D115,IF(D109=5,D115-B115,""))))</f>
        <v>-3</v>
      </c>
      <c r="AH113" s="180" t="str">
        <f>IF(AK94&lt;5,"",IF(AK93&lt;2,"",IF(E109=5,E115-G115,IF(G109=5,G115-E115,""))))</f>
        <v/>
      </c>
      <c r="AI113" s="180">
        <f>IF(AK94&lt;5,"",IF(AK93&lt;3,"",IF(H109=5,H115-J115,IF(J109=5,J115-H115,""))))</f>
        <v>-4</v>
      </c>
      <c r="AJ113" s="180" t="str">
        <f>IF(AK94&lt;5,"",IF(AK93&lt;4,"",IF(K109=5,K115-M115,IF(M109=5,M115-K115,""))))</f>
        <v/>
      </c>
      <c r="AK113" s="180" t="str">
        <f>IF(AK94&lt;5,"",IF(AK93&lt;5,"",IF(N109=5,N115-P115,IF(P109=5,P115-N115,""))))</f>
        <v/>
      </c>
      <c r="AL113" s="180">
        <f>IF(AK94&lt;5,"",IF(AK93&lt;6,"",IF(Q109=5,Q115-S115,IF(S109=5,S115-Q115,""))))</f>
        <v>-14</v>
      </c>
      <c r="AM113" s="180" t="str">
        <f>IF(AK94&lt;5,"",IF(AK93&lt;7,"",IF(T109=5,T115-V115,IF(V109=5,V115-T115,""))))</f>
        <v/>
      </c>
      <c r="AN113" s="180">
        <f>IF(AK94&lt;5,"",IF(AK93&lt;8,"",IF(W109=5,W115-Y115,IF(Y109=5,Y115-W115,""))))</f>
        <v>-11</v>
      </c>
      <c r="AO113" s="180" t="str">
        <f>IF(AK94&lt;5,"",IF(AK93&lt;9,"",IF(Z109=5,Z115-AB115,IF(AB109=5,AB115-Z115,""))))</f>
        <v/>
      </c>
      <c r="AP113" s="180" t="str">
        <f>IF(AK94&lt;5,"",IF(AK93&lt;10,"",IF(AC109=5,AC115-AE115,IF(AE109=5,AE115-AC115,""))))</f>
        <v/>
      </c>
      <c r="AQ113" s="176">
        <f>SUM(AG113:AP113)</f>
        <v>-32</v>
      </c>
    </row>
    <row r="114" spans="1:49" ht="15" x14ac:dyDescent="0.2">
      <c r="A114" s="133" t="str">
        <f>IF(AK92&gt;4,"Game 5","")</f>
        <v/>
      </c>
      <c r="B114" s="181"/>
      <c r="C114" s="182" t="s">
        <v>78</v>
      </c>
      <c r="D114" s="183"/>
      <c r="E114" s="181"/>
      <c r="F114" s="182" t="str">
        <f>IF(AK93&gt;1,IF(AK92&gt;4,"/",""),"")</f>
        <v/>
      </c>
      <c r="G114" s="183"/>
      <c r="H114" s="181"/>
      <c r="I114" s="182" t="str">
        <f>IF(AK93&gt;2,IF(AK92&gt;4,"/",""),"")</f>
        <v/>
      </c>
      <c r="J114" s="183"/>
      <c r="K114" s="181"/>
      <c r="L114" s="182" t="str">
        <f>IF(AK93&gt;3,IF(AK92&gt;4,"/",""),"")</f>
        <v/>
      </c>
      <c r="M114" s="183"/>
      <c r="N114" s="181"/>
      <c r="O114" s="182" t="str">
        <f>IF(AK93&gt;4,IF(AK92&gt;4,"/",""),"")</f>
        <v/>
      </c>
      <c r="P114" s="183"/>
      <c r="Q114" s="181"/>
      <c r="R114" s="182" t="str">
        <f>IF(AK93&gt;5,IF(AK92&gt;4,"/",""),"")</f>
        <v/>
      </c>
      <c r="S114" s="183"/>
      <c r="T114" s="181"/>
      <c r="U114" s="182" t="str">
        <f>IF(AK93&gt;6,IF(AK92&gt;4,"/",""),"")</f>
        <v/>
      </c>
      <c r="V114" s="183"/>
      <c r="W114" s="181"/>
      <c r="X114" s="182" t="str">
        <f>IF(AK93&gt;7,IF(AK92&gt;4,"/",""),"")</f>
        <v/>
      </c>
      <c r="Y114" s="183"/>
      <c r="Z114" s="181"/>
      <c r="AA114" s="182" t="str">
        <f>IF(AK93&gt;8,IF(AK92&gt;4,"/",""),"")</f>
        <v/>
      </c>
      <c r="AB114" s="183"/>
      <c r="AC114" s="181"/>
      <c r="AD114" s="182" t="str">
        <f>IF(AK93&gt;9,IF(AK92&gt;4,"/",""),"")</f>
        <v/>
      </c>
      <c r="AE114" s="183"/>
      <c r="AF114" s="138"/>
      <c r="AG114" s="138"/>
      <c r="AH114" s="138"/>
      <c r="AI114" s="138"/>
      <c r="AJ114" s="138"/>
      <c r="AK114" s="138"/>
      <c r="AL114" s="138"/>
      <c r="AM114" s="138"/>
      <c r="AN114" s="138"/>
      <c r="AO114" s="138"/>
      <c r="AP114" s="138"/>
      <c r="AQ114" s="138"/>
    </row>
    <row r="115" spans="1:49" hidden="1" x14ac:dyDescent="0.2">
      <c r="A115" s="185"/>
      <c r="B115" s="185">
        <f>IF($AK92=5,SUM(B110:B114),IF($AK92=4,SUM(B110:B113),IF($AK92=3,SUM(B110:B112),IF($AK92=2,SUM(B110:B111),B110))))</f>
        <v>44</v>
      </c>
      <c r="C115" s="185"/>
      <c r="D115" s="185">
        <f>IF($AK92=5,SUM(D110:D114),IF($AK92=4,SUM(D110:D113),IF($AK92=3,SUM(D110:D112),IF($AK92=2,SUM(D110:D111),D110))))</f>
        <v>41</v>
      </c>
      <c r="E115" s="185">
        <f>IF($AK92=5,SUM(E110:E114),IF($AK92=4,SUM(E110:E113),IF($AK92=3,SUM(E110:E112),IF($AK92=2,SUM(E110:E111),E110))))</f>
        <v>43</v>
      </c>
      <c r="F115" s="185"/>
      <c r="G115" s="185">
        <f>IF($AK92=5,SUM(G110:G114),IF($AK92=4,SUM(G110:G113),IF($AK92=3,SUM(G110:G112),IF($AK92=2,SUM(G110:G111),G110))))</f>
        <v>36</v>
      </c>
      <c r="H115" s="185">
        <f>IF($AK92=5,SUM(H110:H114),IF($AK92=4,SUM(H110:H113),IF($AK92=3,SUM(H110:H112),IF($AK92=2,SUM(H110:H111),H110))))</f>
        <v>54</v>
      </c>
      <c r="I115" s="185"/>
      <c r="J115" s="185">
        <f>IF($AK92=5,SUM(J110:J114),IF($AK92=4,SUM(J110:J113),IF($AK92=3,SUM(J110:J112),IF($AK92=2,SUM(J110:J111),J110))))</f>
        <v>50</v>
      </c>
      <c r="K115" s="185">
        <f>IF($AK92=5,SUM(K110:K114),IF($AK92=4,SUM(K110:K113),IF($AK92=3,SUM(K110:K112),IF($AK92=2,SUM(K110:K111),K110))))</f>
        <v>50</v>
      </c>
      <c r="L115" s="185"/>
      <c r="M115" s="185">
        <f>IF($AK92=5,SUM(M110:M114),IF($AK92=4,SUM(M110:M113),IF($AK92=3,SUM(M110:M112),IF($AK92=2,SUM(M110:M111),M110))))</f>
        <v>30</v>
      </c>
      <c r="N115" s="185">
        <f>IF($AK92=5,SUM(N110:N114),IF($AK92=4,SUM(N110:N113),IF($AK92=3,SUM(N110:N112),IF($AK92=2,SUM(N110:N111),N110))))</f>
        <v>50</v>
      </c>
      <c r="O115" s="185"/>
      <c r="P115" s="185">
        <f>IF($AK92=5,SUM(P110:P114),IF($AK92=4,SUM(P110:P113),IF($AK92=3,SUM(P110:P112),IF($AK92=2,SUM(P110:P111),P110))))</f>
        <v>38</v>
      </c>
      <c r="Q115" s="185">
        <f>IF($AK92=5,SUM(Q110:Q114),IF($AK92=4,SUM(Q110:Q113),IF($AK92=3,SUM(Q110:Q112),IF($AK92=2,SUM(Q110:Q111),Q110))))</f>
        <v>50</v>
      </c>
      <c r="R115" s="185"/>
      <c r="S115" s="185">
        <f>IF($AK92=5,SUM(S110:S114),IF($AK92=4,SUM(S110:S113),IF($AK92=3,SUM(S110:S112),IF($AK92=2,SUM(S110:S111),S110))))</f>
        <v>36</v>
      </c>
      <c r="T115" s="185">
        <f>IF($AK92=5,SUM(T110:T114),IF($AK92=4,SUM(T110:T113),IF($AK92=3,SUM(T110:T112),IF($AK92=2,SUM(T110:T111),T110))))</f>
        <v>50</v>
      </c>
      <c r="U115" s="185"/>
      <c r="V115" s="185">
        <f>IF($AK92=5,SUM(V110:V114),IF($AK92=4,SUM(V110:V113),IF($AK92=3,SUM(V110:V112),IF($AK92=2,SUM(V110:V111),V110))))</f>
        <v>24</v>
      </c>
      <c r="W115" s="185">
        <f>IF($AK92=5,SUM(W110:W114),IF($AK92=4,SUM(W110:W113),IF($AK92=3,SUM(W110:W112),IF($AK92=2,SUM(W110:W111),W110))))</f>
        <v>50</v>
      </c>
      <c r="X115" s="185"/>
      <c r="Y115" s="185">
        <f>IF($AK92=5,SUM(Y110:Y114),IF($AK92=4,SUM(Y110:Y113),IF($AK92=3,SUM(Y110:Y112),IF($AK92=2,SUM(Y110:Y111),Y110))))</f>
        <v>39</v>
      </c>
      <c r="Z115" s="185">
        <f>IF($AK92=5,SUM(Z110:Z114),IF($AK92=4,SUM(Z110:Z113),IF($AK92=3,SUM(Z110:Z112),IF($AK92=2,SUM(Z110:Z111),Z110))))</f>
        <v>50</v>
      </c>
      <c r="AA115" s="185"/>
      <c r="AB115" s="185">
        <f>IF($AK92=5,SUM(AB110:AB114),IF($AK92=4,SUM(AB110:AB113),IF($AK92=3,SUM(AB110:AB112),IF($AK92=2,SUM(AB110:AB111),AB110))))</f>
        <v>42</v>
      </c>
      <c r="AC115" s="185">
        <f>IF($AK92=5,SUM(AC110:AC114),IF($AK92=4,SUM(AC110:AC113),IF($AK92=3,SUM(AC110:AC112),IF($AK92=2,SUM(AC110:AC111),AC110))))</f>
        <v>37</v>
      </c>
      <c r="AD115" s="185"/>
      <c r="AE115" s="185">
        <f>IF($AK92=5,SUM(AE110:AE114),IF($AK92=4,SUM(AE110:AE113),IF($AK92=3,SUM(AE110:AE112),IF($AK92=2,SUM(AE110:AE111),AE110))))</f>
        <v>50</v>
      </c>
      <c r="AF115" s="138"/>
      <c r="AG115" s="138"/>
      <c r="AH115" s="138"/>
      <c r="AI115" s="138"/>
      <c r="AJ115" s="138"/>
      <c r="AK115" s="138"/>
      <c r="AL115" s="138"/>
      <c r="AM115" s="138"/>
      <c r="AN115" s="138"/>
      <c r="AO115" s="138"/>
      <c r="AP115" s="138"/>
      <c r="AQ115" s="138"/>
    </row>
    <row r="116" spans="1:49" s="186" customFormat="1" ht="12.75" hidden="1" customHeight="1" x14ac:dyDescent="0.2">
      <c r="A116" s="186" t="s">
        <v>79</v>
      </c>
      <c r="B116" s="187">
        <f>IF(AND(B110&gt;D110,$AK93&gt;0,ISNUMBER(B110),ISNUMBER(D110)),1,0)</f>
        <v>1</v>
      </c>
      <c r="C116" s="187"/>
      <c r="D116" s="188">
        <f>IF(AND(D110&gt;B110,$AK93&gt;0,ISNUMBER(B110),ISNUMBER(D110)),1,0)</f>
        <v>0</v>
      </c>
      <c r="E116" s="187">
        <f>IF(AND(E110&gt;G110,$AK93&gt;1,ISNUMBER(E110),ISNUMBER(G110)),1,0)</f>
        <v>0</v>
      </c>
      <c r="F116" s="187"/>
      <c r="G116" s="188">
        <f>IF(AND(G110&gt;E110,$AK93&gt;1,ISNUMBER(E110),ISNUMBER(G110)),1,0)</f>
        <v>1</v>
      </c>
      <c r="H116" s="187">
        <f>IF(AND(H110&gt;J110,$AK93&gt;2,ISNUMBER(H110),ISNUMBER(J110)),1,0)</f>
        <v>1</v>
      </c>
      <c r="I116" s="187"/>
      <c r="J116" s="188">
        <f>IF(AND(J110&gt;H110,$AK93&gt;2,ISNUMBER(H110),ISNUMBER(J110)),1,0)</f>
        <v>0</v>
      </c>
      <c r="K116" s="187">
        <f>IF(AND(K110&gt;M110,$AK93&gt;3,ISNUMBER(K110),ISNUMBER(M110)),1,0)</f>
        <v>1</v>
      </c>
      <c r="L116" s="187"/>
      <c r="M116" s="188">
        <f>IF(AND(M110&gt;K110,$AK93&gt;3,ISNUMBER(K110),ISNUMBER(M110)),1,0)</f>
        <v>0</v>
      </c>
      <c r="N116" s="187">
        <f>IF(AND(N110&gt;P110,$AK93&gt;4,ISNUMBER(N110),ISNUMBER(P110)),1,0)</f>
        <v>1</v>
      </c>
      <c r="O116" s="187"/>
      <c r="P116" s="188">
        <f>IF(AND(P110&gt;N110,$AK93&gt;4,ISNUMBER(N110),ISNUMBER(P110)),1,0)</f>
        <v>0</v>
      </c>
      <c r="Q116" s="187">
        <f>IF(AND(Q110&gt;S110,$AK93&gt;5,ISNUMBER(Q110),ISNUMBER(S110)),1,0)</f>
        <v>1</v>
      </c>
      <c r="R116" s="187"/>
      <c r="S116" s="188">
        <f>IF(AND(S110&gt;Q110,$AK93&gt;5,ISNUMBER(Q110),ISNUMBER(S110)),1,0)</f>
        <v>0</v>
      </c>
      <c r="T116" s="187">
        <f>IF(AND(T110&gt;V110,$AK93&gt;6,ISNUMBER(T110),ISNUMBER(V110)),1,0)</f>
        <v>1</v>
      </c>
      <c r="U116" s="187"/>
      <c r="V116" s="188">
        <f>IF(AND(V110&gt;T110,$AK93&gt;6,ISNUMBER(T110),ISNUMBER(V110)),1,0)</f>
        <v>0</v>
      </c>
      <c r="W116" s="187">
        <f>IF(AND(W110&gt;Y110,$AK93&gt;7,ISNUMBER(W110),ISNUMBER(Y110)),1,0)</f>
        <v>1</v>
      </c>
      <c r="X116" s="187"/>
      <c r="Y116" s="188">
        <f>IF(AND(Y110&gt;W110,$AK93&gt;7,ISNUMBER(W110),ISNUMBER(Y110)),1,0)</f>
        <v>0</v>
      </c>
      <c r="Z116" s="187">
        <f>IF(AND(Z110&gt;AB110,$AK93&gt;8,ISNUMBER(Z110),ISNUMBER(AB110)),1,0)</f>
        <v>1</v>
      </c>
      <c r="AA116" s="187"/>
      <c r="AB116" s="188">
        <f>IF(AND(AB110&gt;Z110,$AK93&gt;8,ISNUMBER(Z110),ISNUMBER(AB110)),1,0)</f>
        <v>0</v>
      </c>
      <c r="AC116" s="187">
        <f>IF(AND(AC110&gt;AE110,$AK93&gt;9,ISNUMBER(AC110),ISNUMBER(AE110)),1,0)</f>
        <v>0</v>
      </c>
      <c r="AD116" s="187"/>
      <c r="AE116" s="188">
        <f>IF(AND(AE110&gt;AC110,$AK93&gt;9,ISNUMBER(AC110),ISNUMBER(AE110)),1,0)</f>
        <v>1</v>
      </c>
      <c r="AW116" s="274"/>
    </row>
    <row r="117" spans="1:49" s="186" customFormat="1" ht="12.75" hidden="1" customHeight="1" x14ac:dyDescent="0.2">
      <c r="A117" s="186" t="s">
        <v>80</v>
      </c>
      <c r="B117" s="187">
        <f>IF(AND(B111&gt;D111,$AK93&gt;0,$AK92&gt;1,ISNUMBER(B111),ISNUMBER(D111)),1,0)</f>
        <v>0</v>
      </c>
      <c r="C117" s="187"/>
      <c r="D117" s="188">
        <f>IF(AND(D111&gt;B111,$AK93&gt;0,$AK92&gt;1,ISNUMBER(B111),ISNUMBER(D111)),1,0)</f>
        <v>1</v>
      </c>
      <c r="E117" s="187">
        <f>IF(AND(E111&gt;G111,$AK93&gt;1,$AK92&gt;1,ISNUMBER(E111),ISNUMBER(G111)),1,0)</f>
        <v>1</v>
      </c>
      <c r="F117" s="187"/>
      <c r="G117" s="188">
        <f>IF(AND(G111&gt;E111,$AK93&gt;1,$AK92&gt;1,ISNUMBER(E111),ISNUMBER(G111)),1,0)</f>
        <v>0</v>
      </c>
      <c r="H117" s="187">
        <f>IF(AND(H111&gt;J111,$AK93&gt;2,$AK92&gt;1,ISNUMBER(H111),ISNUMBER(J111)),1,0)</f>
        <v>1</v>
      </c>
      <c r="I117" s="187"/>
      <c r="J117" s="188">
        <f>IF(AND(J111&gt;H111,$AK93&gt;2,$AK92&gt;1,ISNUMBER(H111),ISNUMBER(J111)),1,0)</f>
        <v>0</v>
      </c>
      <c r="K117" s="187">
        <f>IF(AND(K111&gt;M111,$AK93&gt;3,$AK92&gt;1,ISNUMBER(K111),ISNUMBER(M111)),1,0)</f>
        <v>1</v>
      </c>
      <c r="L117" s="187"/>
      <c r="M117" s="188">
        <f>IF(AND(M111&gt;K111,$AK93&gt;3,$AK92&gt;1,ISNUMBER(K111),ISNUMBER(M111)),1,0)</f>
        <v>0</v>
      </c>
      <c r="N117" s="187">
        <f>IF(AND(N111&gt;P111,$AK93&gt;4,$AK92&gt;1,ISNUMBER(N111),ISNUMBER(P111)),1,0)</f>
        <v>1</v>
      </c>
      <c r="O117" s="187"/>
      <c r="P117" s="188">
        <f>IF(AND(P111&gt;N111,$AK93&gt;4,$AK92&gt;1,ISNUMBER(N111),ISNUMBER(P111)),1,0)</f>
        <v>0</v>
      </c>
      <c r="Q117" s="187">
        <f>IF(AND(Q111&gt;S111,$AK93&gt;5,$AK92&gt;1,ISNUMBER(Q111),ISNUMBER(S111)),1,0)</f>
        <v>1</v>
      </c>
      <c r="R117" s="187"/>
      <c r="S117" s="188">
        <f>IF(AND(S111&gt;Q111,$AK93&gt;5,$AK92&gt;1,ISNUMBER(Q111),ISNUMBER(S111)),1,0)</f>
        <v>0</v>
      </c>
      <c r="T117" s="187">
        <f>IF(AND(T111&gt;V111,$AK93&gt;6,$AK92&gt;1,ISNUMBER(T111),ISNUMBER(V111)),1,0)</f>
        <v>1</v>
      </c>
      <c r="U117" s="187"/>
      <c r="V117" s="188">
        <f>IF(AND(V111&gt;T111,$AK93&gt;6,$AK92&gt;1,ISNUMBER(T111),ISNUMBER(V111)),1,0)</f>
        <v>0</v>
      </c>
      <c r="W117" s="187">
        <f>IF(AND(W111&gt;Y111,$AK93&gt;7,$AK92&gt;1,ISNUMBER(W111),ISNUMBER(Y111)),1,0)</f>
        <v>1</v>
      </c>
      <c r="X117" s="187"/>
      <c r="Y117" s="188">
        <f>IF(AND(Y111&gt;W111,$AK93&gt;7,$AK92&gt;1,ISNUMBER(W111),ISNUMBER(Y111)),1,0)</f>
        <v>0</v>
      </c>
      <c r="Z117" s="187">
        <f>IF(AND(Z111&gt;AB111,$AK93&gt;8,$AK92&gt;1,ISNUMBER(Z111),ISNUMBER(AB111)),1,0)</f>
        <v>1</v>
      </c>
      <c r="AA117" s="187"/>
      <c r="AB117" s="188">
        <f>IF(AND(AB111&gt;Z111,$AK93&gt;8,$AK92&gt;1,ISNUMBER(Z111),ISNUMBER(AB111)),1,0)</f>
        <v>0</v>
      </c>
      <c r="AC117" s="187">
        <f>IF(AND(AC111&gt;AE111,$AK93&gt;9,$AK92&gt;1,ISNUMBER(AC111),ISNUMBER(AE111)),1,0)</f>
        <v>0</v>
      </c>
      <c r="AD117" s="187"/>
      <c r="AE117" s="188">
        <f>IF(AND(AE111&gt;AC111,$AK93&gt;9,$AK92&gt;1,ISNUMBER(AC111),ISNUMBER(AE111)),1,0)</f>
        <v>1</v>
      </c>
      <c r="AW117" s="274"/>
    </row>
    <row r="118" spans="1:49" s="186" customFormat="1" ht="12.75" hidden="1" customHeight="1" x14ac:dyDescent="0.2">
      <c r="A118" s="186" t="s">
        <v>81</v>
      </c>
      <c r="B118" s="187">
        <f>IF(AND(B112&gt;D112,$AK93&gt;0,$AK92&gt;2,ISNUMBER(B112),ISNUMBER(D112)),1,0)</f>
        <v>0</v>
      </c>
      <c r="C118" s="187"/>
      <c r="D118" s="188">
        <f>IF(AND(D112&gt;B112,$AK93&gt;0,$AK92&gt;2,ISNUMBER(B112),ISNUMBER(D112)),1,0)</f>
        <v>0</v>
      </c>
      <c r="E118" s="187">
        <f>IF(AND(E112&gt;G112,$AK93&gt;1,$AK92&gt;2,ISNUMBER(E112),ISNUMBER(G112)),1,0)</f>
        <v>0</v>
      </c>
      <c r="F118" s="187"/>
      <c r="G118" s="188">
        <f>IF(AND(G112&gt;E112,$AK93&gt;1,$AK92&gt;2,ISNUMBER(E112),ISNUMBER(G112)),1,0)</f>
        <v>0</v>
      </c>
      <c r="H118" s="187">
        <f>IF(AND(H112&gt;J112,$AK93&gt;2,$AK92&gt;2,ISNUMBER(H112),ISNUMBER(J112)),1,0)</f>
        <v>0</v>
      </c>
      <c r="I118" s="187"/>
      <c r="J118" s="188">
        <f>IF(AND(J112&gt;H112,$AK93&gt;2,$AK92&gt;2,ISNUMBER(H112),ISNUMBER(J112)),1,0)</f>
        <v>0</v>
      </c>
      <c r="K118" s="187">
        <f>IF(AND(K112&gt;M112,$AK93&gt;3,$AK92&gt;2,ISNUMBER(K112),ISNUMBER(M112)),1,0)</f>
        <v>0</v>
      </c>
      <c r="L118" s="187"/>
      <c r="M118" s="188">
        <f>IF(AND(M112&gt;K112,$AK93&gt;3,$AK92&gt;2,ISNUMBER(K112),ISNUMBER(M112)),1,0)</f>
        <v>0</v>
      </c>
      <c r="N118" s="187">
        <f>IF(AND(N112&gt;P112,$AK93&gt;4,$AK92&gt;2,ISNUMBER(N112),ISNUMBER(P112)),1,0)</f>
        <v>0</v>
      </c>
      <c r="O118" s="187"/>
      <c r="P118" s="188">
        <f>IF(AND(P112&gt;N112,$AK93&gt;4,$AK92&gt;2,ISNUMBER(N112),ISNUMBER(P112)),1,0)</f>
        <v>0</v>
      </c>
      <c r="Q118" s="187">
        <f>IF(AND(Q112&gt;S112,$AK93&gt;5,$AK92&gt;2,ISNUMBER(Q112),ISNUMBER(S112)),1,0)</f>
        <v>0</v>
      </c>
      <c r="R118" s="187"/>
      <c r="S118" s="188">
        <f>IF(AND(S112&gt;Q112,$AK93&gt;5,$AK92&gt;2,ISNUMBER(Q112),ISNUMBER(S112)),1,0)</f>
        <v>0</v>
      </c>
      <c r="T118" s="187">
        <f>IF(AND(T112&gt;V112,$AK93&gt;6,$AK92&gt;2,ISNUMBER(T112),ISNUMBER(V112)),1,0)</f>
        <v>0</v>
      </c>
      <c r="U118" s="187"/>
      <c r="V118" s="188">
        <f>IF(AND(V112&gt;T112,$AK93&gt;6,$AK92&gt;2,ISNUMBER(T112),ISNUMBER(V112)),1,0)</f>
        <v>0</v>
      </c>
      <c r="W118" s="187">
        <f>IF(AND(W112&gt;Y112,$AK93&gt;7,$AK92&gt;2,ISNUMBER(W112),ISNUMBER(Y112)),1,0)</f>
        <v>0</v>
      </c>
      <c r="X118" s="187"/>
      <c r="Y118" s="188">
        <f>IF(AND(Y112&gt;W112,$AK93&gt;7,$AK92&gt;2,ISNUMBER(W112),ISNUMBER(Y112)),1,0)</f>
        <v>0</v>
      </c>
      <c r="Z118" s="187">
        <f>IF(AND(Z112&gt;AB112,$AK93&gt;8,$AK92&gt;2,ISNUMBER(Z112),ISNUMBER(AB112)),1,0)</f>
        <v>0</v>
      </c>
      <c r="AA118" s="187"/>
      <c r="AB118" s="188">
        <f>IF(AND(AB112&gt;Z112,$AK93&gt;8,$AK92&gt;2,ISNUMBER(Z112),ISNUMBER(AB112)),1,0)</f>
        <v>0</v>
      </c>
      <c r="AC118" s="187">
        <f>IF(AND(AC112&gt;AE112,$AK93&gt;9,$AK92&gt;2,ISNUMBER(AC112),ISNUMBER(AE112)),1,0)</f>
        <v>0</v>
      </c>
      <c r="AD118" s="187"/>
      <c r="AE118" s="188">
        <f>IF(AND(AE112&gt;AC112,$AK93&gt;9,$AK92&gt;2,ISNUMBER(AC112),ISNUMBER(AE112)),1,0)</f>
        <v>0</v>
      </c>
      <c r="AW118" s="274"/>
    </row>
    <row r="119" spans="1:49" s="186" customFormat="1" ht="12.75" hidden="1" customHeight="1" x14ac:dyDescent="0.2">
      <c r="A119" s="186" t="s">
        <v>82</v>
      </c>
      <c r="B119" s="187">
        <f>IF(AND(B113&gt;D113,$AK93&gt;0,$AK92&gt;3,ISNUMBER(B113),ISNUMBER(D113)),1,0)</f>
        <v>0</v>
      </c>
      <c r="C119" s="187"/>
      <c r="D119" s="188">
        <f>IF(AND(D113&gt;B113,$AK93&gt;0,$AK92&gt;3,ISNUMBER(B113),ISNUMBER(D113)),1,0)</f>
        <v>0</v>
      </c>
      <c r="E119" s="187">
        <f>IF(AND(E113&gt;G113,$AK93&gt;1,$AK92&gt;3,ISNUMBER(E113),ISNUMBER(G113)),1,0)</f>
        <v>0</v>
      </c>
      <c r="F119" s="187"/>
      <c r="G119" s="188">
        <f>IF(AND(G113&gt;E113,$AK93&gt;1,$AK92&gt;3,ISNUMBER(E113),ISNUMBER(G113)),1,0)</f>
        <v>0</v>
      </c>
      <c r="H119" s="187">
        <f>IF(AND(H113&gt;J113,$AK93&gt;2,$AK92&gt;3,ISNUMBER(H113),ISNUMBER(J113)),1,0)</f>
        <v>0</v>
      </c>
      <c r="I119" s="187"/>
      <c r="J119" s="188">
        <f>IF(AND(J113&gt;H113,$AK93&gt;2,$AK92&gt;3,ISNUMBER(H113),ISNUMBER(J113)),1,0)</f>
        <v>0</v>
      </c>
      <c r="K119" s="187">
        <f>IF(AND(K113&gt;M113,$AK93&gt;3,$AK92&gt;3,ISNUMBER(K113),ISNUMBER(M113)),1,0)</f>
        <v>0</v>
      </c>
      <c r="L119" s="187"/>
      <c r="M119" s="188">
        <f>IF(AND(M113&gt;K113,$AK93&gt;3,$AK92&gt;3,ISNUMBER(K113),ISNUMBER(M113)),1,0)</f>
        <v>0</v>
      </c>
      <c r="N119" s="187">
        <f>IF(AND(N113&gt;P113,$AK93&gt;4,$AK92&gt;3,ISNUMBER(N113),ISNUMBER(P113)),1,0)</f>
        <v>0</v>
      </c>
      <c r="O119" s="187"/>
      <c r="P119" s="188">
        <f>IF(AND(P113&gt;N113,$AK93&gt;4,$AK92&gt;3,ISNUMBER(N113),ISNUMBER(P113)),1,0)</f>
        <v>0</v>
      </c>
      <c r="Q119" s="187">
        <f>IF(AND(Q113&gt;S113,$AK93&gt;5,$AK92&gt;3,ISNUMBER(Q113),ISNUMBER(S113)),1,0)</f>
        <v>0</v>
      </c>
      <c r="R119" s="187"/>
      <c r="S119" s="188">
        <f>IF(AND(S113&gt;Q113,$AK93&gt;5,$AK92&gt;3,ISNUMBER(Q113),ISNUMBER(S113)),1,0)</f>
        <v>0</v>
      </c>
      <c r="T119" s="187">
        <f>IF(AND(T113&gt;V113,$AK93&gt;6,$AK92&gt;3,ISNUMBER(T113),ISNUMBER(V113)),1,0)</f>
        <v>0</v>
      </c>
      <c r="U119" s="187"/>
      <c r="V119" s="188">
        <f>IF(AND(V113&gt;T113,$AK93&gt;6,$AK92&gt;3,ISNUMBER(T113),ISNUMBER(V113)),1,0)</f>
        <v>0</v>
      </c>
      <c r="W119" s="187">
        <f>IF(AND(W113&gt;Y113,$AK93&gt;7,$AK92&gt;3,ISNUMBER(W113),ISNUMBER(Y113)),1,0)</f>
        <v>0</v>
      </c>
      <c r="X119" s="187"/>
      <c r="Y119" s="188">
        <f>IF(AND(Y113&gt;W113,$AK93&gt;7,$AK92&gt;3,ISNUMBER(W113),ISNUMBER(Y113)),1,0)</f>
        <v>0</v>
      </c>
      <c r="Z119" s="187">
        <f>IF(AND(Z113&gt;AB113,$AK93&gt;8,$AK92&gt;3,ISNUMBER(Z113),ISNUMBER(AB113)),1,0)</f>
        <v>0</v>
      </c>
      <c r="AA119" s="187"/>
      <c r="AB119" s="188">
        <f>IF(AND(AB113&gt;Z113,$AK93&gt;8,$AK92&gt;3,ISNUMBER(Z113),ISNUMBER(AB113)),1,0)</f>
        <v>0</v>
      </c>
      <c r="AC119" s="187">
        <f>IF(AND(AC113&gt;AE113,$AK93&gt;9,$AK92&gt;3,ISNUMBER(AC113),ISNUMBER(AE113)),1,0)</f>
        <v>0</v>
      </c>
      <c r="AD119" s="187"/>
      <c r="AE119" s="188">
        <f>IF(AND(AE113&gt;AC113,$AK93&gt;9,$AK92&gt;3,ISNUMBER(AC113),ISNUMBER(AE113)),1,0)</f>
        <v>0</v>
      </c>
      <c r="AW119" s="274"/>
    </row>
    <row r="120" spans="1:49" s="186" customFormat="1" ht="12.75" hidden="1" customHeight="1" x14ac:dyDescent="0.2">
      <c r="A120" s="186" t="s">
        <v>83</v>
      </c>
      <c r="B120" s="187">
        <f>IF(AND(B114&gt;D114,$AK93&gt;0,$AK92&gt;4,ISNUMBER(B114),ISNUMBER(D114)),1,0)</f>
        <v>0</v>
      </c>
      <c r="C120" s="187"/>
      <c r="D120" s="188">
        <f>IF(AND(D114&gt;B114,$AK93&gt;0,$AK92&gt;4,ISNUMBER(B114),ISNUMBER(D114)),1,0)</f>
        <v>0</v>
      </c>
      <c r="E120" s="187">
        <f>IF(AND(E114&gt;G114,$AK93&gt;1,$AK92&gt;4,ISNUMBER(E114),ISNUMBER(G114)),1,0)</f>
        <v>0</v>
      </c>
      <c r="F120" s="187"/>
      <c r="G120" s="188">
        <f>IF(AND(G114&gt;E114,$AK93&gt;1,$AK92&gt;4,ISNUMBER(E114),ISNUMBER(G114)),1,0)</f>
        <v>0</v>
      </c>
      <c r="H120" s="187">
        <f>IF(AND(H114&gt;J114,$AK93&gt;2,$AK92&gt;4,ISNUMBER(H114),ISNUMBER(J114)),1,0)</f>
        <v>0</v>
      </c>
      <c r="I120" s="187"/>
      <c r="J120" s="188">
        <f>IF(AND(J114&gt;H114,$AK93&gt;2,$AK92&gt;4,ISNUMBER(H114),ISNUMBER(J114)),1,0)</f>
        <v>0</v>
      </c>
      <c r="K120" s="187">
        <f>IF(AND(K114&gt;M114,$AK93&gt;3,$AK92&gt;4,ISNUMBER(K114),ISNUMBER(M114)),1,0)</f>
        <v>0</v>
      </c>
      <c r="L120" s="187"/>
      <c r="M120" s="188">
        <f>IF(AND(M114&gt;K114,$AK93&gt;3,$AK92&gt;4,ISNUMBER(K114),ISNUMBER(M114)),1,0)</f>
        <v>0</v>
      </c>
      <c r="N120" s="187">
        <f>IF(AND(N114&gt;P114,$AK93&gt;4,$AK92&gt;4,ISNUMBER(N114),ISNUMBER(P114)),1,0)</f>
        <v>0</v>
      </c>
      <c r="O120" s="187"/>
      <c r="P120" s="188">
        <f>IF(AND(P114&gt;N114,$AK93&gt;4,$AK92&gt;4,ISNUMBER(N114),ISNUMBER(P114)),1,0)</f>
        <v>0</v>
      </c>
      <c r="Q120" s="187">
        <f>IF(AND(Q114&gt;S114,$AK93&gt;5,$AK92&gt;4,ISNUMBER(Q114),ISNUMBER(S114)),1,0)</f>
        <v>0</v>
      </c>
      <c r="R120" s="187"/>
      <c r="S120" s="188">
        <f>IF(AND(S114&gt;Q114,$AK93&gt;5,$AK92&gt;4,ISNUMBER(Q114),ISNUMBER(S114)),1,0)</f>
        <v>0</v>
      </c>
      <c r="T120" s="187">
        <f>IF(AND(T114&gt;V114,$AK93&gt;6,$AK92&gt;4,ISNUMBER(T114),ISNUMBER(V114)),1,0)</f>
        <v>0</v>
      </c>
      <c r="U120" s="187"/>
      <c r="V120" s="188">
        <f>IF(AND(V114&gt;T114,$AK93&gt;6,$AK92&gt;4,ISNUMBER(T114),ISNUMBER(V114)),1,0)</f>
        <v>0</v>
      </c>
      <c r="W120" s="187">
        <f>IF(AND(W114&gt;Y114,$AK93&gt;7,$AK92&gt;4,ISNUMBER(W114),ISNUMBER(Y114)),1,0)</f>
        <v>0</v>
      </c>
      <c r="X120" s="187"/>
      <c r="Y120" s="188">
        <f>IF(AND(Y114&gt;W114,$AK93&gt;7,$AK92&gt;4,ISNUMBER(W114),ISNUMBER(Y114)),1,0)</f>
        <v>0</v>
      </c>
      <c r="Z120" s="187">
        <f>IF(AND(Z114&gt;AB114,$AK93&gt;8,$AK92&gt;4,ISNUMBER(Z114),ISNUMBER(AB114)),1,0)</f>
        <v>0</v>
      </c>
      <c r="AA120" s="187"/>
      <c r="AB120" s="188">
        <f>IF(AND(AB114&gt;Z114,$AK93&gt;8,$AK92&gt;4,ISNUMBER(Z114),ISNUMBER(AB114)),1,0)</f>
        <v>0</v>
      </c>
      <c r="AC120" s="187">
        <f>IF(AND(AC114&gt;AE114,$AK93&gt;9,$AK92&gt;4,ISNUMBER(AC114),ISNUMBER(AE114)),1,0)</f>
        <v>0</v>
      </c>
      <c r="AD120" s="187"/>
      <c r="AE120" s="188">
        <f>IF(AND(AE114&gt;AC114,$AK93&gt;9,$AK92&gt;4,ISNUMBER(AC114),ISNUMBER(AE114)),1,0)</f>
        <v>0</v>
      </c>
      <c r="AW120" s="274"/>
    </row>
    <row r="121" spans="1:49" s="186" customFormat="1" ht="38.25" hidden="1" customHeight="1" x14ac:dyDescent="0.2">
      <c r="A121" s="189" t="s">
        <v>84</v>
      </c>
      <c r="B121" s="186">
        <f>SUM(B116:B120)</f>
        <v>1</v>
      </c>
      <c r="D121" s="190">
        <f>SUM(D116:D120)</f>
        <v>1</v>
      </c>
      <c r="E121" s="186">
        <f>SUM(E116:E120)</f>
        <v>1</v>
      </c>
      <c r="G121" s="190">
        <f>SUM(G116:G120)</f>
        <v>1</v>
      </c>
      <c r="H121" s="186">
        <f>SUM(H116:H120)</f>
        <v>2</v>
      </c>
      <c r="J121" s="190">
        <f>SUM(J116:J120)</f>
        <v>0</v>
      </c>
      <c r="K121" s="186">
        <f>SUM(K116:K120)</f>
        <v>2</v>
      </c>
      <c r="M121" s="190">
        <f>SUM(M116:M120)</f>
        <v>0</v>
      </c>
      <c r="N121" s="186">
        <f>SUM(N116:N120)</f>
        <v>2</v>
      </c>
      <c r="P121" s="190">
        <f>SUM(P116:P120)</f>
        <v>0</v>
      </c>
      <c r="Q121" s="186">
        <f>SUM(Q116:Q120)</f>
        <v>2</v>
      </c>
      <c r="S121" s="190">
        <f>SUM(S116:S120)</f>
        <v>0</v>
      </c>
      <c r="T121" s="186">
        <f>SUM(T116:T120)</f>
        <v>2</v>
      </c>
      <c r="V121" s="190">
        <f>SUM(V116:V120)</f>
        <v>0</v>
      </c>
      <c r="W121" s="186">
        <f>SUM(W116:W120)</f>
        <v>2</v>
      </c>
      <c r="Y121" s="190">
        <f>SUM(Y116:Y120)</f>
        <v>0</v>
      </c>
      <c r="Z121" s="186">
        <f>SUM(Z116:Z120)</f>
        <v>2</v>
      </c>
      <c r="AB121" s="190">
        <f>SUM(AB116:AB120)</f>
        <v>0</v>
      </c>
      <c r="AC121" s="186">
        <f>SUM(AC116:AC120)</f>
        <v>0</v>
      </c>
      <c r="AE121" s="190">
        <f>SUM(AE116:AE120)</f>
        <v>2</v>
      </c>
      <c r="AW121" s="274"/>
    </row>
    <row r="122" spans="1:49" s="186" customFormat="1" ht="25.5" hidden="1" customHeight="1" x14ac:dyDescent="0.2">
      <c r="A122" s="189" t="s">
        <v>85</v>
      </c>
      <c r="B122" s="186">
        <f>IF(B121&gt;D121,IF(C156=AK92,1,IF(C156=AK92-1,1,0)),0)</f>
        <v>0</v>
      </c>
      <c r="C122" s="186">
        <f>B122+D122</f>
        <v>0</v>
      </c>
      <c r="D122" s="190">
        <f>IF(D121&gt;B121,IF(C156=AK92,1,IF(C156=AK92-1,1,0)),0)</f>
        <v>0</v>
      </c>
      <c r="E122" s="186">
        <f>IF(E121&gt;G121,IF(F156=AK92,1,IF(F156=AK92-1,1,0)),0)</f>
        <v>0</v>
      </c>
      <c r="F122" s="186">
        <f>E122+G122</f>
        <v>0</v>
      </c>
      <c r="G122" s="190">
        <f>IF(G121&gt;E121,IF(F156=AK92,1,IF(F156=AK92-1,1,0)),0)</f>
        <v>0</v>
      </c>
      <c r="H122" s="186">
        <f>IF(H121&gt;J121,IF(I156=AK92,1,IF(I156=AK92-1,1,0)),0)</f>
        <v>1</v>
      </c>
      <c r="I122" s="186">
        <f>H122+J122</f>
        <v>1</v>
      </c>
      <c r="J122" s="190">
        <f>IF(J121&gt;H121,IF(I156=AK92,1,IF(I156=AK92-1,1,0)),0)</f>
        <v>0</v>
      </c>
      <c r="K122" s="186">
        <f>IF(K121&gt;M121,IF(L156=AK92,1,IF(L156=AK92-1,1,0)),0)</f>
        <v>1</v>
      </c>
      <c r="L122" s="186">
        <f>K122+M122</f>
        <v>1</v>
      </c>
      <c r="M122" s="190">
        <f>IF(M121&gt;K121,IF(L156=AK92,1,IF(L156=AK92-1,1,0)),0)</f>
        <v>0</v>
      </c>
      <c r="N122" s="186">
        <f>IF(N121&gt;P121,IF(O156=AK92,1,IF(O156=AK92-1,1,0)),0)</f>
        <v>1</v>
      </c>
      <c r="O122" s="186">
        <f>N122+P122</f>
        <v>1</v>
      </c>
      <c r="P122" s="190">
        <f>IF(P121&gt;N121,IF(O156=AK92,1,IF(O156=AK92-1,1,0)),0)</f>
        <v>0</v>
      </c>
      <c r="Q122" s="186">
        <f>IF(Q121&gt;S121,IF(R156=AK92,1,IF(R156=AK92-1,1,0)),0)</f>
        <v>1</v>
      </c>
      <c r="R122" s="186">
        <f>Q122+S122</f>
        <v>1</v>
      </c>
      <c r="S122" s="190">
        <f>IF(S121&gt;Q121,IF(R156=AK92,1,IF(R156=AK92-1,1,0)),0)</f>
        <v>0</v>
      </c>
      <c r="T122" s="186">
        <f>IF(T121&gt;V121,IF(U156=AK92,1,IF(U156=AK92-1,1,0)),0)</f>
        <v>1</v>
      </c>
      <c r="U122" s="186">
        <f>T122+V122</f>
        <v>1</v>
      </c>
      <c r="V122" s="190">
        <f>IF(V121&gt;T121,IF(U156=AK92,1,IF(U156=AK92-1,1,0)),0)</f>
        <v>0</v>
      </c>
      <c r="W122" s="186">
        <f>IF(W121&gt;Y121,IF(X156=AK92,1,IF(X156=AK92-1,1,0)),0)</f>
        <v>1</v>
      </c>
      <c r="X122" s="186">
        <f>W122+Y122</f>
        <v>1</v>
      </c>
      <c r="Y122" s="190">
        <f>IF(Y121&gt;W121,IF(X156=AK92,1,IF(X156=AK92-1,1,0)),0)</f>
        <v>0</v>
      </c>
      <c r="Z122" s="186">
        <f>IF(Z121&gt;AB121,IF(AA156=AK92,1,IF(AA156=AK92-1,1,0)),0)</f>
        <v>1</v>
      </c>
      <c r="AA122" s="186">
        <f>Z122+AB122</f>
        <v>1</v>
      </c>
      <c r="AB122" s="190">
        <f>IF(AB121&gt;Z121,IF(AA156=AK92,1,IF(AA156=AK92-1,1,0)),0)</f>
        <v>0</v>
      </c>
      <c r="AC122" s="186">
        <f>IF(AC121&gt;AE121,IF(AD156=AK92,1,IF(AD156=AK92-1,1,0)),0)</f>
        <v>0</v>
      </c>
      <c r="AD122" s="186">
        <f>AC122+AE122</f>
        <v>1</v>
      </c>
      <c r="AE122" s="190">
        <f>IF(AE121&gt;AC121,IF(AD156=AK92,1,IF(AD156=AK92-1,1,0)),0)</f>
        <v>1</v>
      </c>
      <c r="AW122" s="274"/>
    </row>
    <row r="123" spans="1:49" s="186" customFormat="1" ht="25.5" hidden="1" customHeight="1" x14ac:dyDescent="0.2">
      <c r="A123" s="189"/>
      <c r="D123" s="190"/>
      <c r="G123" s="190"/>
      <c r="J123" s="190"/>
      <c r="M123" s="190"/>
      <c r="P123" s="190"/>
      <c r="S123" s="190"/>
      <c r="V123" s="190"/>
      <c r="Y123" s="190"/>
      <c r="AB123" s="190"/>
      <c r="AE123" s="190"/>
      <c r="AW123" s="274"/>
    </row>
    <row r="124" spans="1:49" s="186" customFormat="1" ht="12.75" hidden="1" customHeight="1" x14ac:dyDescent="0.2">
      <c r="A124" s="186" t="s">
        <v>86</v>
      </c>
      <c r="B124" s="186">
        <f>IF(B116=1,B110,0)</f>
        <v>25</v>
      </c>
      <c r="D124" s="190">
        <f t="shared" ref="D124:E128" si="11">IF(D116=1,D110,0)</f>
        <v>0</v>
      </c>
      <c r="E124" s="186">
        <f t="shared" si="11"/>
        <v>0</v>
      </c>
      <c r="G124" s="190">
        <f t="shared" ref="G124:H128" si="12">IF(G116=1,G110,0)</f>
        <v>25</v>
      </c>
      <c r="H124" s="186">
        <f t="shared" si="12"/>
        <v>27</v>
      </c>
      <c r="J124" s="190">
        <f t="shared" ref="J124:K128" si="13">IF(J116=1,J110,0)</f>
        <v>0</v>
      </c>
      <c r="K124" s="186">
        <f t="shared" si="13"/>
        <v>25</v>
      </c>
      <c r="M124" s="190">
        <f t="shared" ref="M124:N128" si="14">IF(M116=1,M110,0)</f>
        <v>0</v>
      </c>
      <c r="N124" s="186">
        <f t="shared" si="14"/>
        <v>25</v>
      </c>
      <c r="P124" s="190">
        <f t="shared" ref="P124:Q128" si="15">IF(P116=1,P110,0)</f>
        <v>0</v>
      </c>
      <c r="Q124" s="186">
        <f t="shared" si="15"/>
        <v>25</v>
      </c>
      <c r="S124" s="190">
        <f t="shared" ref="S124:T128" si="16">IF(S116=1,S110,0)</f>
        <v>0</v>
      </c>
      <c r="T124" s="186">
        <f t="shared" si="16"/>
        <v>25</v>
      </c>
      <c r="V124" s="190">
        <f t="shared" ref="V124:W128" si="17">IF(V116=1,V110,0)</f>
        <v>0</v>
      </c>
      <c r="W124" s="186">
        <f t="shared" si="17"/>
        <v>25</v>
      </c>
      <c r="Y124" s="190">
        <f t="shared" ref="Y124:Z128" si="18">IF(Y116=1,Y110,0)</f>
        <v>0</v>
      </c>
      <c r="Z124" s="186">
        <f t="shared" si="18"/>
        <v>25</v>
      </c>
      <c r="AB124" s="190">
        <f t="shared" ref="AB124:AC128" si="19">IF(AB116=1,AB110,0)</f>
        <v>0</v>
      </c>
      <c r="AC124" s="186">
        <f t="shared" si="19"/>
        <v>0</v>
      </c>
      <c r="AE124" s="190">
        <f>IF(AE116=1,AE110,0)</f>
        <v>25</v>
      </c>
      <c r="AW124" s="274"/>
    </row>
    <row r="125" spans="1:49" s="186" customFormat="1" ht="12.75" hidden="1" customHeight="1" x14ac:dyDescent="0.2">
      <c r="A125" s="186" t="s">
        <v>87</v>
      </c>
      <c r="B125" s="186">
        <f>IF(B117=1,B111,0)</f>
        <v>0</v>
      </c>
      <c r="D125" s="190">
        <f t="shared" si="11"/>
        <v>25</v>
      </c>
      <c r="E125" s="186">
        <f t="shared" si="11"/>
        <v>25</v>
      </c>
      <c r="G125" s="190">
        <f t="shared" si="12"/>
        <v>0</v>
      </c>
      <c r="H125" s="186">
        <f t="shared" si="12"/>
        <v>27</v>
      </c>
      <c r="J125" s="190">
        <f t="shared" si="13"/>
        <v>0</v>
      </c>
      <c r="K125" s="186">
        <f t="shared" si="13"/>
        <v>25</v>
      </c>
      <c r="M125" s="190">
        <f t="shared" si="14"/>
        <v>0</v>
      </c>
      <c r="N125" s="186">
        <f t="shared" si="14"/>
        <v>25</v>
      </c>
      <c r="P125" s="190">
        <f t="shared" si="15"/>
        <v>0</v>
      </c>
      <c r="Q125" s="186">
        <f t="shared" si="15"/>
        <v>25</v>
      </c>
      <c r="S125" s="190">
        <f t="shared" si="16"/>
        <v>0</v>
      </c>
      <c r="T125" s="186">
        <f t="shared" si="16"/>
        <v>25</v>
      </c>
      <c r="V125" s="190">
        <f t="shared" si="17"/>
        <v>0</v>
      </c>
      <c r="W125" s="186">
        <f t="shared" si="17"/>
        <v>25</v>
      </c>
      <c r="Y125" s="190">
        <f t="shared" si="18"/>
        <v>0</v>
      </c>
      <c r="Z125" s="186">
        <f t="shared" si="18"/>
        <v>25</v>
      </c>
      <c r="AB125" s="190">
        <f t="shared" si="19"/>
        <v>0</v>
      </c>
      <c r="AC125" s="186">
        <f t="shared" si="19"/>
        <v>0</v>
      </c>
      <c r="AE125" s="190">
        <f>IF(AE117=1,AE111,0)</f>
        <v>25</v>
      </c>
      <c r="AW125" s="274"/>
    </row>
    <row r="126" spans="1:49" s="186" customFormat="1" ht="12.75" hidden="1" customHeight="1" x14ac:dyDescent="0.2">
      <c r="A126" s="186" t="s">
        <v>88</v>
      </c>
      <c r="B126" s="186">
        <f>IF(B118=1,B112,0)</f>
        <v>0</v>
      </c>
      <c r="D126" s="190">
        <f t="shared" si="11"/>
        <v>0</v>
      </c>
      <c r="E126" s="186">
        <f t="shared" si="11"/>
        <v>0</v>
      </c>
      <c r="G126" s="190">
        <f t="shared" si="12"/>
        <v>0</v>
      </c>
      <c r="H126" s="186">
        <f t="shared" si="12"/>
        <v>0</v>
      </c>
      <c r="J126" s="190">
        <f t="shared" si="13"/>
        <v>0</v>
      </c>
      <c r="K126" s="186">
        <f t="shared" si="13"/>
        <v>0</v>
      </c>
      <c r="M126" s="190">
        <f t="shared" si="14"/>
        <v>0</v>
      </c>
      <c r="N126" s="186">
        <f t="shared" si="14"/>
        <v>0</v>
      </c>
      <c r="P126" s="190">
        <f t="shared" si="15"/>
        <v>0</v>
      </c>
      <c r="Q126" s="186">
        <f t="shared" si="15"/>
        <v>0</v>
      </c>
      <c r="S126" s="190">
        <f t="shared" si="16"/>
        <v>0</v>
      </c>
      <c r="T126" s="186">
        <f t="shared" si="16"/>
        <v>0</v>
      </c>
      <c r="V126" s="190">
        <f t="shared" si="17"/>
        <v>0</v>
      </c>
      <c r="W126" s="186">
        <f t="shared" si="17"/>
        <v>0</v>
      </c>
      <c r="Y126" s="190">
        <f t="shared" si="18"/>
        <v>0</v>
      </c>
      <c r="Z126" s="186">
        <f t="shared" si="18"/>
        <v>0</v>
      </c>
      <c r="AB126" s="190">
        <f t="shared" si="19"/>
        <v>0</v>
      </c>
      <c r="AC126" s="186">
        <f t="shared" si="19"/>
        <v>0</v>
      </c>
      <c r="AE126" s="190">
        <f>IF(AE118=1,AE112,0)</f>
        <v>0</v>
      </c>
      <c r="AW126" s="274"/>
    </row>
    <row r="127" spans="1:49" s="186" customFormat="1" ht="12.75" hidden="1" customHeight="1" x14ac:dyDescent="0.2">
      <c r="A127" s="186" t="s">
        <v>89</v>
      </c>
      <c r="B127" s="186">
        <f>IF(B119=1,B113,0)</f>
        <v>0</v>
      </c>
      <c r="D127" s="190">
        <f t="shared" si="11"/>
        <v>0</v>
      </c>
      <c r="E127" s="186">
        <f t="shared" si="11"/>
        <v>0</v>
      </c>
      <c r="G127" s="190">
        <f t="shared" si="12"/>
        <v>0</v>
      </c>
      <c r="H127" s="186">
        <f t="shared" si="12"/>
        <v>0</v>
      </c>
      <c r="J127" s="190">
        <f t="shared" si="13"/>
        <v>0</v>
      </c>
      <c r="K127" s="186">
        <f t="shared" si="13"/>
        <v>0</v>
      </c>
      <c r="M127" s="190">
        <f t="shared" si="14"/>
        <v>0</v>
      </c>
      <c r="N127" s="186">
        <f t="shared" si="14"/>
        <v>0</v>
      </c>
      <c r="P127" s="190">
        <f t="shared" si="15"/>
        <v>0</v>
      </c>
      <c r="Q127" s="186">
        <f t="shared" si="15"/>
        <v>0</v>
      </c>
      <c r="S127" s="190">
        <f t="shared" si="16"/>
        <v>0</v>
      </c>
      <c r="T127" s="186">
        <f t="shared" si="16"/>
        <v>0</v>
      </c>
      <c r="V127" s="190">
        <f t="shared" si="17"/>
        <v>0</v>
      </c>
      <c r="W127" s="186">
        <f t="shared" si="17"/>
        <v>0</v>
      </c>
      <c r="Y127" s="190">
        <f t="shared" si="18"/>
        <v>0</v>
      </c>
      <c r="Z127" s="186">
        <f t="shared" si="18"/>
        <v>0</v>
      </c>
      <c r="AB127" s="190">
        <f t="shared" si="19"/>
        <v>0</v>
      </c>
      <c r="AC127" s="186">
        <f t="shared" si="19"/>
        <v>0</v>
      </c>
      <c r="AE127" s="190">
        <f>IF(AE119=1,AE113,0)</f>
        <v>0</v>
      </c>
      <c r="AW127" s="274"/>
    </row>
    <row r="128" spans="1:49" s="186" customFormat="1" ht="12.75" hidden="1" customHeight="1" x14ac:dyDescent="0.2">
      <c r="A128" s="186" t="s">
        <v>90</v>
      </c>
      <c r="B128" s="186">
        <f>IF(B120=1,B114,0)</f>
        <v>0</v>
      </c>
      <c r="D128" s="190">
        <f t="shared" si="11"/>
        <v>0</v>
      </c>
      <c r="E128" s="186">
        <f t="shared" si="11"/>
        <v>0</v>
      </c>
      <c r="G128" s="190">
        <f t="shared" si="12"/>
        <v>0</v>
      </c>
      <c r="H128" s="186">
        <f t="shared" si="12"/>
        <v>0</v>
      </c>
      <c r="J128" s="190">
        <f t="shared" si="13"/>
        <v>0</v>
      </c>
      <c r="K128" s="186">
        <f t="shared" si="13"/>
        <v>0</v>
      </c>
      <c r="M128" s="190">
        <f t="shared" si="14"/>
        <v>0</v>
      </c>
      <c r="N128" s="186">
        <f t="shared" si="14"/>
        <v>0</v>
      </c>
      <c r="P128" s="190">
        <f t="shared" si="15"/>
        <v>0</v>
      </c>
      <c r="Q128" s="186">
        <f t="shared" si="15"/>
        <v>0</v>
      </c>
      <c r="S128" s="190">
        <f t="shared" si="16"/>
        <v>0</v>
      </c>
      <c r="T128" s="186">
        <f t="shared" si="16"/>
        <v>0</v>
      </c>
      <c r="V128" s="190">
        <f t="shared" si="17"/>
        <v>0</v>
      </c>
      <c r="W128" s="186">
        <f t="shared" si="17"/>
        <v>0</v>
      </c>
      <c r="Y128" s="190">
        <f t="shared" si="18"/>
        <v>0</v>
      </c>
      <c r="Z128" s="186">
        <f t="shared" si="18"/>
        <v>0</v>
      </c>
      <c r="AB128" s="190">
        <f t="shared" si="19"/>
        <v>0</v>
      </c>
      <c r="AC128" s="186">
        <f t="shared" si="19"/>
        <v>0</v>
      </c>
      <c r="AE128" s="190">
        <f>IF(AE120=1,AE114,0)</f>
        <v>0</v>
      </c>
      <c r="AW128" s="274"/>
    </row>
    <row r="129" spans="1:49" s="186" customFormat="1" ht="38.25" hidden="1" customHeight="1" x14ac:dyDescent="0.2">
      <c r="A129" s="189" t="s">
        <v>91</v>
      </c>
      <c r="B129" s="186">
        <f>SUM(B124:D128)</f>
        <v>50</v>
      </c>
      <c r="D129" s="190"/>
      <c r="E129" s="186">
        <f>SUM(E124:G128)</f>
        <v>50</v>
      </c>
      <c r="G129" s="190"/>
      <c r="H129" s="186">
        <f>SUM(H124:J128)</f>
        <v>54</v>
      </c>
      <c r="J129" s="190"/>
      <c r="K129" s="186">
        <f>SUM(K124:M128)</f>
        <v>50</v>
      </c>
      <c r="M129" s="190"/>
      <c r="N129" s="186">
        <f>SUM(N124:P128)</f>
        <v>50</v>
      </c>
      <c r="P129" s="190"/>
      <c r="Q129" s="186">
        <f>SUM(Q124:S128)</f>
        <v>50</v>
      </c>
      <c r="S129" s="190"/>
      <c r="T129" s="186">
        <f>SUM(T124:V128)</f>
        <v>50</v>
      </c>
      <c r="V129" s="190"/>
      <c r="W129" s="186">
        <f>SUM(W124:Y128)</f>
        <v>50</v>
      </c>
      <c r="Y129" s="190"/>
      <c r="Z129" s="186">
        <f>SUM(Z124:AB128)</f>
        <v>50</v>
      </c>
      <c r="AB129" s="190"/>
      <c r="AC129" s="186">
        <f>SUM(AC124:AE128)</f>
        <v>50</v>
      </c>
      <c r="AE129" s="190"/>
      <c r="AW129" s="274"/>
    </row>
    <row r="130" spans="1:49" s="186" customFormat="1" ht="38.25" hidden="1" customHeight="1" x14ac:dyDescent="0.2">
      <c r="A130" s="186" t="s">
        <v>92</v>
      </c>
      <c r="D130" s="190"/>
      <c r="G130" s="190"/>
      <c r="J130" s="190"/>
      <c r="M130" s="190"/>
      <c r="P130" s="190"/>
      <c r="S130" s="190"/>
      <c r="V130" s="190"/>
      <c r="Y130" s="190"/>
      <c r="AB130" s="190"/>
      <c r="AE130" s="190"/>
      <c r="AF130" s="189" t="s">
        <v>93</v>
      </c>
      <c r="AG130" s="186" t="s">
        <v>94</v>
      </c>
      <c r="AW130" s="274"/>
    </row>
    <row r="131" spans="1:49" s="186" customFormat="1" ht="12.75" hidden="1" customHeight="1" x14ac:dyDescent="0.2">
      <c r="A131" s="186" t="s">
        <v>95</v>
      </c>
      <c r="B131" s="186">
        <f>IF(B109=1,IF(B122=1,1,0),0)</f>
        <v>0</v>
      </c>
      <c r="D131" s="190">
        <f>IF(D109=1,IF(D122=1,1,0),0)</f>
        <v>0</v>
      </c>
      <c r="E131" s="186">
        <f>IF(E109=1,IF(E122=1,1,0),0)</f>
        <v>0</v>
      </c>
      <c r="G131" s="190">
        <f>IF(G109=1,IF(G122=1,1,0),0)</f>
        <v>0</v>
      </c>
      <c r="H131" s="186">
        <f>IF(H109=1,IF(H122=1,1,0),0)</f>
        <v>0</v>
      </c>
      <c r="J131" s="190">
        <f>IF(J109=1,IF(J122=1,1,0),0)</f>
        <v>0</v>
      </c>
      <c r="K131" s="186">
        <f>IF(K109=1,IF(K122=1,1,0),0)</f>
        <v>0</v>
      </c>
      <c r="M131" s="190">
        <f>IF(M109=1,IF(M122=1,1,0),0)</f>
        <v>0</v>
      </c>
      <c r="N131" s="186">
        <f>IF(N109=1,IF(N122=1,1,0),0)</f>
        <v>1</v>
      </c>
      <c r="P131" s="190">
        <f>IF(P109=1,IF(P122=1,1,0),0)</f>
        <v>0</v>
      </c>
      <c r="Q131" s="186">
        <f>IF(Q109=1,IF(Q122=1,1,0),0)</f>
        <v>0</v>
      </c>
      <c r="S131" s="190">
        <f>IF(S109=1,IF(S122=1,1,0),0)</f>
        <v>0</v>
      </c>
      <c r="T131" s="186">
        <f>IF(T109=1,IF(T122=1,1,0),0)</f>
        <v>0</v>
      </c>
      <c r="V131" s="190">
        <f>IF(V109=1,IF(V122=1,1,0),0)</f>
        <v>0</v>
      </c>
      <c r="W131" s="186">
        <f>IF(W109=1,IF(W122=1,1,0),0)</f>
        <v>1</v>
      </c>
      <c r="Y131" s="190">
        <f>IF(Y109=1,IF(Y122=1,1,0),0)</f>
        <v>0</v>
      </c>
      <c r="Z131" s="186">
        <f>IF(Z109=1,IF(Z122=1,1,0),0)</f>
        <v>0</v>
      </c>
      <c r="AB131" s="190">
        <f>IF(AB109=1,IF(AB122=1,1,0),0)</f>
        <v>0</v>
      </c>
      <c r="AC131" s="186">
        <f>IF(AC109=1,IF(AC122=1,1,0),0)</f>
        <v>0</v>
      </c>
      <c r="AE131" s="190">
        <f>IF(AE109=1,IF(AE122=1,1,0),0)</f>
        <v>0</v>
      </c>
      <c r="AF131" s="186">
        <f>SUM(B131:AE131)</f>
        <v>2</v>
      </c>
      <c r="AG131" s="186">
        <f>AF137-AF131</f>
        <v>1</v>
      </c>
      <c r="AW131" s="274"/>
    </row>
    <row r="132" spans="1:49" s="186" customFormat="1" ht="12.75" hidden="1" customHeight="1" x14ac:dyDescent="0.2">
      <c r="A132" s="186" t="s">
        <v>96</v>
      </c>
      <c r="B132" s="186">
        <f>IF(B109=2,IF(B122=1,1,0),0)</f>
        <v>0</v>
      </c>
      <c r="D132" s="190">
        <f>IF(D109=2,IF(D122=1,1,0),0)</f>
        <v>0</v>
      </c>
      <c r="E132" s="186">
        <f>IF(E109=2,IF(E122=1,1,0),0)</f>
        <v>0</v>
      </c>
      <c r="G132" s="190">
        <f>IF(G109=2,IF(G122=1,1,0),0)</f>
        <v>0</v>
      </c>
      <c r="H132" s="186">
        <f>IF(H109=2,IF(H122=1,1,0),0)</f>
        <v>0</v>
      </c>
      <c r="J132" s="190">
        <f>IF(J109=2,IF(J122=1,1,0),0)</f>
        <v>0</v>
      </c>
      <c r="K132" s="186">
        <f>IF(K109=2,IF(K122=1,1,0),0)</f>
        <v>1</v>
      </c>
      <c r="M132" s="190">
        <f>IF(M109=2,IF(M122=1,1,0),0)</f>
        <v>0</v>
      </c>
      <c r="N132" s="186">
        <f>IF(N109=2,IF(N122=1,1,0),0)</f>
        <v>0</v>
      </c>
      <c r="P132" s="190">
        <f>IF(P109=2,IF(P122=1,1,0),0)</f>
        <v>0</v>
      </c>
      <c r="Q132" s="186">
        <f>IF(Q109=2,IF(Q122=1,1,0),0)</f>
        <v>0</v>
      </c>
      <c r="S132" s="190">
        <f>IF(S109=2,IF(S122=1,1,0),0)</f>
        <v>0</v>
      </c>
      <c r="T132" s="186">
        <f>IF(T109=2,IF(T122=1,1,0),0)</f>
        <v>1</v>
      </c>
      <c r="V132" s="190">
        <f>IF(V109=2,IF(V122=1,1,0),0)</f>
        <v>0</v>
      </c>
      <c r="W132" s="186">
        <f>IF(W109=2,IF(W122=1,1,0),0)</f>
        <v>0</v>
      </c>
      <c r="Y132" s="190">
        <f>IF(Y109=2,IF(Y122=1,1,0),0)</f>
        <v>0</v>
      </c>
      <c r="Z132" s="186">
        <f>IF(Z109=2,IF(Z122=1,1,0),0)</f>
        <v>0</v>
      </c>
      <c r="AB132" s="190">
        <f>IF(AB109=2,IF(AB122=1,1,0),0)</f>
        <v>0</v>
      </c>
      <c r="AC132" s="186">
        <f>IF(AC109=2,IF(AC122=1,1,0),0)</f>
        <v>0</v>
      </c>
      <c r="AE132" s="190">
        <f>IF(AE109=2,IF(AE122=1,1,0),0)</f>
        <v>1</v>
      </c>
      <c r="AF132" s="186">
        <f>SUM(B132:AE132)</f>
        <v>3</v>
      </c>
      <c r="AG132" s="186">
        <f>AF138-AF132</f>
        <v>0</v>
      </c>
      <c r="AW132" s="274"/>
    </row>
    <row r="133" spans="1:49" s="186" customFormat="1" ht="12.75" hidden="1" customHeight="1" x14ac:dyDescent="0.2">
      <c r="A133" s="186" t="s">
        <v>97</v>
      </c>
      <c r="B133" s="186">
        <f>IF(B109=3,IF(B122=1,1,0),0)</f>
        <v>0</v>
      </c>
      <c r="D133" s="190">
        <f>IF(D109=3,IF(D122=1,1,0),0)</f>
        <v>0</v>
      </c>
      <c r="E133" s="186">
        <f>IF(E109=3,IF(E122=1,1,0),0)</f>
        <v>0</v>
      </c>
      <c r="G133" s="190">
        <f>IF(G109=3,IF(G122=1,1,0),0)</f>
        <v>0</v>
      </c>
      <c r="H133" s="186">
        <f>IF(H109=3,IF(H122=1,1,0),0)</f>
        <v>1</v>
      </c>
      <c r="J133" s="190">
        <f>IF(J109=3,IF(J122=1,1,0),0)</f>
        <v>0</v>
      </c>
      <c r="K133" s="186">
        <f>IF(K109=3,IF(K122=1,1,0),0)</f>
        <v>0</v>
      </c>
      <c r="M133" s="190">
        <f>IF(M109=3,IF(M122=1,1,0),0)</f>
        <v>0</v>
      </c>
      <c r="N133" s="186">
        <f>IF(N109=3,IF(N122=1,1,0),0)</f>
        <v>0</v>
      </c>
      <c r="P133" s="190">
        <f>IF(P109=3,IF(P122=1,1,0),0)</f>
        <v>0</v>
      </c>
      <c r="Q133" s="186">
        <f>IF(Q109=3,IF(Q122=1,1,0),0)</f>
        <v>0</v>
      </c>
      <c r="S133" s="190">
        <f>IF(S109=3,IF(S122=1,1,0),0)</f>
        <v>0</v>
      </c>
      <c r="T133" s="186">
        <f>IF(T109=3,IF(T122=1,1,0),0)</f>
        <v>0</v>
      </c>
      <c r="V133" s="190">
        <f>IF(V109=3,IF(V122=1,1,0),0)</f>
        <v>0</v>
      </c>
      <c r="W133" s="186">
        <f>IF(W109=3,IF(W122=1,1,0),0)</f>
        <v>0</v>
      </c>
      <c r="Y133" s="190">
        <f>IF(Y109=3,IF(Y122=1,1,0),0)</f>
        <v>0</v>
      </c>
      <c r="Z133" s="186">
        <f>IF(Z109=3,IF(Z122=1,1,0),0)</f>
        <v>1</v>
      </c>
      <c r="AB133" s="190">
        <f>IF(AB109=3,IF(AB122=1,1,0),0)</f>
        <v>0</v>
      </c>
      <c r="AC133" s="186">
        <f>IF(AC109=3,IF(AC122=1,1,0),0)</f>
        <v>0</v>
      </c>
      <c r="AE133" s="190">
        <f>IF(AE109=3,IF(AE122=1,1,0),0)</f>
        <v>0</v>
      </c>
      <c r="AF133" s="186">
        <f>SUM(B133:AE133)</f>
        <v>2</v>
      </c>
      <c r="AG133" s="186">
        <f>AF139-AF133</f>
        <v>2</v>
      </c>
      <c r="AW133" s="274"/>
    </row>
    <row r="134" spans="1:49" s="186" customFormat="1" ht="12.75" hidden="1" customHeight="1" x14ac:dyDescent="0.2">
      <c r="A134" s="186" t="s">
        <v>98</v>
      </c>
      <c r="B134" s="186">
        <f>IF(B109=4,IF(B122=1,1,0),0)</f>
        <v>0</v>
      </c>
      <c r="D134" s="190">
        <f>IF(D109=4,IF(D122=1,1,0),0)</f>
        <v>0</v>
      </c>
      <c r="E134" s="186">
        <f>IF(E109=4,IF(E122=1,1,0),0)</f>
        <v>0</v>
      </c>
      <c r="G134" s="190">
        <f>IF(G109=4,IF(G122=1,1,0),0)</f>
        <v>0</v>
      </c>
      <c r="H134" s="186">
        <f>IF(H109=4,IF(H122=1,1,0),0)</f>
        <v>0</v>
      </c>
      <c r="J134" s="190">
        <f>IF(J109=4,IF(J122=1,1,0),0)</f>
        <v>0</v>
      </c>
      <c r="K134" s="186">
        <f>IF(K109=4,IF(K122=1,1,0),0)</f>
        <v>0</v>
      </c>
      <c r="M134" s="190">
        <f>IF(M109=4,IF(M122=1,1,0),0)</f>
        <v>0</v>
      </c>
      <c r="N134" s="186">
        <f>IF(N109=4,IF(N122=1,1,0),0)</f>
        <v>0</v>
      </c>
      <c r="P134" s="190">
        <f>IF(P109=4,IF(P122=1,1,0),0)</f>
        <v>0</v>
      </c>
      <c r="Q134" s="186">
        <f>IF(Q109=4,IF(Q122=1,1,0),0)</f>
        <v>1</v>
      </c>
      <c r="S134" s="190">
        <f>IF(S109=4,IF(S122=1,1,0),0)</f>
        <v>0</v>
      </c>
      <c r="T134" s="186">
        <f>IF(T109=4,IF(T122=1,1,0),0)</f>
        <v>0</v>
      </c>
      <c r="V134" s="190">
        <f>IF(V109=4,IF(V122=1,1,0),0)</f>
        <v>0</v>
      </c>
      <c r="W134" s="186">
        <f>IF(W109=4,IF(W122=1,1,0),0)</f>
        <v>0</v>
      </c>
      <c r="Y134" s="190">
        <f>IF(Y109=4,IF(Y122=1,1,0),0)</f>
        <v>0</v>
      </c>
      <c r="Z134" s="186">
        <f>IF(Z109=4,IF(Z122=1,1,0),0)</f>
        <v>0</v>
      </c>
      <c r="AB134" s="190">
        <f>IF(AB109=4,IF(AB122=1,1,0),0)</f>
        <v>0</v>
      </c>
      <c r="AC134" s="186">
        <f>IF(AC109=4,IF(AC122=1,1,0),0)</f>
        <v>0</v>
      </c>
      <c r="AE134" s="190">
        <f>IF(AE109=4,IF(AE122=1,1,0),0)</f>
        <v>0</v>
      </c>
      <c r="AF134" s="186">
        <f>SUM(B134:AE134)</f>
        <v>1</v>
      </c>
      <c r="AG134" s="186">
        <f>AF140-AF134</f>
        <v>2</v>
      </c>
      <c r="AW134" s="274"/>
    </row>
    <row r="135" spans="1:49" s="186" customFormat="1" ht="12.75" hidden="1" customHeight="1" x14ac:dyDescent="0.2">
      <c r="A135" s="186" t="s">
        <v>99</v>
      </c>
      <c r="B135" s="186">
        <f>IF(B109=5,IF(B122=1,1,0),0)</f>
        <v>0</v>
      </c>
      <c r="D135" s="190">
        <f>IF(D109=5,IF(D122=1,1,0),0)</f>
        <v>0</v>
      </c>
      <c r="E135" s="186">
        <f>IF(E109=5,IF(E122=1,1,0),0)</f>
        <v>0</v>
      </c>
      <c r="G135" s="190">
        <f>IF(G109=5,IF(G122=1,1,0),0)</f>
        <v>0</v>
      </c>
      <c r="H135" s="186">
        <f>IF(H109=5,IF(H122=1,1,0),0)</f>
        <v>0</v>
      </c>
      <c r="J135" s="190">
        <f>IF(J109=5,IF(J122=1,1,0),0)</f>
        <v>0</v>
      </c>
      <c r="K135" s="186">
        <f>IF(K109=5,IF(K122=1,1,0),0)</f>
        <v>0</v>
      </c>
      <c r="M135" s="190">
        <f>IF(M109=5,IF(M122=1,1,0),0)</f>
        <v>0</v>
      </c>
      <c r="N135" s="186">
        <f>IF(N109=5,IF(N122=1,1,0),0)</f>
        <v>0</v>
      </c>
      <c r="P135" s="190">
        <f>IF(P109=5,IF(P122=1,1,0),0)</f>
        <v>0</v>
      </c>
      <c r="Q135" s="186">
        <f>IF(Q109=5,IF(Q122=1,1,0),0)</f>
        <v>0</v>
      </c>
      <c r="S135" s="190">
        <f>IF(S109=5,IF(S122=1,1,0),0)</f>
        <v>0</v>
      </c>
      <c r="T135" s="186">
        <f>IF(T109=5,IF(T122=1,1,0),0)</f>
        <v>0</v>
      </c>
      <c r="V135" s="190">
        <f>IF(V109=5,IF(V122=1,1,0),0)</f>
        <v>0</v>
      </c>
      <c r="W135" s="186">
        <f>IF(W109=5,IF(W122=1,1,0),0)</f>
        <v>0</v>
      </c>
      <c r="Y135" s="190">
        <f>IF(Y109=5,IF(Y122=1,1,0),0)</f>
        <v>0</v>
      </c>
      <c r="Z135" s="186">
        <f>IF(Z109=5,IF(Z122=1,1,0),0)</f>
        <v>0</v>
      </c>
      <c r="AB135" s="190">
        <f>IF(AB109=5,IF(AB122=1,1,0),0)</f>
        <v>0</v>
      </c>
      <c r="AC135" s="186">
        <f>IF(AC109=5,IF(AC122=1,1,0),0)</f>
        <v>0</v>
      </c>
      <c r="AE135" s="190">
        <f>IF(AE109=5,IF(AE122=1,1,0),0)</f>
        <v>0</v>
      </c>
      <c r="AF135" s="186">
        <f>SUM(B135:AE135)</f>
        <v>0</v>
      </c>
      <c r="AG135" s="186">
        <f>AF141-AF135</f>
        <v>3</v>
      </c>
      <c r="AW135" s="274"/>
    </row>
    <row r="136" spans="1:49" s="186" customFormat="1" ht="38.25" hidden="1" customHeight="1" x14ac:dyDescent="0.2">
      <c r="A136" s="189"/>
      <c r="D136" s="190"/>
      <c r="G136" s="190"/>
      <c r="J136" s="190"/>
      <c r="M136" s="190"/>
      <c r="P136" s="190"/>
      <c r="S136" s="190"/>
      <c r="V136" s="190"/>
      <c r="Y136" s="190"/>
      <c r="AB136" s="190"/>
      <c r="AE136" s="190"/>
      <c r="AF136" s="189" t="s">
        <v>100</v>
      </c>
      <c r="AW136" s="274"/>
    </row>
    <row r="137" spans="1:49" s="186" customFormat="1" ht="12.75" hidden="1" customHeight="1" x14ac:dyDescent="0.2">
      <c r="A137" s="186" t="s">
        <v>101</v>
      </c>
      <c r="B137" s="186">
        <f>IF(B109=1,IF(C122=1,1,0),0)</f>
        <v>0</v>
      </c>
      <c r="D137" s="190">
        <f>IF(D109=1,IF(C122=1,1,0),0)</f>
        <v>0</v>
      </c>
      <c r="E137" s="186">
        <f>IF(E109=1,IF(F122=1,1,0),0)</f>
        <v>0</v>
      </c>
      <c r="G137" s="190">
        <f>IF(G109=1,IF(F122=1,1,0),0)</f>
        <v>0</v>
      </c>
      <c r="H137" s="186">
        <f>IF(H109=1,IF(I122=1,1,0),0)</f>
        <v>0</v>
      </c>
      <c r="J137" s="190">
        <f>IF(J109=1,IF(I122=1,1,0),0)</f>
        <v>0</v>
      </c>
      <c r="K137" s="186">
        <f>IF(K109=1,IF(L122=1,1,0),0)</f>
        <v>0</v>
      </c>
      <c r="M137" s="190">
        <f>IF(M109=1,IF(L122=1,1,0),0)</f>
        <v>0</v>
      </c>
      <c r="N137" s="186">
        <f>IF(N109=1,IF(O122=1,1,0),0)</f>
        <v>1</v>
      </c>
      <c r="P137" s="190">
        <f>IF(P109=1,IF(O122=1,1,0),0)</f>
        <v>0</v>
      </c>
      <c r="Q137" s="186">
        <f>IF(Q109=1,IF(R122=1,1,0),0)</f>
        <v>0</v>
      </c>
      <c r="S137" s="190">
        <f>IF(S109=1,IF(R122=1,1,0),0)</f>
        <v>0</v>
      </c>
      <c r="T137" s="186">
        <f>IF(T109=1,IF(U122=1,1,0),0)</f>
        <v>0</v>
      </c>
      <c r="V137" s="190">
        <f>IF(V109=1,IF(U122=1,1,0),0)</f>
        <v>0</v>
      </c>
      <c r="W137" s="186">
        <f>IF(W109=1,IF(X122=1,1,0),0)</f>
        <v>1</v>
      </c>
      <c r="Y137" s="190">
        <f>IF(Y109=1,IF(X122=1,1,0),0)</f>
        <v>0</v>
      </c>
      <c r="Z137" s="186">
        <f>IF(Z109=1,IF(AA122=1,1,0),0)</f>
        <v>0</v>
      </c>
      <c r="AB137" s="190">
        <f>IF(AB109=1,IF(AA122=1,1,0),0)</f>
        <v>0</v>
      </c>
      <c r="AC137" s="186">
        <f>IF(AC109=1,IF(AD122=1,1,0),0)</f>
        <v>1</v>
      </c>
      <c r="AE137" s="190">
        <f>IF(AE109=1,IF(AD122=1,1,0),0)</f>
        <v>0</v>
      </c>
      <c r="AF137" s="186">
        <f>SUM(B137:AE137)</f>
        <v>3</v>
      </c>
      <c r="AW137" s="274"/>
    </row>
    <row r="138" spans="1:49" s="186" customFormat="1" ht="12.75" hidden="1" customHeight="1" x14ac:dyDescent="0.2">
      <c r="A138" s="186" t="s">
        <v>102</v>
      </c>
      <c r="B138" s="186">
        <f>IF(B109=2,IF(C122=1,1,0),0)</f>
        <v>0</v>
      </c>
      <c r="D138" s="190">
        <f>IF(D109=2,IF(C122=1,1,0),0)</f>
        <v>0</v>
      </c>
      <c r="E138" s="186">
        <f>IF(E109=2,IF(F122=1,1,0),0)</f>
        <v>0</v>
      </c>
      <c r="G138" s="190">
        <f>IF(G109=2,IF(F122=1,1,0),0)</f>
        <v>0</v>
      </c>
      <c r="H138" s="186">
        <f>IF(H109=2,IF(I122=1,1,0),0)</f>
        <v>0</v>
      </c>
      <c r="J138" s="190">
        <f>IF(J109=2,IF(I122=1,1,0),0)</f>
        <v>0</v>
      </c>
      <c r="K138" s="186">
        <f>IF(K109=2,IF(L122=1,1,0),0)</f>
        <v>1</v>
      </c>
      <c r="M138" s="190">
        <f>IF(M109=2,IF(L122=1,1,0),0)</f>
        <v>0</v>
      </c>
      <c r="N138" s="186">
        <f>IF(N109=2,IF(O122=1,1,0),0)</f>
        <v>0</v>
      </c>
      <c r="P138" s="190">
        <f>IF(P109=2,IF(O122=1,1,0),0)</f>
        <v>0</v>
      </c>
      <c r="Q138" s="186">
        <f>IF(Q109=2,IF(R122=1,1,0),0)</f>
        <v>0</v>
      </c>
      <c r="S138" s="190">
        <f>IF(S109=2,IF(R122=1,1,0),0)</f>
        <v>0</v>
      </c>
      <c r="T138" s="186">
        <f>IF(T109=2,IF(U122=1,1,0),0)</f>
        <v>1</v>
      </c>
      <c r="V138" s="190">
        <f>IF(V109=2,IF(U122=1,1,0),0)</f>
        <v>0</v>
      </c>
      <c r="W138" s="186">
        <f>IF(W109=2,IF(X122=1,1,0),0)</f>
        <v>0</v>
      </c>
      <c r="Y138" s="190">
        <f>IF(Y109=2,IF(X122=1,1,0),0)</f>
        <v>0</v>
      </c>
      <c r="Z138" s="186">
        <f>IF(Z109=2,IF(AA122=1,1,0),0)</f>
        <v>0</v>
      </c>
      <c r="AB138" s="190">
        <f>IF(AB109=2,IF(AA122=1,1,0),0)</f>
        <v>0</v>
      </c>
      <c r="AC138" s="186">
        <f>IF(AC109=2,IF(AD122=1,1,0),0)</f>
        <v>0</v>
      </c>
      <c r="AE138" s="190">
        <f>IF(AE109=2,IF(AD122=1,1,0),0)</f>
        <v>1</v>
      </c>
      <c r="AF138" s="186">
        <f>SUM(B138:AE138)</f>
        <v>3</v>
      </c>
      <c r="AW138" s="274"/>
    </row>
    <row r="139" spans="1:49" s="186" customFormat="1" ht="12.75" hidden="1" customHeight="1" x14ac:dyDescent="0.2">
      <c r="A139" s="186" t="s">
        <v>103</v>
      </c>
      <c r="B139" s="186">
        <f>IF(B109=3,IF(C122=1,1,0),0)</f>
        <v>0</v>
      </c>
      <c r="D139" s="190">
        <f>IF(D109=3,IF(C122=1,1,0),0)</f>
        <v>0</v>
      </c>
      <c r="E139" s="186">
        <f>IF(E109=3,IF(F122=1,1,0),0)</f>
        <v>0</v>
      </c>
      <c r="G139" s="190">
        <f>IF(G109=3,IF(F122=1,1,0),0)</f>
        <v>0</v>
      </c>
      <c r="H139" s="186">
        <f>IF(H109=3,IF(I122=1,1,0),0)</f>
        <v>1</v>
      </c>
      <c r="J139" s="190">
        <f>IF(J109=3,IF(I122=1,1,0),0)</f>
        <v>0</v>
      </c>
      <c r="K139" s="186">
        <f>IF(K109=3,IF(L122=1,1,0),0)</f>
        <v>0</v>
      </c>
      <c r="M139" s="190">
        <f>IF(M109=3,IF(L122=1,1,0),0)</f>
        <v>0</v>
      </c>
      <c r="N139" s="186">
        <f>IF(N109=3,IF(O122=1,1,0),0)</f>
        <v>0</v>
      </c>
      <c r="P139" s="190">
        <f>IF(P109=3,IF(O122=1,1,0),0)</f>
        <v>1</v>
      </c>
      <c r="Q139" s="186">
        <f>IF(Q109=3,IF(R122=1,1,0),0)</f>
        <v>0</v>
      </c>
      <c r="S139" s="190">
        <f>IF(S109=3,IF(R122=1,1,0),0)</f>
        <v>0</v>
      </c>
      <c r="T139" s="186">
        <f>IF(T109=3,IF(U122=1,1,0),0)</f>
        <v>0</v>
      </c>
      <c r="V139" s="190">
        <f>IF(V109=3,IF(U122=1,1,0),0)</f>
        <v>1</v>
      </c>
      <c r="W139" s="186">
        <f>IF(W109=3,IF(X122=1,1,0),0)</f>
        <v>0</v>
      </c>
      <c r="Y139" s="190">
        <f>IF(Y109=3,IF(X122=1,1,0),0)</f>
        <v>0</v>
      </c>
      <c r="Z139" s="186">
        <f>IF(Z109=3,IF(AA122=1,1,0),0)</f>
        <v>1</v>
      </c>
      <c r="AB139" s="190">
        <f>IF(AB109=3,IF(AA122=1,1,0),0)</f>
        <v>0</v>
      </c>
      <c r="AC139" s="186">
        <f>IF(AC109=3,IF(AD122=1,1,0),0)</f>
        <v>0</v>
      </c>
      <c r="AE139" s="190">
        <f>IF(AE109=3,IF(AD122=1,1,0),0)</f>
        <v>0</v>
      </c>
      <c r="AF139" s="186">
        <f>SUM(B139:AE139)</f>
        <v>4</v>
      </c>
      <c r="AW139" s="274"/>
    </row>
    <row r="140" spans="1:49" s="186" customFormat="1" ht="12.75" hidden="1" customHeight="1" x14ac:dyDescent="0.2">
      <c r="A140" s="186" t="s">
        <v>104</v>
      </c>
      <c r="B140" s="186">
        <f>IF(B109=4,IF(C122=1,1,0),0)</f>
        <v>0</v>
      </c>
      <c r="D140" s="190">
        <f>IF(D109=4,IF(C122=1,1,0),0)</f>
        <v>0</v>
      </c>
      <c r="E140" s="186">
        <f>IF(E109=4,IF(F122=1,1,0),0)</f>
        <v>0</v>
      </c>
      <c r="G140" s="190">
        <f>IF(G109=4,IF(F122=1,1,0),0)</f>
        <v>0</v>
      </c>
      <c r="H140" s="186">
        <f>IF(H109=4,IF(I122=1,1,0),0)</f>
        <v>0</v>
      </c>
      <c r="J140" s="190">
        <f>IF(J109=4,IF(I122=1,1,0),0)</f>
        <v>0</v>
      </c>
      <c r="K140" s="186">
        <f>IF(K109=4,IF(L122=1,1,0),0)</f>
        <v>0</v>
      </c>
      <c r="M140" s="190">
        <f>IF(M109=4,IF(L122=1,1,0),0)</f>
        <v>1</v>
      </c>
      <c r="N140" s="186">
        <f>IF(N109=4,IF(O122=1,1,0),0)</f>
        <v>0</v>
      </c>
      <c r="P140" s="190">
        <f>IF(P109=4,IF(O122=1,1,0),0)</f>
        <v>0</v>
      </c>
      <c r="Q140" s="186">
        <f>IF(Q109=4,IF(R122=1,1,0),0)</f>
        <v>1</v>
      </c>
      <c r="S140" s="190">
        <f>IF(S109=4,IF(R122=1,1,0),0)</f>
        <v>0</v>
      </c>
      <c r="T140" s="186">
        <f>IF(T109=4,IF(U122=1,1,0),0)</f>
        <v>0</v>
      </c>
      <c r="V140" s="190">
        <f>IF(V109=4,IF(U122=1,1,0),0)</f>
        <v>0</v>
      </c>
      <c r="W140" s="186">
        <f>IF(W109=4,IF(X122=1,1,0),0)</f>
        <v>0</v>
      </c>
      <c r="Y140" s="190">
        <f>IF(Y109=4,IF(X122=1,1,0),0)</f>
        <v>0</v>
      </c>
      <c r="Z140" s="186">
        <f>IF(Z109=4,IF(AA122=1,1,0),0)</f>
        <v>0</v>
      </c>
      <c r="AB140" s="190">
        <f>IF(AB109=4,IF(AA122=1,1,0),0)</f>
        <v>1</v>
      </c>
      <c r="AC140" s="186">
        <f>IF(AC109=4,IF(AD122=1,1,0),0)</f>
        <v>0</v>
      </c>
      <c r="AE140" s="190">
        <f>IF(AE109=4,IF(AD122=1,1,0),0)</f>
        <v>0</v>
      </c>
      <c r="AF140" s="186">
        <f>SUM(B140:AE140)</f>
        <v>3</v>
      </c>
      <c r="AW140" s="274"/>
    </row>
    <row r="141" spans="1:49" s="186" customFormat="1" ht="12.75" hidden="1" customHeight="1" x14ac:dyDescent="0.2">
      <c r="A141" s="186" t="s">
        <v>105</v>
      </c>
      <c r="B141" s="186">
        <f>IF(B109=5,IF(C122=1,1,0),0)</f>
        <v>0</v>
      </c>
      <c r="D141" s="190">
        <f>IF(D109=5,IF(C122=1,1,0),0)</f>
        <v>0</v>
      </c>
      <c r="E141" s="186">
        <f>IF(E109=5,IF(F122=1,1,0),0)</f>
        <v>0</v>
      </c>
      <c r="G141" s="190">
        <f>IF(G109=5,IF(F122=1,1,0),0)</f>
        <v>0</v>
      </c>
      <c r="H141" s="186">
        <f>IF(H109=5,IF(I122=1,1,0),0)</f>
        <v>0</v>
      </c>
      <c r="J141" s="190">
        <f>IF(J109=5,IF(I122=1,1,0),0)</f>
        <v>1</v>
      </c>
      <c r="K141" s="186">
        <f>IF(K109=5,IF(L122=1,1,0),0)</f>
        <v>0</v>
      </c>
      <c r="M141" s="190">
        <f>IF(M109=5,IF(L122=1,1,0),0)</f>
        <v>0</v>
      </c>
      <c r="N141" s="186">
        <f>IF(N109=5,IF(O122=1,1,0),0)</f>
        <v>0</v>
      </c>
      <c r="P141" s="190">
        <f>IF(P109=5,IF(O122=1,1,0),0)</f>
        <v>0</v>
      </c>
      <c r="Q141" s="186">
        <f>IF(Q109=5,IF(R122=1,1,0),0)</f>
        <v>0</v>
      </c>
      <c r="S141" s="190">
        <f>IF(S109=5,IF(R122=1,1,0),0)</f>
        <v>1</v>
      </c>
      <c r="T141" s="186">
        <f>IF(T109=5,IF(U122=1,1,0),0)</f>
        <v>0</v>
      </c>
      <c r="V141" s="190">
        <f>IF(V109=5,IF(U122=1,1,0),0)</f>
        <v>0</v>
      </c>
      <c r="W141" s="186">
        <f>IF(W109=5,IF(X122=1,1,0),0)</f>
        <v>0</v>
      </c>
      <c r="Y141" s="190">
        <f>IF(Y109=5,IF(X122=1,1,0),0)</f>
        <v>1</v>
      </c>
      <c r="Z141" s="186">
        <f>IF(Z109=5,IF(AA122=1,1,0),0)</f>
        <v>0</v>
      </c>
      <c r="AB141" s="190">
        <f>IF(AB109=5,IF(AA122=1,1,0),0)</f>
        <v>0</v>
      </c>
      <c r="AC141" s="186">
        <f>IF(AC109=5,IF(AD122=1,1,0),0)</f>
        <v>0</v>
      </c>
      <c r="AE141" s="190">
        <f>IF(AE109=5,IF(AD122=1,1,0),0)</f>
        <v>0</v>
      </c>
      <c r="AF141" s="186">
        <f>SUM(B141:AE141)</f>
        <v>3</v>
      </c>
      <c r="AW141" s="274"/>
    </row>
    <row r="142" spans="1:49" s="186" customFormat="1" ht="38.25" hidden="1" customHeight="1" x14ac:dyDescent="0.2">
      <c r="A142" s="189"/>
      <c r="D142" s="190"/>
      <c r="G142" s="190"/>
      <c r="J142" s="190"/>
      <c r="M142" s="190"/>
      <c r="P142" s="190"/>
      <c r="S142" s="190"/>
      <c r="V142" s="190"/>
      <c r="Y142" s="190"/>
      <c r="AB142" s="190"/>
      <c r="AE142" s="190"/>
      <c r="AF142" s="189" t="s">
        <v>106</v>
      </c>
      <c r="AG142" s="451"/>
      <c r="AH142" s="451"/>
      <c r="AI142" s="451"/>
      <c r="AJ142" s="451"/>
      <c r="AK142" s="451"/>
      <c r="AW142" s="274"/>
    </row>
    <row r="143" spans="1:49" s="186" customFormat="1" ht="12.75" hidden="1" customHeight="1" x14ac:dyDescent="0.2">
      <c r="A143" s="186" t="s">
        <v>101</v>
      </c>
      <c r="B143" s="186">
        <f>IF(B109=1,B129,0)</f>
        <v>0</v>
      </c>
      <c r="D143" s="190">
        <f>IF(D109=1,B129,0)</f>
        <v>0</v>
      </c>
      <c r="E143" s="186">
        <f>IF(E109=1,E129,0)</f>
        <v>50</v>
      </c>
      <c r="G143" s="190">
        <f>IF(G109=1,E129,0)</f>
        <v>0</v>
      </c>
      <c r="H143" s="186">
        <f>IF(H109=1,H129,0)</f>
        <v>0</v>
      </c>
      <c r="J143" s="190">
        <f>IF(J109=1,H129,0)</f>
        <v>0</v>
      </c>
      <c r="K143" s="186">
        <f>IF(K109=1,K129,0)</f>
        <v>0</v>
      </c>
      <c r="M143" s="190">
        <f>IF(M109=1,K129,0)</f>
        <v>0</v>
      </c>
      <c r="N143" s="186">
        <f>IF(N109=1,N129,0)</f>
        <v>50</v>
      </c>
      <c r="P143" s="190">
        <f>IF(P109=1,N129,0)</f>
        <v>0</v>
      </c>
      <c r="Q143" s="186">
        <f>IF(Q109=1,Q129,0)</f>
        <v>0</v>
      </c>
      <c r="S143" s="190">
        <f>IF(S109=1,Q129,0)</f>
        <v>0</v>
      </c>
      <c r="T143" s="186">
        <f>IF(T109=1,T129,0)</f>
        <v>0</v>
      </c>
      <c r="V143" s="190">
        <f>IF(V109=1,T129,0)</f>
        <v>0</v>
      </c>
      <c r="W143" s="186">
        <f>IF(W109=1,W129,0)</f>
        <v>50</v>
      </c>
      <c r="Y143" s="190">
        <f>IF(Y109=1,W129,0)</f>
        <v>0</v>
      </c>
      <c r="Z143" s="186">
        <f>IF(Z109=1,Z129,0)</f>
        <v>0</v>
      </c>
      <c r="AB143" s="190">
        <f>IF(AB109=1,Z129,0)</f>
        <v>0</v>
      </c>
      <c r="AC143" s="186">
        <f>IF(AC109=1,AC129,0)</f>
        <v>50</v>
      </c>
      <c r="AE143" s="190">
        <f>IF(AE109=1,AC129,0)</f>
        <v>0</v>
      </c>
      <c r="AF143" s="186">
        <f>SUM(B143:AE143)</f>
        <v>200</v>
      </c>
      <c r="AW143" s="274"/>
    </row>
    <row r="144" spans="1:49" s="186" customFormat="1" ht="12.75" hidden="1" customHeight="1" x14ac:dyDescent="0.2">
      <c r="A144" s="186" t="s">
        <v>102</v>
      </c>
      <c r="B144" s="186">
        <f>IF(B109=2,B129,0)</f>
        <v>50</v>
      </c>
      <c r="D144" s="190">
        <f>IF(D109=2,B129,0)</f>
        <v>0</v>
      </c>
      <c r="E144" s="186">
        <f>IF(E109=2,E129,0)</f>
        <v>0</v>
      </c>
      <c r="G144" s="190">
        <f>IF(G109=2,E129,0)</f>
        <v>0</v>
      </c>
      <c r="H144" s="186">
        <f>IF(H109=2,H129,0)</f>
        <v>0</v>
      </c>
      <c r="J144" s="190">
        <f>IF(J109=2,H129,0)</f>
        <v>0</v>
      </c>
      <c r="K144" s="186">
        <f>IF(K109=2,K129,0)</f>
        <v>50</v>
      </c>
      <c r="M144" s="190">
        <f>IF(M109=2,K129,0)</f>
        <v>0</v>
      </c>
      <c r="N144" s="186">
        <f>IF(N109=2,N129,0)</f>
        <v>0</v>
      </c>
      <c r="P144" s="190">
        <f>IF(P109=2,N129,0)</f>
        <v>0</v>
      </c>
      <c r="Q144" s="186">
        <f>IF(Q109=2,Q129,0)</f>
        <v>0</v>
      </c>
      <c r="S144" s="190">
        <f>IF(S109=2,Q129,0)</f>
        <v>0</v>
      </c>
      <c r="T144" s="186">
        <f>IF(T109=2,T129,0)</f>
        <v>50</v>
      </c>
      <c r="V144" s="190">
        <f>IF(V109=2,T129,0)</f>
        <v>0</v>
      </c>
      <c r="W144" s="186">
        <f>IF(W109=2,W129,0)</f>
        <v>0</v>
      </c>
      <c r="Y144" s="190">
        <f>IF(Y109=2,W129,0)</f>
        <v>0</v>
      </c>
      <c r="Z144" s="186">
        <f>IF(Z109=2,Z129,0)</f>
        <v>0</v>
      </c>
      <c r="AB144" s="190">
        <f>IF(AB109=2,Z129,0)</f>
        <v>0</v>
      </c>
      <c r="AC144" s="186">
        <f>IF(AC109=2,AC129,0)</f>
        <v>0</v>
      </c>
      <c r="AE144" s="190">
        <f>IF(AE109=2,AC129,0)</f>
        <v>50</v>
      </c>
      <c r="AF144" s="186">
        <f>SUM(B144:AE144)</f>
        <v>200</v>
      </c>
      <c r="AW144" s="274"/>
    </row>
    <row r="145" spans="1:49" s="186" customFormat="1" ht="12.75" hidden="1" customHeight="1" x14ac:dyDescent="0.2">
      <c r="A145" s="186" t="s">
        <v>103</v>
      </c>
      <c r="B145" s="186">
        <f>IF(B109=3,B129,0)</f>
        <v>0</v>
      </c>
      <c r="D145" s="190">
        <f>IF(D109=3,B129,0)</f>
        <v>0</v>
      </c>
      <c r="E145" s="186">
        <f>IF(E109=3,E129,0)</f>
        <v>0</v>
      </c>
      <c r="G145" s="190">
        <f>IF(G109=3,E129,0)</f>
        <v>0</v>
      </c>
      <c r="H145" s="186">
        <f>IF(H109=3,H129,0)</f>
        <v>54</v>
      </c>
      <c r="J145" s="190">
        <f>IF(J109=3,H129,0)</f>
        <v>0</v>
      </c>
      <c r="K145" s="186">
        <f>IF(K109=3,K129,0)</f>
        <v>0</v>
      </c>
      <c r="M145" s="190">
        <f>IF(M109=3,K129,0)</f>
        <v>0</v>
      </c>
      <c r="N145" s="186">
        <f>IF(N109=3,N129,0)</f>
        <v>0</v>
      </c>
      <c r="P145" s="190">
        <f>IF(P109=3,N129,0)</f>
        <v>50</v>
      </c>
      <c r="Q145" s="186">
        <f>IF(Q109=3,Q129,0)</f>
        <v>0</v>
      </c>
      <c r="S145" s="190">
        <f>IF(S109=3,Q129,0)</f>
        <v>0</v>
      </c>
      <c r="T145" s="186">
        <f>IF(T109=3,T129,0)</f>
        <v>0</v>
      </c>
      <c r="V145" s="190">
        <f>IF(V109=3,T129,0)</f>
        <v>50</v>
      </c>
      <c r="W145" s="186">
        <f>IF(W109=3,W129,0)</f>
        <v>0</v>
      </c>
      <c r="Y145" s="190">
        <f>IF(Y109=3,W129,0)</f>
        <v>0</v>
      </c>
      <c r="Z145" s="186">
        <f>IF(Z109=3,Z129,0)</f>
        <v>50</v>
      </c>
      <c r="AB145" s="190">
        <f>IF(AB109=3,Z129,0)</f>
        <v>0</v>
      </c>
      <c r="AC145" s="186">
        <f>IF(AC109=3,AC129,0)</f>
        <v>0</v>
      </c>
      <c r="AE145" s="190">
        <f>IF(AE109=3,AC129,0)</f>
        <v>0</v>
      </c>
      <c r="AF145" s="186">
        <f>SUM(B145:AE145)</f>
        <v>204</v>
      </c>
      <c r="AW145" s="274"/>
    </row>
    <row r="146" spans="1:49" s="186" customFormat="1" ht="12.75" hidden="1" customHeight="1" x14ac:dyDescent="0.2">
      <c r="A146" s="186" t="s">
        <v>104</v>
      </c>
      <c r="B146" s="186">
        <f>IF(B109=4,B129,0)</f>
        <v>0</v>
      </c>
      <c r="D146" s="190">
        <f>IF(D109=4,B129,0)</f>
        <v>0</v>
      </c>
      <c r="E146" s="186">
        <f>IF(E109=4,E129,0)</f>
        <v>0</v>
      </c>
      <c r="G146" s="190">
        <f>IF(G109=4,E129,0)</f>
        <v>50</v>
      </c>
      <c r="H146" s="186">
        <f>IF(H109=4,H129,0)</f>
        <v>0</v>
      </c>
      <c r="J146" s="190">
        <f>IF(J109=4,H129,0)</f>
        <v>0</v>
      </c>
      <c r="K146" s="186">
        <f>IF(K109=4,K129,0)</f>
        <v>0</v>
      </c>
      <c r="M146" s="190">
        <f>IF(M109=4,K129,0)</f>
        <v>50</v>
      </c>
      <c r="N146" s="186">
        <f>IF(N109=4,N129,0)</f>
        <v>0</v>
      </c>
      <c r="P146" s="190">
        <f>IF(P109=4,N129,0)</f>
        <v>0</v>
      </c>
      <c r="Q146" s="186">
        <f>IF(Q109=4,Q129,0)</f>
        <v>50</v>
      </c>
      <c r="S146" s="190">
        <f>IF(S109=4,Q129,0)</f>
        <v>0</v>
      </c>
      <c r="T146" s="186">
        <f>IF(T109=4,T129,0)</f>
        <v>0</v>
      </c>
      <c r="V146" s="190">
        <f>IF(V109=4,T129,0)</f>
        <v>0</v>
      </c>
      <c r="W146" s="186">
        <f>IF(W109=4,W129,0)</f>
        <v>0</v>
      </c>
      <c r="Y146" s="190">
        <f>IF(Y109=4,W129,0)</f>
        <v>0</v>
      </c>
      <c r="Z146" s="186">
        <f>IF(Z109=4,Z129,0)</f>
        <v>0</v>
      </c>
      <c r="AB146" s="190">
        <f>IF(AB109=4,Z129,0)</f>
        <v>50</v>
      </c>
      <c r="AC146" s="186">
        <f>IF(AC109=4,AC129,0)</f>
        <v>0</v>
      </c>
      <c r="AE146" s="190">
        <f>IF(AE109=4,AC129,0)</f>
        <v>0</v>
      </c>
      <c r="AF146" s="186">
        <f>SUM(B146:AE146)</f>
        <v>200</v>
      </c>
      <c r="AW146" s="274"/>
    </row>
    <row r="147" spans="1:49" s="186" customFormat="1" ht="12.75" hidden="1" customHeight="1" x14ac:dyDescent="0.2">
      <c r="A147" s="186" t="s">
        <v>105</v>
      </c>
      <c r="B147" s="186">
        <f>IF(B109=5,B129,0)</f>
        <v>0</v>
      </c>
      <c r="D147" s="190">
        <f>IF(D109=5,B129,0)</f>
        <v>50</v>
      </c>
      <c r="E147" s="186">
        <f>IF(E109=5,E129,0)</f>
        <v>0</v>
      </c>
      <c r="G147" s="190">
        <f>IF(G109=5,E129,0)</f>
        <v>0</v>
      </c>
      <c r="H147" s="186">
        <f>IF(H109=5,H129,0)</f>
        <v>0</v>
      </c>
      <c r="J147" s="190">
        <f>IF(J109=5,H129,0)</f>
        <v>54</v>
      </c>
      <c r="K147" s="186">
        <f>IF(K109=5,K129,0)</f>
        <v>0</v>
      </c>
      <c r="M147" s="190">
        <f>IF(M109=5,K129,0)</f>
        <v>0</v>
      </c>
      <c r="N147" s="186">
        <f>IF(N109=5,N129,0)</f>
        <v>0</v>
      </c>
      <c r="P147" s="190">
        <f>IF(P109=5,N129,0)</f>
        <v>0</v>
      </c>
      <c r="Q147" s="186">
        <f>IF(Q109=5,Q129,0)</f>
        <v>0</v>
      </c>
      <c r="S147" s="190">
        <f>IF(S109=5,Q129,0)</f>
        <v>50</v>
      </c>
      <c r="T147" s="186">
        <f>IF(T109=5,T129,0)</f>
        <v>0</v>
      </c>
      <c r="V147" s="190">
        <f>IF(V109=5,T129,0)</f>
        <v>0</v>
      </c>
      <c r="W147" s="186">
        <f>IF(W109=5,W129,0)</f>
        <v>0</v>
      </c>
      <c r="Y147" s="190">
        <f>IF(Y109=5,W129,0)</f>
        <v>50</v>
      </c>
      <c r="Z147" s="186">
        <f>IF(Z109=5,Z129,0)</f>
        <v>0</v>
      </c>
      <c r="AB147" s="190">
        <f>IF(AB109=5,Z129,0)</f>
        <v>0</v>
      </c>
      <c r="AC147" s="186">
        <f>IF(AC109=5,AC129,0)</f>
        <v>0</v>
      </c>
      <c r="AE147" s="190">
        <f>IF(AE109=5,AC129,0)</f>
        <v>0</v>
      </c>
      <c r="AF147" s="186">
        <f>SUM(B147:AE147)</f>
        <v>204</v>
      </c>
      <c r="AW147" s="274"/>
    </row>
    <row r="148" spans="1:49" s="186" customFormat="1" ht="38.25" hidden="1" customHeight="1" x14ac:dyDescent="0.2">
      <c r="A148" s="186" t="s">
        <v>107</v>
      </c>
      <c r="D148" s="190"/>
      <c r="G148" s="190"/>
      <c r="J148" s="190"/>
      <c r="M148" s="190"/>
      <c r="P148" s="190"/>
      <c r="S148" s="190"/>
      <c r="V148" s="190"/>
      <c r="Y148" s="190"/>
      <c r="AB148" s="190"/>
      <c r="AE148" s="190"/>
      <c r="AF148" s="189" t="s">
        <v>108</v>
      </c>
      <c r="AG148" s="186" t="s">
        <v>109</v>
      </c>
      <c r="AW148" s="274"/>
    </row>
    <row r="149" spans="1:49" s="186" customFormat="1" ht="12.75" hidden="1" customHeight="1" x14ac:dyDescent="0.2">
      <c r="A149" s="186" t="s">
        <v>95</v>
      </c>
      <c r="B149" s="186">
        <f>IF(B109=1,SUMIF(B116:B120,"&gt;0"),0)</f>
        <v>0</v>
      </c>
      <c r="D149" s="190">
        <f>IF(D109=1,SUMIF(D116:D120,"&gt;0"),0)</f>
        <v>0</v>
      </c>
      <c r="E149" s="186">
        <f>IF(E109=1,SUMIF(E116:E120,"&gt;0"),0)</f>
        <v>1</v>
      </c>
      <c r="G149" s="190">
        <f>IF(G109=1,SUMIF(G116:G120,"&gt;0"),0)</f>
        <v>0</v>
      </c>
      <c r="H149" s="186">
        <f>IF(H109=1,SUMIF(H116:H120,"&gt;0"),0)</f>
        <v>0</v>
      </c>
      <c r="J149" s="190">
        <f>IF(J109=1,SUMIF(J116:J120,"&gt;0"),0)</f>
        <v>0</v>
      </c>
      <c r="K149" s="186">
        <f>IF(K109=1,SUMIF(K116:K120,"&gt;0"),0)</f>
        <v>0</v>
      </c>
      <c r="M149" s="190">
        <f>IF(M109=1,SUMIF(M116:M120,"&gt;0"),0)</f>
        <v>0</v>
      </c>
      <c r="N149" s="186">
        <f>IF(N109=1,SUMIF(N116:N120,"&gt;0"),0)</f>
        <v>2</v>
      </c>
      <c r="P149" s="190">
        <f>IF(P109=1,SUMIF(P116:P120,"&gt;0"),0)</f>
        <v>0</v>
      </c>
      <c r="Q149" s="186">
        <f>IF(Q109=1,SUMIF(Q116:Q120,"&gt;0"),0)</f>
        <v>0</v>
      </c>
      <c r="S149" s="190">
        <f>IF(S109=1,SUMIF(S116:S120,"&gt;0"),0)</f>
        <v>0</v>
      </c>
      <c r="T149" s="186">
        <f>IF(T109=1,SUMIF(T116:T120,"&gt;0"),0)</f>
        <v>0</v>
      </c>
      <c r="V149" s="190">
        <f>IF(V109=1,SUMIF(V116:V120,"&gt;0"),0)</f>
        <v>0</v>
      </c>
      <c r="W149" s="186">
        <f>IF(W109=1,SUMIF(W116:W120,"&gt;0"),0)</f>
        <v>2</v>
      </c>
      <c r="Y149" s="190">
        <f>IF(Y109=1,SUMIF(Y116:Y120,"&gt;0"),0)</f>
        <v>0</v>
      </c>
      <c r="Z149" s="186">
        <f>IF(Z109=1,SUMIF(Z116:Z120,"&gt;0"),0)</f>
        <v>0</v>
      </c>
      <c r="AB149" s="190">
        <f>IF(AB109=1,SUMIF(AB116:AB120,"&gt;0"),0)</f>
        <v>0</v>
      </c>
      <c r="AC149" s="186">
        <f>IF(AC109=1,SUMIF(AC116:AC120,"&gt;0"),0)</f>
        <v>0</v>
      </c>
      <c r="AE149" s="190">
        <f>IF(AE109=1,SUMIF(AE116:AE120,"&gt;0"),0)</f>
        <v>0</v>
      </c>
      <c r="AF149" s="186">
        <f>SUM(B149:AE149)</f>
        <v>5</v>
      </c>
      <c r="AG149" s="186">
        <f>AF157-AF149</f>
        <v>3</v>
      </c>
      <c r="AW149" s="274"/>
    </row>
    <row r="150" spans="1:49" s="186" customFormat="1" ht="12.75" hidden="1" customHeight="1" x14ac:dyDescent="0.2">
      <c r="A150" s="186" t="s">
        <v>96</v>
      </c>
      <c r="B150" s="186">
        <f>IF(B109=2,SUMIF(B116:B120,"&gt;0"),0)</f>
        <v>1</v>
      </c>
      <c r="D150" s="190">
        <f>IF(D109=2,SUMIF(D116:D120,"&gt;0"),0)</f>
        <v>0</v>
      </c>
      <c r="E150" s="186">
        <f>IF(E109=2,SUMIF(E116:E120,"&gt;0"),0)</f>
        <v>0</v>
      </c>
      <c r="G150" s="190">
        <f>IF(G109=2,SUMIF(G116:G120,"&gt;0"),0)</f>
        <v>0</v>
      </c>
      <c r="H150" s="186">
        <f>IF(H109=2,SUMIF(H116:H120,"&gt;0"),0)</f>
        <v>0</v>
      </c>
      <c r="J150" s="190">
        <f>IF(J109=2,SUMIF(J116:J120,"&gt;0"),0)</f>
        <v>0</v>
      </c>
      <c r="K150" s="186">
        <f>IF(K109=2,SUMIF(K116:K120,"&gt;0"),0)</f>
        <v>2</v>
      </c>
      <c r="M150" s="190">
        <f>IF(M109=2,SUMIF(M116:M120,"&gt;0"),0)</f>
        <v>0</v>
      </c>
      <c r="N150" s="186">
        <f>IF(N109=2,SUMIF(N116:N120,"&gt;0"),0)</f>
        <v>0</v>
      </c>
      <c r="P150" s="190">
        <f>IF(P109=2,SUMIF(P116:P120,"&gt;0"),0)</f>
        <v>0</v>
      </c>
      <c r="Q150" s="186">
        <f>IF(Q109=2,SUMIF(Q116:Q120,"&gt;0"),0)</f>
        <v>0</v>
      </c>
      <c r="S150" s="190">
        <f>IF(S109=2,SUMIF(S116:S120,"&gt;0"),0)</f>
        <v>0</v>
      </c>
      <c r="T150" s="186">
        <f>IF(T109=2,SUMIF(T116:T120,"&gt;0"),0)</f>
        <v>2</v>
      </c>
      <c r="V150" s="190">
        <f>IF(V109=2,SUMIF(V116:V120,"&gt;0"),0)</f>
        <v>0</v>
      </c>
      <c r="W150" s="186">
        <f>IF(W109=2,SUMIF(W116:W120,"&gt;0"),0)</f>
        <v>0</v>
      </c>
      <c r="Y150" s="190">
        <f>IF(Y109=2,SUMIF(Y116:Y120,"&gt;0"),0)</f>
        <v>0</v>
      </c>
      <c r="Z150" s="186">
        <f>IF(Z109=2,SUMIF(Z116:Z120,"&gt;0"),0)</f>
        <v>0</v>
      </c>
      <c r="AB150" s="190">
        <f>IF(AB109=2,SUMIF(AB116:AB120,"&gt;0"),0)</f>
        <v>0</v>
      </c>
      <c r="AC150" s="186">
        <f>IF(AC109=2,SUMIF(AC116:AC120,"&gt;0"),0)</f>
        <v>0</v>
      </c>
      <c r="AE150" s="190">
        <f>IF(AE109=2,SUMIF(AE116:AE120,"&gt;0"),0)</f>
        <v>2</v>
      </c>
      <c r="AF150" s="186">
        <f>SUM(B150:AE150)</f>
        <v>7</v>
      </c>
      <c r="AG150" s="186">
        <f>AF158-AF150</f>
        <v>1</v>
      </c>
      <c r="AW150" s="274"/>
    </row>
    <row r="151" spans="1:49" s="186" customFormat="1" ht="12.75" hidden="1" customHeight="1" x14ac:dyDescent="0.2">
      <c r="A151" s="186" t="s">
        <v>97</v>
      </c>
      <c r="B151" s="186">
        <f>IF(B109=3,SUMIF(B116:B120,"&gt;0"),0)</f>
        <v>0</v>
      </c>
      <c r="D151" s="190">
        <f>IF(D109=3,SUMIF(D116:D120,"&gt;0"),0)</f>
        <v>0</v>
      </c>
      <c r="E151" s="186">
        <f>IF(E109=3,SUMIF(E116:E120,"&gt;0"),0)</f>
        <v>0</v>
      </c>
      <c r="G151" s="190">
        <f>IF(G109=3,SUMIF(G116:G120,"&gt;0"),0)</f>
        <v>0</v>
      </c>
      <c r="H151" s="186">
        <f>IF(H109=3,SUMIF(H116:H120,"&gt;0"),0)</f>
        <v>2</v>
      </c>
      <c r="J151" s="190">
        <f>IF(J109=3,SUMIF(J116:J120,"&gt;0"),0)</f>
        <v>0</v>
      </c>
      <c r="K151" s="186">
        <f>IF(K109=3,SUMIF(K116:K120,"&gt;0"),0)</f>
        <v>0</v>
      </c>
      <c r="M151" s="190">
        <f>IF(M109=3,SUMIF(M116:M120,"&gt;0"),0)</f>
        <v>0</v>
      </c>
      <c r="N151" s="186">
        <f>IF(N109=3,SUMIF(N116:N120,"&gt;0"),0)</f>
        <v>0</v>
      </c>
      <c r="P151" s="190">
        <f>IF(P109=3,SUMIF(P116:P120,"&gt;0"),0)</f>
        <v>0</v>
      </c>
      <c r="Q151" s="186">
        <f>IF(Q109=3,SUMIF(Q116:Q120,"&gt;0"),0)</f>
        <v>0</v>
      </c>
      <c r="S151" s="190">
        <f>IF(S109=3,SUMIF(S116:S120,"&gt;0"),0)</f>
        <v>0</v>
      </c>
      <c r="T151" s="186">
        <f>IF(T109=3,SUMIF(T116:T120,"&gt;0"),0)</f>
        <v>0</v>
      </c>
      <c r="V151" s="190">
        <f>IF(V109=3,SUMIF(V116:V120,"&gt;0"),0)</f>
        <v>0</v>
      </c>
      <c r="W151" s="186">
        <f>IF(W109=3,SUMIF(W116:W120,"&gt;0"),0)</f>
        <v>0</v>
      </c>
      <c r="Y151" s="190">
        <f>IF(Y109=3,SUMIF(Y116:Y120,"&gt;0"),0)</f>
        <v>0</v>
      </c>
      <c r="Z151" s="186">
        <f>IF(Z109=3,SUMIF(Z116:Z120,"&gt;0"),0)</f>
        <v>2</v>
      </c>
      <c r="AB151" s="190">
        <f>IF(AB109=3,SUMIF(AB116:AB120,"&gt;0"),0)</f>
        <v>0</v>
      </c>
      <c r="AC151" s="186">
        <f>IF(AC109=3,SUMIF(AC116:AC120,"&gt;0"),0)</f>
        <v>0</v>
      </c>
      <c r="AE151" s="190">
        <f>IF(AE109=3,SUMIF(AE116:AE120,"&gt;0"),0)</f>
        <v>0</v>
      </c>
      <c r="AF151" s="186">
        <f>SUM(B151:AE151)</f>
        <v>4</v>
      </c>
      <c r="AG151" s="186">
        <f>AF159-AF151</f>
        <v>4</v>
      </c>
      <c r="AW151" s="274"/>
    </row>
    <row r="152" spans="1:49" s="186" customFormat="1" ht="12.75" hidden="1" customHeight="1" x14ac:dyDescent="0.2">
      <c r="A152" s="186" t="s">
        <v>98</v>
      </c>
      <c r="B152" s="186">
        <f>IF(B109=4,SUMIF(B116:B120,"&gt;0"),0)</f>
        <v>0</v>
      </c>
      <c r="D152" s="190">
        <f>IF(D109=4,SUMIF(D116:D120,"&gt;0"),0)</f>
        <v>0</v>
      </c>
      <c r="E152" s="186">
        <f>IF(E109=4,SUMIF(E116:E120,"&gt;0"),0)</f>
        <v>0</v>
      </c>
      <c r="G152" s="190">
        <f>IF(G109=4,SUMIF(G116:G120,"&gt;0"),0)</f>
        <v>1</v>
      </c>
      <c r="H152" s="186">
        <f>IF(H109=4,SUMIF(H116:H120,"&gt;0"),0)</f>
        <v>0</v>
      </c>
      <c r="J152" s="190">
        <f>IF(J109=4,SUMIF(J116:J120,"&gt;0"),0)</f>
        <v>0</v>
      </c>
      <c r="K152" s="186">
        <f>IF(K109=4,SUMIF(K116:K120,"&gt;0"),0)</f>
        <v>0</v>
      </c>
      <c r="M152" s="190">
        <f>IF(M109=4,SUMIF(M116:M120,"&gt;0"),0)</f>
        <v>0</v>
      </c>
      <c r="N152" s="186">
        <f>IF(N109=4,SUMIF(N116:N120,"&gt;0"),0)</f>
        <v>0</v>
      </c>
      <c r="P152" s="190">
        <f>IF(P109=4,SUMIF(P116:P120,"&gt;0"),0)</f>
        <v>0</v>
      </c>
      <c r="Q152" s="186">
        <f>IF(Q109=4,SUMIF(Q116:Q120,"&gt;0"),0)</f>
        <v>2</v>
      </c>
      <c r="S152" s="190">
        <f>IF(S109=4,SUMIF(S116:S120,"&gt;0"),0)</f>
        <v>0</v>
      </c>
      <c r="T152" s="186">
        <f>IF(T109=4,SUMIF(T116:T120,"&gt;0"),0)</f>
        <v>0</v>
      </c>
      <c r="V152" s="190">
        <f>IF(V109=4,SUMIF(V116:V120,"&gt;0"),0)</f>
        <v>0</v>
      </c>
      <c r="W152" s="186">
        <f>IF(W109=4,SUMIF(W116:W120,"&gt;0"),0)</f>
        <v>0</v>
      </c>
      <c r="Y152" s="190">
        <f>IF(Y109=4,SUMIF(Y116:Y120,"&gt;0"),0)</f>
        <v>0</v>
      </c>
      <c r="Z152" s="186">
        <f>IF(Z109=4,SUMIF(Z116:Z120,"&gt;0"),0)</f>
        <v>0</v>
      </c>
      <c r="AB152" s="190">
        <f>IF(AB109=4,SUMIF(AB116:AB120,"&gt;0"),0)</f>
        <v>0</v>
      </c>
      <c r="AC152" s="186">
        <f>IF(AC109=4,SUMIF(AC116:AC120,"&gt;0"),0)</f>
        <v>0</v>
      </c>
      <c r="AE152" s="190">
        <f>IF(AE109=4,SUMIF(AE116:AE120,"&gt;0"),0)</f>
        <v>0</v>
      </c>
      <c r="AF152" s="186">
        <f>SUM(B152:AE152)</f>
        <v>3</v>
      </c>
      <c r="AG152" s="186">
        <f>AF160-AF152</f>
        <v>5</v>
      </c>
      <c r="AW152" s="274"/>
    </row>
    <row r="153" spans="1:49" s="186" customFormat="1" ht="12.75" hidden="1" customHeight="1" x14ac:dyDescent="0.2">
      <c r="A153" s="186" t="s">
        <v>99</v>
      </c>
      <c r="B153" s="186">
        <f>IF(B109=5,SUMIF(B116:B120,"&gt;0"),0)</f>
        <v>0</v>
      </c>
      <c r="D153" s="190">
        <f>IF(D109=5,SUMIF(D116:D120,"&gt;0"),0)</f>
        <v>1</v>
      </c>
      <c r="E153" s="186">
        <f>IF(E109=5,SUMIF(E116:E120,"&gt;0"),0)</f>
        <v>0</v>
      </c>
      <c r="G153" s="190">
        <f>IF(G109=5,SUMIF(G116:G120,"&gt;0"),0)</f>
        <v>0</v>
      </c>
      <c r="H153" s="186">
        <f>IF(H109=5,SUMIF(H116:H120,"&gt;0"),0)</f>
        <v>0</v>
      </c>
      <c r="J153" s="190">
        <f>IF(J109=5,SUMIF(J116:J120,"&gt;0"),0)</f>
        <v>0</v>
      </c>
      <c r="K153" s="186">
        <f>IF(K109=5,SUMIF(K116:K120,"&gt;0"),0)</f>
        <v>0</v>
      </c>
      <c r="M153" s="190">
        <f>IF(M109=5,SUMIF(M116:M120,"&gt;0"),0)</f>
        <v>0</v>
      </c>
      <c r="N153" s="186">
        <f>IF(N109=5,SUMIF(N116:N120,"&gt;0"),0)</f>
        <v>0</v>
      </c>
      <c r="P153" s="190">
        <f>IF(P109=5,SUMIF(P116:P120,"&gt;0"),0)</f>
        <v>0</v>
      </c>
      <c r="Q153" s="186">
        <f>IF(Q109=5,SUMIF(Q116:Q120,"&gt;0"),0)</f>
        <v>0</v>
      </c>
      <c r="S153" s="190">
        <f>IF(S109=5,SUMIF(S116:S120,"&gt;0"),0)</f>
        <v>0</v>
      </c>
      <c r="T153" s="186">
        <f>IF(T109=5,SUMIF(T116:T120,"&gt;0"),0)</f>
        <v>0</v>
      </c>
      <c r="V153" s="190">
        <f>IF(V109=5,SUMIF(V116:V120,"&gt;0"),0)</f>
        <v>0</v>
      </c>
      <c r="W153" s="186">
        <f>IF(W109=5,SUMIF(W116:W120,"&gt;0"),0)</f>
        <v>0</v>
      </c>
      <c r="Y153" s="190">
        <f>IF(Y109=5,SUMIF(Y116:Y120,"&gt;0"),0)</f>
        <v>0</v>
      </c>
      <c r="Z153" s="186">
        <f>IF(Z109=5,SUMIF(Z116:Z120,"&gt;0"),0)</f>
        <v>0</v>
      </c>
      <c r="AB153" s="190">
        <f>IF(AB109=5,SUMIF(AB116:AB120,"&gt;0"),0)</f>
        <v>0</v>
      </c>
      <c r="AC153" s="186">
        <f>IF(AC109=5,SUMIF(AC116:AC120,"&gt;0"),0)</f>
        <v>0</v>
      </c>
      <c r="AE153" s="190">
        <f>IF(AE109=5,SUMIF(AE116:AE120,"&gt;0"),0)</f>
        <v>0</v>
      </c>
      <c r="AF153" s="186">
        <f>SUM(B153:AE153)</f>
        <v>1</v>
      </c>
      <c r="AG153" s="186">
        <f>AF161-AF153</f>
        <v>7</v>
      </c>
      <c r="AW153" s="274"/>
    </row>
    <row r="154" spans="1:49" s="186" customFormat="1" ht="12.75" hidden="1" customHeight="1" x14ac:dyDescent="0.2">
      <c r="D154" s="190"/>
      <c r="G154" s="190"/>
      <c r="J154" s="190"/>
      <c r="M154" s="190"/>
      <c r="P154" s="190"/>
      <c r="S154" s="190"/>
      <c r="V154" s="190"/>
      <c r="Y154" s="190"/>
      <c r="AB154" s="190"/>
      <c r="AE154" s="190"/>
      <c r="AW154" s="274"/>
    </row>
    <row r="155" spans="1:49" s="186" customFormat="1" ht="12.75" hidden="1" customHeight="1" x14ac:dyDescent="0.2">
      <c r="D155" s="190"/>
      <c r="G155" s="190"/>
      <c r="J155" s="190"/>
      <c r="M155" s="190"/>
      <c r="P155" s="190"/>
      <c r="S155" s="190"/>
      <c r="V155" s="190"/>
      <c r="Y155" s="190"/>
      <c r="AB155" s="190"/>
      <c r="AE155" s="190"/>
      <c r="AW155" s="274"/>
    </row>
    <row r="156" spans="1:49" s="186" customFormat="1" ht="51" hidden="1" customHeight="1" x14ac:dyDescent="0.2">
      <c r="A156" s="189" t="s">
        <v>110</v>
      </c>
      <c r="C156" s="186">
        <f>SUMIF(B149:D153,"&gt;0")</f>
        <v>2</v>
      </c>
      <c r="D156" s="190"/>
      <c r="F156" s="186">
        <f>SUMIF(E149:G153,"&gt;0")</f>
        <v>2</v>
      </c>
      <c r="G156" s="190"/>
      <c r="I156" s="186">
        <f>SUMIF(H149:J153,"&gt;0")</f>
        <v>2</v>
      </c>
      <c r="J156" s="190"/>
      <c r="L156" s="186">
        <f>SUMIF(K149:M153,"&gt;0")</f>
        <v>2</v>
      </c>
      <c r="M156" s="190"/>
      <c r="O156" s="186">
        <f>SUMIF(N149:P153,"&gt;0")</f>
        <v>2</v>
      </c>
      <c r="P156" s="190"/>
      <c r="R156" s="186">
        <f>SUMIF(Q149:S153,"&gt;0")</f>
        <v>2</v>
      </c>
      <c r="S156" s="190"/>
      <c r="U156" s="186">
        <f>SUMIF(T149:V153,"&gt;0")</f>
        <v>2</v>
      </c>
      <c r="V156" s="190"/>
      <c r="X156" s="186">
        <f>SUMIF(W149:Y153,"&gt;0")</f>
        <v>2</v>
      </c>
      <c r="Y156" s="190"/>
      <c r="AA156" s="186">
        <f>SUMIF(Z149:AB153,"&gt;0")</f>
        <v>2</v>
      </c>
      <c r="AB156" s="190"/>
      <c r="AD156" s="186">
        <f>SUMIF(AC149:AE153,"&gt;0")</f>
        <v>2</v>
      </c>
      <c r="AE156" s="190"/>
      <c r="AF156" s="189" t="s">
        <v>111</v>
      </c>
      <c r="AW156" s="274"/>
    </row>
    <row r="157" spans="1:49" s="186" customFormat="1" ht="12.75" hidden="1" customHeight="1" x14ac:dyDescent="0.2">
      <c r="A157" s="186" t="s">
        <v>101</v>
      </c>
      <c r="B157" s="186">
        <f>IF(B109=1,C156,0)</f>
        <v>0</v>
      </c>
      <c r="D157" s="190">
        <f>IF(D109=1,C156,0)</f>
        <v>0</v>
      </c>
      <c r="E157" s="186">
        <f>IF(E109=1,F156,0)</f>
        <v>2</v>
      </c>
      <c r="G157" s="190">
        <f>IF(G109=1,F156,0)</f>
        <v>0</v>
      </c>
      <c r="H157" s="186">
        <f>IF(H109=1,I156,0)</f>
        <v>0</v>
      </c>
      <c r="J157" s="190">
        <f>IF(J109=1,I156,0)</f>
        <v>0</v>
      </c>
      <c r="K157" s="186">
        <f>IF(K109=1,L156,0)</f>
        <v>0</v>
      </c>
      <c r="M157" s="190">
        <f>IF(M109=1,L156,0)</f>
        <v>0</v>
      </c>
      <c r="N157" s="186">
        <f>IF(N109=1,O156,0)</f>
        <v>2</v>
      </c>
      <c r="P157" s="190">
        <f>IF(P109=1,O156,0)</f>
        <v>0</v>
      </c>
      <c r="Q157" s="186">
        <f>IF(Q109=1,R156,0)</f>
        <v>0</v>
      </c>
      <c r="S157" s="190">
        <f>IF(S109=1,R156,0)</f>
        <v>0</v>
      </c>
      <c r="T157" s="186">
        <f>IF(T109=1,U156,0)</f>
        <v>0</v>
      </c>
      <c r="V157" s="190">
        <f>IF(V109=1,U156,0)</f>
        <v>0</v>
      </c>
      <c r="W157" s="186">
        <f>IF(W109=1,X156,0)</f>
        <v>2</v>
      </c>
      <c r="Y157" s="190">
        <f>IF(Y109=1,X156,0)</f>
        <v>0</v>
      </c>
      <c r="Z157" s="186">
        <f>IF(Z109=1,AA156,0)</f>
        <v>0</v>
      </c>
      <c r="AB157" s="190">
        <f>IF(AB109=1,AA156,0)</f>
        <v>0</v>
      </c>
      <c r="AC157" s="186">
        <f>IF(AC109=1,AD156,0)</f>
        <v>2</v>
      </c>
      <c r="AE157" s="190">
        <f>IF(AE109=1,AD156,0)</f>
        <v>0</v>
      </c>
      <c r="AF157" s="186">
        <f>SUM(B157:AE157)</f>
        <v>8</v>
      </c>
      <c r="AW157" s="274"/>
    </row>
    <row r="158" spans="1:49" s="186" customFormat="1" ht="12.75" hidden="1" customHeight="1" x14ac:dyDescent="0.2">
      <c r="A158" s="186" t="s">
        <v>102</v>
      </c>
      <c r="B158" s="186">
        <f>IF(B109=2,C156,0)</f>
        <v>2</v>
      </c>
      <c r="D158" s="190">
        <f>IF(D109=2,C156,0)</f>
        <v>0</v>
      </c>
      <c r="E158" s="186">
        <f>IF(E109=2,F156,0)</f>
        <v>0</v>
      </c>
      <c r="G158" s="190">
        <f>IF(G109=2,F156,0)</f>
        <v>0</v>
      </c>
      <c r="H158" s="186">
        <f>IF(H109=2,I156,0)</f>
        <v>0</v>
      </c>
      <c r="J158" s="190">
        <f>IF(J109=2,I156,0)</f>
        <v>0</v>
      </c>
      <c r="K158" s="186">
        <f>IF(K109=2,L156,0)</f>
        <v>2</v>
      </c>
      <c r="M158" s="190">
        <f>IF(M109=2,L156,0)</f>
        <v>0</v>
      </c>
      <c r="N158" s="186">
        <f>IF(N109=2,O156,0)</f>
        <v>0</v>
      </c>
      <c r="P158" s="190">
        <f>IF(P109=2,O156,0)</f>
        <v>0</v>
      </c>
      <c r="Q158" s="186">
        <f>IF(Q109=2,R156,0)</f>
        <v>0</v>
      </c>
      <c r="S158" s="190">
        <f>IF(S109=2,R156,0)</f>
        <v>0</v>
      </c>
      <c r="T158" s="186">
        <f>IF(T109=2,U156,0)</f>
        <v>2</v>
      </c>
      <c r="V158" s="190">
        <f>IF(V109=2,U156,0)</f>
        <v>0</v>
      </c>
      <c r="W158" s="186">
        <f>IF(W109=2,X156,0)</f>
        <v>0</v>
      </c>
      <c r="Y158" s="190">
        <f>IF(Y109=2,X156,0)</f>
        <v>0</v>
      </c>
      <c r="Z158" s="186">
        <f>IF(Z109=2,AA156,0)</f>
        <v>0</v>
      </c>
      <c r="AB158" s="190">
        <f>IF(AB109=2,AA156,0)</f>
        <v>0</v>
      </c>
      <c r="AC158" s="186">
        <f>IF(AC109=2,AD156,0)</f>
        <v>0</v>
      </c>
      <c r="AE158" s="190">
        <f>IF(AE109=2,AD156,0)</f>
        <v>2</v>
      </c>
      <c r="AF158" s="186">
        <f>SUM(B158:AE158)</f>
        <v>8</v>
      </c>
      <c r="AW158" s="274"/>
    </row>
    <row r="159" spans="1:49" s="186" customFormat="1" ht="12.75" hidden="1" customHeight="1" x14ac:dyDescent="0.2">
      <c r="A159" s="186" t="s">
        <v>103</v>
      </c>
      <c r="B159" s="186">
        <f>IF(B109=3,C156,0)</f>
        <v>0</v>
      </c>
      <c r="D159" s="190">
        <f>IF(D109=3,C156,0)</f>
        <v>0</v>
      </c>
      <c r="E159" s="186">
        <f>IF(E109=3,F156,0)</f>
        <v>0</v>
      </c>
      <c r="G159" s="190">
        <f>IF(G109=3,F156,0)</f>
        <v>0</v>
      </c>
      <c r="H159" s="186">
        <f>IF(H109=3,I156,0)</f>
        <v>2</v>
      </c>
      <c r="J159" s="190">
        <f>IF(J109=3,I156,0)</f>
        <v>0</v>
      </c>
      <c r="K159" s="186">
        <f>IF(K109=3,L156,0)</f>
        <v>0</v>
      </c>
      <c r="M159" s="190">
        <f>IF(M109=3,L156,0)</f>
        <v>0</v>
      </c>
      <c r="N159" s="186">
        <f>IF(N109=3,O156,0)</f>
        <v>0</v>
      </c>
      <c r="P159" s="190">
        <f>IF(P109=3,O156,0)</f>
        <v>2</v>
      </c>
      <c r="Q159" s="186">
        <f>IF(Q109=3,R156,0)</f>
        <v>0</v>
      </c>
      <c r="S159" s="190">
        <f>IF(S109=3,R156,0)</f>
        <v>0</v>
      </c>
      <c r="T159" s="186">
        <f>IF(T109=3,U156,0)</f>
        <v>0</v>
      </c>
      <c r="V159" s="190">
        <f>IF(V109=3,U156,0)</f>
        <v>2</v>
      </c>
      <c r="W159" s="186">
        <f>IF(W109=3,X156,0)</f>
        <v>0</v>
      </c>
      <c r="Y159" s="190">
        <f>IF(Y109=3,X156,0)</f>
        <v>0</v>
      </c>
      <c r="Z159" s="186">
        <f>IF(Z109=3,AA156,0)</f>
        <v>2</v>
      </c>
      <c r="AB159" s="190">
        <f>IF(AB109=3,AA156,0)</f>
        <v>0</v>
      </c>
      <c r="AC159" s="186">
        <f>IF(AC109=3,AD156,0)</f>
        <v>0</v>
      </c>
      <c r="AE159" s="190">
        <f>IF(AE109=3,AD156,0)</f>
        <v>0</v>
      </c>
      <c r="AF159" s="186">
        <f>SUM(B159:AE159)</f>
        <v>8</v>
      </c>
      <c r="AW159" s="274"/>
    </row>
    <row r="160" spans="1:49" s="186" customFormat="1" ht="12.75" hidden="1" customHeight="1" x14ac:dyDescent="0.2">
      <c r="A160" s="186" t="s">
        <v>104</v>
      </c>
      <c r="B160" s="186">
        <f>IF(B109=4,C156,0)</f>
        <v>0</v>
      </c>
      <c r="D160" s="190">
        <f>IF(D109=4,C156,0)</f>
        <v>0</v>
      </c>
      <c r="E160" s="186">
        <f>IF(E109=4,F156,0)</f>
        <v>0</v>
      </c>
      <c r="G160" s="190">
        <f>IF(G109=4,F156,0)</f>
        <v>2</v>
      </c>
      <c r="H160" s="186">
        <f>IF(H109=4,I156,0)</f>
        <v>0</v>
      </c>
      <c r="J160" s="190">
        <f>IF(J109=4,I156,0)</f>
        <v>0</v>
      </c>
      <c r="K160" s="186">
        <f>IF(K109=4,L156,0)</f>
        <v>0</v>
      </c>
      <c r="M160" s="190">
        <f>IF(M109=4,L156,0)</f>
        <v>2</v>
      </c>
      <c r="N160" s="186">
        <f>IF(N109=4,O156,0)</f>
        <v>0</v>
      </c>
      <c r="P160" s="190">
        <f>IF(P109=4,O156,0)</f>
        <v>0</v>
      </c>
      <c r="Q160" s="186">
        <f>IF(Q109=4,R156,0)</f>
        <v>2</v>
      </c>
      <c r="S160" s="190">
        <f>IF(S109=4,R156,0)</f>
        <v>0</v>
      </c>
      <c r="T160" s="186">
        <f>IF(T109=4,U156,0)</f>
        <v>0</v>
      </c>
      <c r="V160" s="190">
        <f>IF(V109=4,U156,0)</f>
        <v>0</v>
      </c>
      <c r="W160" s="186">
        <f>IF(W109=4,X156,0)</f>
        <v>0</v>
      </c>
      <c r="Y160" s="190">
        <f>IF(Y109=4,X156,0)</f>
        <v>0</v>
      </c>
      <c r="Z160" s="186">
        <f>IF(Z109=4,AA156,0)</f>
        <v>0</v>
      </c>
      <c r="AB160" s="190">
        <f>IF(AB109=4,AA156,0)</f>
        <v>2</v>
      </c>
      <c r="AC160" s="186">
        <f>IF(AC109=4,AD156,0)</f>
        <v>0</v>
      </c>
      <c r="AE160" s="190">
        <f>IF(AE109=4,AD156,0)</f>
        <v>0</v>
      </c>
      <c r="AF160" s="186">
        <f>SUM(B160:AE160)</f>
        <v>8</v>
      </c>
      <c r="AW160" s="274"/>
    </row>
    <row r="161" spans="1:54" s="186" customFormat="1" ht="12.75" hidden="1" customHeight="1" x14ac:dyDescent="0.2">
      <c r="A161" s="186" t="s">
        <v>105</v>
      </c>
      <c r="B161" s="186">
        <f>IF(B109=5,C156,0)</f>
        <v>0</v>
      </c>
      <c r="D161" s="190">
        <f>IF(D109=5,C156,0)</f>
        <v>2</v>
      </c>
      <c r="E161" s="186">
        <f>IF(E109=5,F156,0)</f>
        <v>0</v>
      </c>
      <c r="G161" s="190">
        <f>IF(G109=5,F156,0)</f>
        <v>0</v>
      </c>
      <c r="H161" s="186">
        <f>IF(H109=5,I156,0)</f>
        <v>0</v>
      </c>
      <c r="J161" s="190">
        <f>IF(J109=5,I156,0)</f>
        <v>2</v>
      </c>
      <c r="K161" s="186">
        <f>IF(K109=5,L156,0)</f>
        <v>0</v>
      </c>
      <c r="M161" s="190">
        <f>IF(M109=5,L156,0)</f>
        <v>0</v>
      </c>
      <c r="N161" s="186">
        <f>IF(N109=5,O156,0)</f>
        <v>0</v>
      </c>
      <c r="P161" s="190">
        <f>IF(P109=5,O156,0)</f>
        <v>0</v>
      </c>
      <c r="Q161" s="186">
        <f>IF(Q109=5,R156,0)</f>
        <v>0</v>
      </c>
      <c r="S161" s="190">
        <f>IF(S109=5,R156,0)</f>
        <v>2</v>
      </c>
      <c r="T161" s="186">
        <f>IF(T109=5,U156,0)</f>
        <v>0</v>
      </c>
      <c r="V161" s="190">
        <f>IF(V109=5,U156,0)</f>
        <v>0</v>
      </c>
      <c r="W161" s="186">
        <f>IF(W109=5,X156,0)</f>
        <v>0</v>
      </c>
      <c r="Y161" s="190">
        <f>IF(Y109=5,X156,0)</f>
        <v>2</v>
      </c>
      <c r="Z161" s="186">
        <f>IF(Z109=5,AA156,0)</f>
        <v>0</v>
      </c>
      <c r="AB161" s="190">
        <f>IF(AB109=5,AA156,0)</f>
        <v>0</v>
      </c>
      <c r="AC161" s="186">
        <f>IF(AC109=5,AD156,0)</f>
        <v>0</v>
      </c>
      <c r="AE161" s="190">
        <f>IF(AE109=5,AD156,0)</f>
        <v>0</v>
      </c>
      <c r="AF161" s="186">
        <f>SUM(B161:AE161)</f>
        <v>8</v>
      </c>
      <c r="AW161" s="274"/>
    </row>
    <row r="162" spans="1:54" hidden="1" x14ac:dyDescent="0.2">
      <c r="A162" s="191"/>
      <c r="B162" s="191"/>
      <c r="C162" s="191"/>
      <c r="D162" s="191"/>
      <c r="E162" s="191"/>
      <c r="F162" s="191"/>
      <c r="G162" s="191"/>
      <c r="H162" s="191"/>
      <c r="I162" s="191"/>
      <c r="J162" s="191"/>
      <c r="K162" s="191"/>
      <c r="L162" s="191"/>
      <c r="M162" s="191"/>
      <c r="N162" s="191"/>
      <c r="O162" s="191"/>
      <c r="P162" s="191"/>
      <c r="Q162" s="191"/>
      <c r="R162" s="191"/>
      <c r="S162" s="191"/>
      <c r="T162" s="191"/>
      <c r="U162" s="191"/>
      <c r="V162" s="191"/>
      <c r="W162" s="191"/>
      <c r="X162" s="191"/>
      <c r="Y162" s="191"/>
      <c r="Z162" s="191"/>
      <c r="AA162" s="191"/>
      <c r="AB162" s="191"/>
      <c r="AC162" s="191"/>
      <c r="AD162" s="191"/>
      <c r="AE162" s="191"/>
      <c r="AF162" s="191"/>
      <c r="AG162" s="191"/>
      <c r="AH162" s="191"/>
      <c r="AI162" s="191"/>
      <c r="AJ162" s="191"/>
      <c r="AK162" s="191"/>
      <c r="AL162" s="191"/>
      <c r="AM162" s="191"/>
      <c r="AN162" s="192"/>
      <c r="AO162" s="192"/>
      <c r="AP162" s="192"/>
      <c r="AQ162" s="192"/>
      <c r="AR162" s="193"/>
      <c r="AS162" s="193"/>
      <c r="AT162" s="193"/>
      <c r="AU162" s="193"/>
      <c r="AV162" s="193"/>
      <c r="BB162" s="194"/>
    </row>
    <row r="163" spans="1:54" s="193" customFormat="1" hidden="1" x14ac:dyDescent="0.2">
      <c r="A163" s="195"/>
      <c r="B163" s="195"/>
      <c r="C163" s="195" t="s">
        <v>112</v>
      </c>
      <c r="D163" s="195">
        <v>1</v>
      </c>
      <c r="E163" s="195"/>
      <c r="F163" s="195"/>
      <c r="G163" s="195">
        <v>2</v>
      </c>
      <c r="H163" s="195"/>
      <c r="I163" s="195"/>
      <c r="J163" s="195">
        <v>3</v>
      </c>
      <c r="K163" s="195"/>
      <c r="L163" s="195"/>
      <c r="M163" s="195">
        <v>4</v>
      </c>
      <c r="N163" s="195"/>
      <c r="O163" s="195"/>
      <c r="P163" s="195">
        <v>5</v>
      </c>
      <c r="Q163" s="195"/>
      <c r="R163" s="195"/>
      <c r="S163" s="195">
        <v>6</v>
      </c>
      <c r="T163" s="195"/>
      <c r="U163" s="195"/>
      <c r="V163" s="195">
        <v>7</v>
      </c>
      <c r="W163" s="195"/>
      <c r="X163" s="195"/>
      <c r="Y163" s="195">
        <v>8</v>
      </c>
      <c r="Z163" s="195"/>
      <c r="AA163" s="195"/>
      <c r="AB163" s="195">
        <v>9</v>
      </c>
      <c r="AC163" s="195"/>
      <c r="AD163" s="195"/>
      <c r="AE163" s="195">
        <v>10</v>
      </c>
      <c r="AF163" s="134"/>
      <c r="AG163" s="195"/>
      <c r="AI163" s="196"/>
      <c r="AJ163" s="134"/>
      <c r="AK163" s="134"/>
      <c r="AL163" s="134"/>
      <c r="AM163" s="134"/>
      <c r="AN163" s="134"/>
      <c r="AO163" s="134"/>
      <c r="AT163" s="196" t="s">
        <v>113</v>
      </c>
      <c r="AW163" s="197"/>
      <c r="BB163" s="197"/>
    </row>
    <row r="164" spans="1:54" s="193" customFormat="1" hidden="1" x14ac:dyDescent="0.2">
      <c r="A164" s="198">
        <v>1</v>
      </c>
      <c r="B164" s="198" t="str">
        <f>E93</f>
        <v>SC Midlands 12 Black</v>
      </c>
      <c r="C164" s="198">
        <f>VLOOKUP(B164,AU$3:AY$12,3,FALSE)</f>
        <v>1450.3242032415919</v>
      </c>
      <c r="D164" s="198">
        <f>IF(B157,B172,IF(D157,D172,C164))</f>
        <v>1450.3242032415919</v>
      </c>
      <c r="E164" s="198"/>
      <c r="F164" s="198"/>
      <c r="G164" s="198">
        <f>IF(E157,E172,IF(G157,G172,D164))</f>
        <v>1437.6344771029621</v>
      </c>
      <c r="H164" s="198"/>
      <c r="I164" s="198"/>
      <c r="J164" s="198">
        <f>IF(H157,H172,IF(J157,J172,G164))</f>
        <v>1437.6344771029621</v>
      </c>
      <c r="K164" s="198"/>
      <c r="L164" s="198"/>
      <c r="M164" s="198">
        <f>IF(K157,K172,IF(M157,M172,J164))</f>
        <v>1437.6344771029621</v>
      </c>
      <c r="N164" s="198"/>
      <c r="O164" s="198"/>
      <c r="P164" s="198">
        <f>IF(N157,N172,IF(P157,P172,M164))</f>
        <v>1467.5072285895621</v>
      </c>
      <c r="Q164" s="198"/>
      <c r="R164" s="198"/>
      <c r="S164" s="198">
        <f>IF(Q157,Q172,IF(S157,S172,P164))</f>
        <v>1467.5072285895621</v>
      </c>
      <c r="T164" s="198"/>
      <c r="U164" s="198"/>
      <c r="V164" s="198">
        <f>IF(T157,T172,IF(V157,V172,S164))</f>
        <v>1467.5072285895621</v>
      </c>
      <c r="W164" s="198"/>
      <c r="X164" s="198"/>
      <c r="Y164" s="198">
        <f>IF(W157,W172,IF(Y157,Y172,V164))</f>
        <v>1478.4504715873413</v>
      </c>
      <c r="Z164" s="198"/>
      <c r="AA164" s="198"/>
      <c r="AB164" s="198">
        <f>IF(Z157,Z172,IF(AB157,AB172,Y164))</f>
        <v>1478.4504715873413</v>
      </c>
      <c r="AC164" s="198"/>
      <c r="AD164" s="198"/>
      <c r="AE164" s="198">
        <f>IF(AC157,AC172,IF(AE157,AE172,AB164))</f>
        <v>1442.9543012131753</v>
      </c>
      <c r="AF164" s="134"/>
      <c r="AG164" s="134"/>
      <c r="AJ164" s="134"/>
      <c r="AK164" s="134"/>
      <c r="AL164" s="134"/>
      <c r="AM164" s="134"/>
      <c r="AN164" s="134"/>
      <c r="AO164" s="134"/>
      <c r="AT164" s="193" t="str">
        <f>B164</f>
        <v>SC Midlands 12 Black</v>
      </c>
      <c r="AU164" s="193">
        <f>AE164</f>
        <v>1442.9543012131753</v>
      </c>
      <c r="AW164" s="197"/>
      <c r="BB164" s="197"/>
    </row>
    <row r="165" spans="1:54" s="193" customFormat="1" hidden="1" x14ac:dyDescent="0.2">
      <c r="A165" s="198">
        <v>2</v>
      </c>
      <c r="B165" s="198" t="str">
        <f>E95</f>
        <v>Magnum Aiken 12 Green</v>
      </c>
      <c r="C165" s="198">
        <f>VLOOKUP(B165,AU$3:AY$12,3,FALSE)</f>
        <v>1400</v>
      </c>
      <c r="D165" s="198">
        <f>IF(B158,B172,IF(D158,D172,C165))</f>
        <v>1384.8921401639766</v>
      </c>
      <c r="E165" s="198"/>
      <c r="F165" s="198"/>
      <c r="G165" s="198">
        <f>IF(E158,E172,IF(G158,G172,D165))</f>
        <v>1384.8921401639766</v>
      </c>
      <c r="H165" s="198"/>
      <c r="I165" s="198"/>
      <c r="J165" s="198">
        <f>IF(H158,H172,IF(J158,J172,G165))</f>
        <v>1384.8921401639766</v>
      </c>
      <c r="K165" s="198"/>
      <c r="L165" s="198"/>
      <c r="M165" s="198">
        <f>IF(K158,K172,IF(M158,M172,J165))</f>
        <v>1410.7392736559698</v>
      </c>
      <c r="N165" s="198"/>
      <c r="O165" s="198"/>
      <c r="P165" s="198">
        <f>IF(N158,N172,IF(P158,P172,M165))</f>
        <v>1410.7392736559698</v>
      </c>
      <c r="Q165" s="198"/>
      <c r="R165" s="198"/>
      <c r="S165" s="198">
        <f>IF(Q158,Q172,IF(S158,S172,P165))</f>
        <v>1410.7392736559698</v>
      </c>
      <c r="T165" s="198"/>
      <c r="U165" s="198"/>
      <c r="V165" s="198">
        <f>IF(T158,T172,IF(V158,V172,S165))</f>
        <v>1440.339156880746</v>
      </c>
      <c r="W165" s="198"/>
      <c r="X165" s="198"/>
      <c r="Y165" s="198">
        <f>IF(W158,W172,IF(Y158,Y172,V165))</f>
        <v>1440.339156880746</v>
      </c>
      <c r="Z165" s="198"/>
      <c r="AA165" s="198"/>
      <c r="AB165" s="198">
        <f>IF(Z158,Z172,IF(AB158,AB172,Y165))</f>
        <v>1440.339156880746</v>
      </c>
      <c r="AC165" s="198"/>
      <c r="AD165" s="198"/>
      <c r="AE165" s="198">
        <f>IF(AC158,AC172,IF(AE158,AE172,AB165))</f>
        <v>1475.835327254912</v>
      </c>
      <c r="AF165" s="134"/>
      <c r="AG165" s="134"/>
      <c r="AJ165" s="134"/>
      <c r="AL165" s="134"/>
      <c r="AM165" s="134"/>
      <c r="AN165" s="134"/>
      <c r="AO165" s="134"/>
      <c r="AT165" s="193" t="str">
        <f>B165</f>
        <v>Magnum Aiken 12 Green</v>
      </c>
      <c r="AU165" s="193">
        <f>AE165</f>
        <v>1475.835327254912</v>
      </c>
      <c r="AW165" s="197"/>
      <c r="BB165" s="197"/>
    </row>
    <row r="166" spans="1:54" s="193" customFormat="1" hidden="1" x14ac:dyDescent="0.2">
      <c r="A166" s="198">
        <v>3</v>
      </c>
      <c r="B166" s="198" t="str">
        <f>E97</f>
        <v>Palm Strikers 12 Platinum</v>
      </c>
      <c r="C166" s="198">
        <f>VLOOKUP(B166,AU$3:AY$12,3,FALSE)</f>
        <v>1396.2263060585235</v>
      </c>
      <c r="D166" s="198">
        <f>IF(B159,B172,IF(D159,D172,C166))</f>
        <v>1396.2263060585235</v>
      </c>
      <c r="E166" s="198"/>
      <c r="F166" s="198"/>
      <c r="G166" s="198">
        <f>IF(E159,E172,IF(G159,G172,D166))</f>
        <v>1396.2263060585235</v>
      </c>
      <c r="H166" s="198"/>
      <c r="I166" s="198"/>
      <c r="J166" s="198">
        <f>IF(H159,H172,IF(J159,J172,G166))</f>
        <v>1414.5040574941834</v>
      </c>
      <c r="K166" s="198"/>
      <c r="L166" s="198"/>
      <c r="M166" s="198">
        <f>IF(K159,K172,IF(M159,M172,J166))</f>
        <v>1414.5040574941834</v>
      </c>
      <c r="N166" s="198"/>
      <c r="O166" s="198"/>
      <c r="P166" s="198">
        <f>IF(N159,N172,IF(P159,P172,M166))</f>
        <v>1384.6313060075834</v>
      </c>
      <c r="Q166" s="198"/>
      <c r="R166" s="198"/>
      <c r="S166" s="198">
        <f>IF(Q159,Q172,IF(S159,S172,P166))</f>
        <v>1384.6313060075834</v>
      </c>
      <c r="T166" s="198"/>
      <c r="U166" s="198"/>
      <c r="V166" s="198">
        <f>IF(T159,T172,IF(V159,V172,S166))</f>
        <v>1355.0314227828071</v>
      </c>
      <c r="W166" s="198"/>
      <c r="X166" s="198"/>
      <c r="Y166" s="198">
        <f>IF(W159,W172,IF(Y159,Y172,V166))</f>
        <v>1355.0314227828071</v>
      </c>
      <c r="Z166" s="198"/>
      <c r="AA166" s="198"/>
      <c r="AB166" s="198">
        <f>IF(Z159,Z172,IF(AB159,AB172,Y166))</f>
        <v>1383.5239908864794</v>
      </c>
      <c r="AC166" s="198"/>
      <c r="AD166" s="198"/>
      <c r="AE166" s="198">
        <f>IF(AC159,AC172,IF(AE159,AE172,AB166))</f>
        <v>1383.5239908864794</v>
      </c>
      <c r="AF166" s="134"/>
      <c r="AG166" s="134"/>
      <c r="AJ166" s="134"/>
      <c r="AL166" s="134"/>
      <c r="AM166" s="134"/>
      <c r="AN166" s="134"/>
      <c r="AO166" s="134"/>
      <c r="AT166" s="193" t="str">
        <f>B166</f>
        <v>Palm Strikers 12 Platinum</v>
      </c>
      <c r="AU166" s="193">
        <f>AE166</f>
        <v>1383.5239908864794</v>
      </c>
      <c r="AW166" s="197"/>
      <c r="BB166" s="197"/>
    </row>
    <row r="167" spans="1:54" s="193" customFormat="1" hidden="1" x14ac:dyDescent="0.2">
      <c r="A167" s="198">
        <v>4</v>
      </c>
      <c r="B167" s="198" t="str">
        <f>E99</f>
        <v>OLC 12s Purple</v>
      </c>
      <c r="C167" s="198">
        <f>VLOOKUP(B167,AU$3:AY$12,3,FALSE)</f>
        <v>1304.5564991499768</v>
      </c>
      <c r="D167" s="198">
        <f>IF(B160,B172,IF(D160,D172,C167))</f>
        <v>1304.5564991499768</v>
      </c>
      <c r="E167" s="198"/>
      <c r="F167" s="198"/>
      <c r="G167" s="198">
        <f>IF(E160,E172,IF(G160,G172,D167))</f>
        <v>1317.2462252886066</v>
      </c>
      <c r="H167" s="198"/>
      <c r="I167" s="198"/>
      <c r="J167" s="198">
        <f>IF(H160,H172,IF(J160,J172,G167))</f>
        <v>1317.2462252886066</v>
      </c>
      <c r="K167" s="198"/>
      <c r="L167" s="198"/>
      <c r="M167" s="198">
        <f>IF(K160,K172,IF(M160,M172,J167))</f>
        <v>1291.3990917966134</v>
      </c>
      <c r="N167" s="198"/>
      <c r="O167" s="198"/>
      <c r="P167" s="198">
        <f>IF(N160,N172,IF(P160,P172,M167))</f>
        <v>1291.3990917966134</v>
      </c>
      <c r="Q167" s="198"/>
      <c r="R167" s="198"/>
      <c r="S167" s="198">
        <f>IF(Q160,Q172,IF(S160,S172,P167))</f>
        <v>1316.7963556912216</v>
      </c>
      <c r="T167" s="198"/>
      <c r="U167" s="198"/>
      <c r="V167" s="198">
        <f>IF(T160,T172,IF(V160,V172,S167))</f>
        <v>1316.7963556912216</v>
      </c>
      <c r="W167" s="198"/>
      <c r="X167" s="198"/>
      <c r="Y167" s="198">
        <f>IF(W160,W172,IF(Y160,Y172,V167))</f>
        <v>1316.7963556912216</v>
      </c>
      <c r="Z167" s="198"/>
      <c r="AA167" s="198"/>
      <c r="AB167" s="198">
        <f>IF(Z160,Z172,IF(AB160,AB172,Y167))</f>
        <v>1288.3037875875493</v>
      </c>
      <c r="AC167" s="198"/>
      <c r="AD167" s="198"/>
      <c r="AE167" s="198">
        <f>IF(AC160,AC172,IF(AE160,AE172,AB167))</f>
        <v>1288.3037875875493</v>
      </c>
      <c r="AF167" s="134"/>
      <c r="AG167" s="134"/>
      <c r="AJ167" s="134"/>
      <c r="AL167" s="134"/>
      <c r="AM167" s="134"/>
      <c r="AN167" s="134"/>
      <c r="AO167" s="134"/>
      <c r="AT167" s="193" t="str">
        <f>B167</f>
        <v>OLC 12s Purple</v>
      </c>
      <c r="AU167" s="193">
        <f>AE167</f>
        <v>1288.3037875875493</v>
      </c>
      <c r="AW167" s="197"/>
      <c r="BB167" s="197"/>
    </row>
    <row r="168" spans="1:54" s="193" customFormat="1" hidden="1" x14ac:dyDescent="0.2">
      <c r="A168" s="198">
        <v>5</v>
      </c>
      <c r="B168" s="198" t="str">
        <f>E101</f>
        <v>Foothills 12U King</v>
      </c>
      <c r="C168" s="198">
        <f>VLOOKUP(B168,AU$3:AY$12,3,FALSE)</f>
        <v>1221.8365208689011</v>
      </c>
      <c r="D168" s="198">
        <f>IF(B161,B172,IF(D161,D172,C168))</f>
        <v>1236.9443807049245</v>
      </c>
      <c r="E168" s="198"/>
      <c r="F168" s="198"/>
      <c r="G168" s="198">
        <f>IF(E161,E172,IF(G161,G172,D168))</f>
        <v>1236.9443807049245</v>
      </c>
      <c r="H168" s="198"/>
      <c r="I168" s="198"/>
      <c r="J168" s="198">
        <f>IF(H161,H172,IF(J161,J172,G168))</f>
        <v>1218.6666292692646</v>
      </c>
      <c r="K168" s="198"/>
      <c r="L168" s="198"/>
      <c r="M168" s="198">
        <f>IF(K161,K172,IF(M161,M172,J168))</f>
        <v>1218.6666292692646</v>
      </c>
      <c r="N168" s="198"/>
      <c r="O168" s="198"/>
      <c r="P168" s="198">
        <f>IF(N161,N172,IF(P161,P172,M168))</f>
        <v>1218.6666292692646</v>
      </c>
      <c r="Q168" s="198"/>
      <c r="R168" s="198"/>
      <c r="S168" s="198">
        <f>IF(Q161,Q172,IF(S161,S172,P168))</f>
        <v>1193.2693653746564</v>
      </c>
      <c r="T168" s="198"/>
      <c r="U168" s="198"/>
      <c r="V168" s="198">
        <f>IF(T161,T172,IF(V161,V172,S168))</f>
        <v>1193.2693653746564</v>
      </c>
      <c r="W168" s="198"/>
      <c r="X168" s="198"/>
      <c r="Y168" s="198">
        <f>IF(W161,W172,IF(Y161,Y172,V168))</f>
        <v>1182.3261223768773</v>
      </c>
      <c r="Z168" s="198"/>
      <c r="AA168" s="198"/>
      <c r="AB168" s="198">
        <f>IF(Z161,Z172,IF(AB161,AB172,Y168))</f>
        <v>1182.3261223768773</v>
      </c>
      <c r="AC168" s="198"/>
      <c r="AD168" s="198"/>
      <c r="AE168" s="198">
        <f>IF(AC161,AC172,IF(AE161,AE172,AB168))</f>
        <v>1182.3261223768773</v>
      </c>
      <c r="AF168" s="134"/>
      <c r="AG168" s="134"/>
      <c r="AJ168" s="134"/>
      <c r="AL168" s="134"/>
      <c r="AM168" s="134"/>
      <c r="AN168" s="134"/>
      <c r="AO168" s="134"/>
      <c r="AT168" s="193" t="str">
        <f>B168</f>
        <v>Foothills 12U King</v>
      </c>
      <c r="AU168" s="193">
        <f>AE168</f>
        <v>1182.3261223768773</v>
      </c>
      <c r="AW168" s="197"/>
      <c r="BB168" s="197"/>
    </row>
    <row r="169" spans="1:54" s="193" customFormat="1" hidden="1" x14ac:dyDescent="0.2">
      <c r="A169" s="198"/>
      <c r="B169" s="198"/>
      <c r="C169" s="198"/>
      <c r="D169" s="198"/>
      <c r="E169" s="198"/>
      <c r="F169" s="198"/>
      <c r="G169" s="198"/>
      <c r="H169" s="198"/>
      <c r="I169" s="198"/>
      <c r="J169" s="198"/>
      <c r="K169" s="198"/>
      <c r="L169" s="198"/>
      <c r="M169" s="198"/>
      <c r="N169" s="198"/>
      <c r="O169" s="198"/>
      <c r="P169" s="198"/>
      <c r="Q169" s="198"/>
      <c r="R169" s="198"/>
      <c r="S169" s="198"/>
      <c r="T169" s="198"/>
      <c r="U169" s="198"/>
      <c r="V169" s="198"/>
      <c r="W169" s="198"/>
      <c r="X169" s="198"/>
      <c r="Y169" s="198"/>
      <c r="Z169" s="198"/>
      <c r="AA169" s="198"/>
      <c r="AB169" s="198"/>
      <c r="AC169" s="198"/>
      <c r="AD169" s="198"/>
      <c r="AE169" s="198"/>
      <c r="AF169" s="134"/>
      <c r="AG169" s="134"/>
      <c r="AJ169" s="134"/>
      <c r="AL169" s="134"/>
      <c r="AM169" s="134"/>
      <c r="AN169" s="134"/>
      <c r="AO169" s="134"/>
      <c r="AW169" s="197"/>
      <c r="BB169" s="197"/>
    </row>
    <row r="170" spans="1:54" s="193" customFormat="1" hidden="1" x14ac:dyDescent="0.2">
      <c r="A170" s="198" t="s">
        <v>114</v>
      </c>
      <c r="B170" s="198">
        <f>VLOOKUP(B109,$A164:$AE168,3,FALSE)</f>
        <v>1400</v>
      </c>
      <c r="C170" s="198">
        <v>1</v>
      </c>
      <c r="D170" s="198">
        <f>VLOOKUP(D109,$A164:$AE168,3,FALSE)</f>
        <v>1221.8365208689011</v>
      </c>
      <c r="E170" s="198">
        <f>VLOOKUP(E109,$A164:$AE168,4,FALSE)</f>
        <v>1450.3242032415919</v>
      </c>
      <c r="F170" s="198">
        <v>2</v>
      </c>
      <c r="G170" s="198">
        <f>VLOOKUP(G109,$A164:$AE168,4,FALSE)</f>
        <v>1304.5564991499768</v>
      </c>
      <c r="H170" s="198">
        <f>VLOOKUP(H109,$A164:$AE168,7,FALSE)</f>
        <v>1396.2263060585235</v>
      </c>
      <c r="I170" s="198">
        <v>3</v>
      </c>
      <c r="J170" s="198">
        <f>VLOOKUP(J109,$A164:$AE168,7,FALSE)</f>
        <v>1236.9443807049245</v>
      </c>
      <c r="K170" s="198">
        <f>VLOOKUP(K109,$A164:$AE168,10,FALSE)</f>
        <v>1384.8921401639766</v>
      </c>
      <c r="L170" s="198">
        <v>4</v>
      </c>
      <c r="M170" s="198">
        <f>VLOOKUP(M109,$A164:$AE168,10,FALSE)</f>
        <v>1317.2462252886066</v>
      </c>
      <c r="N170" s="198">
        <f>VLOOKUP(N109,$A164:$AE168,13,FALSE)</f>
        <v>1437.6344771029621</v>
      </c>
      <c r="O170" s="198">
        <v>5</v>
      </c>
      <c r="P170" s="198">
        <f>VLOOKUP(P109,$A164:$AE168,13,FALSE)</f>
        <v>1414.5040574941834</v>
      </c>
      <c r="Q170" s="198">
        <f>VLOOKUP(Q109,$A164:$AE168,16,FALSE)</f>
        <v>1291.3990917966134</v>
      </c>
      <c r="R170" s="198">
        <v>6</v>
      </c>
      <c r="S170" s="198">
        <f>VLOOKUP(S109,$A164:$AE168,16,FALSE)</f>
        <v>1218.6666292692646</v>
      </c>
      <c r="T170" s="198">
        <f>VLOOKUP(T109,$A164:$AE168,19,FALSE)</f>
        <v>1410.7392736559698</v>
      </c>
      <c r="U170" s="198">
        <v>7</v>
      </c>
      <c r="V170" s="198">
        <f>VLOOKUP(V109,$A164:$AE168,19,FALSE)</f>
        <v>1384.6313060075834</v>
      </c>
      <c r="W170" s="198">
        <f>VLOOKUP(W109,$A164:$AE168,22,FALSE)</f>
        <v>1467.5072285895621</v>
      </c>
      <c r="X170" s="198">
        <v>8</v>
      </c>
      <c r="Y170" s="198">
        <f>VLOOKUP(Y109,$A164:$AE168,22,FALSE)</f>
        <v>1193.2693653746564</v>
      </c>
      <c r="Z170" s="198">
        <f>VLOOKUP(Z109,$A164:$AE168,25,FALSE)</f>
        <v>1355.0314227828071</v>
      </c>
      <c r="AA170" s="198">
        <v>9</v>
      </c>
      <c r="AB170" s="198">
        <f>VLOOKUP(AB109,$A164:$AE168,25,FALSE)</f>
        <v>1316.7963556912216</v>
      </c>
      <c r="AC170" s="198">
        <f>VLOOKUP(AC109,$A164:$AE168,28,FALSE)</f>
        <v>1478.4504715873413</v>
      </c>
      <c r="AD170" s="198">
        <v>10</v>
      </c>
      <c r="AE170" s="198">
        <f>VLOOKUP(AE109,$A164:$AE168,28,FALSE)</f>
        <v>1440.339156880746</v>
      </c>
      <c r="AF170" s="134"/>
      <c r="AG170" s="191"/>
      <c r="AH170" s="191"/>
      <c r="AI170" s="191"/>
      <c r="AJ170" s="191"/>
      <c r="AK170" s="191"/>
      <c r="AL170" s="191"/>
      <c r="AM170" s="191"/>
      <c r="AN170" s="192"/>
      <c r="AO170" s="192"/>
      <c r="AP170" s="192"/>
      <c r="AQ170" s="192"/>
      <c r="AW170" s="197"/>
      <c r="BB170" s="197"/>
    </row>
    <row r="171" spans="1:54" s="203" customFormat="1" hidden="1" x14ac:dyDescent="0.2">
      <c r="A171" s="199" t="s">
        <v>115</v>
      </c>
      <c r="B171" s="199">
        <f>1/(1+(10^-((B170-D170)/400)))*(B121+D121)</f>
        <v>1.4721206198757322</v>
      </c>
      <c r="C171" s="199"/>
      <c r="D171" s="199">
        <f>1/(1+(10^-((D170-B170)/400)))*(B121+D121)</f>
        <v>0.52787938012426794</v>
      </c>
      <c r="E171" s="199">
        <f>1/(1+(10^-((E170-G170)/400)))*(E121+G121)</f>
        <v>1.3965539418321804</v>
      </c>
      <c r="F171" s="199"/>
      <c r="G171" s="199">
        <f>1/(1+(10^-((G170-E170)/400)))*(E121+G121)</f>
        <v>0.6034460581678196</v>
      </c>
      <c r="H171" s="199">
        <f>1/(1+(10^-((H170-J170)/400)))*(H121+J121)</f>
        <v>1.4288202676356268</v>
      </c>
      <c r="I171" s="199"/>
      <c r="J171" s="199">
        <f>1/(1+(10^-((J170-H170)/400)))*(H121+J121)</f>
        <v>0.57117973236437347</v>
      </c>
      <c r="K171" s="199">
        <f>1/(1+(10^-((K170-M170)/400)))*(K121+M121)</f>
        <v>1.1922770783752132</v>
      </c>
      <c r="L171" s="199"/>
      <c r="M171" s="199">
        <f>1/(1+(10^-((M170-K170)/400)))*(K121+M121)</f>
        <v>0.80772292162478665</v>
      </c>
      <c r="N171" s="199">
        <f>1/(1+(10^-((N170-P170)/400)))*(N121+P121)</f>
        <v>1.066476516043753</v>
      </c>
      <c r="O171" s="199"/>
      <c r="P171" s="199">
        <f>1/(1+(10^-((P170-N170)/400)))*(N121+P121)</f>
        <v>0.93352348395624696</v>
      </c>
      <c r="Q171" s="199">
        <f>1/(1+(10^-((Q170-S170)/400)))*(Q121+S121)</f>
        <v>1.2063355032934941</v>
      </c>
      <c r="R171" s="199"/>
      <c r="S171" s="199">
        <f>1/(1+(10^-((S170-Q170)/400)))*(Q121+S121)</f>
        <v>0.79366449670650585</v>
      </c>
      <c r="T171" s="199">
        <f>1/(1+(10^-((T170-V170)/400)))*(T121+V121)</f>
        <v>1.0750036492257409</v>
      </c>
      <c r="U171" s="199"/>
      <c r="V171" s="199">
        <f>1/(1+(10^-((V170-T170)/400)))*(T121+V121)</f>
        <v>0.92499635077425901</v>
      </c>
      <c r="W171" s="199">
        <f>1/(1+(10^-((W170-Y170)/400)))*(W121+Y121)</f>
        <v>1.6580236563193975</v>
      </c>
      <c r="X171" s="199"/>
      <c r="Y171" s="199">
        <f>1/(1+(10^-((Y170-W170)/400)))*(W121+Y121)</f>
        <v>0.34197634368060242</v>
      </c>
      <c r="Z171" s="199">
        <f>1/(1+(10^-((Z170-AB170)/400)))*(Z121+AB121)</f>
        <v>1.1096072467602438</v>
      </c>
      <c r="AA171" s="199"/>
      <c r="AB171" s="199">
        <f>1/(1+(10^-((AB170-Z170)/400)))*(Z121+AB121)</f>
        <v>0.8903927532397562</v>
      </c>
      <c r="AC171" s="199">
        <f>1/(1+(10^-((AC170-AE170)/400)))*(AC121+AE121)</f>
        <v>1.1092553241926864</v>
      </c>
      <c r="AD171" s="199"/>
      <c r="AE171" s="199">
        <f>1/(1+(10^-((AE170-AC170)/400)))*(AC121+AE121)</f>
        <v>0.89074467580731387</v>
      </c>
      <c r="AF171" s="200"/>
      <c r="AG171" s="201"/>
      <c r="AH171" s="201"/>
      <c r="AI171" s="201"/>
      <c r="AJ171" s="201"/>
      <c r="AK171" s="201"/>
      <c r="AL171" s="201"/>
      <c r="AM171" s="201"/>
      <c r="AN171" s="202"/>
      <c r="AO171" s="202"/>
      <c r="AP171" s="202"/>
      <c r="AQ171" s="202"/>
      <c r="AW171" s="204"/>
      <c r="BB171" s="204"/>
    </row>
    <row r="172" spans="1:54" s="209" customFormat="1" hidden="1" x14ac:dyDescent="0.2">
      <c r="A172" s="205" t="s">
        <v>116</v>
      </c>
      <c r="B172" s="205">
        <f>B170+(B121-B171)*$BA$1</f>
        <v>1384.8921401639766</v>
      </c>
      <c r="C172" s="205"/>
      <c r="D172" s="205">
        <f>D170+(D121-D171)*$BA$1</f>
        <v>1236.9443807049245</v>
      </c>
      <c r="E172" s="205">
        <f>E170+(E121-E171)*$BA$1</f>
        <v>1437.6344771029621</v>
      </c>
      <c r="F172" s="205"/>
      <c r="G172" s="205">
        <f>G170+(G121-G171)*$BA$1</f>
        <v>1317.2462252886066</v>
      </c>
      <c r="H172" s="205">
        <f>H170+(H121-H171)*$BA$1</f>
        <v>1414.5040574941834</v>
      </c>
      <c r="I172" s="205"/>
      <c r="J172" s="205">
        <f>J170+(J121-J171)*$BA$1</f>
        <v>1218.6666292692646</v>
      </c>
      <c r="K172" s="205">
        <f>K170+(K121-K171)*$BA$1</f>
        <v>1410.7392736559698</v>
      </c>
      <c r="L172" s="205"/>
      <c r="M172" s="205">
        <f>M170+(M121-M171)*$BA$1</f>
        <v>1291.3990917966134</v>
      </c>
      <c r="N172" s="205">
        <f>N170+(N121-N171)*$BA$1</f>
        <v>1467.5072285895621</v>
      </c>
      <c r="O172" s="205"/>
      <c r="P172" s="205">
        <f>P170+(P121-P171)*$BA$1</f>
        <v>1384.6313060075834</v>
      </c>
      <c r="Q172" s="205">
        <f>Q170+(Q121-Q171)*$BA$1</f>
        <v>1316.7963556912216</v>
      </c>
      <c r="R172" s="205"/>
      <c r="S172" s="205">
        <f>S170+(S121-S171)*$BA$1</f>
        <v>1193.2693653746564</v>
      </c>
      <c r="T172" s="205">
        <f>T170+(T121-T171)*$BA$1</f>
        <v>1440.339156880746</v>
      </c>
      <c r="U172" s="205"/>
      <c r="V172" s="205">
        <f>V170+(V121-V171)*$BA$1</f>
        <v>1355.0314227828071</v>
      </c>
      <c r="W172" s="205">
        <f>W170+(W121-W171)*$BA$1</f>
        <v>1478.4504715873413</v>
      </c>
      <c r="X172" s="205"/>
      <c r="Y172" s="205">
        <f>Y170+(Y121-Y171)*$BA$1</f>
        <v>1182.3261223768773</v>
      </c>
      <c r="Z172" s="205">
        <f>Z170+(Z121-Z171)*$BA$1</f>
        <v>1383.5239908864794</v>
      </c>
      <c r="AA172" s="205"/>
      <c r="AB172" s="205">
        <f>AB170+(AB121-AB171)*$BA$1</f>
        <v>1288.3037875875493</v>
      </c>
      <c r="AC172" s="205">
        <f>AC170+(AC121-AC171)*$BA$1</f>
        <v>1442.9543012131753</v>
      </c>
      <c r="AD172" s="205"/>
      <c r="AE172" s="205">
        <f>AE170+(AE121-AE171)*$BA$1</f>
        <v>1475.835327254912</v>
      </c>
      <c r="AF172" s="206"/>
      <c r="AG172" s="207"/>
      <c r="AH172" s="207"/>
      <c r="AI172" s="207"/>
      <c r="AJ172" s="207"/>
      <c r="AK172" s="207"/>
      <c r="AL172" s="207"/>
      <c r="AM172" s="207"/>
      <c r="AN172" s="208"/>
      <c r="AO172" s="208"/>
      <c r="AP172" s="208"/>
      <c r="AQ172" s="208"/>
      <c r="AW172" s="210"/>
      <c r="BB172" s="210"/>
    </row>
    <row r="173" spans="1:54" s="209" customFormat="1" hidden="1" x14ac:dyDescent="0.2">
      <c r="A173" s="205"/>
      <c r="B173" s="205"/>
      <c r="C173" s="205"/>
      <c r="D173" s="205"/>
      <c r="E173" s="205"/>
      <c r="F173" s="205"/>
      <c r="G173" s="205"/>
      <c r="H173" s="205"/>
      <c r="I173" s="205"/>
      <c r="J173" s="205"/>
      <c r="K173" s="205"/>
      <c r="L173" s="205"/>
      <c r="M173" s="205"/>
      <c r="N173" s="205"/>
      <c r="O173" s="205"/>
      <c r="P173" s="205"/>
      <c r="Q173" s="205"/>
      <c r="R173" s="205"/>
      <c r="S173" s="205"/>
      <c r="T173" s="205"/>
      <c r="U173" s="205"/>
      <c r="V173" s="205"/>
      <c r="W173" s="205"/>
      <c r="X173" s="205"/>
      <c r="Y173" s="205"/>
      <c r="Z173" s="205"/>
      <c r="AA173" s="205"/>
      <c r="AB173" s="205"/>
      <c r="AC173" s="205"/>
      <c r="AD173" s="205"/>
      <c r="AE173" s="205"/>
      <c r="AF173" s="206"/>
      <c r="AG173" s="207"/>
      <c r="AH173" s="207"/>
      <c r="AI173" s="207"/>
      <c r="AJ173" s="207"/>
      <c r="AK173" s="207"/>
      <c r="AL173" s="207"/>
      <c r="AM173" s="207"/>
      <c r="AN173" s="208"/>
      <c r="AO173" s="208"/>
      <c r="AP173" s="208"/>
      <c r="AQ173" s="208"/>
      <c r="AW173" s="210"/>
      <c r="BB173" s="210"/>
    </row>
    <row r="174" spans="1:54" s="193" customFormat="1" x14ac:dyDescent="0.2">
      <c r="A174" s="452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174" s="452"/>
      <c r="C174" s="452"/>
      <c r="D174" s="452"/>
      <c r="E174" s="452"/>
      <c r="F174" s="452"/>
      <c r="G174" s="452"/>
      <c r="H174" s="452"/>
      <c r="I174" s="452"/>
      <c r="J174" s="452"/>
      <c r="K174" s="452"/>
      <c r="L174" s="452"/>
      <c r="M174" s="452"/>
      <c r="N174" s="452"/>
      <c r="O174" s="452"/>
      <c r="P174" s="452"/>
      <c r="Q174" s="452"/>
      <c r="R174" s="452"/>
      <c r="S174" s="452"/>
      <c r="T174" s="452"/>
      <c r="U174" s="452"/>
      <c r="V174" s="452"/>
      <c r="W174" s="452"/>
      <c r="X174" s="452"/>
      <c r="Y174" s="452"/>
      <c r="Z174" s="452"/>
      <c r="AA174" s="452"/>
      <c r="AB174" s="452"/>
      <c r="AC174" s="452"/>
      <c r="AD174" s="452"/>
      <c r="AE174" s="452"/>
      <c r="AF174" s="452"/>
      <c r="AG174" s="452"/>
      <c r="AH174" s="452"/>
      <c r="AI174" s="452"/>
      <c r="AJ174" s="452"/>
      <c r="AK174" s="452"/>
      <c r="AL174" s="452"/>
      <c r="AM174" s="452"/>
      <c r="AN174" s="453"/>
      <c r="AO174" s="453"/>
      <c r="AP174" s="453"/>
      <c r="AQ174" s="453"/>
      <c r="AW174" s="197"/>
    </row>
    <row r="175" spans="1:54" s="193" customFormat="1" x14ac:dyDescent="0.2">
      <c r="A175" s="454"/>
      <c r="B175" s="454"/>
      <c r="C175" s="454"/>
      <c r="D175" s="454"/>
      <c r="E175" s="454"/>
      <c r="F175" s="454"/>
      <c r="G175" s="454"/>
      <c r="H175" s="454"/>
      <c r="I175" s="454"/>
      <c r="J175" s="454"/>
      <c r="K175" s="454"/>
      <c r="L175" s="454"/>
      <c r="M175" s="454"/>
      <c r="N175" s="454"/>
      <c r="O175" s="454"/>
      <c r="P175" s="454"/>
      <c r="Q175" s="454"/>
      <c r="R175" s="454"/>
      <c r="S175" s="454"/>
      <c r="T175" s="454"/>
      <c r="U175" s="454"/>
      <c r="V175" s="454"/>
      <c r="W175" s="454"/>
      <c r="X175" s="454"/>
      <c r="Y175" s="454"/>
      <c r="Z175" s="454"/>
      <c r="AA175" s="454"/>
      <c r="AB175" s="454"/>
      <c r="AC175" s="454"/>
      <c r="AD175" s="454"/>
      <c r="AE175" s="454"/>
      <c r="AF175" s="454"/>
      <c r="AG175" s="454"/>
      <c r="AH175" s="454"/>
      <c r="AI175" s="454"/>
      <c r="AJ175" s="454"/>
      <c r="AK175" s="454"/>
      <c r="AL175" s="454"/>
      <c r="AM175" s="454"/>
      <c r="AN175" s="454"/>
      <c r="AO175" s="454"/>
      <c r="AP175" s="454"/>
      <c r="AQ175" s="454"/>
      <c r="AW175" s="197"/>
    </row>
    <row r="176" spans="1:54" ht="21" thickBot="1" x14ac:dyDescent="0.35">
      <c r="A176" s="455" t="s">
        <v>118</v>
      </c>
      <c r="B176" s="455"/>
      <c r="C176" s="455"/>
      <c r="D176" s="455"/>
      <c r="E176" s="455"/>
      <c r="F176" s="455"/>
      <c r="G176" s="455"/>
      <c r="H176" s="455"/>
      <c r="I176" s="455"/>
      <c r="J176" s="455"/>
      <c r="K176" s="455"/>
      <c r="L176" s="455"/>
      <c r="M176" s="455"/>
      <c r="N176" s="455"/>
      <c r="O176" s="455"/>
      <c r="P176" s="455"/>
      <c r="Q176" s="455"/>
      <c r="R176" s="455"/>
      <c r="S176" s="455"/>
      <c r="T176" s="455"/>
      <c r="U176" s="455"/>
      <c r="V176" s="455"/>
      <c r="W176" s="455"/>
      <c r="X176" s="455"/>
      <c r="Y176" s="455"/>
      <c r="Z176" s="455"/>
      <c r="AA176" s="455"/>
      <c r="AB176" s="455"/>
      <c r="AC176" s="455"/>
      <c r="AD176" s="455"/>
      <c r="AE176" s="455"/>
      <c r="AF176" s="455"/>
      <c r="AG176" s="455"/>
      <c r="AH176" s="455"/>
      <c r="AI176" s="455"/>
      <c r="AJ176" s="455"/>
      <c r="AK176" s="455"/>
      <c r="AL176" s="455"/>
      <c r="AM176" s="455"/>
      <c r="AN176" s="455"/>
      <c r="AO176" s="455"/>
      <c r="AP176" s="455"/>
      <c r="AQ176" s="455"/>
    </row>
    <row r="177" spans="1:53" ht="13.5" thickBot="1" x14ac:dyDescent="0.25">
      <c r="A177" s="456" t="s">
        <v>119</v>
      </c>
      <c r="B177" s="458" t="s">
        <v>120</v>
      </c>
      <c r="C177" s="459"/>
      <c r="D177" s="459"/>
      <c r="E177" s="459"/>
      <c r="F177" s="459"/>
      <c r="G177" s="459"/>
      <c r="H177" s="459"/>
      <c r="I177" s="459"/>
      <c r="J177" s="459"/>
      <c r="K177" s="460"/>
      <c r="L177" s="458" t="s">
        <v>121</v>
      </c>
      <c r="M177" s="459"/>
      <c r="N177" s="459"/>
      <c r="O177" s="459"/>
      <c r="P177" s="459"/>
      <c r="Q177" s="459"/>
      <c r="R177" s="459"/>
      <c r="S177" s="459"/>
      <c r="T177" s="459"/>
      <c r="U177" s="460"/>
      <c r="V177" s="458" t="s">
        <v>122</v>
      </c>
      <c r="W177" s="459"/>
      <c r="X177" s="459"/>
      <c r="Y177" s="459"/>
      <c r="Z177" s="459"/>
      <c r="AA177" s="459"/>
      <c r="AB177" s="459"/>
      <c r="AC177" s="459"/>
      <c r="AD177" s="459"/>
      <c r="AE177" s="460"/>
      <c r="AF177" s="458" t="s">
        <v>123</v>
      </c>
      <c r="AG177" s="459"/>
      <c r="AH177" s="459"/>
      <c r="AI177" s="459"/>
      <c r="AJ177" s="459"/>
      <c r="AK177" s="459"/>
      <c r="AL177" s="459"/>
      <c r="AM177" s="459"/>
      <c r="AN177" s="459"/>
      <c r="AO177" s="460"/>
    </row>
    <row r="178" spans="1:53" ht="13.5" thickBot="1" x14ac:dyDescent="0.25">
      <c r="A178" s="457"/>
      <c r="B178" s="461" t="s">
        <v>10</v>
      </c>
      <c r="C178" s="462"/>
      <c r="D178" s="462"/>
      <c r="E178" s="462"/>
      <c r="F178" s="462"/>
      <c r="G178" s="463"/>
      <c r="H178" s="461" t="s">
        <v>124</v>
      </c>
      <c r="I178" s="462"/>
      <c r="J178" s="462"/>
      <c r="K178" s="463"/>
      <c r="L178" s="461" t="s">
        <v>10</v>
      </c>
      <c r="M178" s="462"/>
      <c r="N178" s="462"/>
      <c r="O178" s="462"/>
      <c r="P178" s="462"/>
      <c r="Q178" s="463"/>
      <c r="R178" s="461" t="s">
        <v>124</v>
      </c>
      <c r="S178" s="462"/>
      <c r="T178" s="462"/>
      <c r="U178" s="463"/>
      <c r="V178" s="461" t="s">
        <v>10</v>
      </c>
      <c r="W178" s="462"/>
      <c r="X178" s="462"/>
      <c r="Y178" s="462"/>
      <c r="Z178" s="462"/>
      <c r="AA178" s="463"/>
      <c r="AB178" s="461" t="s">
        <v>124</v>
      </c>
      <c r="AC178" s="462"/>
      <c r="AD178" s="462"/>
      <c r="AE178" s="463"/>
      <c r="AF178" s="461" t="s">
        <v>10</v>
      </c>
      <c r="AG178" s="462"/>
      <c r="AH178" s="462"/>
      <c r="AI178" s="462"/>
      <c r="AJ178" s="462"/>
      <c r="AK178" s="463"/>
      <c r="AL178" s="461" t="s">
        <v>124</v>
      </c>
      <c r="AM178" s="462"/>
      <c r="AN178" s="462"/>
      <c r="AO178" s="463"/>
    </row>
    <row r="179" spans="1:53" x14ac:dyDescent="0.2">
      <c r="A179" s="290" t="s">
        <v>125</v>
      </c>
      <c r="B179" s="464" t="str">
        <f>IF($AF$8=1,$E$8,IF($AF$10=1,$E$10,IF($AF$12=1,$E$12,IF($AF$14=1,$E$14,IF($AF$16=1,$E$16,"1st Place "&amp;$A179)))))</f>
        <v>Chas Jrs 12 Red</v>
      </c>
      <c r="C179" s="465"/>
      <c r="D179" s="465"/>
      <c r="E179" s="465"/>
      <c r="F179" s="465"/>
      <c r="G179" s="465"/>
      <c r="H179" s="466" t="str">
        <f>IF($AF$8=1,$E$9,IF($AF$10=1,$E$11,IF($AF$12=1,$E$13,IF($AF$14=1,$E$15,IF($AF$16=1,$E$17,"1st Place "&amp;$A179)))))</f>
        <v>fj2charl1pm</v>
      </c>
      <c r="I179" s="466"/>
      <c r="J179" s="466"/>
      <c r="K179" s="467"/>
      <c r="L179" s="464" t="str">
        <f>IF($AF$8=2,$E$8,IF($AF$10=2,$E$10,IF($AF$12=2,$E$12,IF($AF$14=2,$E$14,IF($AF$16=2,$E$16,"2nd Place "&amp;$A179)))))</f>
        <v>CSRA Heat 12 Gold</v>
      </c>
      <c r="M179" s="465"/>
      <c r="N179" s="465"/>
      <c r="O179" s="465"/>
      <c r="P179" s="465"/>
      <c r="Q179" s="465"/>
      <c r="R179" s="466" t="str">
        <f>IF($AF$8=2,$E$9,IF($AF$10=2,$E$11,IF($AF$12=2,$E$13,IF($AF$14=2,$E$15,IF($AF$16=2,$E$17,"2nd Place "&amp;$A179)))))</f>
        <v>fj2csrah1pm</v>
      </c>
      <c r="S179" s="466"/>
      <c r="T179" s="466"/>
      <c r="U179" s="467"/>
      <c r="V179" s="464" t="str">
        <f>IF($AF$8=3,$E$8,IF($AF$10=3,$E$10,IF($AF$12=3,$E$12,IF($AF$14=3,$E$14,IF($AF$16=3,$E$16,"3rd Place "&amp;$A179)))))</f>
        <v>Magnum Aiken 12 Yellow</v>
      </c>
      <c r="W179" s="465"/>
      <c r="X179" s="465"/>
      <c r="Y179" s="465"/>
      <c r="Z179" s="465"/>
      <c r="AA179" s="465"/>
      <c r="AB179" s="466" t="str">
        <f>IF($AF$8=3,$E$9,IF($AF$10=3,$E$11,IF($AF$12=3,$E$13,IF($AF$14=3,$E$15,IF($AF$16=3,$E$17,"3rd Place "&amp;$A179)))))</f>
        <v>fj2magnm5pm</v>
      </c>
      <c r="AC179" s="466"/>
      <c r="AD179" s="466"/>
      <c r="AE179" s="467"/>
      <c r="AF179" s="464" t="str">
        <f>IF($AF$8=4,$E$8,IF($AF$10=4,$E$10,IF($AF$12=4,$E$12,IF($AF$14=4,$E$14,IF($AF$16=4,$E$16,"4th Place "&amp;$A179)))))</f>
        <v>Lake Murray 12 Black</v>
      </c>
      <c r="AG179" s="465"/>
      <c r="AH179" s="465"/>
      <c r="AI179" s="465"/>
      <c r="AJ179" s="465"/>
      <c r="AK179" s="465"/>
      <c r="AL179" s="466" t="str">
        <f>IF($AF$8=4,$E$9,IF($AF$10=4,$E$11,IF($AF$12=4,$E$13,IF($AF$14=4,$E$15,IF($AF$16=4,$E$17,"4th Place "&amp;$A179)))))</f>
        <v>fj2lakem1pm</v>
      </c>
      <c r="AM179" s="466"/>
      <c r="AN179" s="466"/>
      <c r="AO179" s="467"/>
    </row>
    <row r="180" spans="1:53" ht="13.5" thickBot="1" x14ac:dyDescent="0.25">
      <c r="A180" s="211" t="s">
        <v>126</v>
      </c>
      <c r="B180" s="468" t="str">
        <f>IF($AF$93=1,$E$93,IF($AF$95=1,$E$95,IF($AF$97=1,$E$97,IF($AF$99=1,$E$99,IF($AF$101=1,$E$101,"1st Place "&amp;$A180)))))</f>
        <v>Magnum Aiken 12 Green</v>
      </c>
      <c r="C180" s="469"/>
      <c r="D180" s="469"/>
      <c r="E180" s="469"/>
      <c r="F180" s="469"/>
      <c r="G180" s="469"/>
      <c r="H180" s="470" t="str">
        <f>IF($AF$93=1,$E$94,IF($AF$95=1,$E$96,IF($AF$97=1,$E$98,IF($AF$99=1,$E$100,IF($AF$101=1,$E$102,"1st Place "&amp;$A180)))))</f>
        <v>fj2magnm2pm</v>
      </c>
      <c r="I180" s="470"/>
      <c r="J180" s="470"/>
      <c r="K180" s="471"/>
      <c r="L180" s="468" t="str">
        <f>IF($AF$93=2,$E$93,IF($AF$95=2,$E$95,IF($AF$97=2,$E$97,IF($AF$99=2,$E$99,IF($AF$101=2,$E$101,"2nd Place "&amp;$A180)))))</f>
        <v>SC Midlands 12 Black</v>
      </c>
      <c r="M180" s="469"/>
      <c r="N180" s="469"/>
      <c r="O180" s="469"/>
      <c r="P180" s="469"/>
      <c r="Q180" s="469"/>
      <c r="R180" s="470" t="str">
        <f>IF($AF$93=2,$E$94,IF($AF$95=2,$E$96,IF($AF$97=2,$E$98,IF($AF$99=2,$E$100,IF($AF$101=2,$E$102,"2nd Place "&amp;$A180)))))</f>
        <v>fj2scmid1pm</v>
      </c>
      <c r="S180" s="470"/>
      <c r="T180" s="470"/>
      <c r="U180" s="471"/>
      <c r="V180" s="468" t="str">
        <f>IF($AF$93=3,$E$93,IF($AF$95=3,$E$95,IF($AF$97=3,$E$97,IF($AF$99=3,$E$99,IF($AF$101=3,$E$101,"3rd Place "&amp;$A180)))))</f>
        <v>Palm Strikers 12 Platinum</v>
      </c>
      <c r="W180" s="469"/>
      <c r="X180" s="469"/>
      <c r="Y180" s="469"/>
      <c r="Z180" s="469"/>
      <c r="AA180" s="469"/>
      <c r="AB180" s="470" t="str">
        <f>IF($AF$93=3,$E$94,IF($AF$95=3,$E$96,IF($AF$97=3,$E$98,IF($AF$99=3,$E$100,IF($AF$101=3,$E$102,"3rd Place "&amp;$A180)))))</f>
        <v>fj2pstri1pm</v>
      </c>
      <c r="AC180" s="470"/>
      <c r="AD180" s="470"/>
      <c r="AE180" s="471"/>
      <c r="AF180" s="468" t="str">
        <f>IF($AF$93=4,$E$93,IF($AF$95=4,$E$95,IF($AF$97=4,$E$97,IF($AF$99=4,$E$99,IF($AF$101=4,$E$101,"4th Place "&amp;$A180)))))</f>
        <v>OLC 12s Purple</v>
      </c>
      <c r="AG180" s="469"/>
      <c r="AH180" s="469"/>
      <c r="AI180" s="469"/>
      <c r="AJ180" s="469"/>
      <c r="AK180" s="469"/>
      <c r="AL180" s="470" t="str">
        <f>IF($AF$93=4,$E$94,IF($AF$95=4,$E$96,IF($AF$97=4,$E$98,IF($AF$99=4,$E$100,IF($AF$101=4,$E$102,"4th Place "&amp;$A180)))))</f>
        <v>fj2ladyc1pm</v>
      </c>
      <c r="AM180" s="470"/>
      <c r="AN180" s="470"/>
      <c r="AO180" s="471"/>
    </row>
    <row r="181" spans="1:53" s="133" customFormat="1" x14ac:dyDescent="0.2">
      <c r="A181" s="212"/>
      <c r="B181" s="213"/>
      <c r="C181" s="213"/>
      <c r="D181" s="213"/>
      <c r="E181" s="213"/>
      <c r="F181" s="213"/>
      <c r="G181" s="213"/>
      <c r="H181" s="213"/>
      <c r="I181" s="213"/>
      <c r="J181" s="213"/>
      <c r="K181" s="213"/>
      <c r="L181" s="213"/>
      <c r="M181" s="213"/>
      <c r="N181" s="213"/>
      <c r="O181" s="213"/>
      <c r="P181" s="213"/>
      <c r="Q181" s="213"/>
      <c r="R181" s="213"/>
      <c r="S181" s="213"/>
      <c r="T181" s="213"/>
      <c r="U181" s="213"/>
      <c r="V181" s="213"/>
      <c r="W181" s="213"/>
      <c r="X181" s="213"/>
      <c r="Y181" s="213"/>
      <c r="Z181" s="213"/>
      <c r="AA181" s="213"/>
      <c r="AB181" s="213"/>
      <c r="AC181" s="213"/>
      <c r="AD181" s="213"/>
      <c r="AE181" s="213"/>
      <c r="AF181" s="213"/>
      <c r="AG181" s="213"/>
      <c r="AH181" s="213"/>
      <c r="AI181" s="213"/>
      <c r="AJ181" s="213"/>
      <c r="AK181" s="213"/>
      <c r="AL181" s="213"/>
      <c r="AM181" s="213"/>
      <c r="AN181" s="213"/>
      <c r="AO181" s="213"/>
      <c r="AW181" s="194"/>
      <c r="AX181" s="134"/>
      <c r="AY181" s="134"/>
      <c r="AZ181" s="134"/>
      <c r="BA181" s="134"/>
    </row>
    <row r="182" spans="1:53" ht="15.75" x14ac:dyDescent="0.25">
      <c r="A182" s="472" t="s">
        <v>127</v>
      </c>
      <c r="B182" s="472"/>
      <c r="C182" s="472"/>
      <c r="D182" s="472"/>
      <c r="E182" s="472"/>
      <c r="F182" s="472"/>
      <c r="G182" s="472"/>
      <c r="H182" s="472"/>
      <c r="I182" s="472"/>
      <c r="J182" s="472"/>
      <c r="K182" s="472"/>
      <c r="L182" s="472"/>
      <c r="M182" s="472"/>
      <c r="N182" s="472"/>
      <c r="O182" s="472"/>
      <c r="P182" s="472"/>
      <c r="Q182" s="472"/>
      <c r="R182" s="472"/>
      <c r="S182" s="472"/>
      <c r="T182" s="472"/>
      <c r="U182" s="472"/>
      <c r="V182" s="472"/>
      <c r="W182" s="472"/>
      <c r="X182" s="472"/>
      <c r="Y182" s="472"/>
      <c r="Z182" s="472"/>
      <c r="AA182" s="472"/>
      <c r="AB182" s="472"/>
      <c r="AC182" s="472"/>
      <c r="AD182" s="472"/>
      <c r="AE182" s="472"/>
      <c r="AF182" s="472"/>
      <c r="AG182" s="472"/>
      <c r="AH182" s="472"/>
      <c r="AI182" s="472"/>
      <c r="AJ182" s="472"/>
      <c r="AK182" s="472"/>
      <c r="AL182" s="472"/>
      <c r="AM182" s="472"/>
      <c r="AN182" s="472"/>
      <c r="AO182" s="472"/>
      <c r="AP182" s="472"/>
      <c r="AQ182" s="472"/>
      <c r="AT182" s="214"/>
      <c r="AU182" s="214"/>
      <c r="AV182" s="214"/>
    </row>
    <row r="183" spans="1:53" s="288" customFormat="1" ht="40.5" customHeight="1" x14ac:dyDescent="0.25">
      <c r="A183" s="473" t="s">
        <v>128</v>
      </c>
      <c r="B183" s="474"/>
      <c r="C183" s="474"/>
      <c r="D183" s="474"/>
      <c r="E183" s="474"/>
      <c r="F183" s="474"/>
      <c r="G183" s="474"/>
      <c r="H183" s="474"/>
      <c r="I183" s="474"/>
      <c r="J183" s="474"/>
      <c r="K183" s="474"/>
      <c r="L183" s="474"/>
      <c r="M183" s="474"/>
      <c r="N183" s="474"/>
      <c r="O183" s="474"/>
      <c r="P183" s="474"/>
      <c r="Q183" s="474"/>
      <c r="R183" s="474"/>
      <c r="S183" s="474"/>
      <c r="T183" s="474"/>
      <c r="U183" s="474"/>
      <c r="V183" s="474"/>
      <c r="W183" s="474"/>
      <c r="X183" s="474"/>
      <c r="Y183" s="474"/>
      <c r="Z183" s="474"/>
      <c r="AA183" s="474"/>
      <c r="AB183" s="474"/>
      <c r="AC183" s="474"/>
      <c r="AD183" s="474"/>
      <c r="AE183" s="474"/>
      <c r="AF183" s="474"/>
      <c r="AG183" s="474"/>
      <c r="AH183" s="474"/>
      <c r="AI183" s="474"/>
      <c r="AJ183" s="474"/>
      <c r="AK183" s="474"/>
      <c r="AL183" s="474"/>
      <c r="AM183" s="474"/>
      <c r="AN183" s="474"/>
      <c r="AO183" s="474"/>
      <c r="AP183" s="474"/>
      <c r="AQ183" s="474"/>
      <c r="AW183" s="289"/>
    </row>
    <row r="184" spans="1:53" x14ac:dyDescent="0.2">
      <c r="A184" s="475" t="s">
        <v>129</v>
      </c>
      <c r="B184" s="475"/>
      <c r="C184" s="475"/>
      <c r="D184" s="475"/>
      <c r="E184" s="475"/>
      <c r="F184" s="475"/>
      <c r="G184" s="475"/>
      <c r="H184" s="475"/>
      <c r="I184" s="475"/>
      <c r="J184" s="475"/>
      <c r="K184" s="475"/>
      <c r="L184" s="475"/>
      <c r="M184" s="475"/>
      <c r="N184" s="475"/>
      <c r="O184" s="475"/>
      <c r="P184" s="475"/>
      <c r="Q184" s="475"/>
      <c r="R184" s="475"/>
      <c r="S184" s="475"/>
      <c r="T184" s="475"/>
      <c r="U184" s="475"/>
      <c r="V184" s="475"/>
      <c r="W184" s="475"/>
      <c r="X184" s="475"/>
      <c r="Y184" s="475"/>
      <c r="Z184" s="475"/>
      <c r="AA184" s="475"/>
      <c r="AB184" s="475"/>
      <c r="AC184" s="475"/>
      <c r="AD184" s="475"/>
      <c r="AE184" s="475"/>
      <c r="AF184" s="475"/>
      <c r="AG184" s="475"/>
      <c r="AH184" s="475"/>
      <c r="AI184" s="475"/>
      <c r="AJ184" s="475"/>
      <c r="AK184" s="475"/>
      <c r="AL184" s="475"/>
      <c r="AM184" s="475"/>
      <c r="AN184" s="475"/>
      <c r="AO184" s="475"/>
      <c r="AP184" s="475"/>
      <c r="AQ184" s="475"/>
    </row>
    <row r="185" spans="1:53" x14ac:dyDescent="0.2">
      <c r="A185" s="475"/>
      <c r="B185" s="475"/>
      <c r="C185" s="475"/>
      <c r="D185" s="475"/>
      <c r="E185" s="475"/>
      <c r="F185" s="475"/>
      <c r="G185" s="475"/>
      <c r="H185" s="475"/>
      <c r="I185" s="475"/>
      <c r="J185" s="475"/>
      <c r="K185" s="475"/>
      <c r="L185" s="475"/>
      <c r="M185" s="475"/>
      <c r="N185" s="475"/>
      <c r="O185" s="475"/>
      <c r="P185" s="475"/>
      <c r="Q185" s="475"/>
      <c r="R185" s="475"/>
      <c r="S185" s="475"/>
      <c r="T185" s="475"/>
      <c r="U185" s="475"/>
      <c r="V185" s="475"/>
      <c r="W185" s="475"/>
      <c r="X185" s="475"/>
      <c r="Y185" s="475"/>
      <c r="Z185" s="475"/>
      <c r="AA185" s="475"/>
      <c r="AB185" s="475"/>
      <c r="AC185" s="475"/>
      <c r="AD185" s="475"/>
      <c r="AE185" s="475"/>
      <c r="AF185" s="475"/>
      <c r="AG185" s="475"/>
      <c r="AH185" s="475"/>
      <c r="AI185" s="475"/>
      <c r="AJ185" s="475"/>
      <c r="AK185" s="475"/>
      <c r="AL185" s="475"/>
      <c r="AM185" s="475"/>
      <c r="AN185" s="475"/>
      <c r="AO185" s="475"/>
      <c r="AP185" s="475"/>
      <c r="AQ185" s="475"/>
    </row>
    <row r="186" spans="1:53" x14ac:dyDescent="0.2">
      <c r="A186" s="476" t="s">
        <v>130</v>
      </c>
      <c r="B186" s="476"/>
      <c r="C186" s="476"/>
      <c r="D186" s="476"/>
      <c r="E186" s="476"/>
      <c r="F186" s="476"/>
      <c r="G186" s="476"/>
      <c r="H186" s="476"/>
      <c r="I186" s="476"/>
      <c r="J186" s="476"/>
      <c r="K186" s="476"/>
      <c r="L186" s="215"/>
    </row>
    <row r="187" spans="1:53" x14ac:dyDescent="0.2">
      <c r="C187" s="133"/>
      <c r="D187" s="133"/>
      <c r="E187" s="133"/>
      <c r="L187" s="215"/>
    </row>
    <row r="188" spans="1:53" x14ac:dyDescent="0.2">
      <c r="A188" s="453" t="s">
        <v>131</v>
      </c>
      <c r="B188" s="453"/>
      <c r="C188" s="453"/>
      <c r="D188" s="453"/>
      <c r="E188" s="453"/>
      <c r="F188" s="453"/>
      <c r="G188" s="453"/>
      <c r="H188" s="453"/>
      <c r="I188" s="453"/>
      <c r="J188" s="453"/>
      <c r="K188" s="453"/>
      <c r="L188" s="453"/>
      <c r="M188" s="453"/>
      <c r="N188" s="453"/>
      <c r="O188" s="453"/>
      <c r="P188" s="194"/>
      <c r="R188" s="453" t="s">
        <v>132</v>
      </c>
      <c r="S188" s="453"/>
      <c r="T188" s="453"/>
      <c r="U188" s="453"/>
      <c r="V188" s="453"/>
      <c r="W188" s="453"/>
      <c r="X188" s="453"/>
      <c r="Y188" s="453"/>
      <c r="Z188" s="453"/>
      <c r="AA188" s="453"/>
      <c r="AB188" s="453"/>
      <c r="AC188" s="453"/>
      <c r="AD188" s="453"/>
      <c r="AE188" s="453"/>
      <c r="AF188" s="453"/>
    </row>
    <row r="190" spans="1:53" ht="13.5" thickBot="1" x14ac:dyDescent="0.25">
      <c r="A190" s="477" t="str">
        <f>IF(B218=1,B210,IF(B218=2,B211,IF(B218=3,B212,IF(B218=4,B213,IF(OR(B218="B",B218="b"),"BYE","invalid")))))</f>
        <v>Chas Jrs 12 Red</v>
      </c>
      <c r="B190" s="477"/>
      <c r="C190" s="477"/>
      <c r="D190" s="477"/>
      <c r="E190" s="477"/>
      <c r="F190" s="219"/>
      <c r="G190" s="219"/>
      <c r="H190" s="219"/>
      <c r="I190" s="219"/>
      <c r="J190" s="219"/>
      <c r="K190" s="219"/>
      <c r="L190" s="219"/>
      <c r="M190" s="219"/>
      <c r="N190" s="219"/>
      <c r="S190" s="220"/>
      <c r="T190" s="220"/>
      <c r="U190" s="477" t="str">
        <f>IF(W218=1,X210,IF(W218=2,X211,IF(W218=3,X212,IF(W218=4,X213,IF(OR(W218="B",W218="b"),"BYE","invalid")))))</f>
        <v>Magnum Aiken 12 Yellow</v>
      </c>
      <c r="V190" s="477"/>
      <c r="W190" s="477"/>
      <c r="X190" s="477"/>
      <c r="Y190" s="477"/>
      <c r="Z190" s="477"/>
      <c r="AA190" s="477"/>
      <c r="AB190" s="219"/>
      <c r="AC190" s="219"/>
      <c r="AD190" s="219"/>
      <c r="AE190" s="219"/>
    </row>
    <row r="191" spans="1:53" x14ac:dyDescent="0.2">
      <c r="A191" s="478" t="s">
        <v>133</v>
      </c>
      <c r="B191" s="478"/>
      <c r="C191" s="478"/>
      <c r="D191" s="478"/>
      <c r="E191" s="478"/>
      <c r="F191" s="222"/>
      <c r="G191" s="219"/>
      <c r="H191" s="219"/>
      <c r="I191" s="219"/>
      <c r="J191" s="219"/>
      <c r="K191" s="219"/>
      <c r="L191" s="219"/>
      <c r="M191" s="219"/>
      <c r="N191" s="219"/>
      <c r="S191" s="223"/>
      <c r="T191" s="223"/>
      <c r="U191" s="479" t="s">
        <v>134</v>
      </c>
      <c r="V191" s="479"/>
      <c r="W191" s="479"/>
      <c r="X191" s="479"/>
      <c r="Y191" s="479"/>
      <c r="Z191" s="479"/>
      <c r="AA191" s="480"/>
      <c r="AB191" s="219"/>
      <c r="AC191" s="219"/>
      <c r="AD191" s="219"/>
      <c r="AE191" s="219"/>
    </row>
    <row r="192" spans="1:53" x14ac:dyDescent="0.2">
      <c r="A192" s="219"/>
      <c r="B192" s="219"/>
      <c r="C192" s="219"/>
      <c r="D192" s="219"/>
      <c r="E192" s="219"/>
      <c r="F192" s="222"/>
      <c r="G192" s="219"/>
      <c r="H192" s="219"/>
      <c r="I192" s="219"/>
      <c r="J192" s="219"/>
      <c r="K192" s="219"/>
      <c r="L192" s="219"/>
      <c r="M192" s="219"/>
      <c r="N192" s="219"/>
      <c r="R192" s="219"/>
      <c r="S192" s="219"/>
      <c r="T192" s="219"/>
      <c r="U192" s="219"/>
      <c r="V192" s="219"/>
      <c r="W192" s="219"/>
      <c r="X192" s="219"/>
      <c r="Y192" s="219"/>
      <c r="Z192" s="219"/>
      <c r="AA192" s="286"/>
      <c r="AB192" s="219"/>
      <c r="AC192" s="219"/>
      <c r="AD192" s="219"/>
      <c r="AE192" s="219"/>
    </row>
    <row r="193" spans="1:53" ht="13.5" thickBot="1" x14ac:dyDescent="0.25">
      <c r="A193" s="479" t="str">
        <f>B212&amp;" ref"</f>
        <v>CSRA Heat 12 Gold ref</v>
      </c>
      <c r="B193" s="479"/>
      <c r="C193" s="479"/>
      <c r="D193" s="479"/>
      <c r="E193" s="480"/>
      <c r="F193" s="481" t="str">
        <f>IF(H218=1,B210,IF(H218=2,B211,IF(H218=3,B212,IF(H218=4,B213,"Winner Match 1"))))</f>
        <v>Chas Jrs 12 Red</v>
      </c>
      <c r="G193" s="482"/>
      <c r="H193" s="482"/>
      <c r="I193" s="482"/>
      <c r="J193" s="482"/>
      <c r="K193" s="482"/>
      <c r="L193" s="482"/>
      <c r="M193" s="482"/>
      <c r="N193" s="219"/>
      <c r="P193" s="227"/>
      <c r="Q193" s="227"/>
      <c r="R193" s="227"/>
      <c r="S193" s="227"/>
      <c r="T193" s="479" t="str">
        <f>X212&amp;" ref"</f>
        <v>Lake Murray 12 Black ref</v>
      </c>
      <c r="U193" s="479"/>
      <c r="V193" s="479"/>
      <c r="W193" s="479"/>
      <c r="X193" s="479"/>
      <c r="Y193" s="479"/>
      <c r="Z193" s="479"/>
      <c r="AA193" s="480"/>
      <c r="AB193" s="481" t="str">
        <f>IF(AC218=1,X210,IF(AC218=2,X211,IF(AC218=3,X212,IF(AC218=4,X213,"Winner Match 1"))))</f>
        <v>Magnum Aiken 12 Yellow</v>
      </c>
      <c r="AC193" s="482"/>
      <c r="AD193" s="482"/>
      <c r="AE193" s="482"/>
      <c r="AF193" s="482"/>
      <c r="AG193" s="482"/>
      <c r="AH193" s="482"/>
    </row>
    <row r="194" spans="1:53" x14ac:dyDescent="0.2">
      <c r="A194" s="483" t="s">
        <v>135</v>
      </c>
      <c r="B194" s="483"/>
      <c r="C194" s="483"/>
      <c r="D194" s="483"/>
      <c r="E194" s="483"/>
      <c r="F194" s="484"/>
      <c r="G194" s="485"/>
      <c r="H194" s="485"/>
      <c r="I194" s="486"/>
      <c r="J194" s="487"/>
      <c r="K194" s="488"/>
      <c r="L194" s="488"/>
      <c r="M194" s="488"/>
      <c r="N194" s="219"/>
      <c r="O194" s="219"/>
      <c r="P194" s="226"/>
      <c r="Q194" s="137"/>
      <c r="R194" s="228"/>
      <c r="S194" s="228"/>
      <c r="T194" s="489" t="s">
        <v>136</v>
      </c>
      <c r="U194" s="489"/>
      <c r="V194" s="489"/>
      <c r="W194" s="489"/>
      <c r="X194" s="489"/>
      <c r="Y194" s="489"/>
      <c r="Z194" s="489"/>
      <c r="AA194" s="286"/>
      <c r="AB194" s="484"/>
      <c r="AC194" s="485"/>
      <c r="AD194" s="485"/>
      <c r="AE194" s="486"/>
      <c r="AF194" s="487"/>
      <c r="AG194" s="488"/>
      <c r="AH194" s="488"/>
    </row>
    <row r="195" spans="1:53" ht="13.5" thickBot="1" x14ac:dyDescent="0.25">
      <c r="A195" s="477" t="str">
        <f>IF(D218=1,B210,IF(D218=2,B211,IF(D218=3,B212,IF(D218=4,B213,IF(OR(D218="B",D218="b"),"BYE","invalid")))))</f>
        <v>SC Midlands 12 Black</v>
      </c>
      <c r="B195" s="477"/>
      <c r="C195" s="477"/>
      <c r="D195" s="477"/>
      <c r="E195" s="490"/>
      <c r="F195" s="222"/>
      <c r="G195" s="219"/>
      <c r="H195" s="219"/>
      <c r="I195" s="219"/>
      <c r="J195" s="222"/>
      <c r="K195" s="219"/>
      <c r="L195" s="219"/>
      <c r="M195" s="219"/>
      <c r="N195" s="219"/>
      <c r="O195" s="219"/>
      <c r="P195" s="219"/>
      <c r="T195" s="219"/>
      <c r="U195" s="477" t="str">
        <f>IF(Y218=1,X210,IF(Y218=2,X211,IF(Y218=3,X212,IF(Y218=4,X213,IF(OR(Y218="B",Y218="b"),"BYE","invalid")))))</f>
        <v>OLC 12s Purple</v>
      </c>
      <c r="V195" s="477"/>
      <c r="W195" s="477"/>
      <c r="X195" s="477"/>
      <c r="Y195" s="477"/>
      <c r="Z195" s="477"/>
      <c r="AA195" s="490"/>
      <c r="AB195" s="219"/>
      <c r="AC195" s="219"/>
      <c r="AD195" s="219"/>
      <c r="AE195" s="286"/>
      <c r="AF195" s="219"/>
      <c r="AG195" s="219"/>
    </row>
    <row r="196" spans="1:53" x14ac:dyDescent="0.2">
      <c r="A196" s="478" t="s">
        <v>137</v>
      </c>
      <c r="B196" s="478"/>
      <c r="C196" s="478"/>
      <c r="D196" s="478"/>
      <c r="E196" s="478"/>
      <c r="F196" s="219"/>
      <c r="G196" s="219"/>
      <c r="H196" s="219"/>
      <c r="I196" s="219"/>
      <c r="J196" s="222"/>
      <c r="K196" s="219"/>
      <c r="L196" s="219"/>
      <c r="M196" s="219"/>
      <c r="N196" s="219"/>
      <c r="O196" s="219"/>
      <c r="P196" s="219"/>
      <c r="U196" s="491" t="s">
        <v>138</v>
      </c>
      <c r="V196" s="491"/>
      <c r="W196" s="491"/>
      <c r="X196" s="491"/>
      <c r="Y196" s="491"/>
      <c r="Z196" s="491"/>
      <c r="AA196" s="491"/>
      <c r="AB196" s="219"/>
      <c r="AC196" s="219"/>
      <c r="AD196" s="219"/>
      <c r="AE196" s="286"/>
      <c r="AF196" s="219"/>
      <c r="AG196" s="219"/>
      <c r="AQ196" s="230"/>
      <c r="AR196" s="230"/>
      <c r="AS196" s="230"/>
    </row>
    <row r="197" spans="1:53" x14ac:dyDescent="0.2">
      <c r="A197" s="219"/>
      <c r="B197" s="219"/>
      <c r="C197" s="219"/>
      <c r="D197" s="219"/>
      <c r="E197" s="219"/>
      <c r="F197" s="492" t="s">
        <v>139</v>
      </c>
      <c r="G197" s="492"/>
      <c r="H197" s="492"/>
      <c r="I197" s="493"/>
      <c r="J197" s="222"/>
      <c r="K197" s="219"/>
      <c r="L197" s="219"/>
      <c r="M197" s="219"/>
      <c r="N197" s="219"/>
      <c r="O197" s="219"/>
      <c r="P197" s="219"/>
      <c r="R197" s="219"/>
      <c r="S197" s="219"/>
      <c r="T197" s="219"/>
      <c r="U197" s="219"/>
      <c r="V197" s="219"/>
      <c r="W197" s="227"/>
      <c r="X197" s="227"/>
      <c r="Y197" s="227"/>
      <c r="AA197" s="227"/>
      <c r="AB197" s="492" t="s">
        <v>139</v>
      </c>
      <c r="AC197" s="492"/>
      <c r="AD197" s="492"/>
      <c r="AE197" s="493"/>
      <c r="AF197" s="219"/>
      <c r="AG197" s="219"/>
    </row>
    <row r="198" spans="1:53" ht="13.5" thickBot="1" x14ac:dyDescent="0.25">
      <c r="A198" s="219"/>
      <c r="B198" s="219"/>
      <c r="C198" s="219"/>
      <c r="D198" s="219"/>
      <c r="E198" s="219"/>
      <c r="F198" s="219"/>
      <c r="G198" s="219"/>
      <c r="H198" s="219"/>
      <c r="I198" s="219"/>
      <c r="J198" s="494" t="str">
        <f>IF(K223=1,B210,IF(K223=2,B211,IF(K223=3,B212,IF(K223=4,B213,"Division Winner"))))</f>
        <v>Magnum Aiken 12 Green</v>
      </c>
      <c r="K198" s="495"/>
      <c r="L198" s="495"/>
      <c r="M198" s="495"/>
      <c r="N198" s="495"/>
      <c r="O198" s="495"/>
      <c r="P198" s="495"/>
      <c r="Q198" s="220"/>
      <c r="R198" s="219"/>
      <c r="S198" s="219"/>
      <c r="T198" s="219"/>
      <c r="U198" s="219"/>
      <c r="V198" s="219"/>
      <c r="W198" s="219"/>
      <c r="X198" s="219"/>
      <c r="Y198" s="219"/>
      <c r="Z198" s="219"/>
      <c r="AA198" s="232"/>
      <c r="AB198" s="232"/>
      <c r="AC198" s="232"/>
      <c r="AD198" s="232"/>
      <c r="AE198" s="287"/>
      <c r="AF198" s="495" t="str">
        <f>IF(AF223=1,X210,IF(AF223=2,X211,IF(AF223=3,X212,IF(AF223=4,X213,"Division Winner"))))</f>
        <v>Lake Murray 12 Black</v>
      </c>
      <c r="AG198" s="495"/>
      <c r="AH198" s="495"/>
      <c r="AI198" s="495"/>
      <c r="AJ198" s="495"/>
      <c r="AK198" s="232"/>
    </row>
    <row r="199" spans="1:53" ht="13.5" thickBot="1" x14ac:dyDescent="0.25">
      <c r="A199" s="477" t="str">
        <f>IF(E218=1,B210,IF(E218=2,B211,IF(E218=3,B212,IF(E218=4,B213,IF(OR(E218="B",E218="b"),"BYE","invalid")))))</f>
        <v>Magnum Aiken 12 Green</v>
      </c>
      <c r="B199" s="477"/>
      <c r="C199" s="477"/>
      <c r="D199" s="477"/>
      <c r="E199" s="477"/>
      <c r="F199" s="483" t="s">
        <v>140</v>
      </c>
      <c r="G199" s="483"/>
      <c r="H199" s="483"/>
      <c r="I199" s="483"/>
      <c r="J199" s="496" t="s">
        <v>141</v>
      </c>
      <c r="K199" s="492"/>
      <c r="L199" s="492"/>
      <c r="M199" s="492"/>
      <c r="N199" s="492"/>
      <c r="O199" s="492"/>
      <c r="P199" s="492"/>
      <c r="R199" s="232"/>
      <c r="S199" s="232"/>
      <c r="T199" s="232"/>
      <c r="U199" s="477" t="str">
        <f>IF(Z218=1,X210,IF(Z218=2,X211,IF(Z218=3,X212,IF(Z218=4,X213,IF(OR(Z218="B",Z218="b"),"BYE","invalid")))))</f>
        <v>Palm Strikers 12 Platinum</v>
      </c>
      <c r="V199" s="477"/>
      <c r="W199" s="477"/>
      <c r="X199" s="477"/>
      <c r="Y199" s="477"/>
      <c r="Z199" s="477"/>
      <c r="AA199" s="477"/>
      <c r="AB199" s="483" t="s">
        <v>142</v>
      </c>
      <c r="AC199" s="483"/>
      <c r="AD199" s="483"/>
      <c r="AE199" s="497"/>
      <c r="AF199" s="498" t="s">
        <v>143</v>
      </c>
      <c r="AG199" s="499"/>
      <c r="AH199" s="499"/>
      <c r="AI199" s="499"/>
      <c r="AJ199" s="499"/>
    </row>
    <row r="200" spans="1:53" x14ac:dyDescent="0.2">
      <c r="A200" s="478" t="s">
        <v>144</v>
      </c>
      <c r="B200" s="478"/>
      <c r="C200" s="478"/>
      <c r="D200" s="478"/>
      <c r="E200" s="478"/>
      <c r="F200" s="222"/>
      <c r="G200" s="219"/>
      <c r="H200" s="219"/>
      <c r="I200" s="219"/>
      <c r="J200" s="496"/>
      <c r="K200" s="492"/>
      <c r="L200" s="492"/>
      <c r="M200" s="492"/>
      <c r="N200" s="492"/>
      <c r="O200" s="492"/>
      <c r="P200" s="492"/>
      <c r="Q200" s="219"/>
      <c r="R200" s="230"/>
      <c r="S200" s="230"/>
      <c r="T200" s="230"/>
      <c r="U200" s="479" t="s">
        <v>145</v>
      </c>
      <c r="V200" s="479"/>
      <c r="W200" s="479"/>
      <c r="X200" s="479"/>
      <c r="Y200" s="479"/>
      <c r="Z200" s="479"/>
      <c r="AA200" s="480"/>
      <c r="AB200" s="219"/>
      <c r="AC200" s="219"/>
      <c r="AD200" s="219"/>
      <c r="AE200" s="286"/>
      <c r="AF200" s="219"/>
      <c r="AG200" s="219"/>
    </row>
    <row r="201" spans="1:53" x14ac:dyDescent="0.2">
      <c r="A201" s="219"/>
      <c r="B201" s="219"/>
      <c r="C201" s="219"/>
      <c r="D201" s="219"/>
      <c r="E201" s="219"/>
      <c r="F201" s="222"/>
      <c r="G201" s="219"/>
      <c r="H201" s="219"/>
      <c r="I201" s="219"/>
      <c r="J201" s="222"/>
      <c r="K201" s="219"/>
      <c r="L201" s="219"/>
      <c r="M201" s="219"/>
      <c r="N201" s="219"/>
      <c r="P201" s="219"/>
      <c r="Q201" s="219"/>
      <c r="R201" s="219"/>
      <c r="S201" s="219"/>
      <c r="T201" s="219"/>
      <c r="U201" s="219"/>
      <c r="V201" s="219"/>
      <c r="W201" s="219"/>
      <c r="X201" s="219"/>
      <c r="Y201" s="219"/>
      <c r="Z201" s="219"/>
      <c r="AA201" s="286"/>
      <c r="AB201" s="222"/>
      <c r="AC201" s="219"/>
      <c r="AD201" s="219"/>
      <c r="AE201" s="286"/>
      <c r="AF201" s="219"/>
      <c r="AG201" s="219"/>
      <c r="AW201" s="274"/>
      <c r="AX201" s="186"/>
      <c r="AY201" s="186"/>
      <c r="AZ201" s="186"/>
      <c r="BA201" s="186"/>
    </row>
    <row r="202" spans="1:53" ht="13.5" thickBot="1" x14ac:dyDescent="0.25">
      <c r="A202" s="492" t="s">
        <v>146</v>
      </c>
      <c r="B202" s="492"/>
      <c r="C202" s="492"/>
      <c r="D202" s="492"/>
      <c r="E202" s="226"/>
      <c r="F202" s="500"/>
      <c r="G202" s="501"/>
      <c r="H202" s="501"/>
      <c r="I202" s="502"/>
      <c r="J202" s="487"/>
      <c r="K202" s="488"/>
      <c r="L202" s="488"/>
      <c r="M202" s="488"/>
      <c r="N202" s="219"/>
      <c r="Q202" s="227"/>
      <c r="R202" s="227"/>
      <c r="S202" s="227"/>
      <c r="T202" s="492" t="s">
        <v>146</v>
      </c>
      <c r="U202" s="492"/>
      <c r="V202" s="492"/>
      <c r="W202" s="492"/>
      <c r="X202" s="492"/>
      <c r="Y202" s="492"/>
      <c r="Z202" s="492"/>
      <c r="AA202" s="219"/>
      <c r="AB202" s="500"/>
      <c r="AC202" s="501"/>
      <c r="AD202" s="501"/>
      <c r="AE202" s="502"/>
      <c r="AF202" s="487"/>
      <c r="AG202" s="488"/>
      <c r="AH202" s="488"/>
      <c r="AW202" s="274"/>
      <c r="AX202" s="186"/>
      <c r="AY202" s="186"/>
      <c r="AZ202" s="186"/>
      <c r="BA202" s="186"/>
    </row>
    <row r="203" spans="1:53" x14ac:dyDescent="0.2">
      <c r="A203" s="483" t="s">
        <v>135</v>
      </c>
      <c r="B203" s="483"/>
      <c r="C203" s="483"/>
      <c r="D203" s="483"/>
      <c r="E203" s="497"/>
      <c r="F203" s="481" t="str">
        <f>IF(J218=1,B210,IF(J218=2,B211,IF(J218=3,B212,IF(J218=4,B213,"Winner Match 2"))))</f>
        <v>Magnum Aiken 12 Green</v>
      </c>
      <c r="G203" s="482"/>
      <c r="H203" s="482"/>
      <c r="I203" s="482"/>
      <c r="J203" s="482"/>
      <c r="K203" s="482"/>
      <c r="L203" s="482"/>
      <c r="M203" s="482"/>
      <c r="N203" s="219"/>
      <c r="P203" s="226"/>
      <c r="Q203" s="226"/>
      <c r="S203" s="228"/>
      <c r="T203" s="483" t="s">
        <v>136</v>
      </c>
      <c r="U203" s="483"/>
      <c r="V203" s="483"/>
      <c r="W203" s="483"/>
      <c r="X203" s="483"/>
      <c r="Y203" s="483"/>
      <c r="Z203" s="483"/>
      <c r="AA203" s="286"/>
      <c r="AB203" s="481" t="str">
        <f>IF(AE218=1,X210,IF(AE218=2,X211,IF(AE218=3,X212,IF(AE218=4,X213,"Winner Match 2"))))</f>
        <v>Lake Murray 12 Black</v>
      </c>
      <c r="AC203" s="482"/>
      <c r="AD203" s="482"/>
      <c r="AE203" s="482"/>
      <c r="AF203" s="482"/>
      <c r="AG203" s="482"/>
      <c r="AH203" s="482"/>
      <c r="AW203" s="274"/>
      <c r="AX203" s="186"/>
      <c r="AY203" s="186"/>
      <c r="AZ203" s="186"/>
      <c r="BA203" s="186"/>
    </row>
    <row r="204" spans="1:53" ht="13.5" thickBot="1" x14ac:dyDescent="0.25">
      <c r="A204" s="477" t="str">
        <f>IF(G218=1,B210,IF(G218=2,B211,IF(G218=3,B212,IF(G218=4,B213,IF(OR(G218="B",G218="b"),"BYE","invalid")))))</f>
        <v>CSRA Heat 12 Gold</v>
      </c>
      <c r="B204" s="477"/>
      <c r="C204" s="477"/>
      <c r="D204" s="477"/>
      <c r="E204" s="490"/>
      <c r="F204" s="222"/>
      <c r="G204" s="219"/>
      <c r="H204" s="219"/>
      <c r="I204" s="219"/>
      <c r="J204" s="219"/>
      <c r="K204" s="219"/>
      <c r="L204" s="219"/>
      <c r="M204" s="219"/>
      <c r="N204" s="219"/>
      <c r="P204" s="219"/>
      <c r="Q204" s="219"/>
      <c r="R204" s="219"/>
      <c r="S204" s="232"/>
      <c r="T204" s="232"/>
      <c r="U204" s="477" t="str">
        <f>IF(AB218=1,X210,IF(AB218=2,X211,IF(AB218=3,X212,IF(AB218=4,X213,IF(OR(AB218="B",AB218="b"),"BYE","invalid")))))</f>
        <v>Lake Murray 12 Black</v>
      </c>
      <c r="V204" s="477"/>
      <c r="W204" s="477"/>
      <c r="X204" s="477"/>
      <c r="Y204" s="477"/>
      <c r="Z204" s="477"/>
      <c r="AA204" s="490"/>
      <c r="AB204" s="219"/>
      <c r="AC204" s="219"/>
      <c r="AD204" s="219"/>
      <c r="AE204" s="219"/>
      <c r="AW204" s="274"/>
      <c r="AX204" s="186"/>
      <c r="AY204" s="186"/>
      <c r="AZ204" s="186"/>
      <c r="BA204" s="186"/>
    </row>
    <row r="205" spans="1:53" x14ac:dyDescent="0.2">
      <c r="A205" s="478" t="s">
        <v>147</v>
      </c>
      <c r="B205" s="478"/>
      <c r="C205" s="478"/>
      <c r="D205" s="478"/>
      <c r="E205" s="478"/>
      <c r="S205" s="230"/>
      <c r="T205" s="230"/>
      <c r="U205" s="479" t="s">
        <v>148</v>
      </c>
      <c r="V205" s="479"/>
      <c r="W205" s="479"/>
      <c r="X205" s="479"/>
      <c r="Y205" s="479"/>
      <c r="Z205" s="479"/>
      <c r="AA205" s="479"/>
      <c r="AW205" s="274"/>
      <c r="AX205" s="186"/>
      <c r="AY205" s="186"/>
      <c r="AZ205" s="186"/>
      <c r="BA205" s="186"/>
    </row>
    <row r="206" spans="1:53" x14ac:dyDescent="0.2">
      <c r="AT206" s="186"/>
      <c r="AU206" s="186"/>
      <c r="AV206" s="186"/>
      <c r="AW206" s="274"/>
      <c r="AX206" s="186"/>
      <c r="AY206" s="186"/>
      <c r="AZ206" s="186"/>
      <c r="BA206" s="186"/>
    </row>
    <row r="207" spans="1:53" x14ac:dyDescent="0.2">
      <c r="AT207" s="186"/>
      <c r="AU207" s="186"/>
      <c r="AV207" s="186"/>
      <c r="AW207" s="274"/>
      <c r="AX207" s="186"/>
      <c r="AY207" s="186"/>
      <c r="AZ207" s="186"/>
      <c r="BA207" s="186"/>
    </row>
    <row r="208" spans="1:53" ht="16.5" thickBot="1" x14ac:dyDescent="0.3">
      <c r="A208" s="503" t="s">
        <v>149</v>
      </c>
      <c r="B208" s="503"/>
      <c r="C208" s="503"/>
      <c r="D208" s="503"/>
      <c r="E208" s="503"/>
      <c r="F208" s="503"/>
      <c r="G208" s="503"/>
      <c r="H208" s="503"/>
      <c r="I208" s="503"/>
      <c r="J208" s="503"/>
      <c r="Q208" s="234"/>
      <c r="R208" s="234"/>
      <c r="S208" s="234"/>
      <c r="U208" s="503" t="s">
        <v>150</v>
      </c>
      <c r="V208" s="503"/>
      <c r="W208" s="503"/>
      <c r="X208" s="503"/>
      <c r="Y208" s="503"/>
      <c r="Z208" s="503"/>
      <c r="AA208" s="503"/>
      <c r="AB208" s="503"/>
      <c r="AC208" s="503"/>
      <c r="AD208" s="503"/>
      <c r="AE208" s="503"/>
      <c r="AF208" s="503"/>
      <c r="AT208" s="186"/>
      <c r="AU208" s="186"/>
      <c r="AV208" s="186"/>
      <c r="AW208" s="274"/>
      <c r="AX208" s="186"/>
      <c r="AY208" s="186"/>
      <c r="AZ208" s="186"/>
      <c r="BA208" s="186"/>
    </row>
    <row r="209" spans="1:53" ht="13.5" thickBot="1" x14ac:dyDescent="0.25">
      <c r="A209" s="236" t="s">
        <v>151</v>
      </c>
      <c r="B209" s="504" t="s">
        <v>152</v>
      </c>
      <c r="C209" s="505"/>
      <c r="D209" s="505"/>
      <c r="E209" s="505"/>
      <c r="F209" s="505"/>
      <c r="G209" s="505"/>
      <c r="H209" s="505"/>
      <c r="I209" s="505"/>
      <c r="J209" s="506"/>
      <c r="K209" s="507" t="s">
        <v>153</v>
      </c>
      <c r="L209" s="508"/>
      <c r="M209" s="508"/>
      <c r="N209" s="508"/>
      <c r="O209" s="508"/>
      <c r="P209" s="508"/>
      <c r="Q209" s="509"/>
      <c r="U209" s="510" t="s">
        <v>151</v>
      </c>
      <c r="V209" s="511"/>
      <c r="W209" s="512"/>
      <c r="X209" s="504" t="s">
        <v>152</v>
      </c>
      <c r="Y209" s="505"/>
      <c r="Z209" s="505"/>
      <c r="AA209" s="505"/>
      <c r="AB209" s="505"/>
      <c r="AC209" s="505"/>
      <c r="AD209" s="505"/>
      <c r="AE209" s="505"/>
      <c r="AF209" s="506"/>
      <c r="AG209" s="507" t="s">
        <v>153</v>
      </c>
      <c r="AH209" s="508"/>
      <c r="AI209" s="508"/>
      <c r="AJ209" s="508"/>
      <c r="AK209" s="508"/>
      <c r="AL209" s="508"/>
      <c r="AM209" s="509"/>
      <c r="AT209" s="186"/>
      <c r="AU209" s="186"/>
      <c r="AV209" s="186"/>
      <c r="AW209" s="274"/>
      <c r="AX209" s="186"/>
      <c r="AY209" s="186"/>
      <c r="AZ209" s="186"/>
      <c r="BA209" s="186"/>
    </row>
    <row r="210" spans="1:53" ht="13.5" thickBot="1" x14ac:dyDescent="0.25">
      <c r="A210" s="236">
        <v>1</v>
      </c>
      <c r="B210" s="513" t="str">
        <f>B179</f>
        <v>Chas Jrs 12 Red</v>
      </c>
      <c r="C210" s="514"/>
      <c r="D210" s="514"/>
      <c r="E210" s="514"/>
      <c r="F210" s="514"/>
      <c r="G210" s="514"/>
      <c r="H210" s="514"/>
      <c r="I210" s="514"/>
      <c r="J210" s="515"/>
      <c r="K210" s="516" t="str">
        <f>H179</f>
        <v>fj2charl1pm</v>
      </c>
      <c r="L210" s="517"/>
      <c r="M210" s="517"/>
      <c r="N210" s="517"/>
      <c r="O210" s="517"/>
      <c r="P210" s="517"/>
      <c r="Q210" s="518"/>
      <c r="U210" s="510">
        <v>1</v>
      </c>
      <c r="V210" s="511"/>
      <c r="W210" s="512"/>
      <c r="X210" s="513" t="str">
        <f>V179</f>
        <v>Magnum Aiken 12 Yellow</v>
      </c>
      <c r="Y210" s="514"/>
      <c r="Z210" s="514"/>
      <c r="AA210" s="514"/>
      <c r="AB210" s="514"/>
      <c r="AC210" s="514"/>
      <c r="AD210" s="514"/>
      <c r="AE210" s="514"/>
      <c r="AF210" s="515"/>
      <c r="AG210" s="516" t="str">
        <f>AB179</f>
        <v>fj2magnm5pm</v>
      </c>
      <c r="AH210" s="517"/>
      <c r="AI210" s="517"/>
      <c r="AJ210" s="517"/>
      <c r="AK210" s="517"/>
      <c r="AL210" s="517"/>
      <c r="AM210" s="518"/>
      <c r="AT210" s="186"/>
      <c r="AU210" s="186"/>
      <c r="AV210" s="186"/>
      <c r="AW210" s="274"/>
      <c r="AX210" s="186"/>
      <c r="AY210" s="186"/>
      <c r="AZ210" s="186"/>
      <c r="BA210" s="186"/>
    </row>
    <row r="211" spans="1:53" ht="13.5" thickBot="1" x14ac:dyDescent="0.25">
      <c r="A211" s="236">
        <v>2</v>
      </c>
      <c r="B211" s="513" t="str">
        <f>B180</f>
        <v>Magnum Aiken 12 Green</v>
      </c>
      <c r="C211" s="514"/>
      <c r="D211" s="514"/>
      <c r="E211" s="514"/>
      <c r="F211" s="514"/>
      <c r="G211" s="514"/>
      <c r="H211" s="514"/>
      <c r="I211" s="514"/>
      <c r="J211" s="515"/>
      <c r="K211" s="516" t="str">
        <f>H180</f>
        <v>fj2magnm2pm</v>
      </c>
      <c r="L211" s="517"/>
      <c r="M211" s="517"/>
      <c r="N211" s="517"/>
      <c r="O211" s="517"/>
      <c r="P211" s="517"/>
      <c r="Q211" s="518"/>
      <c r="U211" s="510">
        <v>2</v>
      </c>
      <c r="V211" s="511"/>
      <c r="W211" s="512"/>
      <c r="X211" s="513" t="str">
        <f>V180</f>
        <v>Palm Strikers 12 Platinum</v>
      </c>
      <c r="Y211" s="514"/>
      <c r="Z211" s="514"/>
      <c r="AA211" s="514"/>
      <c r="AB211" s="514"/>
      <c r="AC211" s="514"/>
      <c r="AD211" s="514"/>
      <c r="AE211" s="514"/>
      <c r="AF211" s="515"/>
      <c r="AG211" s="516" t="str">
        <f>AB180</f>
        <v>fj2pstri1pm</v>
      </c>
      <c r="AH211" s="517"/>
      <c r="AI211" s="517"/>
      <c r="AJ211" s="517"/>
      <c r="AK211" s="517"/>
      <c r="AL211" s="517"/>
      <c r="AM211" s="518"/>
      <c r="AT211" s="186"/>
      <c r="AU211" s="186"/>
      <c r="AV211" s="186"/>
      <c r="AW211" s="274"/>
      <c r="AX211" s="186"/>
      <c r="AY211" s="186"/>
      <c r="AZ211" s="186"/>
      <c r="BA211" s="186"/>
    </row>
    <row r="212" spans="1:53" ht="13.5" thickBot="1" x14ac:dyDescent="0.25">
      <c r="A212" s="236">
        <v>3</v>
      </c>
      <c r="B212" s="513" t="str">
        <f>L179</f>
        <v>CSRA Heat 12 Gold</v>
      </c>
      <c r="C212" s="514"/>
      <c r="D212" s="514"/>
      <c r="E212" s="514"/>
      <c r="F212" s="514"/>
      <c r="G212" s="514"/>
      <c r="H212" s="514"/>
      <c r="I212" s="514"/>
      <c r="J212" s="515"/>
      <c r="K212" s="516" t="str">
        <f>R179</f>
        <v>fj2csrah1pm</v>
      </c>
      <c r="L212" s="517"/>
      <c r="M212" s="517"/>
      <c r="N212" s="517"/>
      <c r="O212" s="517"/>
      <c r="P212" s="517"/>
      <c r="Q212" s="518"/>
      <c r="U212" s="510">
        <v>3</v>
      </c>
      <c r="V212" s="511"/>
      <c r="W212" s="512"/>
      <c r="X212" s="513" t="str">
        <f>AF179</f>
        <v>Lake Murray 12 Black</v>
      </c>
      <c r="Y212" s="514"/>
      <c r="Z212" s="514"/>
      <c r="AA212" s="514"/>
      <c r="AB212" s="514"/>
      <c r="AC212" s="514"/>
      <c r="AD212" s="514"/>
      <c r="AE212" s="514"/>
      <c r="AF212" s="515"/>
      <c r="AG212" s="516" t="str">
        <f>AL179</f>
        <v>fj2lakem1pm</v>
      </c>
      <c r="AH212" s="517"/>
      <c r="AI212" s="517"/>
      <c r="AJ212" s="517"/>
      <c r="AK212" s="517"/>
      <c r="AL212" s="517"/>
      <c r="AM212" s="518"/>
      <c r="AT212" s="186"/>
      <c r="AU212" s="186"/>
      <c r="AV212" s="186"/>
      <c r="AW212" s="274"/>
      <c r="AX212" s="186"/>
      <c r="AY212" s="186"/>
      <c r="AZ212" s="186"/>
      <c r="BA212" s="186"/>
    </row>
    <row r="213" spans="1:53" ht="13.5" thickBot="1" x14ac:dyDescent="0.25">
      <c r="A213" s="236">
        <v>4</v>
      </c>
      <c r="B213" s="513" t="str">
        <f>L180</f>
        <v>SC Midlands 12 Black</v>
      </c>
      <c r="C213" s="514"/>
      <c r="D213" s="514"/>
      <c r="E213" s="514"/>
      <c r="F213" s="514"/>
      <c r="G213" s="514"/>
      <c r="H213" s="514"/>
      <c r="I213" s="514"/>
      <c r="J213" s="515"/>
      <c r="K213" s="516" t="str">
        <f>R180</f>
        <v>fj2scmid1pm</v>
      </c>
      <c r="L213" s="517"/>
      <c r="M213" s="517"/>
      <c r="N213" s="517"/>
      <c r="O213" s="517"/>
      <c r="P213" s="517"/>
      <c r="Q213" s="518"/>
      <c r="U213" s="510">
        <v>4</v>
      </c>
      <c r="V213" s="511"/>
      <c r="W213" s="512"/>
      <c r="X213" s="513" t="str">
        <f>AF180</f>
        <v>OLC 12s Purple</v>
      </c>
      <c r="Y213" s="514"/>
      <c r="Z213" s="514"/>
      <c r="AA213" s="514"/>
      <c r="AB213" s="514"/>
      <c r="AC213" s="514"/>
      <c r="AD213" s="514"/>
      <c r="AE213" s="514"/>
      <c r="AF213" s="515"/>
      <c r="AG213" s="516" t="str">
        <f>AL180</f>
        <v>fj2ladyc1pm</v>
      </c>
      <c r="AH213" s="517"/>
      <c r="AI213" s="517"/>
      <c r="AJ213" s="517"/>
      <c r="AK213" s="517"/>
      <c r="AL213" s="517"/>
      <c r="AM213" s="518"/>
      <c r="AT213" s="186"/>
      <c r="AU213" s="186"/>
      <c r="AV213" s="186"/>
      <c r="AW213" s="274"/>
      <c r="AX213" s="186"/>
      <c r="AY213" s="186"/>
      <c r="AZ213" s="186"/>
      <c r="BA213" s="186"/>
    </row>
    <row r="214" spans="1:53" ht="13.5" thickBot="1" x14ac:dyDescent="0.25">
      <c r="AT214" s="186"/>
      <c r="AU214" s="186"/>
      <c r="AV214" s="186"/>
      <c r="AW214" s="274"/>
      <c r="AX214" s="186"/>
      <c r="AY214" s="186"/>
      <c r="AZ214" s="186"/>
      <c r="BA214" s="186"/>
    </row>
    <row r="215" spans="1:53" x14ac:dyDescent="0.2">
      <c r="B215" s="519" t="s">
        <v>154</v>
      </c>
      <c r="C215" s="520"/>
      <c r="D215" s="521"/>
      <c r="E215" s="522" t="s">
        <v>154</v>
      </c>
      <c r="F215" s="520"/>
      <c r="G215" s="521"/>
      <c r="H215" s="522" t="s">
        <v>14</v>
      </c>
      <c r="I215" s="520"/>
      <c r="J215" s="523"/>
      <c r="K215" s="524" t="s">
        <v>155</v>
      </c>
      <c r="L215" s="525"/>
      <c r="M215" s="525"/>
      <c r="N215" s="525"/>
      <c r="O215" s="525"/>
      <c r="P215" s="525"/>
      <c r="Q215" s="526"/>
      <c r="R215" s="216"/>
      <c r="S215" s="216"/>
      <c r="T215" s="216"/>
      <c r="U215" s="216"/>
      <c r="W215" s="519" t="s">
        <v>154</v>
      </c>
      <c r="X215" s="520"/>
      <c r="Y215" s="521"/>
      <c r="Z215" s="522" t="s">
        <v>154</v>
      </c>
      <c r="AA215" s="520"/>
      <c r="AB215" s="521"/>
      <c r="AC215" s="522" t="s">
        <v>14</v>
      </c>
      <c r="AD215" s="520"/>
      <c r="AE215" s="523"/>
      <c r="AF215" s="524" t="s">
        <v>155</v>
      </c>
      <c r="AG215" s="533"/>
      <c r="AH215" s="533"/>
      <c r="AI215" s="533"/>
      <c r="AJ215" s="534"/>
      <c r="AW215" s="274"/>
      <c r="AX215" s="186"/>
      <c r="AY215" s="186"/>
      <c r="AZ215" s="186"/>
      <c r="BA215" s="186"/>
    </row>
    <row r="216" spans="1:53" x14ac:dyDescent="0.2">
      <c r="A216" s="173" t="s">
        <v>156</v>
      </c>
      <c r="B216" s="541">
        <v>3</v>
      </c>
      <c r="C216" s="542"/>
      <c r="D216" s="543"/>
      <c r="E216" s="544" t="s">
        <v>157</v>
      </c>
      <c r="F216" s="542"/>
      <c r="G216" s="543"/>
      <c r="H216" s="544" t="s">
        <v>158</v>
      </c>
      <c r="I216" s="542"/>
      <c r="J216" s="545"/>
      <c r="K216" s="527"/>
      <c r="L216" s="528"/>
      <c r="M216" s="528"/>
      <c r="N216" s="528"/>
      <c r="O216" s="528"/>
      <c r="P216" s="528"/>
      <c r="Q216" s="529"/>
      <c r="R216" s="216"/>
      <c r="S216" s="216"/>
      <c r="T216" s="546" t="s">
        <v>156</v>
      </c>
      <c r="U216" s="546"/>
      <c r="V216" s="547"/>
      <c r="W216" s="541">
        <v>3</v>
      </c>
      <c r="X216" s="542"/>
      <c r="Y216" s="543"/>
      <c r="Z216" s="544" t="s">
        <v>157</v>
      </c>
      <c r="AA216" s="542"/>
      <c r="AB216" s="543"/>
      <c r="AC216" s="544" t="s">
        <v>158</v>
      </c>
      <c r="AD216" s="542"/>
      <c r="AE216" s="545"/>
      <c r="AF216" s="535"/>
      <c r="AG216" s="536"/>
      <c r="AH216" s="536"/>
      <c r="AI216" s="536"/>
      <c r="AJ216" s="537"/>
      <c r="AW216" s="274"/>
      <c r="AX216" s="186"/>
      <c r="AY216" s="186"/>
      <c r="AZ216" s="186"/>
      <c r="BA216" s="186"/>
    </row>
    <row r="217" spans="1:53" ht="13.5" thickBot="1" x14ac:dyDescent="0.25">
      <c r="A217" s="138"/>
      <c r="B217" s="548" t="s">
        <v>68</v>
      </c>
      <c r="C217" s="446"/>
      <c r="D217" s="447"/>
      <c r="E217" s="445" t="s">
        <v>159</v>
      </c>
      <c r="F217" s="446"/>
      <c r="G217" s="447"/>
      <c r="H217" s="445" t="s">
        <v>160</v>
      </c>
      <c r="I217" s="446"/>
      <c r="J217" s="549"/>
      <c r="K217" s="530"/>
      <c r="L217" s="531"/>
      <c r="M217" s="531"/>
      <c r="N217" s="531"/>
      <c r="O217" s="531"/>
      <c r="P217" s="531"/>
      <c r="Q217" s="532"/>
      <c r="R217" s="216"/>
      <c r="S217" s="216"/>
      <c r="T217" s="550"/>
      <c r="U217" s="550"/>
      <c r="V217" s="551"/>
      <c r="W217" s="548" t="s">
        <v>68</v>
      </c>
      <c r="X217" s="446"/>
      <c r="Y217" s="447"/>
      <c r="Z217" s="445" t="s">
        <v>159</v>
      </c>
      <c r="AA217" s="446"/>
      <c r="AB217" s="447"/>
      <c r="AC217" s="445" t="s">
        <v>160</v>
      </c>
      <c r="AD217" s="446"/>
      <c r="AE217" s="549"/>
      <c r="AF217" s="538"/>
      <c r="AG217" s="539"/>
      <c r="AH217" s="539"/>
      <c r="AI217" s="539"/>
      <c r="AJ217" s="540"/>
      <c r="AW217" s="274"/>
      <c r="AX217" s="186"/>
      <c r="AY217" s="186"/>
      <c r="AZ217" s="186"/>
      <c r="BA217" s="186"/>
    </row>
    <row r="218" spans="1:53" ht="13.5" thickBot="1" x14ac:dyDescent="0.25">
      <c r="A218" s="138"/>
      <c r="B218" s="241">
        <v>1</v>
      </c>
      <c r="C218" s="242" t="s">
        <v>76</v>
      </c>
      <c r="D218" s="243">
        <v>4</v>
      </c>
      <c r="E218" s="244">
        <v>2</v>
      </c>
      <c r="F218" s="242" t="s">
        <v>76</v>
      </c>
      <c r="G218" s="243">
        <v>3</v>
      </c>
      <c r="H218" s="245">
        <f>IF(OR(AND(OR(B222&gt;0,D222&gt;0),B222&gt;D222),OR(D218="b",D218="B")),B218,IF(OR(AND(OR(B222&gt;0,D222&gt;0),D222&gt;B222),OR(B218="b",B218="B")),D218,"W1"))</f>
        <v>1</v>
      </c>
      <c r="I218" s="246" t="s">
        <v>76</v>
      </c>
      <c r="J218" s="247">
        <f>IF(OR(AND(OR(E222&gt;0,G222&gt;0),E222&gt;G222),OR(G218="b",G218="B")),E218,IF(OR(AND(OR(E222&gt;0,G222&gt;0),G222&gt;E222),OR(E218="b",E218="B")),G218,"W2"))</f>
        <v>2</v>
      </c>
      <c r="K218" s="552" t="s">
        <v>161</v>
      </c>
      <c r="L218" s="553"/>
      <c r="M218" s="553"/>
      <c r="N218" s="554"/>
      <c r="R218" s="216"/>
      <c r="S218" s="216"/>
      <c r="T218" s="550"/>
      <c r="U218" s="550"/>
      <c r="V218" s="551"/>
      <c r="W218" s="241">
        <v>1</v>
      </c>
      <c r="X218" s="242" t="s">
        <v>76</v>
      </c>
      <c r="Y218" s="243">
        <v>4</v>
      </c>
      <c r="Z218" s="244">
        <v>2</v>
      </c>
      <c r="AA218" s="242" t="s">
        <v>76</v>
      </c>
      <c r="AB218" s="243">
        <v>3</v>
      </c>
      <c r="AC218" s="245">
        <f>IF(OR(AND(OR(W222&gt;0,Y222&gt;0),W222&gt;Y222),OR(Y218="b",Y218="B")),W218,IF(OR(AND(OR(W222&gt;0,Y222&gt;0),Y222&gt;W222),OR(W218="b",W218="B")),Y218,"W1"))</f>
        <v>1</v>
      </c>
      <c r="AD218" s="246" t="s">
        <v>76</v>
      </c>
      <c r="AE218" s="247">
        <f>IF(OR(AND(OR(Z222&gt;0,AB222&gt;0),Z222&gt;AB222),OR(AB222="b",AB222="B")),Z218,IF(OR(AND(OR(Z222&gt;0,AB222&gt;0),AB222&gt;Z222),OR(Z222="b",Z222="B")),AB218,"W2"))</f>
        <v>3</v>
      </c>
      <c r="AF218" s="552" t="s">
        <v>161</v>
      </c>
      <c r="AG218" s="554"/>
      <c r="AH218" s="216"/>
      <c r="AI218" s="216"/>
      <c r="AJ218" s="216"/>
      <c r="AW218" s="274"/>
      <c r="AX218" s="186"/>
      <c r="AY218" s="186"/>
      <c r="AZ218" s="186"/>
      <c r="BA218" s="186"/>
    </row>
    <row r="219" spans="1:53" ht="13.5" hidden="1" customHeight="1" x14ac:dyDescent="0.25">
      <c r="A219" s="138"/>
      <c r="B219" s="255">
        <f>IF(B223&gt;D223,1,0)</f>
        <v>1</v>
      </c>
      <c r="C219" s="256"/>
      <c r="D219" s="257">
        <f>IF(D223&gt;B223,1,0)</f>
        <v>0</v>
      </c>
      <c r="E219" s="255">
        <f>IF(E223&gt;G223,1,0)</f>
        <v>1</v>
      </c>
      <c r="F219" s="256"/>
      <c r="G219" s="257">
        <f>IF(G223&gt;E223,1,0)</f>
        <v>0</v>
      </c>
      <c r="H219" s="255">
        <f>IF(H223&gt;J223,1,0)</f>
        <v>0</v>
      </c>
      <c r="I219" s="256"/>
      <c r="J219" s="257">
        <f>IF(J223&gt;H223,1,0)</f>
        <v>1</v>
      </c>
      <c r="K219" s="258"/>
      <c r="L219" s="259"/>
      <c r="M219" s="259"/>
      <c r="N219" s="260"/>
      <c r="R219" s="216"/>
      <c r="S219" s="216"/>
      <c r="T219" s="550"/>
      <c r="U219" s="550"/>
      <c r="V219" s="551"/>
      <c r="W219" s="255">
        <f>IF(W223&gt;Y223,1,0)</f>
        <v>1</v>
      </c>
      <c r="X219" s="256"/>
      <c r="Y219" s="257">
        <f>IF(Y223&gt;W223,1,0)</f>
        <v>0</v>
      </c>
      <c r="Z219" s="255">
        <f>IF(Z223&gt;AB223,1,0)</f>
        <v>0</v>
      </c>
      <c r="AA219" s="256"/>
      <c r="AB219" s="257">
        <f>IF(AB223&gt;Z223,1,0)</f>
        <v>1</v>
      </c>
      <c r="AC219" s="255">
        <f>IF(AC223&gt;AE223,1,0)</f>
        <v>0</v>
      </c>
      <c r="AD219" s="256"/>
      <c r="AE219" s="257">
        <f>IF(AE223&gt;AC223,1,0)</f>
        <v>1</v>
      </c>
      <c r="AF219" s="285"/>
      <c r="AG219" s="284"/>
      <c r="AH219" s="216"/>
      <c r="AI219" s="216"/>
      <c r="AJ219" s="216"/>
      <c r="AW219" s="274"/>
      <c r="AX219" s="186"/>
      <c r="AY219" s="186"/>
      <c r="AZ219" s="186"/>
      <c r="BA219" s="186"/>
    </row>
    <row r="220" spans="1:53" ht="13.5" hidden="1" customHeight="1" x14ac:dyDescent="0.25">
      <c r="A220" s="138"/>
      <c r="B220" s="255">
        <f>IF(B224&gt;D224,1,0)</f>
        <v>0</v>
      </c>
      <c r="C220" s="256"/>
      <c r="D220" s="257">
        <f>IF(D224&gt;B224,1,0)</f>
        <v>0</v>
      </c>
      <c r="E220" s="255">
        <f>IF(E224&gt;G224,1,0)</f>
        <v>0</v>
      </c>
      <c r="F220" s="256"/>
      <c r="G220" s="257">
        <f>IF(G224&gt;E224,1,0)</f>
        <v>0</v>
      </c>
      <c r="H220" s="255">
        <f>IF(H224&gt;J224,1,0)</f>
        <v>1</v>
      </c>
      <c r="I220" s="256"/>
      <c r="J220" s="257">
        <f>IF(J224&gt;H224,1,0)</f>
        <v>0</v>
      </c>
      <c r="K220" s="258"/>
      <c r="L220" s="259"/>
      <c r="M220" s="259"/>
      <c r="N220" s="260"/>
      <c r="R220" s="216"/>
      <c r="S220" s="216"/>
      <c r="T220" s="550"/>
      <c r="U220" s="550"/>
      <c r="V220" s="551"/>
      <c r="W220" s="255">
        <f>IF(W224&gt;Y224,1,0)</f>
        <v>0</v>
      </c>
      <c r="X220" s="256"/>
      <c r="Y220" s="257">
        <f>IF(Y224&gt;W224,1,0)</f>
        <v>0</v>
      </c>
      <c r="Z220" s="255">
        <f>IF(Z224&gt;AB224,1,0)</f>
        <v>0</v>
      </c>
      <c r="AA220" s="256"/>
      <c r="AB220" s="257">
        <f>IF(AB224&gt;Z224,1,0)</f>
        <v>0</v>
      </c>
      <c r="AC220" s="255">
        <f>IF(AC224&gt;AE224,1,0)</f>
        <v>0</v>
      </c>
      <c r="AD220" s="256"/>
      <c r="AE220" s="257">
        <f>IF(AE224&gt;AC224,1,0)</f>
        <v>1</v>
      </c>
      <c r="AF220" s="285"/>
      <c r="AG220" s="284"/>
      <c r="AH220" s="216"/>
      <c r="AI220" s="216"/>
      <c r="AJ220" s="216"/>
      <c r="AW220" s="274"/>
      <c r="AX220" s="186"/>
      <c r="AY220" s="186"/>
      <c r="AZ220" s="186"/>
      <c r="BA220" s="186"/>
    </row>
    <row r="221" spans="1:53" ht="13.5" hidden="1" customHeight="1" thickBot="1" x14ac:dyDescent="0.25">
      <c r="A221" s="138"/>
      <c r="B221" s="255">
        <f>IF(B225&gt;D225,1,0)</f>
        <v>0</v>
      </c>
      <c r="C221" s="256"/>
      <c r="D221" s="257">
        <f>IF(D225&gt;B225,1,0)</f>
        <v>0</v>
      </c>
      <c r="E221" s="255">
        <f>IF(E225&gt;G225,1,0)</f>
        <v>0</v>
      </c>
      <c r="F221" s="256"/>
      <c r="G221" s="257">
        <f>IF(G225&gt;E225,1,0)</f>
        <v>0</v>
      </c>
      <c r="H221" s="255">
        <f>IF(H225&gt;J225,1,0)</f>
        <v>0</v>
      </c>
      <c r="I221" s="256"/>
      <c r="J221" s="257">
        <f>IF(J225&gt;H225,1,0)</f>
        <v>1</v>
      </c>
      <c r="K221" s="258"/>
      <c r="L221" s="259"/>
      <c r="M221" s="259"/>
      <c r="N221" s="260"/>
      <c r="R221" s="216"/>
      <c r="S221" s="216"/>
      <c r="T221" s="550"/>
      <c r="U221" s="550"/>
      <c r="V221" s="551"/>
      <c r="W221" s="255">
        <f>IF(W225&gt;Y225,1,0)</f>
        <v>0</v>
      </c>
      <c r="X221" s="256"/>
      <c r="Y221" s="257">
        <f>IF(Y225&gt;W225,1,0)</f>
        <v>0</v>
      </c>
      <c r="Z221" s="255">
        <f>IF(Z225&gt;AB225,1,0)</f>
        <v>0</v>
      </c>
      <c r="AA221" s="256"/>
      <c r="AB221" s="257">
        <f>IF(AB225&gt;Z225,1,0)</f>
        <v>0</v>
      </c>
      <c r="AC221" s="255">
        <f>IF(AC225&gt;AE225,1,0)</f>
        <v>0</v>
      </c>
      <c r="AD221" s="256"/>
      <c r="AE221" s="257">
        <f>IF(AE225&gt;AC225,1,0)</f>
        <v>0</v>
      </c>
      <c r="AF221" s="285"/>
      <c r="AG221" s="284"/>
      <c r="AH221" s="216"/>
      <c r="AI221" s="216"/>
      <c r="AJ221" s="216"/>
      <c r="AW221" s="274"/>
      <c r="AX221" s="186"/>
      <c r="AY221" s="186"/>
      <c r="AZ221" s="186"/>
      <c r="BA221" s="186"/>
    </row>
    <row r="222" spans="1:53" ht="13.5" hidden="1" customHeight="1" x14ac:dyDescent="0.25">
      <c r="A222" s="138"/>
      <c r="B222" s="255">
        <f>SUM(B219:B221)</f>
        <v>1</v>
      </c>
      <c r="C222" s="256"/>
      <c r="D222" s="255">
        <f>SUM(D219:D221)</f>
        <v>0</v>
      </c>
      <c r="E222" s="255">
        <f>SUM(E219:E221)</f>
        <v>1</v>
      </c>
      <c r="F222" s="256"/>
      <c r="G222" s="255">
        <f>SUM(G219:G221)</f>
        <v>0</v>
      </c>
      <c r="H222" s="255">
        <f>SUM(H219:H221)</f>
        <v>1</v>
      </c>
      <c r="I222" s="256"/>
      <c r="J222" s="255">
        <f>SUM(J219:J221)</f>
        <v>2</v>
      </c>
      <c r="K222" s="258"/>
      <c r="L222" s="259"/>
      <c r="M222" s="259"/>
      <c r="N222" s="260"/>
      <c r="R222" s="216"/>
      <c r="S222" s="216"/>
      <c r="T222" s="550"/>
      <c r="U222" s="550"/>
      <c r="V222" s="551"/>
      <c r="W222" s="255">
        <f>SUM(W219:W221)</f>
        <v>1</v>
      </c>
      <c r="X222" s="256"/>
      <c r="Y222" s="255">
        <f>SUM(Y219:Y221)</f>
        <v>0</v>
      </c>
      <c r="Z222" s="255">
        <f>SUM(Z219:Z221)</f>
        <v>0</v>
      </c>
      <c r="AA222" s="256"/>
      <c r="AB222" s="255">
        <f>SUM(AB219:AB221)</f>
        <v>1</v>
      </c>
      <c r="AC222" s="255">
        <f>SUM(AC219:AC221)</f>
        <v>0</v>
      </c>
      <c r="AD222" s="256"/>
      <c r="AE222" s="255">
        <f>SUM(AE219:AE221)</f>
        <v>2</v>
      </c>
      <c r="AF222" s="285"/>
      <c r="AG222" s="284"/>
      <c r="AH222" s="216"/>
      <c r="AI222" s="216"/>
      <c r="AJ222" s="216"/>
      <c r="AW222" s="274"/>
      <c r="AX222" s="186"/>
      <c r="AY222" s="186"/>
      <c r="AZ222" s="186"/>
      <c r="BA222" s="186"/>
    </row>
    <row r="223" spans="1:53" ht="12.75" customHeight="1" x14ac:dyDescent="0.2">
      <c r="A223" s="136" t="s">
        <v>77</v>
      </c>
      <c r="B223" s="261">
        <v>25</v>
      </c>
      <c r="C223" s="182" t="s">
        <v>78</v>
      </c>
      <c r="D223" s="262">
        <v>21</v>
      </c>
      <c r="E223" s="263">
        <v>25</v>
      </c>
      <c r="F223" s="182" t="s">
        <v>78</v>
      </c>
      <c r="G223" s="262">
        <v>16</v>
      </c>
      <c r="H223" s="263">
        <v>23</v>
      </c>
      <c r="I223" s="182" t="s">
        <v>78</v>
      </c>
      <c r="J223" s="264">
        <v>25</v>
      </c>
      <c r="K223" s="557">
        <f>IF(AND(OR(H222&gt;0,J222&gt;0),AND(1&lt;=H218,H218&lt;=4),AND(1&lt;=J218,J218&lt;=4)),IF(H222&gt;J222,H218,IF(J222&gt;H222,J218,"")),"")</f>
        <v>2</v>
      </c>
      <c r="L223" s="558"/>
      <c r="M223" s="558"/>
      <c r="N223" s="559"/>
      <c r="R223" s="216"/>
      <c r="S223" s="216"/>
      <c r="T223" s="217"/>
      <c r="U223" s="217"/>
      <c r="V223" s="136" t="s">
        <v>77</v>
      </c>
      <c r="W223" s="261">
        <v>27</v>
      </c>
      <c r="X223" s="182" t="s">
        <v>78</v>
      </c>
      <c r="Y223" s="262">
        <v>25</v>
      </c>
      <c r="Z223" s="263">
        <v>7</v>
      </c>
      <c r="AA223" s="182" t="s">
        <v>78</v>
      </c>
      <c r="AB223" s="262">
        <v>25</v>
      </c>
      <c r="AC223" s="263">
        <v>14</v>
      </c>
      <c r="AD223" s="182" t="s">
        <v>78</v>
      </c>
      <c r="AE223" s="264">
        <v>25</v>
      </c>
      <c r="AF223" s="557">
        <f>IF(AND(OR(AC222&gt;0,AE222&gt;0),AND(1&lt;=AC218,AC218&lt;=4),AND(1&lt;=AE218,AE218&lt;=4)),IF(AC222&gt;AE222,AC218,IF(AE222&gt;AC222,AE218,"")),"")</f>
        <v>3</v>
      </c>
      <c r="AG223" s="559"/>
      <c r="AH223" s="216"/>
      <c r="AI223" s="216"/>
      <c r="AJ223" s="216"/>
      <c r="AW223" s="274"/>
      <c r="AX223" s="186"/>
      <c r="AY223" s="186"/>
      <c r="AZ223" s="186"/>
      <c r="BA223" s="186"/>
    </row>
    <row r="224" spans="1:53" ht="12.75" customHeight="1" x14ac:dyDescent="0.2">
      <c r="A224" s="136" t="s">
        <v>162</v>
      </c>
      <c r="B224" s="261"/>
      <c r="C224" s="182" t="s">
        <v>78</v>
      </c>
      <c r="D224" s="262"/>
      <c r="E224" s="263"/>
      <c r="F224" s="182" t="s">
        <v>78</v>
      </c>
      <c r="G224" s="262"/>
      <c r="H224" s="263">
        <v>25</v>
      </c>
      <c r="I224" s="182" t="s">
        <v>78</v>
      </c>
      <c r="J224" s="264">
        <v>17</v>
      </c>
      <c r="K224" s="560"/>
      <c r="L224" s="561"/>
      <c r="M224" s="561"/>
      <c r="N224" s="562"/>
      <c r="R224" s="216"/>
      <c r="S224" s="216"/>
      <c r="T224" s="217"/>
      <c r="U224" s="217"/>
      <c r="V224" s="136" t="s">
        <v>162</v>
      </c>
      <c r="W224" s="261"/>
      <c r="X224" s="182" t="s">
        <v>78</v>
      </c>
      <c r="Y224" s="262"/>
      <c r="Z224" s="263"/>
      <c r="AA224" s="182" t="s">
        <v>78</v>
      </c>
      <c r="AB224" s="262"/>
      <c r="AC224" s="263">
        <v>19</v>
      </c>
      <c r="AD224" s="182" t="s">
        <v>78</v>
      </c>
      <c r="AE224" s="264">
        <v>25</v>
      </c>
      <c r="AF224" s="560"/>
      <c r="AG224" s="562"/>
      <c r="AH224" s="216"/>
      <c r="AI224" s="216"/>
      <c r="AJ224" s="216"/>
      <c r="AW224" s="274"/>
      <c r="AX224" s="186"/>
      <c r="AY224" s="186"/>
      <c r="AZ224" s="186"/>
      <c r="BA224" s="186"/>
    </row>
    <row r="225" spans="1:77" ht="13.5" customHeight="1" thickBot="1" x14ac:dyDescent="0.25">
      <c r="A225" s="136" t="s">
        <v>163</v>
      </c>
      <c r="B225" s="269"/>
      <c r="C225" s="270" t="s">
        <v>78</v>
      </c>
      <c r="D225" s="271"/>
      <c r="E225" s="272"/>
      <c r="F225" s="270" t="s">
        <v>78</v>
      </c>
      <c r="G225" s="271"/>
      <c r="H225" s="272">
        <v>14</v>
      </c>
      <c r="I225" s="270" t="s">
        <v>78</v>
      </c>
      <c r="J225" s="273">
        <v>16</v>
      </c>
      <c r="K225" s="563"/>
      <c r="L225" s="564"/>
      <c r="M225" s="564"/>
      <c r="N225" s="565"/>
      <c r="R225" s="216"/>
      <c r="S225" s="216"/>
      <c r="T225" s="217"/>
      <c r="U225" s="217"/>
      <c r="V225" s="136" t="s">
        <v>163</v>
      </c>
      <c r="W225" s="269"/>
      <c r="X225" s="270" t="s">
        <v>78</v>
      </c>
      <c r="Y225" s="271"/>
      <c r="Z225" s="272"/>
      <c r="AA225" s="270" t="s">
        <v>78</v>
      </c>
      <c r="AB225" s="271"/>
      <c r="AC225" s="272"/>
      <c r="AD225" s="270" t="s">
        <v>78</v>
      </c>
      <c r="AE225" s="273"/>
      <c r="AF225" s="563"/>
      <c r="AG225" s="565"/>
      <c r="AH225" s="216"/>
      <c r="AI225" s="216"/>
      <c r="AJ225" s="216"/>
      <c r="AW225" s="274"/>
      <c r="AX225" s="186"/>
      <c r="AY225" s="186"/>
      <c r="AZ225" s="186"/>
      <c r="BA225" s="186"/>
    </row>
    <row r="226" spans="1:77" hidden="1" x14ac:dyDescent="0.2">
      <c r="B226" s="133"/>
      <c r="C226" s="221" t="s">
        <v>112</v>
      </c>
      <c r="D226" s="133" t="s">
        <v>164</v>
      </c>
      <c r="E226" s="133"/>
      <c r="F226" s="221"/>
      <c r="G226" s="134" t="s">
        <v>165</v>
      </c>
      <c r="J226" s="134" t="s">
        <v>166</v>
      </c>
      <c r="W226" s="133"/>
      <c r="X226" s="221" t="s">
        <v>112</v>
      </c>
      <c r="Y226" s="133" t="s">
        <v>164</v>
      </c>
      <c r="Z226" s="133"/>
      <c r="AA226" s="221"/>
      <c r="AB226" s="134" t="s">
        <v>165</v>
      </c>
      <c r="AE226" s="134" t="s">
        <v>166</v>
      </c>
      <c r="AT226" s="134" t="str">
        <f>B227</f>
        <v>Chas Jrs 12 Red</v>
      </c>
      <c r="AU226" s="134">
        <f>J227</f>
        <v>1584.5549621974531</v>
      </c>
      <c r="AW226" s="274"/>
      <c r="AX226" s="186"/>
      <c r="AY226" s="186"/>
      <c r="AZ226" s="186"/>
      <c r="BA226" s="186"/>
      <c r="BB226" s="274"/>
      <c r="BC226" s="186"/>
      <c r="BD226" s="186"/>
      <c r="BE226" s="274"/>
      <c r="BF226" s="186"/>
      <c r="BG226" s="186"/>
      <c r="BH226" s="274"/>
      <c r="BI226" s="186"/>
      <c r="BJ226" s="186"/>
      <c r="BK226" s="274"/>
      <c r="BL226" s="186"/>
      <c r="BM226" s="186"/>
      <c r="BN226" s="274"/>
      <c r="BO226" s="186"/>
      <c r="BP226" s="186"/>
      <c r="BQ226" s="274"/>
      <c r="BR226" s="186"/>
      <c r="BS226" s="186"/>
      <c r="BT226" s="274"/>
      <c r="BU226" s="186"/>
      <c r="BV226" s="186"/>
      <c r="BW226" s="274"/>
      <c r="BX226" s="186"/>
      <c r="BY226" s="186"/>
    </row>
    <row r="227" spans="1:77" hidden="1" x14ac:dyDescent="0.2">
      <c r="A227" s="134">
        <v>1</v>
      </c>
      <c r="B227" s="134" t="str">
        <f>B210</f>
        <v>Chas Jrs 12 Red</v>
      </c>
      <c r="C227" s="134">
        <f>VLOOKUP(B227,AU$2:AY$22,4,FALSE)</f>
        <v>1595.6788293469422</v>
      </c>
      <c r="D227" s="134">
        <f>IF(A227=B218,B233,IF(A227=D218,D233,C227))</f>
        <v>1600.3724824277849</v>
      </c>
      <c r="G227" s="134">
        <f>IF(A227=E218,E233,IF(A227=G218,G233,D227))</f>
        <v>1600.3724824277849</v>
      </c>
      <c r="J227" s="134">
        <f>IF(A227=H218,H233,IF(A227=J218,J233,G227))</f>
        <v>1584.5549621974531</v>
      </c>
      <c r="U227" s="283"/>
      <c r="V227" s="283">
        <v>1</v>
      </c>
      <c r="W227" s="134" t="str">
        <f>X210</f>
        <v>Magnum Aiken 12 Yellow</v>
      </c>
      <c r="X227" s="134">
        <f>VLOOKUP(W227,AU$2:AY$22,4,FALSE)</f>
        <v>1404.3859648000866</v>
      </c>
      <c r="Y227" s="134">
        <f>IF(V227=W218,W233,IF(V227=Y218,Y233,X227))</f>
        <v>1409.8082834577658</v>
      </c>
      <c r="AB227" s="134">
        <f>IF(V227=Z218,Z233,IF(V227=AB218,AB233,Y227))</f>
        <v>1409.8082834577658</v>
      </c>
      <c r="AE227" s="134">
        <f>IF(V227=AC218,AC233,IF(V227=AE218,AE233,AB227))</f>
        <v>1392.8100796128085</v>
      </c>
      <c r="AT227" s="134" t="str">
        <f>B228</f>
        <v>Magnum Aiken 12 Green</v>
      </c>
      <c r="AU227" s="134">
        <f>J228</f>
        <v>1498.741500196315</v>
      </c>
      <c r="AW227" s="274"/>
      <c r="AX227" s="186"/>
      <c r="AY227" s="186"/>
      <c r="AZ227" s="186"/>
      <c r="BA227" s="186"/>
      <c r="BB227" s="274"/>
      <c r="BC227" s="186"/>
      <c r="BD227" s="186"/>
      <c r="BE227" s="274"/>
      <c r="BF227" s="186"/>
      <c r="BG227" s="186"/>
      <c r="BH227" s="274"/>
      <c r="BI227" s="186"/>
      <c r="BJ227" s="186"/>
      <c r="BK227" s="274"/>
      <c r="BL227" s="186"/>
      <c r="BM227" s="186"/>
      <c r="BN227" s="274"/>
      <c r="BO227" s="186"/>
      <c r="BP227" s="186"/>
      <c r="BQ227" s="274"/>
      <c r="BR227" s="186"/>
      <c r="BS227" s="186"/>
      <c r="BT227" s="274"/>
      <c r="BU227" s="186"/>
      <c r="BV227" s="186"/>
      <c r="BW227" s="274"/>
      <c r="BX227" s="186"/>
      <c r="BY227" s="186"/>
    </row>
    <row r="228" spans="1:77" hidden="1" x14ac:dyDescent="0.2">
      <c r="A228" s="134">
        <v>2</v>
      </c>
      <c r="B228" s="134" t="str">
        <f>B211</f>
        <v>Magnum Aiken 12 Green</v>
      </c>
      <c r="C228" s="134">
        <f>VLOOKUP(B228,AU$2:AY$22,4,FALSE)</f>
        <v>1475.835327254912</v>
      </c>
      <c r="D228" s="134">
        <f>IF(A228=B218,B233,IF(A228=D218,D233,C228))</f>
        <v>1475.835327254912</v>
      </c>
      <c r="G228" s="134">
        <f>IF(A228=E218,E233,IF(A228=G218,G233,D228))</f>
        <v>1482.9239799659831</v>
      </c>
      <c r="J228" s="134">
        <f>IF(A228=H218,H233,IF(A228=J218,J233,G228))</f>
        <v>1498.741500196315</v>
      </c>
      <c r="U228" s="283"/>
      <c r="V228" s="283">
        <v>2</v>
      </c>
      <c r="W228" s="134" t="str">
        <f>X211</f>
        <v>Palm Strikers 12 Platinum</v>
      </c>
      <c r="X228" s="134">
        <f>VLOOKUP(W228,AU$2:AY$22,4,FALSE)</f>
        <v>1383.5239908864794</v>
      </c>
      <c r="Y228" s="134">
        <f>IF(V228=W218,W233,IF(V228=Y218,Y233,X228))</f>
        <v>1383.5239908864794</v>
      </c>
      <c r="AB228" s="134">
        <f>IF(V228=Z218,Z233,IF(V228=AB218,AB233,Y228))</f>
        <v>1375.4433983168517</v>
      </c>
      <c r="AE228" s="134">
        <f>IF(V228=AC218,AC233,IF(V228=AE218,AE233,AB228))</f>
        <v>1375.4433983168517</v>
      </c>
      <c r="AT228" s="134" t="str">
        <f>B229</f>
        <v>CSRA Heat 12 Gold</v>
      </c>
      <c r="AU228" s="134">
        <f>J229</f>
        <v>1428.9948068214296</v>
      </c>
      <c r="AW228" s="274"/>
      <c r="AX228" s="186"/>
      <c r="AY228" s="186"/>
      <c r="AZ228" s="186"/>
      <c r="BA228" s="186"/>
      <c r="BB228" s="274"/>
      <c r="BC228" s="186"/>
      <c r="BD228" s="186"/>
      <c r="BE228" s="274"/>
      <c r="BF228" s="186"/>
      <c r="BG228" s="186"/>
      <c r="BH228" s="274"/>
      <c r="BI228" s="186"/>
      <c r="BJ228" s="186"/>
      <c r="BK228" s="274"/>
      <c r="BL228" s="186"/>
      <c r="BM228" s="186"/>
      <c r="BN228" s="274"/>
      <c r="BO228" s="186"/>
      <c r="BP228" s="186"/>
      <c r="BQ228" s="274"/>
      <c r="BR228" s="186"/>
      <c r="BS228" s="186"/>
      <c r="BT228" s="274"/>
      <c r="BU228" s="186"/>
      <c r="BV228" s="186"/>
      <c r="BW228" s="274"/>
      <c r="BX228" s="186"/>
      <c r="BY228" s="186"/>
    </row>
    <row r="229" spans="1:77" hidden="1" x14ac:dyDescent="0.2">
      <c r="A229" s="134">
        <v>3</v>
      </c>
      <c r="B229" s="134" t="str">
        <f>B212</f>
        <v>CSRA Heat 12 Gold</v>
      </c>
      <c r="C229" s="134">
        <f>VLOOKUP(B229,AU$2:AY$22,4,FALSE)</f>
        <v>1436.0834595325007</v>
      </c>
      <c r="D229" s="134">
        <f>IF(A229=B218,B233,IF(A229=D218,D233,C229))</f>
        <v>1436.0834595325007</v>
      </c>
      <c r="G229" s="134">
        <f>IF(A229=E218,E233,IF(A229=G218,G233,D229))</f>
        <v>1428.9948068214296</v>
      </c>
      <c r="J229" s="134">
        <f>IF(A229=H218,H233,IF(A229=J218,J233,G229))</f>
        <v>1428.9948068214296</v>
      </c>
      <c r="U229" s="283"/>
      <c r="V229" s="283">
        <v>3</v>
      </c>
      <c r="W229" s="134" t="str">
        <f>X212</f>
        <v>Lake Murray 12 Black</v>
      </c>
      <c r="X229" s="134">
        <f>VLOOKUP(W229,AU$2:AY$22,4,FALSE)</f>
        <v>1380.0237816476338</v>
      </c>
      <c r="Y229" s="134">
        <f>IF(V229=W218,W233,IF(V229=Y218,Y233,X229))</f>
        <v>1380.0237816476338</v>
      </c>
      <c r="AB229" s="134">
        <f>IF(V229=Z218,Z233,IF(V229=AB218,AB233,Y229))</f>
        <v>1388.1043742172615</v>
      </c>
      <c r="AE229" s="134">
        <f>IF(V229=AC218,AC233,IF(V229=AE218,AE233,AB229))</f>
        <v>1405.1025780622188</v>
      </c>
      <c r="AT229" s="134" t="str">
        <f>B230</f>
        <v>SC Midlands 12 Black</v>
      </c>
      <c r="AU229" s="134">
        <f>J230</f>
        <v>1438.2606481323326</v>
      </c>
      <c r="AW229" s="274"/>
      <c r="AX229" s="186"/>
      <c r="AY229" s="186"/>
      <c r="AZ229" s="186"/>
      <c r="BA229" s="186"/>
      <c r="BB229" s="274"/>
      <c r="BC229" s="186"/>
      <c r="BD229" s="186"/>
      <c r="BE229" s="274"/>
      <c r="BF229" s="186"/>
      <c r="BG229" s="186"/>
      <c r="BH229" s="274"/>
      <c r="BI229" s="186"/>
      <c r="BJ229" s="186"/>
      <c r="BK229" s="274"/>
      <c r="BL229" s="186"/>
      <c r="BM229" s="186"/>
      <c r="BN229" s="274"/>
      <c r="BO229" s="186"/>
      <c r="BP229" s="186"/>
      <c r="BQ229" s="274"/>
      <c r="BR229" s="186"/>
      <c r="BS229" s="186"/>
      <c r="BT229" s="274"/>
      <c r="BU229" s="186"/>
      <c r="BV229" s="186"/>
      <c r="BW229" s="274"/>
      <c r="BX229" s="186"/>
      <c r="BY229" s="186"/>
    </row>
    <row r="230" spans="1:77" hidden="1" x14ac:dyDescent="0.2">
      <c r="A230" s="134">
        <v>4</v>
      </c>
      <c r="B230" s="134" t="str">
        <f>B213</f>
        <v>SC Midlands 12 Black</v>
      </c>
      <c r="C230" s="134">
        <f>VLOOKUP(B230,AU$2:AY$22,4,FALSE)</f>
        <v>1442.9543012131753</v>
      </c>
      <c r="D230" s="134">
        <f>IF(A230=B218,B233,IF(A230=D218,D233,C230))</f>
        <v>1438.2606481323326</v>
      </c>
      <c r="G230" s="134">
        <f>IF(A230=E218,E233,IF(A230=G218,G233,D230))</f>
        <v>1438.2606481323326</v>
      </c>
      <c r="J230" s="134">
        <f>IF(A230=H218,H233,IF(A230=J218,J233,G230))</f>
        <v>1438.2606481323326</v>
      </c>
      <c r="U230" s="283"/>
      <c r="V230" s="283">
        <v>4</v>
      </c>
      <c r="W230" s="134" t="str">
        <f>X213</f>
        <v>OLC 12s Purple</v>
      </c>
      <c r="X230" s="134">
        <f>VLOOKUP(W230,AU$2:AY$22,4,FALSE)</f>
        <v>1288.3037875875493</v>
      </c>
      <c r="Y230" s="134">
        <f>IF(V230=W218,W233,IF(V230=Y218,Y233,X230))</f>
        <v>1282.8814689298702</v>
      </c>
      <c r="AB230" s="134">
        <f>IF(V230=Z218,Z233,IF(V230=AB218,AB233,Y230))</f>
        <v>1282.8814689298702</v>
      </c>
      <c r="AE230" s="134">
        <f>IF(V230=AC218,AC233,IF(V230=AE218,AE233,AB230))</f>
        <v>1282.8814689298702</v>
      </c>
      <c r="AT230" s="134" t="str">
        <f>W227</f>
        <v>Magnum Aiken 12 Yellow</v>
      </c>
      <c r="AU230" s="134">
        <f>AE227</f>
        <v>1392.8100796128085</v>
      </c>
      <c r="AW230" s="274"/>
      <c r="AX230" s="186"/>
      <c r="AY230" s="186"/>
      <c r="AZ230" s="186"/>
      <c r="BA230" s="186"/>
      <c r="BB230" s="274"/>
      <c r="BC230" s="186"/>
      <c r="BD230" s="186"/>
      <c r="BE230" s="274"/>
      <c r="BF230" s="186"/>
      <c r="BG230" s="186"/>
      <c r="BH230" s="274"/>
      <c r="BI230" s="186"/>
      <c r="BJ230" s="186"/>
      <c r="BK230" s="274"/>
      <c r="BL230" s="186"/>
      <c r="BM230" s="186"/>
      <c r="BN230" s="274"/>
      <c r="BO230" s="186"/>
      <c r="BP230" s="186"/>
      <c r="BQ230" s="274"/>
      <c r="BR230" s="186"/>
      <c r="BS230" s="186"/>
      <c r="BT230" s="274"/>
      <c r="BU230" s="186"/>
      <c r="BV230" s="186"/>
      <c r="BW230" s="274"/>
      <c r="BX230" s="186"/>
      <c r="BY230" s="186"/>
    </row>
    <row r="231" spans="1:77" hidden="1" x14ac:dyDescent="0.2">
      <c r="A231" s="134" t="s">
        <v>114</v>
      </c>
      <c r="B231" s="134">
        <f>VLOOKUP(B218,$A227:$J230,3,FALSE)</f>
        <v>1595.6788293469422</v>
      </c>
      <c r="D231" s="134">
        <f>VLOOKUP(D218,$A227:$J230,3,FALSE)</f>
        <v>1442.9543012131753</v>
      </c>
      <c r="E231" s="134">
        <f>VLOOKUP(E218,$A227:$J230,4,FALSE)</f>
        <v>1475.835327254912</v>
      </c>
      <c r="G231" s="134">
        <f>VLOOKUP(G218,$A227:$J230,4,FALSE)</f>
        <v>1436.0834595325007</v>
      </c>
      <c r="H231" s="134">
        <f>VLOOKUP(H218,$A227:$J230,7,FALSE)</f>
        <v>1600.3724824277849</v>
      </c>
      <c r="J231" s="134">
        <f>VLOOKUP(J218,$A227:$J230,7,FALSE)</f>
        <v>1482.9239799659831</v>
      </c>
      <c r="T231" s="566" t="s">
        <v>114</v>
      </c>
      <c r="U231" s="566"/>
      <c r="V231" s="566"/>
      <c r="W231" s="134">
        <f>VLOOKUP(W218,$V227:$AE230,3,FALSE)</f>
        <v>1404.3859648000866</v>
      </c>
      <c r="Y231" s="134">
        <f>VLOOKUP(Y218,$V227:$AE230,3,FALSE)</f>
        <v>1288.3037875875493</v>
      </c>
      <c r="Z231" s="134">
        <f>VLOOKUP(Z218,$V227:$AE230,4,FALSE)</f>
        <v>1383.5239908864794</v>
      </c>
      <c r="AB231" s="134">
        <f>VLOOKUP(AB218,$V227:$AE230,4,FALSE)</f>
        <v>1380.0237816476338</v>
      </c>
      <c r="AC231" s="134">
        <f>VLOOKUP(AC218,$V227:$AE230,7,FALSE)</f>
        <v>1409.8082834577658</v>
      </c>
      <c r="AE231" s="134">
        <f>VLOOKUP(AE218,$V227:$AE230,7,FALSE)</f>
        <v>1388.1043742172615</v>
      </c>
      <c r="AT231" s="134" t="str">
        <f>W228</f>
        <v>Palm Strikers 12 Platinum</v>
      </c>
      <c r="AU231" s="134">
        <f>AE228</f>
        <v>1375.4433983168517</v>
      </c>
      <c r="AW231" s="274"/>
      <c r="AX231" s="186"/>
      <c r="AY231" s="186"/>
      <c r="AZ231" s="186"/>
      <c r="BA231" s="186"/>
      <c r="BB231" s="274"/>
      <c r="BC231" s="186"/>
      <c r="BD231" s="186"/>
      <c r="BE231" s="274"/>
      <c r="BF231" s="186"/>
      <c r="BG231" s="186"/>
      <c r="BH231" s="274"/>
      <c r="BI231" s="186"/>
      <c r="BJ231" s="186"/>
      <c r="BK231" s="274"/>
      <c r="BL231" s="186"/>
      <c r="BM231" s="186"/>
      <c r="BN231" s="274"/>
      <c r="BO231" s="186"/>
      <c r="BP231" s="186"/>
      <c r="BQ231" s="274"/>
      <c r="BR231" s="186"/>
      <c r="BS231" s="186"/>
      <c r="BT231" s="274"/>
      <c r="BU231" s="186"/>
      <c r="BV231" s="186"/>
      <c r="BW231" s="274"/>
      <c r="BX231" s="186"/>
      <c r="BY231" s="186"/>
    </row>
    <row r="232" spans="1:77" hidden="1" x14ac:dyDescent="0.2">
      <c r="A232" s="200" t="s">
        <v>115</v>
      </c>
      <c r="B232" s="200">
        <f>1/(1+(10^-((B231-D231)/400)))*(B222+D222)</f>
        <v>0.70664668244732887</v>
      </c>
      <c r="C232" s="200"/>
      <c r="D232" s="200">
        <f>1/(1+(10^-((D231-B231)/400)))*(B222+D222)</f>
        <v>0.29335331755267119</v>
      </c>
      <c r="E232" s="200">
        <f>1/(1+(10^-((E231-G231)/400)))*(E222+G222)</f>
        <v>0.55695920555806089</v>
      </c>
      <c r="G232" s="200">
        <f>1/(1+(10^-((G231-E231)/400)))*(E222+G222)</f>
        <v>0.44304079444193917</v>
      </c>
      <c r="H232" s="200">
        <f>1/(1+(10^-((H231-J231)/400)))*(H222+J222)</f>
        <v>1.988595014395744</v>
      </c>
      <c r="J232" s="200">
        <f>1/(1+(10^-((J231-H231)/400)))*(H222+J222)</f>
        <v>1.011404985604256</v>
      </c>
      <c r="T232" s="567" t="s">
        <v>115</v>
      </c>
      <c r="U232" s="567"/>
      <c r="V232" s="567"/>
      <c r="W232" s="200">
        <f>1/(1+(10^-((W231-Y231)/400)))*(W222+Y222)</f>
        <v>0.66110508389505307</v>
      </c>
      <c r="X232" s="200"/>
      <c r="Y232" s="200">
        <f>1/(1+(10^-((Y231-W231)/400)))*(W222+Y222)</f>
        <v>0.33889491610494699</v>
      </c>
      <c r="Z232" s="200">
        <f>1/(1+(10^-((Z231-AB231)/400)))*(Z222+AB222)</f>
        <v>0.50503703560172475</v>
      </c>
      <c r="AB232" s="200">
        <f>1/(1+(10^-((AB231-Z231)/400)))*(Z222+AB222)</f>
        <v>0.4949629643982752</v>
      </c>
      <c r="AC232" s="200">
        <f>1/(1+(10^-((AC231-AE231)/400)))*(AC222+AE222)</f>
        <v>1.0623877403098305</v>
      </c>
      <c r="AE232" s="200">
        <f>1/(1+(10^-((AE231-AC231)/400)))*(AC222+AE222)</f>
        <v>0.93761225969016948</v>
      </c>
      <c r="AT232" s="134" t="str">
        <f>W229</f>
        <v>Lake Murray 12 Black</v>
      </c>
      <c r="AU232" s="134">
        <f>AE229</f>
        <v>1405.1025780622188</v>
      </c>
      <c r="AW232" s="274"/>
      <c r="AX232" s="186"/>
      <c r="AY232" s="186"/>
      <c r="AZ232" s="186"/>
      <c r="BA232" s="186"/>
      <c r="BB232" s="274"/>
      <c r="BC232" s="186"/>
      <c r="BD232" s="186"/>
      <c r="BE232" s="274"/>
      <c r="BF232" s="186"/>
      <c r="BG232" s="186"/>
      <c r="BH232" s="274"/>
      <c r="BI232" s="186"/>
      <c r="BJ232" s="186"/>
      <c r="BK232" s="274"/>
      <c r="BL232" s="186"/>
      <c r="BM232" s="186"/>
      <c r="BN232" s="274"/>
      <c r="BO232" s="186"/>
      <c r="BP232" s="186"/>
      <c r="BQ232" s="274"/>
      <c r="BR232" s="186"/>
      <c r="BS232" s="186"/>
      <c r="BT232" s="274"/>
      <c r="BU232" s="186"/>
      <c r="BV232" s="186"/>
      <c r="BW232" s="274"/>
      <c r="BX232" s="186"/>
      <c r="BY232" s="186"/>
    </row>
    <row r="233" spans="1:77" hidden="1" x14ac:dyDescent="0.2">
      <c r="A233" s="206" t="s">
        <v>116</v>
      </c>
      <c r="B233" s="206">
        <f>B231+(B222-B232)*$BA$2</f>
        <v>1600.3724824277849</v>
      </c>
      <c r="C233" s="206"/>
      <c r="D233" s="206">
        <f>D231+(D222-D232)*$BA$2</f>
        <v>1438.2606481323326</v>
      </c>
      <c r="E233" s="206">
        <f>E231+(E222-E232)*$BA$2</f>
        <v>1482.9239799659831</v>
      </c>
      <c r="G233" s="206">
        <f>G231+(G222-G232)*$BA$2</f>
        <v>1428.9948068214296</v>
      </c>
      <c r="H233" s="206">
        <f>H231+(H222-H232)*$BA$2</f>
        <v>1584.5549621974531</v>
      </c>
      <c r="J233" s="206">
        <f>J231+(J222-J232)*$BA$2</f>
        <v>1498.741500196315</v>
      </c>
      <c r="T233" s="555" t="s">
        <v>116</v>
      </c>
      <c r="U233" s="555"/>
      <c r="V233" s="555"/>
      <c r="W233" s="206">
        <f>W231+(W222-W232)*$BA$2</f>
        <v>1409.8082834577658</v>
      </c>
      <c r="X233" s="206"/>
      <c r="Y233" s="206">
        <f>Y231+(Y222-Y232)*$BA$2</f>
        <v>1282.8814689298702</v>
      </c>
      <c r="Z233" s="206">
        <f>Z231+(Z222-Z232)*$BA$2</f>
        <v>1375.4433983168517</v>
      </c>
      <c r="AB233" s="206">
        <f>AB231+(AB222-AB232)*$BA$2</f>
        <v>1388.1043742172615</v>
      </c>
      <c r="AC233" s="206">
        <f>AC231+(AC222-AC232)*$BA$2</f>
        <v>1392.8100796128085</v>
      </c>
      <c r="AE233" s="206">
        <f>AE231+(AE222-AE232)*$BA$2</f>
        <v>1405.1025780622188</v>
      </c>
      <c r="AT233" s="134" t="str">
        <f>W230</f>
        <v>OLC 12s Purple</v>
      </c>
      <c r="AU233" s="134">
        <f>AE230</f>
        <v>1282.8814689298702</v>
      </c>
      <c r="AW233" s="274"/>
      <c r="AX233" s="186"/>
      <c r="AY233" s="186"/>
      <c r="AZ233" s="186"/>
      <c r="BA233" s="186"/>
      <c r="BB233" s="274"/>
      <c r="BC233" s="186"/>
      <c r="BD233" s="186"/>
      <c r="BE233" s="274"/>
      <c r="BF233" s="186"/>
      <c r="BG233" s="186"/>
      <c r="BH233" s="274"/>
      <c r="BI233" s="186"/>
      <c r="BJ233" s="186"/>
      <c r="BK233" s="274"/>
      <c r="BL233" s="186"/>
      <c r="BM233" s="186"/>
      <c r="BN233" s="274"/>
      <c r="BO233" s="186"/>
      <c r="BP233" s="186"/>
      <c r="BQ233" s="274"/>
      <c r="BR233" s="186"/>
      <c r="BS233" s="186"/>
      <c r="BT233" s="274"/>
      <c r="BU233" s="186"/>
      <c r="BV233" s="186"/>
      <c r="BW233" s="274"/>
      <c r="BX233" s="186"/>
      <c r="BY233" s="186"/>
    </row>
    <row r="234" spans="1:77" x14ac:dyDescent="0.2">
      <c r="A234" s="556" t="s">
        <v>167</v>
      </c>
      <c r="B234" s="556"/>
      <c r="C234" s="556"/>
      <c r="D234" s="556"/>
      <c r="E234" s="556"/>
      <c r="F234" s="556"/>
      <c r="G234" s="556"/>
      <c r="H234" s="556"/>
      <c r="I234" s="556"/>
      <c r="J234" s="556"/>
      <c r="K234" s="556"/>
      <c r="L234" s="556"/>
      <c r="M234" s="556"/>
      <c r="R234" s="216"/>
      <c r="S234" s="216"/>
      <c r="T234" s="217"/>
      <c r="U234" s="217"/>
      <c r="V234" s="556" t="s">
        <v>167</v>
      </c>
      <c r="W234" s="556"/>
      <c r="X234" s="556"/>
      <c r="Y234" s="556"/>
      <c r="Z234" s="556"/>
      <c r="AA234" s="556"/>
      <c r="AB234" s="556"/>
      <c r="AC234" s="556"/>
      <c r="AD234" s="556"/>
      <c r="AE234" s="556"/>
      <c r="AF234" s="556"/>
      <c r="AG234" s="556"/>
      <c r="AH234" s="216"/>
      <c r="AI234" s="216"/>
      <c r="AJ234" s="216"/>
      <c r="AW234" s="274"/>
      <c r="AX234" s="186"/>
      <c r="AY234" s="186"/>
      <c r="AZ234" s="186"/>
      <c r="BA234" s="186"/>
    </row>
    <row r="235" spans="1:77" x14ac:dyDescent="0.2">
      <c r="AT235" s="186"/>
      <c r="AU235" s="186"/>
      <c r="AV235" s="186"/>
      <c r="AW235" s="274"/>
      <c r="AX235" s="186"/>
      <c r="AY235" s="186"/>
      <c r="AZ235" s="186"/>
      <c r="BA235" s="186"/>
    </row>
    <row r="236" spans="1:77" x14ac:dyDescent="0.2">
      <c r="AT236" s="186"/>
      <c r="AU236" s="186"/>
      <c r="AV236" s="186"/>
      <c r="AW236" s="274"/>
      <c r="AX236" s="186"/>
      <c r="AY236" s="186"/>
      <c r="AZ236" s="186"/>
      <c r="BA236" s="186"/>
    </row>
    <row r="237" spans="1:77" x14ac:dyDescent="0.2">
      <c r="AT237" s="186"/>
      <c r="AU237" s="186"/>
      <c r="AV237" s="186"/>
      <c r="AW237" s="274"/>
      <c r="AX237" s="186"/>
      <c r="AY237" s="186"/>
      <c r="AZ237" s="186"/>
      <c r="BA237" s="186"/>
    </row>
    <row r="238" spans="1:77" x14ac:dyDescent="0.2">
      <c r="AT238" s="186"/>
      <c r="AU238" s="186"/>
      <c r="AV238" s="186"/>
      <c r="AW238" s="274"/>
      <c r="AX238" s="186"/>
      <c r="AY238" s="186"/>
      <c r="AZ238" s="186"/>
      <c r="BA238" s="186"/>
    </row>
    <row r="239" spans="1:77" x14ac:dyDescent="0.2">
      <c r="AT239" s="186"/>
      <c r="AU239" s="186"/>
      <c r="AV239" s="186"/>
      <c r="AW239" s="274"/>
      <c r="AX239" s="186"/>
      <c r="AY239" s="186"/>
      <c r="AZ239" s="186"/>
      <c r="BA239" s="186"/>
    </row>
    <row r="240" spans="1:77" x14ac:dyDescent="0.2">
      <c r="AT240" s="186"/>
      <c r="AU240" s="186"/>
      <c r="AV240" s="186"/>
      <c r="AW240" s="274"/>
      <c r="AX240" s="186"/>
      <c r="AY240" s="186"/>
      <c r="AZ240" s="186"/>
      <c r="BA240" s="186"/>
    </row>
    <row r="241" spans="46:53" x14ac:dyDescent="0.2">
      <c r="AT241" s="186"/>
      <c r="AU241" s="186"/>
      <c r="AV241" s="186"/>
      <c r="AW241" s="274"/>
      <c r="AX241" s="186"/>
      <c r="AY241" s="186"/>
      <c r="AZ241" s="186"/>
      <c r="BA241" s="186"/>
    </row>
    <row r="242" spans="46:53" x14ac:dyDescent="0.2">
      <c r="AT242" s="186"/>
      <c r="AU242" s="186"/>
      <c r="AV242" s="186"/>
      <c r="AW242" s="274"/>
      <c r="AX242" s="186"/>
      <c r="AY242" s="186"/>
      <c r="AZ242" s="186"/>
      <c r="BA242" s="186"/>
    </row>
    <row r="243" spans="46:53" x14ac:dyDescent="0.2">
      <c r="AT243" s="186"/>
      <c r="AU243" s="186"/>
      <c r="AV243" s="186"/>
      <c r="AW243" s="274"/>
      <c r="AX243" s="186"/>
      <c r="AY243" s="186"/>
      <c r="AZ243" s="186"/>
      <c r="BA243" s="186"/>
    </row>
    <row r="244" spans="46:53" x14ac:dyDescent="0.2">
      <c r="AT244" s="186"/>
      <c r="AU244" s="186"/>
      <c r="AV244" s="186"/>
      <c r="AW244" s="274"/>
      <c r="AX244" s="186"/>
      <c r="AY244" s="186"/>
      <c r="AZ244" s="186"/>
      <c r="BA244" s="186"/>
    </row>
    <row r="245" spans="46:53" x14ac:dyDescent="0.2">
      <c r="AT245" s="186"/>
      <c r="AU245" s="186"/>
      <c r="AV245" s="186"/>
      <c r="AW245" s="274"/>
      <c r="AX245" s="186"/>
      <c r="AY245" s="186"/>
      <c r="AZ245" s="186"/>
      <c r="BA245" s="186"/>
    </row>
    <row r="246" spans="46:53" x14ac:dyDescent="0.2">
      <c r="AT246" s="186"/>
      <c r="AU246" s="186"/>
      <c r="AV246" s="186"/>
      <c r="AW246" s="274"/>
      <c r="AX246" s="186"/>
      <c r="AY246" s="186"/>
      <c r="AZ246" s="186"/>
      <c r="BA246" s="186"/>
    </row>
    <row r="247" spans="46:53" x14ac:dyDescent="0.2">
      <c r="AT247" s="186"/>
      <c r="AU247" s="186"/>
      <c r="AV247" s="186"/>
    </row>
    <row r="248" spans="46:53" x14ac:dyDescent="0.2">
      <c r="AT248" s="186"/>
      <c r="AU248" s="186"/>
      <c r="AV248" s="186"/>
      <c r="AW248" s="197"/>
      <c r="AX248" s="193"/>
      <c r="AY248" s="193"/>
      <c r="AZ248" s="193"/>
      <c r="BA248" s="193"/>
    </row>
    <row r="249" spans="46:53" x14ac:dyDescent="0.2">
      <c r="AT249" s="186"/>
      <c r="AU249" s="186"/>
      <c r="AV249" s="186"/>
      <c r="AW249" s="197"/>
      <c r="AX249" s="193"/>
      <c r="AY249" s="193"/>
      <c r="AZ249" s="193"/>
      <c r="BA249" s="193"/>
    </row>
    <row r="250" spans="46:53" x14ac:dyDescent="0.2">
      <c r="AT250" s="186"/>
      <c r="AU250" s="186"/>
      <c r="AV250" s="186"/>
      <c r="AW250" s="197"/>
      <c r="AX250" s="193"/>
      <c r="AY250" s="193"/>
      <c r="AZ250" s="193"/>
      <c r="BA250" s="193"/>
    </row>
    <row r="251" spans="46:53" x14ac:dyDescent="0.2">
      <c r="AT251" s="186"/>
      <c r="AU251" s="186"/>
      <c r="AV251" s="186"/>
      <c r="AW251" s="197"/>
      <c r="AX251" s="193"/>
      <c r="AY251" s="193"/>
      <c r="AZ251" s="193"/>
      <c r="BA251" s="193"/>
    </row>
    <row r="252" spans="46:53" x14ac:dyDescent="0.2">
      <c r="AT252" s="186"/>
      <c r="AU252" s="186"/>
      <c r="AV252" s="186"/>
      <c r="AW252" s="197"/>
      <c r="AX252" s="193"/>
      <c r="AY252" s="193"/>
      <c r="AZ252" s="193"/>
      <c r="BA252" s="193"/>
    </row>
    <row r="253" spans="46:53" x14ac:dyDescent="0.2">
      <c r="AT253" s="186"/>
      <c r="AU253" s="186"/>
      <c r="AV253" s="186"/>
      <c r="AW253" s="197"/>
      <c r="AX253" s="193"/>
      <c r="AY253" s="193"/>
      <c r="AZ253" s="193"/>
      <c r="BA253" s="193"/>
    </row>
    <row r="254" spans="46:53" x14ac:dyDescent="0.2">
      <c r="AT254" s="186"/>
      <c r="AU254" s="186"/>
      <c r="AV254" s="186"/>
      <c r="AW254" s="197"/>
      <c r="AX254" s="193"/>
      <c r="AY254" s="193"/>
      <c r="AZ254" s="193"/>
      <c r="BA254" s="193"/>
    </row>
    <row r="255" spans="46:53" x14ac:dyDescent="0.2">
      <c r="AT255" s="186"/>
      <c r="AU255" s="186"/>
      <c r="AV255" s="186"/>
      <c r="AW255" s="197"/>
      <c r="AX255" s="193"/>
      <c r="AY255" s="193"/>
      <c r="AZ255" s="193"/>
      <c r="BA255" s="193"/>
    </row>
    <row r="256" spans="46:53" x14ac:dyDescent="0.2">
      <c r="AT256" s="186"/>
      <c r="AU256" s="186"/>
      <c r="AV256" s="186"/>
      <c r="AW256" s="204"/>
      <c r="AX256" s="203"/>
      <c r="AY256" s="203"/>
      <c r="AZ256" s="203"/>
      <c r="BA256" s="203"/>
    </row>
    <row r="257" spans="46:53" x14ac:dyDescent="0.2">
      <c r="AT257" s="186"/>
      <c r="AU257" s="186"/>
      <c r="AV257" s="186"/>
      <c r="AW257" s="210"/>
      <c r="AX257" s="209"/>
      <c r="AY257" s="209"/>
      <c r="AZ257" s="209"/>
      <c r="BA257" s="209"/>
    </row>
    <row r="258" spans="46:53" x14ac:dyDescent="0.2">
      <c r="AT258" s="186"/>
      <c r="AU258" s="186"/>
      <c r="AV258" s="186"/>
      <c r="AW258" s="210"/>
      <c r="AX258" s="209"/>
      <c r="AY258" s="209"/>
      <c r="AZ258" s="209"/>
      <c r="BA258" s="209"/>
    </row>
    <row r="259" spans="46:53" x14ac:dyDescent="0.2">
      <c r="AT259" s="186"/>
      <c r="AU259" s="186"/>
      <c r="AV259" s="186"/>
      <c r="AW259" s="197"/>
      <c r="AX259" s="193"/>
      <c r="AY259" s="193"/>
      <c r="AZ259" s="193"/>
      <c r="BA259" s="193"/>
    </row>
    <row r="260" spans="46:53" x14ac:dyDescent="0.2">
      <c r="AT260" s="193"/>
      <c r="AU260" s="193"/>
      <c r="AV260" s="193"/>
      <c r="AW260" s="197"/>
      <c r="AX260" s="193"/>
      <c r="AY260" s="193"/>
      <c r="AZ260" s="193"/>
      <c r="BA260" s="193"/>
    </row>
    <row r="261" spans="46:53" x14ac:dyDescent="0.2">
      <c r="AT261" s="193"/>
      <c r="AU261" s="193"/>
      <c r="AV261" s="193"/>
    </row>
    <row r="286" spans="46:53" x14ac:dyDescent="0.2">
      <c r="AT286" s="186"/>
      <c r="AU286" s="186"/>
      <c r="AV286" s="186"/>
      <c r="AW286" s="274"/>
      <c r="AX286" s="186"/>
      <c r="AY286" s="186"/>
      <c r="AZ286" s="186"/>
      <c r="BA286" s="186"/>
    </row>
    <row r="287" spans="46:53" x14ac:dyDescent="0.2">
      <c r="AT287" s="186"/>
      <c r="AU287" s="186"/>
      <c r="AV287" s="186"/>
      <c r="AW287" s="274"/>
      <c r="AX287" s="186"/>
      <c r="AY287" s="186"/>
      <c r="AZ287" s="186"/>
      <c r="BA287" s="186"/>
    </row>
    <row r="288" spans="46:53" x14ac:dyDescent="0.2">
      <c r="AT288" s="186"/>
      <c r="AU288" s="186"/>
      <c r="AV288" s="186"/>
      <c r="AW288" s="274"/>
      <c r="AX288" s="186"/>
      <c r="AY288" s="186"/>
      <c r="AZ288" s="186"/>
      <c r="BA288" s="186"/>
    </row>
    <row r="289" spans="46:53" x14ac:dyDescent="0.2">
      <c r="AT289" s="186"/>
      <c r="AU289" s="186"/>
      <c r="AV289" s="186"/>
      <c r="AW289" s="274"/>
      <c r="AX289" s="186"/>
      <c r="AY289" s="186"/>
      <c r="AZ289" s="186"/>
      <c r="BA289" s="186"/>
    </row>
    <row r="290" spans="46:53" x14ac:dyDescent="0.2">
      <c r="AT290" s="186"/>
      <c r="AU290" s="186"/>
      <c r="AV290" s="186"/>
      <c r="AW290" s="274"/>
      <c r="AX290" s="186"/>
      <c r="AY290" s="186"/>
      <c r="AZ290" s="186"/>
      <c r="BA290" s="186"/>
    </row>
    <row r="291" spans="46:53" x14ac:dyDescent="0.2">
      <c r="AT291" s="186"/>
      <c r="AU291" s="186"/>
      <c r="AV291" s="186"/>
      <c r="AW291" s="274"/>
      <c r="AX291" s="186"/>
      <c r="AY291" s="186"/>
      <c r="AZ291" s="186"/>
      <c r="BA291" s="186"/>
    </row>
    <row r="292" spans="46:53" x14ac:dyDescent="0.2">
      <c r="AT292" s="186"/>
      <c r="AU292" s="186"/>
      <c r="AV292" s="186"/>
      <c r="AW292" s="274"/>
      <c r="AX292" s="186"/>
      <c r="AY292" s="186"/>
      <c r="AZ292" s="186"/>
      <c r="BA292" s="186"/>
    </row>
    <row r="293" spans="46:53" x14ac:dyDescent="0.2">
      <c r="AT293" s="186"/>
      <c r="AU293" s="186"/>
      <c r="AV293" s="186"/>
      <c r="AW293" s="274"/>
      <c r="AX293" s="186"/>
      <c r="AY293" s="186"/>
      <c r="AZ293" s="186"/>
      <c r="BA293" s="186"/>
    </row>
    <row r="294" spans="46:53" x14ac:dyDescent="0.2">
      <c r="AT294" s="186"/>
      <c r="AU294" s="186"/>
      <c r="AV294" s="186"/>
      <c r="AW294" s="274"/>
      <c r="AX294" s="186"/>
      <c r="AY294" s="186"/>
      <c r="AZ294" s="186"/>
      <c r="BA294" s="186"/>
    </row>
    <row r="295" spans="46:53" x14ac:dyDescent="0.2">
      <c r="AT295" s="186"/>
      <c r="AU295" s="186"/>
      <c r="AV295" s="186"/>
      <c r="AW295" s="274"/>
      <c r="AX295" s="186"/>
      <c r="AY295" s="186"/>
      <c r="AZ295" s="186"/>
      <c r="BA295" s="186"/>
    </row>
    <row r="296" spans="46:53" x14ac:dyDescent="0.2">
      <c r="AT296" s="186"/>
      <c r="AU296" s="186"/>
      <c r="AV296" s="186"/>
      <c r="AW296" s="274"/>
      <c r="AX296" s="186"/>
      <c r="AY296" s="186"/>
      <c r="AZ296" s="186"/>
      <c r="BA296" s="186"/>
    </row>
    <row r="297" spans="46:53" x14ac:dyDescent="0.2">
      <c r="AT297" s="186"/>
      <c r="AU297" s="186"/>
      <c r="AV297" s="186"/>
      <c r="AW297" s="274"/>
      <c r="AX297" s="186"/>
      <c r="AY297" s="186"/>
      <c r="AZ297" s="186"/>
      <c r="BA297" s="186"/>
    </row>
    <row r="298" spans="46:53" x14ac:dyDescent="0.2">
      <c r="AT298" s="186"/>
      <c r="AU298" s="186"/>
      <c r="AV298" s="186"/>
      <c r="AW298" s="274"/>
      <c r="AX298" s="186"/>
      <c r="AY298" s="186"/>
      <c r="AZ298" s="186"/>
      <c r="BA298" s="186"/>
    </row>
    <row r="299" spans="46:53" x14ac:dyDescent="0.2">
      <c r="AT299" s="186"/>
      <c r="AU299" s="186"/>
      <c r="AV299" s="186"/>
      <c r="AW299" s="274"/>
      <c r="AX299" s="186"/>
      <c r="AY299" s="186"/>
      <c r="AZ299" s="186"/>
      <c r="BA299" s="186"/>
    </row>
    <row r="300" spans="46:53" x14ac:dyDescent="0.2">
      <c r="AT300" s="186"/>
      <c r="AU300" s="186"/>
      <c r="AV300" s="186"/>
      <c r="AW300" s="274"/>
      <c r="AX300" s="186"/>
      <c r="AY300" s="186"/>
      <c r="AZ300" s="186"/>
      <c r="BA300" s="186"/>
    </row>
    <row r="301" spans="46:53" x14ac:dyDescent="0.2">
      <c r="AT301" s="186"/>
      <c r="AU301" s="186"/>
      <c r="AV301" s="186"/>
      <c r="AW301" s="274"/>
      <c r="AX301" s="186"/>
      <c r="AY301" s="186"/>
      <c r="AZ301" s="186"/>
      <c r="BA301" s="186"/>
    </row>
    <row r="302" spans="46:53" x14ac:dyDescent="0.2">
      <c r="AT302" s="186"/>
      <c r="AU302" s="186"/>
      <c r="AV302" s="186"/>
      <c r="AW302" s="274"/>
      <c r="AX302" s="186"/>
      <c r="AY302" s="186"/>
      <c r="AZ302" s="186"/>
      <c r="BA302" s="186"/>
    </row>
    <row r="303" spans="46:53" x14ac:dyDescent="0.2">
      <c r="AT303" s="186"/>
      <c r="AU303" s="186"/>
      <c r="AV303" s="186"/>
      <c r="AW303" s="274"/>
      <c r="AX303" s="186"/>
      <c r="AY303" s="186"/>
      <c r="AZ303" s="186"/>
      <c r="BA303" s="186"/>
    </row>
    <row r="304" spans="46:53" x14ac:dyDescent="0.2">
      <c r="AT304" s="186"/>
      <c r="AU304" s="186"/>
      <c r="AV304" s="186"/>
      <c r="AW304" s="274"/>
      <c r="AX304" s="186"/>
      <c r="AY304" s="186"/>
      <c r="AZ304" s="186"/>
      <c r="BA304" s="186"/>
    </row>
    <row r="305" spans="46:53" x14ac:dyDescent="0.2">
      <c r="AT305" s="186"/>
      <c r="AU305" s="186"/>
      <c r="AV305" s="186"/>
      <c r="AW305" s="274"/>
      <c r="AX305" s="186"/>
      <c r="AY305" s="186"/>
      <c r="AZ305" s="186"/>
      <c r="BA305" s="186"/>
    </row>
    <row r="306" spans="46:53" x14ac:dyDescent="0.2">
      <c r="AT306" s="186"/>
      <c r="AU306" s="186"/>
      <c r="AV306" s="186"/>
      <c r="AW306" s="274"/>
      <c r="AX306" s="186"/>
      <c r="AY306" s="186"/>
      <c r="AZ306" s="186"/>
      <c r="BA306" s="186"/>
    </row>
    <row r="307" spans="46:53" x14ac:dyDescent="0.2">
      <c r="AT307" s="186"/>
      <c r="AU307" s="186"/>
      <c r="AV307" s="186"/>
      <c r="AW307" s="274"/>
      <c r="AX307" s="186"/>
      <c r="AY307" s="186"/>
      <c r="AZ307" s="186"/>
      <c r="BA307" s="186"/>
    </row>
    <row r="308" spans="46:53" x14ac:dyDescent="0.2">
      <c r="AT308" s="186"/>
      <c r="AU308" s="186"/>
      <c r="AV308" s="186"/>
      <c r="AW308" s="274"/>
      <c r="AX308" s="186"/>
      <c r="AY308" s="186"/>
      <c r="AZ308" s="186"/>
      <c r="BA308" s="186"/>
    </row>
    <row r="309" spans="46:53" x14ac:dyDescent="0.2">
      <c r="AT309" s="186"/>
      <c r="AU309" s="186"/>
      <c r="AV309" s="186"/>
      <c r="AW309" s="274"/>
      <c r="AX309" s="186"/>
      <c r="AY309" s="186"/>
      <c r="AZ309" s="186"/>
      <c r="BA309" s="186"/>
    </row>
    <row r="310" spans="46:53" x14ac:dyDescent="0.2">
      <c r="AT310" s="186"/>
      <c r="AU310" s="186"/>
      <c r="AV310" s="186"/>
      <c r="AW310" s="274"/>
      <c r="AX310" s="186"/>
      <c r="AY310" s="186"/>
      <c r="AZ310" s="186"/>
      <c r="BA310" s="186"/>
    </row>
    <row r="311" spans="46:53" x14ac:dyDescent="0.2">
      <c r="AT311" s="186"/>
      <c r="AU311" s="186"/>
      <c r="AV311" s="186"/>
      <c r="AW311" s="274"/>
      <c r="AX311" s="186"/>
      <c r="AY311" s="186"/>
      <c r="AZ311" s="186"/>
      <c r="BA311" s="186"/>
    </row>
    <row r="312" spans="46:53" x14ac:dyDescent="0.2">
      <c r="AT312" s="186"/>
      <c r="AU312" s="186"/>
      <c r="AV312" s="186"/>
      <c r="AW312" s="274"/>
      <c r="AX312" s="186"/>
      <c r="AY312" s="186"/>
      <c r="AZ312" s="186"/>
      <c r="BA312" s="186"/>
    </row>
    <row r="313" spans="46:53" x14ac:dyDescent="0.2">
      <c r="AT313" s="186"/>
      <c r="AU313" s="186"/>
      <c r="AV313" s="186"/>
      <c r="AW313" s="274"/>
      <c r="AX313" s="186"/>
      <c r="AY313" s="186"/>
      <c r="AZ313" s="186"/>
      <c r="BA313" s="186"/>
    </row>
    <row r="314" spans="46:53" x14ac:dyDescent="0.2">
      <c r="AT314" s="186"/>
      <c r="AU314" s="186"/>
      <c r="AV314" s="186"/>
      <c r="AW314" s="274"/>
      <c r="AX314" s="186"/>
      <c r="AY314" s="186"/>
      <c r="AZ314" s="186"/>
      <c r="BA314" s="186"/>
    </row>
    <row r="315" spans="46:53" x14ac:dyDescent="0.2">
      <c r="AT315" s="186"/>
      <c r="AU315" s="186"/>
      <c r="AV315" s="186"/>
      <c r="AW315" s="274"/>
      <c r="AX315" s="186"/>
      <c r="AY315" s="186"/>
      <c r="AZ315" s="186"/>
      <c r="BA315" s="186"/>
    </row>
    <row r="316" spans="46:53" x14ac:dyDescent="0.2">
      <c r="AT316" s="186"/>
      <c r="AU316" s="186"/>
      <c r="AV316" s="186"/>
      <c r="AW316" s="274"/>
      <c r="AX316" s="186"/>
      <c r="AY316" s="186"/>
      <c r="AZ316" s="186"/>
      <c r="BA316" s="186"/>
    </row>
    <row r="317" spans="46:53" x14ac:dyDescent="0.2">
      <c r="AT317" s="186"/>
      <c r="AU317" s="186"/>
      <c r="AV317" s="186"/>
      <c r="AW317" s="274"/>
      <c r="AX317" s="186"/>
      <c r="AY317" s="186"/>
      <c r="AZ317" s="186"/>
      <c r="BA317" s="186"/>
    </row>
    <row r="318" spans="46:53" x14ac:dyDescent="0.2">
      <c r="AT318" s="186"/>
      <c r="AU318" s="186"/>
      <c r="AV318" s="186"/>
      <c r="AW318" s="274"/>
      <c r="AX318" s="186"/>
      <c r="AY318" s="186"/>
      <c r="AZ318" s="186"/>
      <c r="BA318" s="186"/>
    </row>
    <row r="319" spans="46:53" x14ac:dyDescent="0.2">
      <c r="AT319" s="186"/>
      <c r="AU319" s="186"/>
      <c r="AV319" s="186"/>
      <c r="AW319" s="274"/>
      <c r="AX319" s="186"/>
      <c r="AY319" s="186"/>
      <c r="AZ319" s="186"/>
      <c r="BA319" s="186"/>
    </row>
    <row r="320" spans="46:53" x14ac:dyDescent="0.2">
      <c r="AT320" s="186"/>
      <c r="AU320" s="186"/>
      <c r="AV320" s="186"/>
      <c r="AW320" s="274"/>
      <c r="AX320" s="186"/>
      <c r="AY320" s="186"/>
      <c r="AZ320" s="186"/>
      <c r="BA320" s="186"/>
    </row>
    <row r="321" spans="46:53" x14ac:dyDescent="0.2">
      <c r="AT321" s="186"/>
      <c r="AU321" s="186"/>
      <c r="AV321" s="186"/>
      <c r="AW321" s="274"/>
      <c r="AX321" s="186"/>
      <c r="AY321" s="186"/>
      <c r="AZ321" s="186"/>
      <c r="BA321" s="186"/>
    </row>
    <row r="322" spans="46:53" x14ac:dyDescent="0.2">
      <c r="AT322" s="186"/>
      <c r="AU322" s="186"/>
      <c r="AV322" s="186"/>
      <c r="AW322" s="274"/>
      <c r="AX322" s="186"/>
      <c r="AY322" s="186"/>
      <c r="AZ322" s="186"/>
      <c r="BA322" s="186"/>
    </row>
    <row r="323" spans="46:53" x14ac:dyDescent="0.2">
      <c r="AT323" s="186"/>
      <c r="AU323" s="186"/>
      <c r="AV323" s="186"/>
      <c r="AW323" s="274"/>
      <c r="AX323" s="186"/>
      <c r="AY323" s="186"/>
      <c r="AZ323" s="186"/>
      <c r="BA323" s="186"/>
    </row>
    <row r="324" spans="46:53" x14ac:dyDescent="0.2">
      <c r="AT324" s="186"/>
      <c r="AU324" s="186"/>
      <c r="AV324" s="186"/>
      <c r="AW324" s="274"/>
      <c r="AX324" s="186"/>
      <c r="AY324" s="186"/>
      <c r="AZ324" s="186"/>
      <c r="BA324" s="186"/>
    </row>
    <row r="325" spans="46:53" x14ac:dyDescent="0.2">
      <c r="AT325" s="186"/>
      <c r="AU325" s="186"/>
      <c r="AV325" s="186"/>
      <c r="AW325" s="274"/>
      <c r="AX325" s="186"/>
      <c r="AY325" s="186"/>
      <c r="AZ325" s="186"/>
      <c r="BA325" s="186"/>
    </row>
    <row r="326" spans="46:53" x14ac:dyDescent="0.2">
      <c r="AT326" s="186"/>
      <c r="AU326" s="186"/>
      <c r="AV326" s="186"/>
      <c r="AW326" s="274"/>
      <c r="AX326" s="186"/>
      <c r="AY326" s="186"/>
      <c r="AZ326" s="186"/>
      <c r="BA326" s="186"/>
    </row>
    <row r="327" spans="46:53" x14ac:dyDescent="0.2">
      <c r="AT327" s="186"/>
      <c r="AU327" s="186"/>
      <c r="AV327" s="186"/>
      <c r="AW327" s="274"/>
      <c r="AX327" s="186"/>
      <c r="AY327" s="186"/>
      <c r="AZ327" s="186"/>
      <c r="BA327" s="186"/>
    </row>
    <row r="328" spans="46:53" x14ac:dyDescent="0.2">
      <c r="AT328" s="186"/>
      <c r="AU328" s="186"/>
      <c r="AV328" s="186"/>
      <c r="AW328" s="274"/>
      <c r="AX328" s="186"/>
      <c r="AY328" s="186"/>
      <c r="AZ328" s="186"/>
      <c r="BA328" s="186"/>
    </row>
    <row r="329" spans="46:53" x14ac:dyDescent="0.2">
      <c r="AT329" s="186"/>
      <c r="AU329" s="186"/>
      <c r="AV329" s="186"/>
      <c r="AW329" s="274"/>
      <c r="AX329" s="186"/>
      <c r="AY329" s="186"/>
      <c r="AZ329" s="186"/>
      <c r="BA329" s="186"/>
    </row>
    <row r="330" spans="46:53" x14ac:dyDescent="0.2">
      <c r="AT330" s="186"/>
      <c r="AU330" s="186"/>
      <c r="AV330" s="186"/>
      <c r="AW330" s="274"/>
      <c r="AX330" s="186"/>
      <c r="AY330" s="186"/>
      <c r="AZ330" s="186"/>
      <c r="BA330" s="186"/>
    </row>
    <row r="331" spans="46:53" x14ac:dyDescent="0.2">
      <c r="AT331" s="186"/>
      <c r="AU331" s="186"/>
      <c r="AV331" s="186"/>
      <c r="AW331" s="274"/>
      <c r="AX331" s="186"/>
      <c r="AY331" s="186"/>
      <c r="AZ331" s="186"/>
      <c r="BA331" s="186"/>
    </row>
    <row r="332" spans="46:53" x14ac:dyDescent="0.2">
      <c r="AT332" s="193"/>
      <c r="AU332" s="193"/>
      <c r="AV332" s="193"/>
    </row>
    <row r="333" spans="46:53" x14ac:dyDescent="0.2">
      <c r="AT333" s="193"/>
      <c r="AU333" s="193"/>
      <c r="AV333" s="193"/>
      <c r="AW333" s="197"/>
      <c r="AX333" s="193"/>
      <c r="AY333" s="193"/>
      <c r="AZ333" s="193"/>
      <c r="BA333" s="193"/>
    </row>
    <row r="334" spans="46:53" x14ac:dyDescent="0.2">
      <c r="AW334" s="197"/>
      <c r="AX334" s="193"/>
      <c r="AY334" s="193"/>
      <c r="AZ334" s="193"/>
      <c r="BA334" s="193"/>
    </row>
    <row r="335" spans="46:53" x14ac:dyDescent="0.2">
      <c r="AW335" s="197"/>
      <c r="AX335" s="193"/>
      <c r="AY335" s="193"/>
      <c r="AZ335" s="193"/>
      <c r="BA335" s="193"/>
    </row>
    <row r="336" spans="46:53" x14ac:dyDescent="0.2">
      <c r="AW336" s="197"/>
      <c r="AX336" s="193"/>
      <c r="AY336" s="193"/>
      <c r="AZ336" s="193"/>
      <c r="BA336" s="193"/>
    </row>
    <row r="337" spans="46:53" x14ac:dyDescent="0.2">
      <c r="AW337" s="197"/>
      <c r="AX337" s="193"/>
      <c r="AY337" s="193"/>
      <c r="AZ337" s="193"/>
      <c r="BA337" s="193"/>
    </row>
    <row r="338" spans="46:53" x14ac:dyDescent="0.2">
      <c r="AW338" s="197"/>
      <c r="AX338" s="193"/>
      <c r="AY338" s="193"/>
      <c r="AZ338" s="193"/>
      <c r="BA338" s="193"/>
    </row>
    <row r="339" spans="46:53" x14ac:dyDescent="0.2">
      <c r="AW339" s="197"/>
      <c r="AX339" s="193"/>
      <c r="AY339" s="193"/>
      <c r="AZ339" s="193"/>
      <c r="BA339" s="193"/>
    </row>
    <row r="340" spans="46:53" x14ac:dyDescent="0.2">
      <c r="AW340" s="197"/>
      <c r="AX340" s="193"/>
      <c r="AY340" s="193"/>
      <c r="AZ340" s="193"/>
      <c r="BA340" s="193"/>
    </row>
    <row r="341" spans="46:53" x14ac:dyDescent="0.2">
      <c r="AW341" s="204"/>
      <c r="AX341" s="203"/>
      <c r="AY341" s="203"/>
      <c r="AZ341" s="203"/>
      <c r="BA341" s="203"/>
    </row>
    <row r="342" spans="46:53" x14ac:dyDescent="0.2">
      <c r="AW342" s="210"/>
      <c r="AX342" s="209"/>
      <c r="AY342" s="209"/>
      <c r="AZ342" s="209"/>
      <c r="BA342" s="209"/>
    </row>
    <row r="343" spans="46:53" x14ac:dyDescent="0.2">
      <c r="AW343" s="210"/>
      <c r="AX343" s="209"/>
      <c r="AY343" s="209"/>
      <c r="AZ343" s="209"/>
      <c r="BA343" s="209"/>
    </row>
    <row r="344" spans="46:53" x14ac:dyDescent="0.2">
      <c r="AW344" s="197"/>
      <c r="AX344" s="193"/>
      <c r="AY344" s="193"/>
      <c r="AZ344" s="193"/>
      <c r="BA344" s="193"/>
    </row>
    <row r="345" spans="46:53" x14ac:dyDescent="0.2">
      <c r="AW345" s="197"/>
      <c r="AX345" s="193"/>
      <c r="AY345" s="193"/>
      <c r="AZ345" s="193"/>
      <c r="BA345" s="193"/>
    </row>
    <row r="348" spans="46:53" x14ac:dyDescent="0.2">
      <c r="AT348" s="230"/>
      <c r="AU348" s="230"/>
    </row>
    <row r="371" spans="46:53" x14ac:dyDescent="0.2">
      <c r="AW371" s="274"/>
      <c r="AX371" s="186"/>
      <c r="AY371" s="186"/>
      <c r="AZ371" s="186"/>
      <c r="BA371" s="186"/>
    </row>
    <row r="372" spans="46:53" x14ac:dyDescent="0.2">
      <c r="AW372" s="274"/>
      <c r="AX372" s="186"/>
      <c r="AY372" s="186"/>
      <c r="AZ372" s="186"/>
      <c r="BA372" s="186"/>
    </row>
    <row r="373" spans="46:53" x14ac:dyDescent="0.2">
      <c r="AW373" s="274"/>
      <c r="AX373" s="186"/>
      <c r="AY373" s="186"/>
      <c r="AZ373" s="186"/>
      <c r="BA373" s="186"/>
    </row>
    <row r="374" spans="46:53" x14ac:dyDescent="0.2">
      <c r="AW374" s="274"/>
      <c r="AX374" s="186"/>
      <c r="AY374" s="186"/>
      <c r="AZ374" s="186"/>
      <c r="BA374" s="186"/>
    </row>
    <row r="375" spans="46:53" x14ac:dyDescent="0.2">
      <c r="AW375" s="274"/>
      <c r="AX375" s="186"/>
      <c r="AY375" s="186"/>
      <c r="AZ375" s="186"/>
      <c r="BA375" s="186"/>
    </row>
    <row r="376" spans="46:53" x14ac:dyDescent="0.2">
      <c r="AW376" s="274"/>
      <c r="AX376" s="186"/>
      <c r="AY376" s="186"/>
      <c r="AZ376" s="186"/>
      <c r="BA376" s="186"/>
    </row>
    <row r="377" spans="46:53" x14ac:dyDescent="0.2">
      <c r="AW377" s="274"/>
      <c r="AX377" s="186"/>
      <c r="AY377" s="186"/>
      <c r="AZ377" s="186"/>
      <c r="BA377" s="186"/>
    </row>
    <row r="378" spans="46:53" x14ac:dyDescent="0.2">
      <c r="AW378" s="274"/>
      <c r="AX378" s="186"/>
      <c r="AY378" s="186"/>
      <c r="AZ378" s="186"/>
      <c r="BA378" s="186"/>
    </row>
    <row r="379" spans="46:53" x14ac:dyDescent="0.2">
      <c r="AW379" s="274"/>
      <c r="AX379" s="186"/>
      <c r="AY379" s="186"/>
      <c r="AZ379" s="186"/>
      <c r="BA379" s="186"/>
    </row>
    <row r="380" spans="46:53" x14ac:dyDescent="0.2">
      <c r="AW380" s="274"/>
      <c r="AX380" s="186"/>
      <c r="AY380" s="186"/>
      <c r="AZ380" s="186"/>
      <c r="BA380" s="186"/>
    </row>
    <row r="381" spans="46:53" x14ac:dyDescent="0.2">
      <c r="AW381" s="274"/>
      <c r="AX381" s="186"/>
      <c r="AY381" s="186"/>
      <c r="AZ381" s="186"/>
      <c r="BA381" s="186"/>
    </row>
    <row r="382" spans="46:53" x14ac:dyDescent="0.2">
      <c r="AW382" s="274"/>
      <c r="AX382" s="186"/>
      <c r="AY382" s="186"/>
      <c r="AZ382" s="186"/>
      <c r="BA382" s="186"/>
    </row>
    <row r="383" spans="46:53" x14ac:dyDescent="0.2">
      <c r="AW383" s="274"/>
      <c r="AX383" s="186"/>
      <c r="AY383" s="186"/>
      <c r="AZ383" s="186"/>
      <c r="BA383" s="186"/>
    </row>
    <row r="384" spans="46:53" x14ac:dyDescent="0.2">
      <c r="AT384" s="230"/>
      <c r="AU384" s="230"/>
      <c r="AW384" s="274"/>
      <c r="AX384" s="186"/>
      <c r="AY384" s="186"/>
      <c r="AZ384" s="186"/>
      <c r="BA384" s="186"/>
    </row>
    <row r="385" spans="49:53" x14ac:dyDescent="0.2">
      <c r="AW385" s="274"/>
      <c r="AX385" s="186"/>
      <c r="AY385" s="186"/>
      <c r="AZ385" s="186"/>
      <c r="BA385" s="186"/>
    </row>
    <row r="386" spans="49:53" x14ac:dyDescent="0.2">
      <c r="AW386" s="274"/>
      <c r="AX386" s="186"/>
      <c r="AY386" s="186"/>
      <c r="AZ386" s="186"/>
      <c r="BA386" s="186"/>
    </row>
    <row r="387" spans="49:53" x14ac:dyDescent="0.2">
      <c r="AW387" s="274"/>
      <c r="AX387" s="186"/>
      <c r="AY387" s="186"/>
      <c r="AZ387" s="186"/>
      <c r="BA387" s="186"/>
    </row>
    <row r="388" spans="49:53" x14ac:dyDescent="0.2">
      <c r="AW388" s="274"/>
      <c r="AX388" s="186"/>
      <c r="AY388" s="186"/>
      <c r="AZ388" s="186"/>
      <c r="BA388" s="186"/>
    </row>
    <row r="389" spans="49:53" x14ac:dyDescent="0.2">
      <c r="AW389" s="274"/>
      <c r="AX389" s="186"/>
      <c r="AY389" s="186"/>
      <c r="AZ389" s="186"/>
      <c r="BA389" s="186"/>
    </row>
    <row r="390" spans="49:53" x14ac:dyDescent="0.2">
      <c r="AW390" s="274"/>
      <c r="AX390" s="186"/>
      <c r="AY390" s="186"/>
      <c r="AZ390" s="186"/>
      <c r="BA390" s="186"/>
    </row>
    <row r="391" spans="49:53" x14ac:dyDescent="0.2">
      <c r="AW391" s="274"/>
      <c r="AX391" s="186"/>
      <c r="AY391" s="186"/>
      <c r="AZ391" s="186"/>
      <c r="BA391" s="186"/>
    </row>
    <row r="392" spans="49:53" x14ac:dyDescent="0.2">
      <c r="AW392" s="274"/>
      <c r="AX392" s="186"/>
      <c r="AY392" s="186"/>
      <c r="AZ392" s="186"/>
      <c r="BA392" s="186"/>
    </row>
    <row r="393" spans="49:53" x14ac:dyDescent="0.2">
      <c r="AW393" s="274"/>
      <c r="AX393" s="186"/>
      <c r="AY393" s="186"/>
      <c r="AZ393" s="186"/>
      <c r="BA393" s="186"/>
    </row>
    <row r="394" spans="49:53" x14ac:dyDescent="0.2">
      <c r="AW394" s="274"/>
      <c r="AX394" s="186"/>
      <c r="AY394" s="186"/>
      <c r="AZ394" s="186"/>
      <c r="BA394" s="186"/>
    </row>
    <row r="395" spans="49:53" x14ac:dyDescent="0.2">
      <c r="AW395" s="274"/>
      <c r="AX395" s="186"/>
      <c r="AY395" s="186"/>
      <c r="AZ395" s="186"/>
      <c r="BA395" s="186"/>
    </row>
    <row r="396" spans="49:53" x14ac:dyDescent="0.2">
      <c r="AW396" s="274"/>
      <c r="AX396" s="186"/>
      <c r="AY396" s="186"/>
      <c r="AZ396" s="186"/>
      <c r="BA396" s="186"/>
    </row>
    <row r="397" spans="49:53" x14ac:dyDescent="0.2">
      <c r="AW397" s="274"/>
      <c r="AX397" s="186"/>
      <c r="AY397" s="186"/>
      <c r="AZ397" s="186"/>
      <c r="BA397" s="186"/>
    </row>
    <row r="398" spans="49:53" x14ac:dyDescent="0.2">
      <c r="AW398" s="274"/>
      <c r="AX398" s="186"/>
      <c r="AY398" s="186"/>
      <c r="AZ398" s="186"/>
      <c r="BA398" s="186"/>
    </row>
    <row r="399" spans="49:53" x14ac:dyDescent="0.2">
      <c r="AW399" s="274"/>
      <c r="AX399" s="186"/>
      <c r="AY399" s="186"/>
      <c r="AZ399" s="186"/>
      <c r="BA399" s="186"/>
    </row>
    <row r="400" spans="49:53" x14ac:dyDescent="0.2">
      <c r="AW400" s="274"/>
      <c r="AX400" s="186"/>
      <c r="AY400" s="186"/>
      <c r="AZ400" s="186"/>
      <c r="BA400" s="186"/>
    </row>
    <row r="401" spans="49:53" x14ac:dyDescent="0.2">
      <c r="AW401" s="274"/>
      <c r="AX401" s="186"/>
      <c r="AY401" s="186"/>
      <c r="AZ401" s="186"/>
      <c r="BA401" s="186"/>
    </row>
    <row r="402" spans="49:53" x14ac:dyDescent="0.2">
      <c r="AW402" s="274"/>
      <c r="AX402" s="186"/>
      <c r="AY402" s="186"/>
      <c r="AZ402" s="186"/>
      <c r="BA402" s="186"/>
    </row>
    <row r="403" spans="49:53" x14ac:dyDescent="0.2">
      <c r="AW403" s="274"/>
      <c r="AX403" s="186"/>
      <c r="AY403" s="186"/>
      <c r="AZ403" s="186"/>
      <c r="BA403" s="186"/>
    </row>
    <row r="404" spans="49:53" x14ac:dyDescent="0.2">
      <c r="AW404" s="274"/>
      <c r="AX404" s="186"/>
      <c r="AY404" s="186"/>
      <c r="AZ404" s="186"/>
      <c r="BA404" s="186"/>
    </row>
    <row r="405" spans="49:53" x14ac:dyDescent="0.2">
      <c r="AW405" s="274"/>
      <c r="AX405" s="186"/>
      <c r="AY405" s="186"/>
      <c r="AZ405" s="186"/>
      <c r="BA405" s="186"/>
    </row>
    <row r="406" spans="49:53" x14ac:dyDescent="0.2">
      <c r="AW406" s="274"/>
      <c r="AX406" s="186"/>
      <c r="AY406" s="186"/>
      <c r="AZ406" s="186"/>
      <c r="BA406" s="186"/>
    </row>
    <row r="407" spans="49:53" x14ac:dyDescent="0.2">
      <c r="AW407" s="274"/>
      <c r="AX407" s="186"/>
      <c r="AY407" s="186"/>
      <c r="AZ407" s="186"/>
      <c r="BA407" s="186"/>
    </row>
    <row r="408" spans="49:53" x14ac:dyDescent="0.2">
      <c r="AW408" s="274"/>
      <c r="AX408" s="186"/>
      <c r="AY408" s="186"/>
      <c r="AZ408" s="186"/>
      <c r="BA408" s="186"/>
    </row>
    <row r="409" spans="49:53" x14ac:dyDescent="0.2">
      <c r="AW409" s="274"/>
      <c r="AX409" s="186"/>
      <c r="AY409" s="186"/>
      <c r="AZ409" s="186"/>
      <c r="BA409" s="186"/>
    </row>
    <row r="410" spans="49:53" x14ac:dyDescent="0.2">
      <c r="AW410" s="274"/>
      <c r="AX410" s="186"/>
      <c r="AY410" s="186"/>
      <c r="AZ410" s="186"/>
      <c r="BA410" s="186"/>
    </row>
    <row r="411" spans="49:53" x14ac:dyDescent="0.2">
      <c r="AW411" s="274"/>
      <c r="AX411" s="186"/>
      <c r="AY411" s="186"/>
      <c r="AZ411" s="186"/>
      <c r="BA411" s="186"/>
    </row>
    <row r="412" spans="49:53" x14ac:dyDescent="0.2">
      <c r="AW412" s="274"/>
      <c r="AX412" s="186"/>
      <c r="AY412" s="186"/>
      <c r="AZ412" s="186"/>
      <c r="BA412" s="186"/>
    </row>
    <row r="413" spans="49:53" x14ac:dyDescent="0.2">
      <c r="AW413" s="274"/>
      <c r="AX413" s="186"/>
      <c r="AY413" s="186"/>
      <c r="AZ413" s="186"/>
      <c r="BA413" s="186"/>
    </row>
    <row r="414" spans="49:53" x14ac:dyDescent="0.2">
      <c r="AW414" s="274"/>
      <c r="AX414" s="186"/>
      <c r="AY414" s="186"/>
      <c r="AZ414" s="186"/>
      <c r="BA414" s="186"/>
    </row>
    <row r="415" spans="49:53" x14ac:dyDescent="0.2">
      <c r="AW415" s="274"/>
      <c r="AX415" s="186"/>
      <c r="AY415" s="186"/>
      <c r="AZ415" s="186"/>
      <c r="BA415" s="186"/>
    </row>
    <row r="416" spans="49:53" x14ac:dyDescent="0.2">
      <c r="AW416" s="274"/>
      <c r="AX416" s="186"/>
      <c r="AY416" s="186"/>
      <c r="AZ416" s="186"/>
      <c r="BA416" s="186"/>
    </row>
    <row r="418" spans="49:53" x14ac:dyDescent="0.2">
      <c r="AW418" s="197"/>
      <c r="AX418" s="193"/>
      <c r="AY418" s="193"/>
      <c r="AZ418" s="193"/>
      <c r="BA418" s="193"/>
    </row>
    <row r="419" spans="49:53" x14ac:dyDescent="0.2">
      <c r="AW419" s="197"/>
      <c r="AX419" s="193"/>
      <c r="AY419" s="193"/>
      <c r="AZ419" s="193"/>
      <c r="BA419" s="193"/>
    </row>
    <row r="420" spans="49:53" x14ac:dyDescent="0.2">
      <c r="AW420" s="197"/>
      <c r="AX420" s="193"/>
      <c r="AY420" s="193"/>
      <c r="AZ420" s="193"/>
      <c r="BA420" s="193"/>
    </row>
    <row r="421" spans="49:53" x14ac:dyDescent="0.2">
      <c r="AW421" s="197"/>
      <c r="AX421" s="193"/>
      <c r="AY421" s="193"/>
      <c r="AZ421" s="193"/>
      <c r="BA421" s="193"/>
    </row>
    <row r="422" spans="49:53" x14ac:dyDescent="0.2">
      <c r="AW422" s="197"/>
      <c r="AX422" s="193"/>
      <c r="AY422" s="193"/>
      <c r="AZ422" s="193"/>
      <c r="BA422" s="193"/>
    </row>
    <row r="423" spans="49:53" x14ac:dyDescent="0.2">
      <c r="AW423" s="197"/>
      <c r="AX423" s="193"/>
      <c r="AY423" s="193"/>
      <c r="AZ423" s="193"/>
      <c r="BA423" s="193"/>
    </row>
    <row r="424" spans="49:53" x14ac:dyDescent="0.2">
      <c r="AW424" s="197"/>
      <c r="AX424" s="193"/>
      <c r="AY424" s="193"/>
      <c r="AZ424" s="193"/>
      <c r="BA424" s="193"/>
    </row>
    <row r="425" spans="49:53" x14ac:dyDescent="0.2">
      <c r="AW425" s="197"/>
      <c r="AX425" s="193"/>
      <c r="AY425" s="193"/>
      <c r="AZ425" s="193"/>
      <c r="BA425" s="193"/>
    </row>
    <row r="426" spans="49:53" x14ac:dyDescent="0.2">
      <c r="AW426" s="204"/>
      <c r="AX426" s="203"/>
      <c r="AY426" s="203"/>
      <c r="AZ426" s="203"/>
      <c r="BA426" s="203"/>
    </row>
    <row r="427" spans="49:53" x14ac:dyDescent="0.2">
      <c r="AW427" s="210"/>
      <c r="AX427" s="209"/>
      <c r="AY427" s="209"/>
      <c r="AZ427" s="209"/>
      <c r="BA427" s="209"/>
    </row>
    <row r="428" spans="49:53" x14ac:dyDescent="0.2">
      <c r="AW428" s="210"/>
      <c r="AX428" s="209"/>
      <c r="AY428" s="209"/>
      <c r="AZ428" s="209"/>
      <c r="BA428" s="209"/>
    </row>
    <row r="429" spans="49:53" x14ac:dyDescent="0.2">
      <c r="AW429" s="197"/>
      <c r="AX429" s="193"/>
      <c r="AY429" s="193"/>
      <c r="AZ429" s="193"/>
      <c r="BA429" s="193"/>
    </row>
    <row r="430" spans="49:53" x14ac:dyDescent="0.2">
      <c r="AW430" s="197"/>
      <c r="AX430" s="193"/>
      <c r="AY430" s="193"/>
      <c r="AZ430" s="193"/>
      <c r="BA430" s="193"/>
    </row>
    <row r="488" spans="49:49" x14ac:dyDescent="0.2">
      <c r="AW488" s="134"/>
    </row>
    <row r="489" spans="49:49" x14ac:dyDescent="0.2">
      <c r="AW489" s="134"/>
    </row>
    <row r="490" spans="49:49" x14ac:dyDescent="0.2">
      <c r="AW490" s="134"/>
    </row>
    <row r="491" spans="49:49" x14ac:dyDescent="0.2">
      <c r="AW491" s="134"/>
    </row>
    <row r="492" spans="49:49" x14ac:dyDescent="0.2">
      <c r="AW492" s="134"/>
    </row>
    <row r="493" spans="49:49" x14ac:dyDescent="0.2">
      <c r="AW493" s="134"/>
    </row>
    <row r="494" spans="49:49" x14ac:dyDescent="0.2">
      <c r="AW494" s="134"/>
    </row>
    <row r="495" spans="49:49" x14ac:dyDescent="0.2">
      <c r="AW495" s="134"/>
    </row>
    <row r="496" spans="49:49" x14ac:dyDescent="0.2">
      <c r="AW496" s="134"/>
    </row>
    <row r="542" spans="49:49" x14ac:dyDescent="0.2">
      <c r="AW542" s="134"/>
    </row>
    <row r="543" spans="49:49" x14ac:dyDescent="0.2">
      <c r="AW543" s="134"/>
    </row>
    <row r="544" spans="49:49" x14ac:dyDescent="0.2">
      <c r="AW544" s="134"/>
    </row>
    <row r="545" spans="49:49" x14ac:dyDescent="0.2">
      <c r="AW545" s="134"/>
    </row>
    <row r="546" spans="49:49" x14ac:dyDescent="0.2">
      <c r="AW546" s="134"/>
    </row>
    <row r="547" spans="49:49" x14ac:dyDescent="0.2">
      <c r="AW547" s="134"/>
    </row>
    <row r="548" spans="49:49" x14ac:dyDescent="0.2">
      <c r="AW548" s="134"/>
    </row>
    <row r="549" spans="49:49" x14ac:dyDescent="0.2">
      <c r="AW549" s="134"/>
    </row>
    <row r="550" spans="49:49" x14ac:dyDescent="0.2">
      <c r="AW550" s="134"/>
    </row>
    <row r="596" spans="49:49" x14ac:dyDescent="0.2">
      <c r="AW596" s="134"/>
    </row>
    <row r="597" spans="49:49" x14ac:dyDescent="0.2">
      <c r="AW597" s="134"/>
    </row>
    <row r="598" spans="49:49" x14ac:dyDescent="0.2">
      <c r="AW598" s="134"/>
    </row>
    <row r="599" spans="49:49" x14ac:dyDescent="0.2">
      <c r="AW599" s="134"/>
    </row>
    <row r="600" spans="49:49" x14ac:dyDescent="0.2">
      <c r="AW600" s="134"/>
    </row>
    <row r="601" spans="49:49" x14ac:dyDescent="0.2">
      <c r="AW601" s="134"/>
    </row>
    <row r="602" spans="49:49" x14ac:dyDescent="0.2">
      <c r="AW602" s="134"/>
    </row>
    <row r="603" spans="49:49" x14ac:dyDescent="0.2">
      <c r="AW603" s="134"/>
    </row>
    <row r="604" spans="49:49" x14ac:dyDescent="0.2">
      <c r="AW604" s="134"/>
    </row>
    <row r="650" spans="49:49" x14ac:dyDescent="0.2">
      <c r="AW650" s="134"/>
    </row>
    <row r="651" spans="49:49" x14ac:dyDescent="0.2">
      <c r="AW651" s="134"/>
    </row>
    <row r="652" spans="49:49" x14ac:dyDescent="0.2">
      <c r="AW652" s="134"/>
    </row>
    <row r="653" spans="49:49" x14ac:dyDescent="0.2">
      <c r="AW653" s="134"/>
    </row>
    <row r="654" spans="49:49" x14ac:dyDescent="0.2">
      <c r="AW654" s="134"/>
    </row>
    <row r="655" spans="49:49" x14ac:dyDescent="0.2">
      <c r="AW655" s="134"/>
    </row>
    <row r="656" spans="49:49" x14ac:dyDescent="0.2">
      <c r="AW656" s="134"/>
    </row>
    <row r="657" spans="49:49" x14ac:dyDescent="0.2">
      <c r="AW657" s="134"/>
    </row>
    <row r="658" spans="49:49" x14ac:dyDescent="0.2">
      <c r="AW658" s="134"/>
    </row>
  </sheetData>
  <sheetProtection sheet="1" objects="1" scenarios="1" formatCells="0" selectLockedCells="1"/>
  <mergeCells count="431">
    <mergeCell ref="A234:M234"/>
    <mergeCell ref="V234:AG234"/>
    <mergeCell ref="T221:V221"/>
    <mergeCell ref="T222:V222"/>
    <mergeCell ref="K223:N225"/>
    <mergeCell ref="AF223:AG225"/>
    <mergeCell ref="T231:V231"/>
    <mergeCell ref="T232:V232"/>
    <mergeCell ref="W217:Y217"/>
    <mergeCell ref="Z217:AB217"/>
    <mergeCell ref="AC217:AE217"/>
    <mergeCell ref="K218:N218"/>
    <mergeCell ref="T218:V218"/>
    <mergeCell ref="AF218:AG218"/>
    <mergeCell ref="T219:V219"/>
    <mergeCell ref="T220:V220"/>
    <mergeCell ref="T233:V233"/>
    <mergeCell ref="B213:J213"/>
    <mergeCell ref="K213:Q213"/>
    <mergeCell ref="U213:W213"/>
    <mergeCell ref="X213:AF213"/>
    <mergeCell ref="AG213:AM213"/>
    <mergeCell ref="B215:D215"/>
    <mergeCell ref="E215:G215"/>
    <mergeCell ref="H215:J215"/>
    <mergeCell ref="K215:Q217"/>
    <mergeCell ref="W215:Y215"/>
    <mergeCell ref="Z215:AB215"/>
    <mergeCell ref="AC215:AE215"/>
    <mergeCell ref="AF215:AJ217"/>
    <mergeCell ref="B216:D216"/>
    <mergeCell ref="E216:G216"/>
    <mergeCell ref="H216:J216"/>
    <mergeCell ref="T216:V216"/>
    <mergeCell ref="W216:Y216"/>
    <mergeCell ref="Z216:AB216"/>
    <mergeCell ref="AC216:AE216"/>
    <mergeCell ref="B217:D217"/>
    <mergeCell ref="E217:G217"/>
    <mergeCell ref="H217:J217"/>
    <mergeCell ref="T217:V217"/>
    <mergeCell ref="B211:J211"/>
    <mergeCell ref="K211:Q211"/>
    <mergeCell ref="U211:W211"/>
    <mergeCell ref="X211:AF211"/>
    <mergeCell ref="AG211:AM211"/>
    <mergeCell ref="B212:J212"/>
    <mergeCell ref="K212:Q212"/>
    <mergeCell ref="U212:W212"/>
    <mergeCell ref="X212:AF212"/>
    <mergeCell ref="AG212:AM212"/>
    <mergeCell ref="B209:J209"/>
    <mergeCell ref="K209:Q209"/>
    <mergeCell ref="U209:W209"/>
    <mergeCell ref="X209:AF209"/>
    <mergeCell ref="AG209:AM209"/>
    <mergeCell ref="B210:J210"/>
    <mergeCell ref="K210:Q210"/>
    <mergeCell ref="U210:W210"/>
    <mergeCell ref="X210:AF210"/>
    <mergeCell ref="AG210:AM210"/>
    <mergeCell ref="A203:E203"/>
    <mergeCell ref="F203:M203"/>
    <mergeCell ref="T203:Z203"/>
    <mergeCell ref="AB203:AH203"/>
    <mergeCell ref="A204:E204"/>
    <mergeCell ref="U204:AA204"/>
    <mergeCell ref="A205:E205"/>
    <mergeCell ref="U205:AA205"/>
    <mergeCell ref="A208:J208"/>
    <mergeCell ref="U208:AF208"/>
    <mergeCell ref="A200:E200"/>
    <mergeCell ref="J200:P200"/>
    <mergeCell ref="U200:AA200"/>
    <mergeCell ref="A202:D202"/>
    <mergeCell ref="F202:I202"/>
    <mergeCell ref="J202:M202"/>
    <mergeCell ref="T202:Z202"/>
    <mergeCell ref="AB202:AE202"/>
    <mergeCell ref="AF202:AH202"/>
    <mergeCell ref="A195:E195"/>
    <mergeCell ref="U195:AA195"/>
    <mergeCell ref="A196:E196"/>
    <mergeCell ref="U196:AA196"/>
    <mergeCell ref="F197:I197"/>
    <mergeCell ref="AB197:AE197"/>
    <mergeCell ref="J198:P198"/>
    <mergeCell ref="AF198:AJ198"/>
    <mergeCell ref="A199:E199"/>
    <mergeCell ref="F199:I199"/>
    <mergeCell ref="J199:P199"/>
    <mergeCell ref="U199:AA199"/>
    <mergeCell ref="AB199:AE199"/>
    <mergeCell ref="AF199:AJ199"/>
    <mergeCell ref="A191:E191"/>
    <mergeCell ref="U191:AA191"/>
    <mergeCell ref="A193:E193"/>
    <mergeCell ref="F193:M193"/>
    <mergeCell ref="T193:AA193"/>
    <mergeCell ref="AB193:AH193"/>
    <mergeCell ref="A194:E194"/>
    <mergeCell ref="F194:I194"/>
    <mergeCell ref="J194:M194"/>
    <mergeCell ref="T194:Z194"/>
    <mergeCell ref="AB194:AE194"/>
    <mergeCell ref="AF194:AH194"/>
    <mergeCell ref="A182:AQ182"/>
    <mergeCell ref="A183:AQ183"/>
    <mergeCell ref="A184:AQ184"/>
    <mergeCell ref="A185:AQ185"/>
    <mergeCell ref="A186:K186"/>
    <mergeCell ref="A188:O188"/>
    <mergeCell ref="R188:AF188"/>
    <mergeCell ref="A190:E190"/>
    <mergeCell ref="U190:AA190"/>
    <mergeCell ref="B179:G179"/>
    <mergeCell ref="H179:K179"/>
    <mergeCell ref="L179:Q179"/>
    <mergeCell ref="R179:U179"/>
    <mergeCell ref="V179:AA179"/>
    <mergeCell ref="AB179:AE179"/>
    <mergeCell ref="AF179:AK179"/>
    <mergeCell ref="AL179:AO179"/>
    <mergeCell ref="B180:G180"/>
    <mergeCell ref="H180:K180"/>
    <mergeCell ref="L180:Q180"/>
    <mergeCell ref="R180:U180"/>
    <mergeCell ref="V180:AA180"/>
    <mergeCell ref="AB180:AE180"/>
    <mergeCell ref="AF180:AK180"/>
    <mergeCell ref="AL180:AO180"/>
    <mergeCell ref="AG142:AK142"/>
    <mergeCell ref="A174:AM174"/>
    <mergeCell ref="AN174:AQ174"/>
    <mergeCell ref="A175:AQ175"/>
    <mergeCell ref="A176:AQ176"/>
    <mergeCell ref="A177:A178"/>
    <mergeCell ref="B177:K177"/>
    <mergeCell ref="L177:U177"/>
    <mergeCell ref="V177:AE177"/>
    <mergeCell ref="AF177:AO177"/>
    <mergeCell ref="B178:G178"/>
    <mergeCell ref="H178:K178"/>
    <mergeCell ref="L178:Q178"/>
    <mergeCell ref="R178:U178"/>
    <mergeCell ref="V178:AA178"/>
    <mergeCell ref="AB178:AE178"/>
    <mergeCell ref="AF178:AK178"/>
    <mergeCell ref="AL178:AO178"/>
    <mergeCell ref="AC107:AE107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Z108:AB108"/>
    <mergeCell ref="AC108:AE108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Z107:AB107"/>
    <mergeCell ref="Z105:AB105"/>
    <mergeCell ref="AC105:AE105"/>
    <mergeCell ref="B106:D106"/>
    <mergeCell ref="E106:G106"/>
    <mergeCell ref="H106:J106"/>
    <mergeCell ref="K106:M106"/>
    <mergeCell ref="N106:P106"/>
    <mergeCell ref="Q106:S106"/>
    <mergeCell ref="T106:V106"/>
    <mergeCell ref="W106:Y106"/>
    <mergeCell ref="Z106:AB106"/>
    <mergeCell ref="AC106:AE106"/>
    <mergeCell ref="AG101:AG102"/>
    <mergeCell ref="AH101:AI102"/>
    <mergeCell ref="B102:D102"/>
    <mergeCell ref="E102:K102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W104:Y104"/>
    <mergeCell ref="Z104:AB104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A101:A102"/>
    <mergeCell ref="B101:D101"/>
    <mergeCell ref="E101:K101"/>
    <mergeCell ref="L101:P102"/>
    <mergeCell ref="R101:V102"/>
    <mergeCell ref="W101:Y102"/>
    <mergeCell ref="Z101:AB102"/>
    <mergeCell ref="AC101:AE102"/>
    <mergeCell ref="AF101:AF102"/>
    <mergeCell ref="AG97:AG98"/>
    <mergeCell ref="AH97:AI98"/>
    <mergeCell ref="B98:D98"/>
    <mergeCell ref="E98:K98"/>
    <mergeCell ref="A99:A100"/>
    <mergeCell ref="B99:D99"/>
    <mergeCell ref="E99:K99"/>
    <mergeCell ref="L99:P100"/>
    <mergeCell ref="R99:V100"/>
    <mergeCell ref="W99:Y100"/>
    <mergeCell ref="Z99:AB100"/>
    <mergeCell ref="AC99:AE100"/>
    <mergeCell ref="AF99:AF100"/>
    <mergeCell ref="AG99:AG100"/>
    <mergeCell ref="AH99:AI100"/>
    <mergeCell ref="B100:D100"/>
    <mergeCell ref="E100:K100"/>
    <mergeCell ref="A97:A98"/>
    <mergeCell ref="B97:D97"/>
    <mergeCell ref="E97:K97"/>
    <mergeCell ref="L97:P98"/>
    <mergeCell ref="R97:V98"/>
    <mergeCell ref="W97:Y98"/>
    <mergeCell ref="Z97:AB98"/>
    <mergeCell ref="AC97:AE98"/>
    <mergeCell ref="AF97:AF98"/>
    <mergeCell ref="AG93:AG94"/>
    <mergeCell ref="AH93:AI94"/>
    <mergeCell ref="B94:D94"/>
    <mergeCell ref="E94:K94"/>
    <mergeCell ref="A95:A96"/>
    <mergeCell ref="B95:D95"/>
    <mergeCell ref="E95:K95"/>
    <mergeCell ref="L95:P96"/>
    <mergeCell ref="R95:V96"/>
    <mergeCell ref="W95:Y96"/>
    <mergeCell ref="Z95:AB96"/>
    <mergeCell ref="AC95:AE96"/>
    <mergeCell ref="AF95:AF96"/>
    <mergeCell ref="AG95:AG96"/>
    <mergeCell ref="AH95:AI96"/>
    <mergeCell ref="B96:D96"/>
    <mergeCell ref="E96:K96"/>
    <mergeCell ref="AG57:AK57"/>
    <mergeCell ref="A89:AM89"/>
    <mergeCell ref="AN89:AQ89"/>
    <mergeCell ref="A90:AQ90"/>
    <mergeCell ref="C91:H91"/>
    <mergeCell ref="I91:J91"/>
    <mergeCell ref="K91:AI91"/>
    <mergeCell ref="B92:K92"/>
    <mergeCell ref="L92:P92"/>
    <mergeCell ref="Q92:Q102"/>
    <mergeCell ref="R92:V92"/>
    <mergeCell ref="W92:Y92"/>
    <mergeCell ref="Z92:AB92"/>
    <mergeCell ref="AC92:AE92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F93:AF94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Z23:AB23"/>
    <mergeCell ref="AC23:AE23"/>
    <mergeCell ref="B22:D22"/>
    <mergeCell ref="E22:G22"/>
    <mergeCell ref="H22:J22"/>
    <mergeCell ref="K22:M22"/>
    <mergeCell ref="N22:P22"/>
    <mergeCell ref="Q22:S22"/>
    <mergeCell ref="T22:V22"/>
    <mergeCell ref="W22:Y22"/>
    <mergeCell ref="Z22:AB22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Z21:AB21"/>
    <mergeCell ref="AC21:AE21"/>
    <mergeCell ref="AG16:AG17"/>
    <mergeCell ref="AH16:AI17"/>
    <mergeCell ref="B17:D17"/>
    <mergeCell ref="E17:K17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A16:A17"/>
    <mergeCell ref="B16:D16"/>
    <mergeCell ref="E16:K16"/>
    <mergeCell ref="L16:P17"/>
    <mergeCell ref="R16:V17"/>
    <mergeCell ref="W16:Y17"/>
    <mergeCell ref="Z16:AB17"/>
    <mergeCell ref="AC16:AE17"/>
    <mergeCell ref="AF16:AF17"/>
    <mergeCell ref="AG12:AG13"/>
    <mergeCell ref="AH12:AI13"/>
    <mergeCell ref="B13:D13"/>
    <mergeCell ref="E13:K13"/>
    <mergeCell ref="AT13:AY14"/>
    <mergeCell ref="A14:A15"/>
    <mergeCell ref="B14:D14"/>
    <mergeCell ref="E14:K14"/>
    <mergeCell ref="L14:P15"/>
    <mergeCell ref="R14:V15"/>
    <mergeCell ref="W14:Y15"/>
    <mergeCell ref="Z14:AB15"/>
    <mergeCell ref="AC14:AE15"/>
    <mergeCell ref="AF14:AF15"/>
    <mergeCell ref="AG14:AG15"/>
    <mergeCell ref="AH14:AI15"/>
    <mergeCell ref="B15:D15"/>
    <mergeCell ref="E15:K15"/>
    <mergeCell ref="A12:A13"/>
    <mergeCell ref="B12:D12"/>
    <mergeCell ref="E12:K12"/>
    <mergeCell ref="L12:P13"/>
    <mergeCell ref="R12:V13"/>
    <mergeCell ref="W12:Y13"/>
    <mergeCell ref="Z12:AB13"/>
    <mergeCell ref="AC12:AE13"/>
    <mergeCell ref="AF12:AF13"/>
    <mergeCell ref="L10:P11"/>
    <mergeCell ref="R10:V11"/>
    <mergeCell ref="W10:Y11"/>
    <mergeCell ref="Z10:AB11"/>
    <mergeCell ref="AC10:AE11"/>
    <mergeCell ref="AF10:AF11"/>
    <mergeCell ref="AG10:AG11"/>
    <mergeCell ref="AH10:AI11"/>
    <mergeCell ref="B11:D11"/>
    <mergeCell ref="E11:K11"/>
    <mergeCell ref="B7:K7"/>
    <mergeCell ref="L7:P7"/>
    <mergeCell ref="Q7:Q17"/>
    <mergeCell ref="R7:V7"/>
    <mergeCell ref="W7:Y7"/>
    <mergeCell ref="Z7:AB7"/>
    <mergeCell ref="AC7:AE7"/>
    <mergeCell ref="AH7:AI7"/>
    <mergeCell ref="A8:A9"/>
    <mergeCell ref="B8:D8"/>
    <mergeCell ref="E8:K8"/>
    <mergeCell ref="L8:P9"/>
    <mergeCell ref="R8:V9"/>
    <mergeCell ref="W8:Y9"/>
    <mergeCell ref="Z8:AB9"/>
    <mergeCell ref="AC8:AE9"/>
    <mergeCell ref="AF8:AF9"/>
    <mergeCell ref="AG8:AG9"/>
    <mergeCell ref="AH8:AI9"/>
    <mergeCell ref="B9:D9"/>
    <mergeCell ref="E9:K9"/>
    <mergeCell ref="A10:A11"/>
    <mergeCell ref="B10:D10"/>
    <mergeCell ref="E10:K10"/>
    <mergeCell ref="A4:D4"/>
    <mergeCell ref="E4:M4"/>
    <mergeCell ref="N4:Q4"/>
    <mergeCell ref="R4:AA4"/>
    <mergeCell ref="AB4:AE4"/>
    <mergeCell ref="AF4:AI4"/>
    <mergeCell ref="B5:J5"/>
    <mergeCell ref="K5:AE5"/>
    <mergeCell ref="C6:H6"/>
    <mergeCell ref="I6:J6"/>
    <mergeCell ref="K6:AI6"/>
    <mergeCell ref="A1:AI1"/>
    <mergeCell ref="AT1:AW1"/>
    <mergeCell ref="AX1:AY1"/>
    <mergeCell ref="A2:I2"/>
    <mergeCell ref="J2:X2"/>
    <mergeCell ref="Y2:AC2"/>
    <mergeCell ref="AD2:AI2"/>
    <mergeCell ref="B3:O3"/>
    <mergeCell ref="P3:R3"/>
    <mergeCell ref="S3:X3"/>
    <mergeCell ref="Y3:AD3"/>
    <mergeCell ref="AE3:AF3"/>
    <mergeCell ref="AG3:AI3"/>
  </mergeCells>
  <conditionalFormatting sqref="A8 A93">
    <cfRule type="expression" dxfId="2762" priority="5" stopIfTrue="1">
      <formula>IF(AK9&gt;0,0,1)</formula>
    </cfRule>
  </conditionalFormatting>
  <conditionalFormatting sqref="A10:A11 A95:A96">
    <cfRule type="expression" dxfId="2761" priority="6" stopIfTrue="1">
      <formula>IF(#REF!&gt;1,0,1)</formula>
    </cfRule>
  </conditionalFormatting>
  <conditionalFormatting sqref="A12:A13 A97:A98">
    <cfRule type="expression" dxfId="2760" priority="7" stopIfTrue="1">
      <formula>IF(#REF!&gt;2,0,1)</formula>
    </cfRule>
  </conditionalFormatting>
  <conditionalFormatting sqref="A14:A15 A99:A100">
    <cfRule type="expression" dxfId="2759" priority="8" stopIfTrue="1">
      <formula>IF(#REF!&gt;3,0,1)</formula>
    </cfRule>
  </conditionalFormatting>
  <conditionalFormatting sqref="A16:A17 A101:A102">
    <cfRule type="expression" dxfId="2758" priority="9" stopIfTrue="1">
      <formula>IF(#REF!&gt;4,0,1)</formula>
    </cfRule>
  </conditionalFormatting>
  <conditionalFormatting sqref="B8 B93">
    <cfRule type="expression" dxfId="2757" priority="10" stopIfTrue="1">
      <formula>IF(AK9&gt;0,0,1)</formula>
    </cfRule>
  </conditionalFormatting>
  <conditionalFormatting sqref="B9 B94">
    <cfRule type="expression" dxfId="2756" priority="11" stopIfTrue="1">
      <formula>IF(AK9&gt;0,0,1)</formula>
    </cfRule>
  </conditionalFormatting>
  <conditionalFormatting sqref="B10 B95">
    <cfRule type="expression" dxfId="2755" priority="12" stopIfTrue="1">
      <formula>IF(#REF!&gt;1,0,1)</formula>
    </cfRule>
  </conditionalFormatting>
  <conditionalFormatting sqref="B11:D11 B96:D96">
    <cfRule type="expression" dxfId="2754" priority="13" stopIfTrue="1">
      <formula>IF(#REF!&gt;1,0,1)</formula>
    </cfRule>
  </conditionalFormatting>
  <conditionalFormatting sqref="B12:D12 B97:D97">
    <cfRule type="expression" dxfId="2753" priority="14" stopIfTrue="1">
      <formula>IF(#REF!&gt;2,0,1)</formula>
    </cfRule>
  </conditionalFormatting>
  <conditionalFormatting sqref="B13:D13 B98:D98">
    <cfRule type="expression" dxfId="2752" priority="15" stopIfTrue="1">
      <formula>IF(#REF!&gt;2,0,1)</formula>
    </cfRule>
  </conditionalFormatting>
  <conditionalFormatting sqref="B14:D14 B99:D99">
    <cfRule type="expression" dxfId="2751" priority="16" stopIfTrue="1">
      <formula>IF(#REF!&gt;3,0,1)</formula>
    </cfRule>
  </conditionalFormatting>
  <conditionalFormatting sqref="B15:D15 B100:D100">
    <cfRule type="expression" dxfId="2750" priority="17" stopIfTrue="1">
      <formula>IF(#REF!&gt;3,0,1)</formula>
    </cfRule>
  </conditionalFormatting>
  <conditionalFormatting sqref="B16:D16 B101:D101">
    <cfRule type="expression" dxfId="2749" priority="18" stopIfTrue="1">
      <formula>IF(#REF!&gt;4,0,1)</formula>
    </cfRule>
  </conditionalFormatting>
  <conditionalFormatting sqref="B17:D17 B102:D102">
    <cfRule type="expression" dxfId="2748" priority="19" stopIfTrue="1">
      <formula>IF(#REF!&gt;4,0,1)</formula>
    </cfRule>
  </conditionalFormatting>
  <conditionalFormatting sqref="E8 E93">
    <cfRule type="expression" dxfId="2747" priority="20" stopIfTrue="1">
      <formula>IF(AK9&gt;0,0,1)</formula>
    </cfRule>
  </conditionalFormatting>
  <conditionalFormatting sqref="E9 E94">
    <cfRule type="expression" dxfId="2746" priority="21" stopIfTrue="1">
      <formula>IF(AK9&gt;0,0,1)</formula>
    </cfRule>
  </conditionalFormatting>
  <conditionalFormatting sqref="E10 E95">
    <cfRule type="expression" dxfId="2745" priority="22" stopIfTrue="1">
      <formula>IF(#REF!&gt;1,0,1)</formula>
    </cfRule>
  </conditionalFormatting>
  <conditionalFormatting sqref="E11 E96">
    <cfRule type="expression" dxfId="2744" priority="23" stopIfTrue="1">
      <formula>IF(#REF!&gt;1,0,1)</formula>
    </cfRule>
  </conditionalFormatting>
  <conditionalFormatting sqref="E12 E97">
    <cfRule type="expression" dxfId="2743" priority="24" stopIfTrue="1">
      <formula>IF(#REF!&gt;2,0,1)</formula>
    </cfRule>
  </conditionalFormatting>
  <conditionalFormatting sqref="E13 E98">
    <cfRule type="expression" dxfId="2742" priority="25" stopIfTrue="1">
      <formula>IF(#REF!&gt;2,0,1)</formula>
    </cfRule>
  </conditionalFormatting>
  <conditionalFormatting sqref="E14 E99">
    <cfRule type="expression" dxfId="2741" priority="26" stopIfTrue="1">
      <formula>IF(#REF!&gt;3,0,1)</formula>
    </cfRule>
  </conditionalFormatting>
  <conditionalFormatting sqref="E15 E100">
    <cfRule type="expression" dxfId="2740" priority="27" stopIfTrue="1">
      <formula>IF(#REF!&gt;3,0,1)</formula>
    </cfRule>
  </conditionalFormatting>
  <conditionalFormatting sqref="E16 E101">
    <cfRule type="expression" dxfId="2739" priority="28" stopIfTrue="1">
      <formula>IF(#REF!&gt;4,0,1)</formula>
    </cfRule>
  </conditionalFormatting>
  <conditionalFormatting sqref="E17 E102">
    <cfRule type="expression" dxfId="2738" priority="29" stopIfTrue="1">
      <formula>IF(#REF!&gt;4,0,1)</formula>
    </cfRule>
  </conditionalFormatting>
  <conditionalFormatting sqref="AC8 AC93">
    <cfRule type="expression" dxfId="2737" priority="30" stopIfTrue="1">
      <formula>IF(AK11=1,IF(AK9&gt;0,0,1),1)</formula>
    </cfRule>
  </conditionalFormatting>
  <conditionalFormatting sqref="AC10:AE11 AC95:AE96">
    <cfRule type="expression" dxfId="2736" priority="31" stopIfTrue="1">
      <formula>IF(AK11=1,IF(#REF!&gt;1,0,1),1)</formula>
    </cfRule>
  </conditionalFormatting>
  <conditionalFormatting sqref="AC12:AE13 AC97:AE98">
    <cfRule type="expression" dxfId="2735" priority="32" stopIfTrue="1">
      <formula>IF(#REF!=1,IF(#REF!&gt;2,0,1),1)</formula>
    </cfRule>
  </conditionalFormatting>
  <conditionalFormatting sqref="AC14:AE15 AC99:AE100">
    <cfRule type="expression" dxfId="2734" priority="33" stopIfTrue="1">
      <formula>IF(#REF!=1,IF(#REF!&gt;3,0,1),1)</formula>
    </cfRule>
  </conditionalFormatting>
  <conditionalFormatting sqref="AC16:AE17 AC101:AE102">
    <cfRule type="expression" dxfId="2733" priority="34" stopIfTrue="1">
      <formula>IF(#REF!=1,IF(#REF!&gt;4,0,1),1)</formula>
    </cfRule>
  </conditionalFormatting>
  <conditionalFormatting sqref="AH8 AH93">
    <cfRule type="expression" dxfId="2732" priority="35" stopIfTrue="1">
      <formula>IF(AK9&gt;0,0,1)</formula>
    </cfRule>
  </conditionalFormatting>
  <conditionalFormatting sqref="AH10:AI11 AH95:AI96">
    <cfRule type="expression" dxfId="2731" priority="36" stopIfTrue="1">
      <formula>IF(#REF!&gt;1,0,1)</formula>
    </cfRule>
  </conditionalFormatting>
  <conditionalFormatting sqref="AH12:AI13 AH97:AI98">
    <cfRule type="expression" dxfId="2730" priority="37" stopIfTrue="1">
      <formula>IF(#REF!&gt;2,0,1)</formula>
    </cfRule>
  </conditionalFormatting>
  <conditionalFormatting sqref="AH14:AI15 AH99:AI100">
    <cfRule type="expression" dxfId="2729" priority="38" stopIfTrue="1">
      <formula>IF(#REF!&gt;3,0,1)</formula>
    </cfRule>
  </conditionalFormatting>
  <conditionalFormatting sqref="AH16:AI17 AH101:AI102">
    <cfRule type="expression" dxfId="2728" priority="39" stopIfTrue="1">
      <formula>IF(#REF!&gt;4,0,1)</formula>
    </cfRule>
  </conditionalFormatting>
  <conditionalFormatting sqref="B19:D19 B104:D104">
    <cfRule type="expression" dxfId="2727" priority="40" stopIfTrue="1">
      <formula>IF(#REF!&gt;0,0,1)</formula>
    </cfRule>
  </conditionalFormatting>
  <conditionalFormatting sqref="E19:G19 E104:G104">
    <cfRule type="expression" dxfId="2726" priority="41" stopIfTrue="1">
      <formula>IF(#REF!&gt;1,0,1)</formula>
    </cfRule>
  </conditionalFormatting>
  <conditionalFormatting sqref="H19:J19 H104:J104">
    <cfRule type="expression" dxfId="2725" priority="42" stopIfTrue="1">
      <formula>IF(#REF!&gt;2,0,1)</formula>
    </cfRule>
  </conditionalFormatting>
  <conditionalFormatting sqref="K19:M19 K104:M104">
    <cfRule type="expression" dxfId="2724" priority="43" stopIfTrue="1">
      <formula>IF(#REF!&gt;3,0,1)</formula>
    </cfRule>
  </conditionalFormatting>
  <conditionalFormatting sqref="N19:P19 N104:P104">
    <cfRule type="expression" dxfId="2723" priority="44" stopIfTrue="1">
      <formula>IF(#REF!&gt;4,0,1)</formula>
    </cfRule>
  </conditionalFormatting>
  <conditionalFormatting sqref="Q19:S19 Q104:S104">
    <cfRule type="expression" dxfId="2722" priority="45" stopIfTrue="1">
      <formula>IF(#REF!&gt;5,0,1)</formula>
    </cfRule>
  </conditionalFormatting>
  <conditionalFormatting sqref="T19:V19 T104:V104">
    <cfRule type="expression" dxfId="2721" priority="46" stopIfTrue="1">
      <formula>IF(#REF!&gt;6,0,1)</formula>
    </cfRule>
  </conditionalFormatting>
  <conditionalFormatting sqref="W19:Y19 W104:Y104">
    <cfRule type="expression" dxfId="2720" priority="47" stopIfTrue="1">
      <formula>IF(#REF!&gt;7,0,1)</formula>
    </cfRule>
  </conditionalFormatting>
  <conditionalFormatting sqref="Z19:AB19 Z104:AB104">
    <cfRule type="expression" dxfId="2719" priority="48" stopIfTrue="1">
      <formula>IF(#REF!&gt;8,0,1)</formula>
    </cfRule>
  </conditionalFormatting>
  <conditionalFormatting sqref="AC19:AE19 AC104:AE104">
    <cfRule type="expression" dxfId="2718" priority="49" stopIfTrue="1">
      <formula>IF(#REF!&gt;9,0,1)</formula>
    </cfRule>
  </conditionalFormatting>
  <conditionalFormatting sqref="B20:D20 B105:D105">
    <cfRule type="expression" dxfId="2717" priority="50" stopIfTrue="1">
      <formula>IF(#REF!&gt;0,0,1)</formula>
    </cfRule>
  </conditionalFormatting>
  <conditionalFormatting sqref="E20:G20 E105:G105">
    <cfRule type="expression" dxfId="2716" priority="51" stopIfTrue="1">
      <formula>IF(#REF!&gt;1,0,1)</formula>
    </cfRule>
  </conditionalFormatting>
  <conditionalFormatting sqref="H20:J20 H105:J105">
    <cfRule type="expression" dxfId="2715" priority="52" stopIfTrue="1">
      <formula>IF(#REF!&gt;2,0,1)</formula>
    </cfRule>
  </conditionalFormatting>
  <conditionalFormatting sqref="K20:M20 K105:M105">
    <cfRule type="expression" dxfId="2714" priority="53" stopIfTrue="1">
      <formula>IF(#REF!&gt;3,0,1)</formula>
    </cfRule>
  </conditionalFormatting>
  <conditionalFormatting sqref="N20:P20 N105:P105">
    <cfRule type="expression" dxfId="2713" priority="54" stopIfTrue="1">
      <formula>IF(#REF!&gt;4,0,1)</formula>
    </cfRule>
  </conditionalFormatting>
  <conditionalFormatting sqref="Q20:S20 Q105:S105">
    <cfRule type="expression" dxfId="2712" priority="55" stopIfTrue="1">
      <formula>IF(#REF!&gt;5,0,1)</formula>
    </cfRule>
  </conditionalFormatting>
  <conditionalFormatting sqref="T20:V20 T105:V105">
    <cfRule type="expression" dxfId="2711" priority="56" stopIfTrue="1">
      <formula>IF(#REF!&gt;6,0,1)</formula>
    </cfRule>
  </conditionalFormatting>
  <conditionalFormatting sqref="W20:Y20 W105:Y105">
    <cfRule type="expression" dxfId="2710" priority="57" stopIfTrue="1">
      <formula>IF(#REF!&gt;7,0,1)</formula>
    </cfRule>
  </conditionalFormatting>
  <conditionalFormatting sqref="Z20:AB20 Z105:AB105">
    <cfRule type="expression" dxfId="2709" priority="58" stopIfTrue="1">
      <formula>IF(#REF!&gt;8,0,1)</formula>
    </cfRule>
  </conditionalFormatting>
  <conditionalFormatting sqref="AC20:AE20 AC105:AE105">
    <cfRule type="expression" dxfId="2708" priority="59" stopIfTrue="1">
      <formula>IF(#REF!&gt;9,0,1)</formula>
    </cfRule>
  </conditionalFormatting>
  <conditionalFormatting sqref="E22:G22 E107:G107">
    <cfRule type="expression" dxfId="2707" priority="60" stopIfTrue="1">
      <formula>IF(#REF!&gt;1,0,1)</formula>
    </cfRule>
  </conditionalFormatting>
  <conditionalFormatting sqref="H22:J22 H107:J107">
    <cfRule type="expression" dxfId="2706" priority="61" stopIfTrue="1">
      <formula>IF(#REF!&gt;2,0,1)</formula>
    </cfRule>
  </conditionalFormatting>
  <conditionalFormatting sqref="K22:M22 K107:M107">
    <cfRule type="expression" dxfId="2705" priority="62" stopIfTrue="1">
      <formula>IF(#REF!&gt;3,0,1)</formula>
    </cfRule>
  </conditionalFormatting>
  <conditionalFormatting sqref="N22:P22 N107:P107">
    <cfRule type="expression" dxfId="2704" priority="63" stopIfTrue="1">
      <formula>IF(#REF!&gt;4,0,1)</formula>
    </cfRule>
  </conditionalFormatting>
  <conditionalFormatting sqref="Q22:S22 Q107:S107">
    <cfRule type="expression" dxfId="2703" priority="64" stopIfTrue="1">
      <formula>IF(#REF!&gt;5,0,1)</formula>
    </cfRule>
  </conditionalFormatting>
  <conditionalFormatting sqref="T22:V22 T107:V107">
    <cfRule type="expression" dxfId="2702" priority="65" stopIfTrue="1">
      <formula>IF(#REF!&gt;6,0,1)</formula>
    </cfRule>
  </conditionalFormatting>
  <conditionalFormatting sqref="W22:Y22 W107:Y107">
    <cfRule type="expression" dxfId="2701" priority="66" stopIfTrue="1">
      <formula>IF(#REF!&gt;7,0,1)</formula>
    </cfRule>
  </conditionalFormatting>
  <conditionalFormatting sqref="Z22:AB22 Z107:AB107">
    <cfRule type="expression" dxfId="2700" priority="67" stopIfTrue="1">
      <formula>IF(#REF!&gt;8,0,1)</formula>
    </cfRule>
  </conditionalFormatting>
  <conditionalFormatting sqref="AC22:AE22 AC107:AE107">
    <cfRule type="expression" dxfId="2699" priority="68" stopIfTrue="1">
      <formula>IF(#REF!&gt;9,0,1)</formula>
    </cfRule>
  </conditionalFormatting>
  <conditionalFormatting sqref="B24 B109">
    <cfRule type="expression" dxfId="2698" priority="69" stopIfTrue="1">
      <formula>IF(#REF!&gt;0,0,1)</formula>
    </cfRule>
  </conditionalFormatting>
  <conditionalFormatting sqref="C24 C109">
    <cfRule type="expression" dxfId="2697" priority="70" stopIfTrue="1">
      <formula>IF(#REF!&gt;0,0,1)</formula>
    </cfRule>
  </conditionalFormatting>
  <conditionalFormatting sqref="D24 D109">
    <cfRule type="expression" dxfId="2696" priority="71" stopIfTrue="1">
      <formula>IF(#REF!&gt;0,0,1)</formula>
    </cfRule>
  </conditionalFormatting>
  <conditionalFormatting sqref="E23:G23 E108:G108">
    <cfRule type="expression" dxfId="2695" priority="72" stopIfTrue="1">
      <formula>IF(#REF!&gt;1,0,1)</formula>
    </cfRule>
  </conditionalFormatting>
  <conditionalFormatting sqref="F24 F109">
    <cfRule type="expression" dxfId="2694" priority="73" stopIfTrue="1">
      <formula>IF(#REF!&gt;1,0,1)</formula>
    </cfRule>
  </conditionalFormatting>
  <conditionalFormatting sqref="G24 G109">
    <cfRule type="expression" dxfId="2693" priority="74" stopIfTrue="1">
      <formula>IF(#REF!&gt;1,0,1)</formula>
    </cfRule>
  </conditionalFormatting>
  <conditionalFormatting sqref="H23:J23 H108:J108">
    <cfRule type="expression" dxfId="2692" priority="75" stopIfTrue="1">
      <formula>IF(#REF!&gt;2,0,1)</formula>
    </cfRule>
  </conditionalFormatting>
  <conditionalFormatting sqref="I24 I109">
    <cfRule type="expression" dxfId="2691" priority="76" stopIfTrue="1">
      <formula>IF(#REF!&gt;2,0,1)</formula>
    </cfRule>
  </conditionalFormatting>
  <conditionalFormatting sqref="J24 J109">
    <cfRule type="expression" dxfId="2690" priority="77" stopIfTrue="1">
      <formula>IF(#REF!&gt;2,0,1)</formula>
    </cfRule>
  </conditionalFormatting>
  <conditionalFormatting sqref="K23:M23 K108:M108">
    <cfRule type="expression" dxfId="2689" priority="78" stopIfTrue="1">
      <formula>IF(#REF!&gt;3,0,1)</formula>
    </cfRule>
  </conditionalFormatting>
  <conditionalFormatting sqref="L24 L109">
    <cfRule type="expression" dxfId="2688" priority="79" stopIfTrue="1">
      <formula>IF(#REF!&gt;3,0,1)</formula>
    </cfRule>
  </conditionalFormatting>
  <conditionalFormatting sqref="M24 M109">
    <cfRule type="expression" dxfId="2687" priority="80" stopIfTrue="1">
      <formula>IF(#REF!&gt;3,0,1)</formula>
    </cfRule>
  </conditionalFormatting>
  <conditionalFormatting sqref="N23:P23 N108:P108">
    <cfRule type="expression" dxfId="2686" priority="81" stopIfTrue="1">
      <formula>IF(#REF!&gt;4,0,1)</formula>
    </cfRule>
  </conditionalFormatting>
  <conditionalFormatting sqref="O24 O109">
    <cfRule type="expression" dxfId="2685" priority="82" stopIfTrue="1">
      <formula>IF(#REF!&gt;4,0,1)</formula>
    </cfRule>
  </conditionalFormatting>
  <conditionalFormatting sqref="P24 P109">
    <cfRule type="expression" dxfId="2684" priority="83" stopIfTrue="1">
      <formula>IF(#REF!&gt;4,0,1)</formula>
    </cfRule>
  </conditionalFormatting>
  <conditionalFormatting sqref="Q23:S23 Q108:S108">
    <cfRule type="expression" dxfId="2683" priority="84" stopIfTrue="1">
      <formula>IF(#REF!&gt;5,0,1)</formula>
    </cfRule>
  </conditionalFormatting>
  <conditionalFormatting sqref="R24 R109">
    <cfRule type="expression" dxfId="2682" priority="85" stopIfTrue="1">
      <formula>IF(#REF!&gt;5,0,1)</formula>
    </cfRule>
  </conditionalFormatting>
  <conditionalFormatting sqref="S24 S109">
    <cfRule type="expression" dxfId="2681" priority="86" stopIfTrue="1">
      <formula>IF(#REF!&gt;5,0,1)</formula>
    </cfRule>
  </conditionalFormatting>
  <conditionalFormatting sqref="T23:V23 T108:V108">
    <cfRule type="expression" dxfId="2680" priority="87" stopIfTrue="1">
      <formula>IF(#REF!&gt;6,0,1)</formula>
    </cfRule>
  </conditionalFormatting>
  <conditionalFormatting sqref="U24 U109">
    <cfRule type="expression" dxfId="2679" priority="88" stopIfTrue="1">
      <formula>IF(#REF!&gt;6,0,1)</formula>
    </cfRule>
  </conditionalFormatting>
  <conditionalFormatting sqref="V24 V109">
    <cfRule type="expression" dxfId="2678" priority="89" stopIfTrue="1">
      <formula>IF(#REF!&gt;6,0,1)</formula>
    </cfRule>
  </conditionalFormatting>
  <conditionalFormatting sqref="W23:Y23 W108:Y108">
    <cfRule type="expression" dxfId="2677" priority="90" stopIfTrue="1">
      <formula>IF(#REF!&gt;7,0,1)</formula>
    </cfRule>
  </conditionalFormatting>
  <conditionalFormatting sqref="X24 X109">
    <cfRule type="expression" dxfId="2676" priority="91" stopIfTrue="1">
      <formula>IF(#REF!&gt;7,0,1)</formula>
    </cfRule>
  </conditionalFormatting>
  <conditionalFormatting sqref="Y24 Y109">
    <cfRule type="expression" dxfId="2675" priority="92" stopIfTrue="1">
      <formula>IF(#REF!&gt;7,0,1)</formula>
    </cfRule>
  </conditionalFormatting>
  <conditionalFormatting sqref="Z23:AB23 Z108:AB108">
    <cfRule type="expression" dxfId="2674" priority="93" stopIfTrue="1">
      <formula>IF(#REF!&gt;8,0,1)</formula>
    </cfRule>
  </conditionalFormatting>
  <conditionalFormatting sqref="AA24 AA109">
    <cfRule type="expression" dxfId="2673" priority="94" stopIfTrue="1">
      <formula>IF(#REF!&gt;8,0,1)</formula>
    </cfRule>
  </conditionalFormatting>
  <conditionalFormatting sqref="AB24 AB109">
    <cfRule type="expression" dxfId="2672" priority="95" stopIfTrue="1">
      <formula>IF(#REF!&gt;8,0,1)</formula>
    </cfRule>
  </conditionalFormatting>
  <conditionalFormatting sqref="AC23:AE23 AC108:AE108">
    <cfRule type="expression" dxfId="2671" priority="96" stopIfTrue="1">
      <formula>IF(#REF!&gt;9,0,1)</formula>
    </cfRule>
  </conditionalFormatting>
  <conditionalFormatting sqref="AD24 AD109">
    <cfRule type="expression" dxfId="2670" priority="97" stopIfTrue="1">
      <formula>IF(#REF!&gt;9,0,1)</formula>
    </cfRule>
  </conditionalFormatting>
  <conditionalFormatting sqref="AE24 AE109">
    <cfRule type="expression" dxfId="2669" priority="98" stopIfTrue="1">
      <formula>IF(#REF!&gt;9,0,1)</formula>
    </cfRule>
  </conditionalFormatting>
  <conditionalFormatting sqref="A26 A111">
    <cfRule type="expression" dxfId="2668" priority="99" stopIfTrue="1">
      <formula>IF(#REF!&gt;1,0,1)</formula>
    </cfRule>
  </conditionalFormatting>
  <conditionalFormatting sqref="A27 A112">
    <cfRule type="expression" dxfId="2667" priority="100" stopIfTrue="1">
      <formula>IF(#REF!&gt;2,0,1)</formula>
    </cfRule>
  </conditionalFormatting>
  <conditionalFormatting sqref="A28 A113">
    <cfRule type="expression" dxfId="2666" priority="101" stopIfTrue="1">
      <formula>IF(#REF!&gt;3,0,1)</formula>
    </cfRule>
  </conditionalFormatting>
  <conditionalFormatting sqref="A29 A114">
    <cfRule type="expression" dxfId="2665" priority="102" stopIfTrue="1">
      <formula>IF(#REF!&gt;4,0,1)</formula>
    </cfRule>
  </conditionalFormatting>
  <conditionalFormatting sqref="B25:D25 B110:D110">
    <cfRule type="expression" dxfId="2664" priority="103" stopIfTrue="1">
      <formula>IF(#REF!&gt;0,0,1)</formula>
    </cfRule>
  </conditionalFormatting>
  <conditionalFormatting sqref="B26:D26 B111:D111">
    <cfRule type="expression" dxfId="2663" priority="104" stopIfTrue="1">
      <formula>IF(#REF!&lt;1,1,IF(#REF!&lt;2,1,0))</formula>
    </cfRule>
  </conditionalFormatting>
  <conditionalFormatting sqref="B27:D27 B112:D112">
    <cfRule type="expression" dxfId="2662" priority="105" stopIfTrue="1">
      <formula>IF(#REF!&lt;1,1,IF(#REF!&lt;3,1,0))</formula>
    </cfRule>
  </conditionalFormatting>
  <conditionalFormatting sqref="B28:D28 B113:D113">
    <cfRule type="expression" dxfId="2661" priority="106" stopIfTrue="1">
      <formula>IF(#REF!&lt;1,1,IF(#REF!&lt;4,1,0))</formula>
    </cfRule>
  </conditionalFormatting>
  <conditionalFormatting sqref="B29:D29 B114:D114">
    <cfRule type="expression" dxfId="2660" priority="107" stopIfTrue="1">
      <formula>IF(#REF!&lt;1,1,IF(#REF!&lt;5,1,0))</formula>
    </cfRule>
  </conditionalFormatting>
  <conditionalFormatting sqref="AF26 AF111">
    <cfRule type="expression" dxfId="2659" priority="108" stopIfTrue="1">
      <formula>IF(#REF!&gt;2,0,1)</formula>
    </cfRule>
  </conditionalFormatting>
  <conditionalFormatting sqref="AF25 AF110">
    <cfRule type="expression" dxfId="2658" priority="109" stopIfTrue="1">
      <formula>IF(#REF!&gt;1,0,1)</formula>
    </cfRule>
  </conditionalFormatting>
  <conditionalFormatting sqref="AF24 AF109">
    <cfRule type="expression" dxfId="2657" priority="110" stopIfTrue="1">
      <formula>IF(#REF!&gt;0,0,1)</formula>
    </cfRule>
  </conditionalFormatting>
  <conditionalFormatting sqref="AF27 AF112">
    <cfRule type="expression" dxfId="2656" priority="111" stopIfTrue="1">
      <formula>IF(#REF!&gt;3,0,1)</formula>
    </cfRule>
  </conditionalFormatting>
  <conditionalFormatting sqref="AF28 AF113">
    <cfRule type="expression" dxfId="2655" priority="112" stopIfTrue="1">
      <formula>IF(#REF!&gt;4,0,1)</formula>
    </cfRule>
  </conditionalFormatting>
  <conditionalFormatting sqref="AG23 AG108">
    <cfRule type="expression" dxfId="2654" priority="113" stopIfTrue="1">
      <formula>IF(#REF!&lt;1,1,0)</formula>
    </cfRule>
  </conditionalFormatting>
  <conditionalFormatting sqref="AH23 AH108">
    <cfRule type="expression" dxfId="2653" priority="114" stopIfTrue="1">
      <formula>IF(#REF!&lt;2,1,0)</formula>
    </cfRule>
  </conditionalFormatting>
  <conditionalFormatting sqref="AI23 AI108">
    <cfRule type="expression" dxfId="2652" priority="115" stopIfTrue="1">
      <formula>IF(#REF!&lt;3,1,0)</formula>
    </cfRule>
  </conditionalFormatting>
  <conditionalFormatting sqref="AJ23 AJ108">
    <cfRule type="expression" dxfId="2651" priority="116" stopIfTrue="1">
      <formula>IF(#REF!&lt;4,1,0)</formula>
    </cfRule>
  </conditionalFormatting>
  <conditionalFormatting sqref="AK23 AK108">
    <cfRule type="expression" dxfId="2650" priority="117" stopIfTrue="1">
      <formula>IF(#REF!&lt;5,1,0)</formula>
    </cfRule>
  </conditionalFormatting>
  <conditionalFormatting sqref="AL23 AL108">
    <cfRule type="expression" dxfId="2649" priority="118" stopIfTrue="1">
      <formula>IF(#REF!&lt;6,1,0)</formula>
    </cfRule>
  </conditionalFormatting>
  <conditionalFormatting sqref="AM23 AM108">
    <cfRule type="expression" dxfId="2648" priority="119" stopIfTrue="1">
      <formula>IF(#REF!&lt;7,1,0)</formula>
    </cfRule>
  </conditionalFormatting>
  <conditionalFormatting sqref="AN23 AN108">
    <cfRule type="expression" dxfId="2647" priority="120" stopIfTrue="1">
      <formula>IF(#REF!&lt;8,1,0)</formula>
    </cfRule>
  </conditionalFormatting>
  <conditionalFormatting sqref="AO23 AO108">
    <cfRule type="expression" dxfId="2646" priority="121" stopIfTrue="1">
      <formula>IF(#REF!&lt;9,1,0)</formula>
    </cfRule>
  </conditionalFormatting>
  <conditionalFormatting sqref="AP23 AP108">
    <cfRule type="expression" dxfId="2645" priority="122" stopIfTrue="1">
      <formula>IF(#REF!&lt;10,1,0)</formula>
    </cfRule>
  </conditionalFormatting>
  <conditionalFormatting sqref="AQ24 AQ109">
    <cfRule type="expression" dxfId="2644" priority="123" stopIfTrue="1">
      <formula>IF(#REF!&gt;0,0,1)</formula>
    </cfRule>
  </conditionalFormatting>
  <conditionalFormatting sqref="AQ25 AQ110">
    <cfRule type="expression" dxfId="2643" priority="124" stopIfTrue="1">
      <formula>IF(#REF!&gt;1,0,1)</formula>
    </cfRule>
  </conditionalFormatting>
  <conditionalFormatting sqref="AQ26 H25:J25 AQ111 H110:J110">
    <cfRule type="expression" dxfId="2642" priority="125" stopIfTrue="1">
      <formula>IF(#REF!&gt;2,0,1)</formula>
    </cfRule>
  </conditionalFormatting>
  <conditionalFormatting sqref="K25:M25 K110:M110">
    <cfRule type="expression" dxfId="2641" priority="126" stopIfTrue="1">
      <formula>IF(#REF!&gt;3,0,1)</formula>
    </cfRule>
  </conditionalFormatting>
  <conditionalFormatting sqref="AQ28 AQ113">
    <cfRule type="expression" dxfId="2640" priority="127" stopIfTrue="1">
      <formula>IF(#REF!&gt;4,0,1)</formula>
    </cfRule>
  </conditionalFormatting>
  <conditionalFormatting sqref="E26:G26 E111:G111">
    <cfRule type="expression" dxfId="2639" priority="128" stopIfTrue="1">
      <formula>IF(#REF!&lt;2,1,IF(#REF!&lt;2,1,0))</formula>
    </cfRule>
  </conditionalFormatting>
  <conditionalFormatting sqref="E27:G27 E112:G112">
    <cfRule type="expression" dxfId="2638" priority="129" stopIfTrue="1">
      <formula>IF(#REF!&lt;2,1,IF(#REF!&lt;3,1,0))</formula>
    </cfRule>
  </conditionalFormatting>
  <conditionalFormatting sqref="E28:G28 E113:G113">
    <cfRule type="expression" dxfId="2637" priority="130" stopIfTrue="1">
      <formula>IF(#REF!&lt;2,1,IF(#REF!&lt;4,1,0))</formula>
    </cfRule>
  </conditionalFormatting>
  <conditionalFormatting sqref="E29:G29 E114:G114">
    <cfRule type="expression" dxfId="2636" priority="131" stopIfTrue="1">
      <formula>IF(#REF!&lt;2,1,IF(#REF!&lt;5,1,0))</formula>
    </cfRule>
  </conditionalFormatting>
  <conditionalFormatting sqref="N25:P25 N110:P110">
    <cfRule type="expression" dxfId="2635" priority="132" stopIfTrue="1">
      <formula>IF(#REF!&gt;4,0,1)</formula>
    </cfRule>
  </conditionalFormatting>
  <conditionalFormatting sqref="Q25:S25 Q110:S110">
    <cfRule type="expression" dxfId="2634" priority="133" stopIfTrue="1">
      <formula>IF(#REF!&gt;5,0,1)</formula>
    </cfRule>
  </conditionalFormatting>
  <conditionalFormatting sqref="T25:V25 T110:V110">
    <cfRule type="expression" dxfId="2633" priority="134" stopIfTrue="1">
      <formula>IF(#REF!&gt;6,0,1)</formula>
    </cfRule>
  </conditionalFormatting>
  <conditionalFormatting sqref="W25:Y25 W110:Y110">
    <cfRule type="expression" dxfId="2632" priority="135" stopIfTrue="1">
      <formula>IF(#REF!&gt;7,0,1)</formula>
    </cfRule>
  </conditionalFormatting>
  <conditionalFormatting sqref="Z25:AB25 Z110:AB110">
    <cfRule type="expression" dxfId="2631" priority="136" stopIfTrue="1">
      <formula>IF(#REF!&gt;8,0,1)</formula>
    </cfRule>
  </conditionalFormatting>
  <conditionalFormatting sqref="AC25:AE25 AC110:AE110">
    <cfRule type="expression" dxfId="2630" priority="137" stopIfTrue="1">
      <formula>IF(#REF!&gt;9,0,1)</formula>
    </cfRule>
  </conditionalFormatting>
  <conditionalFormatting sqref="H26:J26 H111:J111">
    <cfRule type="expression" dxfId="2629" priority="138" stopIfTrue="1">
      <formula>IF(#REF!&lt;3,1,IF(#REF!&lt;2,1,0))</formula>
    </cfRule>
  </conditionalFormatting>
  <conditionalFormatting sqref="K26:M26 K111:M111">
    <cfRule type="expression" dxfId="2628" priority="139" stopIfTrue="1">
      <formula>IF(#REF!&lt;4,1,IF(#REF!&lt;2,1,0))</formula>
    </cfRule>
  </conditionalFormatting>
  <conditionalFormatting sqref="N26:P26 N111:P111">
    <cfRule type="expression" dxfId="2627" priority="140" stopIfTrue="1">
      <formula>IF(#REF!&lt;5,1,IF(#REF!&lt;2,1,0))</formula>
    </cfRule>
  </conditionalFormatting>
  <conditionalFormatting sqref="Q26:S26 Q111:S111">
    <cfRule type="expression" dxfId="2626" priority="141" stopIfTrue="1">
      <formula>IF(#REF!&lt;6,1,IF(#REF!&lt;2,1,0))</formula>
    </cfRule>
  </conditionalFormatting>
  <conditionalFormatting sqref="T26:V26 T111:V111">
    <cfRule type="expression" dxfId="2625" priority="142" stopIfTrue="1">
      <formula>IF(#REF!&lt;7,1,IF(#REF!&lt;2,1,0))</formula>
    </cfRule>
  </conditionalFormatting>
  <conditionalFormatting sqref="W26:Y26 W111:Y111">
    <cfRule type="expression" dxfId="2624" priority="143" stopIfTrue="1">
      <formula>IF(#REF!&lt;8,1,IF(#REF!&lt;2,1,0))</formula>
    </cfRule>
  </conditionalFormatting>
  <conditionalFormatting sqref="Z26:AB26 Z111:AB111">
    <cfRule type="expression" dxfId="2623" priority="144" stopIfTrue="1">
      <formula>IF(#REF!&lt;9,1,IF(#REF!&lt;2,1,0))</formula>
    </cfRule>
  </conditionalFormatting>
  <conditionalFormatting sqref="AC26:AE26 AC111:AE111">
    <cfRule type="expression" dxfId="2622" priority="145" stopIfTrue="1">
      <formula>IF(#REF!&lt;10,1,IF(#REF!&lt;2,1,0))</formula>
    </cfRule>
  </conditionalFormatting>
  <conditionalFormatting sqref="H27:J27 H112:J112">
    <cfRule type="expression" dxfId="2621" priority="146" stopIfTrue="1">
      <formula>IF(#REF!&lt;3,1,IF(#REF!&lt;3,1,0))</formula>
    </cfRule>
  </conditionalFormatting>
  <conditionalFormatting sqref="K27:M27 K112:M112">
    <cfRule type="expression" dxfId="2620" priority="147" stopIfTrue="1">
      <formula>IF(#REF!&lt;4,1,IF(#REF!&lt;3,1,0))</formula>
    </cfRule>
  </conditionalFormatting>
  <conditionalFormatting sqref="N27:P27 N112:P112">
    <cfRule type="expression" dxfId="2619" priority="148" stopIfTrue="1">
      <formula>IF(#REF!&lt;5,1,IF(#REF!&lt;3,1,0))</formula>
    </cfRule>
  </conditionalFormatting>
  <conditionalFormatting sqref="Q27:S27 Q112:S112">
    <cfRule type="expression" dxfId="2618" priority="149" stopIfTrue="1">
      <formula>IF(#REF!&lt;6,1,IF(#REF!&lt;3,1,0))</formula>
    </cfRule>
  </conditionalFormatting>
  <conditionalFormatting sqref="T27:V27 T112:V112">
    <cfRule type="expression" dxfId="2617" priority="150" stopIfTrue="1">
      <formula>IF(#REF!&lt;7,1,IF(#REF!&lt;3,1,0))</formula>
    </cfRule>
  </conditionalFormatting>
  <conditionalFormatting sqref="W27:Y27 W112:Y112">
    <cfRule type="expression" dxfId="2616" priority="151" stopIfTrue="1">
      <formula>IF(#REF!&lt;8,1,IF(#REF!&lt;3,1,0))</formula>
    </cfRule>
  </conditionalFormatting>
  <conditionalFormatting sqref="Z27:AB27 Z112:AB112">
    <cfRule type="expression" dxfId="2615" priority="152" stopIfTrue="1">
      <formula>IF(#REF!&lt;9,1,IF(#REF!&lt;3,1,0))</formula>
    </cfRule>
  </conditionalFormatting>
  <conditionalFormatting sqref="AC27:AE27 AC112:AE112">
    <cfRule type="expression" dxfId="2614" priority="153" stopIfTrue="1">
      <formula>IF(#REF!&lt;10,1,IF(#REF!&lt;3,1,0))</formula>
    </cfRule>
  </conditionalFormatting>
  <conditionalFormatting sqref="H28:J28 H113:J113">
    <cfRule type="expression" dxfId="2613" priority="154" stopIfTrue="1">
      <formula>IF(#REF!&lt;3,1,IF(#REF!&lt;4,1,0))</formula>
    </cfRule>
  </conditionalFormatting>
  <conditionalFormatting sqref="K28:M28 K113:M113">
    <cfRule type="expression" dxfId="2612" priority="155" stopIfTrue="1">
      <formula>IF(#REF!&lt;4,1,IF(#REF!&lt;4,1,0))</formula>
    </cfRule>
  </conditionalFormatting>
  <conditionalFormatting sqref="N28:P28 N113:P113">
    <cfRule type="expression" dxfId="2611" priority="156" stopIfTrue="1">
      <formula>IF(#REF!&lt;5,1,IF(#REF!&lt;4,1,0))</formula>
    </cfRule>
  </conditionalFormatting>
  <conditionalFormatting sqref="Q28:S28 Q113:S113">
    <cfRule type="expression" dxfId="2610" priority="157" stopIfTrue="1">
      <formula>IF(#REF!&lt;6,1,IF(#REF!&lt;4,1,0))</formula>
    </cfRule>
  </conditionalFormatting>
  <conditionalFormatting sqref="T28:V28 T113:V113">
    <cfRule type="expression" dxfId="2609" priority="158" stopIfTrue="1">
      <formula>IF(#REF!&lt;7,1,IF(#REF!&lt;4,1,0))</formula>
    </cfRule>
  </conditionalFormatting>
  <conditionalFormatting sqref="W28:Y28 W113:Y113">
    <cfRule type="expression" dxfId="2608" priority="159" stopIfTrue="1">
      <formula>IF(#REF!&lt;8,1,IF(#REF!&lt;4,1,0))</formula>
    </cfRule>
  </conditionalFormatting>
  <conditionalFormatting sqref="Z28:AB28 Z113:AB113">
    <cfRule type="expression" dxfId="2607" priority="160" stopIfTrue="1">
      <formula>IF(#REF!&lt;9,1,IF(#REF!&lt;4,1,0))</formula>
    </cfRule>
  </conditionalFormatting>
  <conditionalFormatting sqref="AC28:AE28 AC113:AE113">
    <cfRule type="expression" dxfId="2606" priority="161" stopIfTrue="1">
      <formula>IF(#REF!&lt;10,1,IF(#REF!&lt;4,1,0))</formula>
    </cfRule>
  </conditionalFormatting>
  <conditionalFormatting sqref="H29:J29 H114:J114">
    <cfRule type="expression" dxfId="2605" priority="162" stopIfTrue="1">
      <formula>IF(#REF!&lt;3,1,IF(#REF!&lt;5,1,0))</formula>
    </cfRule>
  </conditionalFormatting>
  <conditionalFormatting sqref="K29:M29 K114:M114">
    <cfRule type="expression" dxfId="2604" priority="163" stopIfTrue="1">
      <formula>IF(#REF!&lt;4,1,IF(#REF!&lt;5,1,0))</formula>
    </cfRule>
  </conditionalFormatting>
  <conditionalFormatting sqref="N29:P29 N114:P114">
    <cfRule type="expression" dxfId="2603" priority="164" stopIfTrue="1">
      <formula>IF(#REF!&lt;5,1,IF(#REF!&lt;5,1,0))</formula>
    </cfRule>
  </conditionalFormatting>
  <conditionalFormatting sqref="Q29:S29 Q114:S114">
    <cfRule type="expression" dxfId="2602" priority="165" stopIfTrue="1">
      <formula>IF(#REF!&lt;6,1,IF(#REF!&lt;5,1,0))</formula>
    </cfRule>
  </conditionalFormatting>
  <conditionalFormatting sqref="T29:V29 T114:V114">
    <cfRule type="expression" dxfId="2601" priority="166" stopIfTrue="1">
      <formula>IF(#REF!&lt;7,1,IF(#REF!&lt;5,1,0))</formula>
    </cfRule>
  </conditionalFormatting>
  <conditionalFormatting sqref="W29:Y29 W114:Y114">
    <cfRule type="expression" dxfId="2600" priority="167" stopIfTrue="1">
      <formula>IF(#REF!&lt;8,1,IF(#REF!&lt;5,1,0))</formula>
    </cfRule>
  </conditionalFormatting>
  <conditionalFormatting sqref="Z29:AB29 Z114:AB114">
    <cfRule type="expression" dxfId="2599" priority="168" stopIfTrue="1">
      <formula>IF(#REF!&lt;9,1,IF(#REF!&lt;5,1,0))</formula>
    </cfRule>
  </conditionalFormatting>
  <conditionalFormatting sqref="AC29:AE29 AC114:AE114">
    <cfRule type="expression" dxfId="2598" priority="169" stopIfTrue="1">
      <formula>IF(#REF!&lt;10,1,IF(#REF!&lt;5,1,0))</formula>
    </cfRule>
  </conditionalFormatting>
  <conditionalFormatting sqref="R14:AB15 AF14:AF15 L14:P15 R99:AB100 AF99:AF100 L99:P100 AG14 AG99">
    <cfRule type="expression" dxfId="2597" priority="170" stopIfTrue="1">
      <formula>IF(#REF!&gt;3,0,1)</formula>
    </cfRule>
  </conditionalFormatting>
  <conditionalFormatting sqref="R16:AB17 AF16:AF17 L16:P17 R101:AB102 AF101:AF102 L101:P102 AG16 AG101">
    <cfRule type="expression" dxfId="2596" priority="171" stopIfTrue="1">
      <formula>IF(#REF!&gt;4,0,1)</formula>
    </cfRule>
  </conditionalFormatting>
  <conditionalFormatting sqref="R8:AB9 AF8:AF9 L8:P9 R93:AB94 AF93:AF94 L93:P94 AG8 AG93">
    <cfRule type="expression" dxfId="2595" priority="172" stopIfTrue="1">
      <formula>IF($AK9&gt;0,0,1)</formula>
    </cfRule>
  </conditionalFormatting>
  <conditionalFormatting sqref="R10:AB11 AF10:AF11 L10:P11 R95:AB96 AF95:AF96 L95:P96 AG10 AG95">
    <cfRule type="expression" dxfId="2594" priority="173" stopIfTrue="1">
      <formula>IF(#REF!&gt;1,0,1)</formula>
    </cfRule>
  </conditionalFormatting>
  <conditionalFormatting sqref="R12:AB13 AF12:AF13 L12:P13 R97:AB98 AF97:AF98 L97:P98 AG12 AG97">
    <cfRule type="expression" dxfId="2593" priority="174" stopIfTrue="1">
      <formula>IF(#REF!&gt;2,0,1)</formula>
    </cfRule>
  </conditionalFormatting>
  <conditionalFormatting sqref="E24 E109">
    <cfRule type="expression" dxfId="2592" priority="175" stopIfTrue="1">
      <formula>IF(#REF!&gt;1,0,1)</formula>
    </cfRule>
  </conditionalFormatting>
  <conditionalFormatting sqref="H24 H109">
    <cfRule type="expression" dxfId="2591" priority="176" stopIfTrue="1">
      <formula>IF(#REF!&gt;2,0,1)</formula>
    </cfRule>
  </conditionalFormatting>
  <conditionalFormatting sqref="K24 K109">
    <cfRule type="expression" dxfId="2590" priority="177" stopIfTrue="1">
      <formula>IF(#REF!&gt;3,0,1)</formula>
    </cfRule>
  </conditionalFormatting>
  <conditionalFormatting sqref="N24 N109">
    <cfRule type="expression" dxfId="2589" priority="178" stopIfTrue="1">
      <formula>IF(#REF!&gt;4,0,1)</formula>
    </cfRule>
  </conditionalFormatting>
  <conditionalFormatting sqref="Q24 Q109">
    <cfRule type="expression" dxfId="2588" priority="179" stopIfTrue="1">
      <formula>IF(#REF!&gt;5,0,1)</formula>
    </cfRule>
  </conditionalFormatting>
  <conditionalFormatting sqref="T24 T109">
    <cfRule type="expression" dxfId="2587" priority="180" stopIfTrue="1">
      <formula>IF(#REF!&gt;6,0,1)</formula>
    </cfRule>
  </conditionalFormatting>
  <conditionalFormatting sqref="W24 W109">
    <cfRule type="expression" dxfId="2586" priority="181" stopIfTrue="1">
      <formula>IF(#REF!&gt;7,0,1)</formula>
    </cfRule>
  </conditionalFormatting>
  <conditionalFormatting sqref="Z24 Z109">
    <cfRule type="expression" dxfId="2585" priority="182" stopIfTrue="1">
      <formula>IF(#REF!&gt;8,0,1)</formula>
    </cfRule>
  </conditionalFormatting>
  <conditionalFormatting sqref="AC24 AC109">
    <cfRule type="expression" dxfId="2584" priority="183" stopIfTrue="1">
      <formula>IF(#REF!&gt;9,0,1)</formula>
    </cfRule>
  </conditionalFormatting>
  <conditionalFormatting sqref="AQ27 AQ112">
    <cfRule type="expression" dxfId="2583" priority="184" stopIfTrue="1">
      <formula>IF(#REF!&gt;3,0,1)</formula>
    </cfRule>
  </conditionalFormatting>
  <conditionalFormatting sqref="E25:G25 E110:G110">
    <cfRule type="expression" dxfId="2582" priority="185" stopIfTrue="1">
      <formula>IF(#REF!&gt;1,0,1)</formula>
    </cfRule>
  </conditionalFormatting>
  <conditionalFormatting sqref="B21:D21 B106:D106">
    <cfRule type="expression" dxfId="2581" priority="186" stopIfTrue="1">
      <formula>IF(#REF!&gt;0,0,1)</formula>
    </cfRule>
  </conditionalFormatting>
  <conditionalFormatting sqref="E21:G21 E106:G106">
    <cfRule type="expression" dxfId="2580" priority="187" stopIfTrue="1">
      <formula>IF(#REF!&gt;1,0,1)</formula>
    </cfRule>
  </conditionalFormatting>
  <conditionalFormatting sqref="H21:J21 H106:J106">
    <cfRule type="expression" dxfId="2579" priority="188" stopIfTrue="1">
      <formula>IF(#REF!&gt;2,0,1)</formula>
    </cfRule>
  </conditionalFormatting>
  <conditionalFormatting sqref="K21:M21 K106:M106">
    <cfRule type="expression" dxfId="2578" priority="189" stopIfTrue="1">
      <formula>IF(#REF!&gt;3,0,1)</formula>
    </cfRule>
  </conditionalFormatting>
  <conditionalFormatting sqref="N21:P21 N106:P106">
    <cfRule type="expression" dxfId="2577" priority="190" stopIfTrue="1">
      <formula>IF(#REF!&gt;4,0,1)</formula>
    </cfRule>
  </conditionalFormatting>
  <conditionalFormatting sqref="Q21:S21 Q106:S106">
    <cfRule type="expression" dxfId="2576" priority="191" stopIfTrue="1">
      <formula>IF(#REF!&gt;5,0,1)</formula>
    </cfRule>
  </conditionalFormatting>
  <conditionalFormatting sqref="T21:V21 T106:V106">
    <cfRule type="expression" dxfId="2575" priority="192" stopIfTrue="1">
      <formula>IF(#REF!&gt;6,0,1)</formula>
    </cfRule>
  </conditionalFormatting>
  <conditionalFormatting sqref="W21:Y21 W106:Y106">
    <cfRule type="expression" dxfId="2574" priority="193" stopIfTrue="1">
      <formula>IF(#REF!&gt;7,0,1)</formula>
    </cfRule>
  </conditionalFormatting>
  <conditionalFormatting sqref="Z21:AB21 Z106:AB106">
    <cfRule type="expression" dxfId="2573" priority="194" stopIfTrue="1">
      <formula>IF(#REF!&gt;8,0,1)</formula>
    </cfRule>
  </conditionalFormatting>
  <conditionalFormatting sqref="AC21:AE21 AC106:AE106">
    <cfRule type="expression" dxfId="2572" priority="195" stopIfTrue="1">
      <formula>IF(#REF!&gt;9,0,1)</formula>
    </cfRule>
  </conditionalFormatting>
  <conditionalFormatting sqref="X224:X225 W215:W216 X215:Y215 W218:Y223 Z219:AE222 AA223:AA225 I223:I225 C224:C225 B215:B216 C215:D215 B218:D223 E219:J222 F223:F225 AD223:AD225">
    <cfRule type="expression" dxfId="2571" priority="196" stopIfTrue="1">
      <formula>IF(#REF!&gt;0,0,1)</formula>
    </cfRule>
  </conditionalFormatting>
  <conditionalFormatting sqref="AA215:AB215 AB223 AA218:AB218 Z223 Z215:Z218 F215:G215 G223 F218:G218 E223 E215:E218">
    <cfRule type="expression" dxfId="2570" priority="197" stopIfTrue="1">
      <formula>IF(#REF!&gt;1,0,1)</formula>
    </cfRule>
  </conditionalFormatting>
  <conditionalFormatting sqref="AC215:AC218 AD215:AE215 AE223 AD218:AE218 AC223 H223 H215:H218 I215:J215 J223 I218:J218">
    <cfRule type="expression" dxfId="2569" priority="198" stopIfTrue="1">
      <formula>IF(#REF!&gt;2,0,1)</formula>
    </cfRule>
  </conditionalFormatting>
  <conditionalFormatting sqref="W224 Y224 B224 D224">
    <cfRule type="expression" dxfId="2568" priority="199" stopIfTrue="1">
      <formula>IF(#REF!&lt;1,1,IF(#REF!&lt;2,1,0))</formula>
    </cfRule>
  </conditionalFormatting>
  <conditionalFormatting sqref="Z224 AB224 E224 G224">
    <cfRule type="expression" dxfId="2567" priority="200" stopIfTrue="1">
      <formula>IF(#REF!&lt;2,1,IF(#REF!&lt;2,1,0))</formula>
    </cfRule>
  </conditionalFormatting>
  <conditionalFormatting sqref="AC224 AE224 H224 J224">
    <cfRule type="expression" dxfId="2566" priority="201" stopIfTrue="1">
      <formula>IF(#REF!&lt;3,1,IF(#REF!&lt;2,1,0))</formula>
    </cfRule>
  </conditionalFormatting>
  <conditionalFormatting sqref="Y225 B225 D225 W225">
    <cfRule type="expression" dxfId="2565" priority="202" stopIfTrue="1">
      <formula>IF(#REF!&lt;1,1,IF(#REF!&lt;3,1,0))</formula>
    </cfRule>
  </conditionalFormatting>
  <conditionalFormatting sqref="AB225 E225 G225 Z225">
    <cfRule type="expression" dxfId="2564" priority="203" stopIfTrue="1">
      <formula>IF(#REF!&lt;2,1,IF(#REF!&lt;3,1,0))</formula>
    </cfRule>
  </conditionalFormatting>
  <conditionalFormatting sqref="AE225 H225 J225 AC225">
    <cfRule type="expression" dxfId="2563" priority="204" stopIfTrue="1">
      <formula>IF(#REF!&lt;3,1,IF(#REF!&lt;3,1,0))</formula>
    </cfRule>
  </conditionalFormatting>
  <conditionalFormatting sqref="AG24:AP28 AG109:AP113">
    <cfRule type="cellIs" dxfId="2562" priority="205" stopIfTrue="1" operator="notBetween">
      <formula>-9999</formula>
      <formula>9999</formula>
    </cfRule>
  </conditionalFormatting>
  <conditionalFormatting sqref="AC7 AC92">
    <cfRule type="expression" dxfId="2561" priority="206" stopIfTrue="1">
      <formula>IF($AK$11=0,1,0)</formula>
    </cfRule>
  </conditionalFormatting>
  <conditionalFormatting sqref="B18">
    <cfRule type="expression" dxfId="2560" priority="207" stopIfTrue="1">
      <formula>IF($AK$9&gt;0,0,1)</formula>
    </cfRule>
  </conditionalFormatting>
  <conditionalFormatting sqref="B22:D23 B107:D108">
    <cfRule type="cellIs" dxfId="2559" priority="208" stopIfTrue="1" operator="equal">
      <formula>99</formula>
    </cfRule>
  </conditionalFormatting>
  <conditionalFormatting sqref="X226 AA226 C226 F226">
    <cfRule type="expression" dxfId="2558" priority="209" stopIfTrue="1">
      <formula>IF(#REF!&gt;0,0,1)</formula>
    </cfRule>
  </conditionalFormatting>
  <conditionalFormatting sqref="K215">
    <cfRule type="expression" dxfId="2557" priority="4" stopIfTrue="1">
      <formula>IF(#REF!&gt;2,0,1)</formula>
    </cfRule>
  </conditionalFormatting>
  <conditionalFormatting sqref="K215">
    <cfRule type="expression" dxfId="2556" priority="3" stopIfTrue="1">
      <formula>IF(ISNUMBER(K223),0,1)</formula>
    </cfRule>
  </conditionalFormatting>
  <conditionalFormatting sqref="AF215">
    <cfRule type="expression" dxfId="2555" priority="2" stopIfTrue="1">
      <formula>IF(ISNUMBER(AF223),0,1)</formula>
    </cfRule>
  </conditionalFormatting>
  <conditionalFormatting sqref="B103">
    <cfRule type="expression" dxfId="2554" priority="1" stopIfTrue="1">
      <formula>IF($AK$9&gt;0,0,1)</formula>
    </cfRule>
  </conditionalFormatting>
  <pageMargins left="0.25" right="0.25" top="0.25" bottom="0.25" header="0" footer="0"/>
  <pageSetup scale="80" fitToHeight="5" orientation="landscape"/>
  <headerFooter alignWithMargins="0"/>
  <rowBreaks count="2" manualBreakCount="2">
    <brk id="90" max="42" man="1"/>
    <brk id="181" max="42" man="1"/>
  </rowBreak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7">
    <tabColor indexed="11"/>
  </sheetPr>
  <dimension ref="A1:BY658"/>
  <sheetViews>
    <sheetView zoomScale="70" zoomScaleNormal="70" workbookViewId="0">
      <pane ySplit="7170" topLeftCell="A111"/>
      <selection activeCell="AW3" sqref="AW3:AW12"/>
      <selection pane="bottomLeft" activeCell="Z111" sqref="Z111"/>
    </sheetView>
  </sheetViews>
  <sheetFormatPr defaultColWidth="8.7109375" defaultRowHeight="12.75" x14ac:dyDescent="0.2"/>
  <cols>
    <col min="1" max="1" width="8.7109375" style="134"/>
    <col min="2" max="2" width="3.7109375" style="134" customWidth="1"/>
    <col min="3" max="3" width="2.28515625" style="134" customWidth="1"/>
    <col min="4" max="5" width="3.7109375" style="134" customWidth="1"/>
    <col min="6" max="6" width="2.28515625" style="134" customWidth="1"/>
    <col min="7" max="8" width="3.7109375" style="134" customWidth="1"/>
    <col min="9" max="9" width="2.28515625" style="134" customWidth="1"/>
    <col min="10" max="11" width="3.7109375" style="134" customWidth="1"/>
    <col min="12" max="12" width="2.28515625" style="134" customWidth="1"/>
    <col min="13" max="14" width="3.7109375" style="134" customWidth="1"/>
    <col min="15" max="15" width="2.28515625" style="134" customWidth="1"/>
    <col min="16" max="17" width="3.7109375" style="134" customWidth="1"/>
    <col min="18" max="18" width="2.28515625" style="134" customWidth="1"/>
    <col min="19" max="20" width="3.7109375" style="134" customWidth="1"/>
    <col min="21" max="21" width="2.28515625" style="134" customWidth="1"/>
    <col min="22" max="23" width="3.7109375" style="134" customWidth="1"/>
    <col min="24" max="24" width="2.28515625" style="134" customWidth="1"/>
    <col min="25" max="26" width="3.7109375" style="134" customWidth="1"/>
    <col min="27" max="27" width="2.28515625" style="134" customWidth="1"/>
    <col min="28" max="29" width="3.7109375" style="134" customWidth="1"/>
    <col min="30" max="30" width="2.28515625" style="134" customWidth="1"/>
    <col min="31" max="31" width="3.7109375" style="134" customWidth="1"/>
    <col min="32" max="32" width="9.7109375" style="134" customWidth="1"/>
    <col min="33" max="42" width="3.7109375" style="134" customWidth="1"/>
    <col min="43" max="43" width="11" style="134" customWidth="1"/>
    <col min="44" max="46" width="8.7109375" style="134"/>
    <col min="47" max="47" width="21" style="134" customWidth="1"/>
    <col min="48" max="48" width="24.42578125" style="134" customWidth="1"/>
    <col min="49" max="49" width="15.28515625" style="194" customWidth="1"/>
    <col min="50" max="50" width="10.5703125" style="134" customWidth="1"/>
    <col min="51" max="51" width="11.28515625" style="134" customWidth="1"/>
    <col min="52" max="52" width="25" style="134" customWidth="1"/>
    <col min="53" max="53" width="6" style="134" customWidth="1"/>
    <col min="54" max="16384" width="8.7109375" style="134"/>
  </cols>
  <sheetData>
    <row r="1" spans="1:53" ht="13.5" thickBot="1" x14ac:dyDescent="0.25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131"/>
      <c r="AK1" s="131"/>
      <c r="AL1" s="131"/>
      <c r="AM1" s="131"/>
      <c r="AN1" s="131"/>
      <c r="AO1" s="131"/>
      <c r="AP1" s="131"/>
      <c r="AQ1" s="132" t="s">
        <v>1</v>
      </c>
      <c r="AR1" s="133"/>
      <c r="AT1" s="309" t="s">
        <v>2</v>
      </c>
      <c r="AU1" s="310"/>
      <c r="AV1" s="310"/>
      <c r="AW1" s="311"/>
      <c r="AX1" s="312" t="s">
        <v>3</v>
      </c>
      <c r="AY1" s="313"/>
      <c r="AZ1" s="136" t="s">
        <v>4</v>
      </c>
      <c r="BA1" s="137">
        <v>32</v>
      </c>
    </row>
    <row r="2" spans="1:53" ht="18.75" customHeight="1" thickBot="1" x14ac:dyDescent="0.3">
      <c r="A2" s="314" t="s">
        <v>5</v>
      </c>
      <c r="B2" s="315"/>
      <c r="C2" s="315"/>
      <c r="D2" s="315"/>
      <c r="E2" s="315"/>
      <c r="F2" s="315"/>
      <c r="G2" s="315"/>
      <c r="H2" s="315"/>
      <c r="I2" s="316"/>
      <c r="J2" s="317" t="s">
        <v>6</v>
      </c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9"/>
      <c r="Y2" s="320" t="s">
        <v>7</v>
      </c>
      <c r="Z2" s="321"/>
      <c r="AA2" s="321"/>
      <c r="AB2" s="321"/>
      <c r="AC2" s="322"/>
      <c r="AD2" s="323" t="s">
        <v>168</v>
      </c>
      <c r="AE2" s="323"/>
      <c r="AF2" s="323"/>
      <c r="AG2" s="323"/>
      <c r="AH2" s="323"/>
      <c r="AI2" s="324"/>
      <c r="AJ2" s="138"/>
      <c r="AK2" s="138"/>
      <c r="AL2" s="138"/>
      <c r="AM2" s="138"/>
      <c r="AN2" s="138"/>
      <c r="AO2" s="138"/>
      <c r="AP2" s="138"/>
      <c r="AQ2" s="138"/>
      <c r="AR2" s="133"/>
      <c r="AT2" s="139" t="s">
        <v>9</v>
      </c>
      <c r="AU2" s="140" t="s">
        <v>10</v>
      </c>
      <c r="AV2" s="141" t="s">
        <v>11</v>
      </c>
      <c r="AW2" s="142" t="s">
        <v>12</v>
      </c>
      <c r="AX2" s="143" t="s">
        <v>13</v>
      </c>
      <c r="AY2" s="142" t="s">
        <v>14</v>
      </c>
      <c r="AZ2" s="136" t="s">
        <v>15</v>
      </c>
      <c r="BA2" s="137">
        <v>16</v>
      </c>
    </row>
    <row r="3" spans="1:53" ht="18.75" customHeight="1" thickBot="1" x14ac:dyDescent="0.3">
      <c r="A3" s="144" t="s">
        <v>16</v>
      </c>
      <c r="B3" s="325" t="s">
        <v>1122</v>
      </c>
      <c r="C3" s="326"/>
      <c r="D3" s="326"/>
      <c r="E3" s="326"/>
      <c r="F3" s="326"/>
      <c r="G3" s="326"/>
      <c r="H3" s="326"/>
      <c r="I3" s="326"/>
      <c r="J3" s="326"/>
      <c r="K3" s="326"/>
      <c r="L3" s="326"/>
      <c r="M3" s="326"/>
      <c r="N3" s="326"/>
      <c r="O3" s="327"/>
      <c r="P3" s="328" t="s">
        <v>18</v>
      </c>
      <c r="Q3" s="329"/>
      <c r="R3" s="329"/>
      <c r="S3" s="330" t="s">
        <v>1123</v>
      </c>
      <c r="T3" s="331"/>
      <c r="U3" s="331"/>
      <c r="V3" s="331"/>
      <c r="W3" s="331"/>
      <c r="X3" s="332"/>
      <c r="Y3" s="333" t="s">
        <v>19</v>
      </c>
      <c r="Z3" s="334"/>
      <c r="AA3" s="334"/>
      <c r="AB3" s="334"/>
      <c r="AC3" s="334"/>
      <c r="AD3" s="335"/>
      <c r="AE3" s="336" t="s">
        <v>20</v>
      </c>
      <c r="AF3" s="337"/>
      <c r="AG3" s="338" t="s">
        <v>21</v>
      </c>
      <c r="AH3" s="338"/>
      <c r="AI3" s="339"/>
      <c r="AJ3" s="138"/>
      <c r="AK3" s="138"/>
      <c r="AL3" s="138"/>
      <c r="AM3" s="138"/>
      <c r="AN3" s="138"/>
      <c r="AO3" s="138"/>
      <c r="AP3" s="138"/>
      <c r="AQ3" s="138"/>
      <c r="AR3" s="133"/>
      <c r="AT3" s="145">
        <v>1</v>
      </c>
      <c r="AU3" s="291" t="s">
        <v>435</v>
      </c>
      <c r="AV3" s="291" t="s">
        <v>433</v>
      </c>
      <c r="AW3" s="147">
        <f>VLOOKUP(AV3,Initial!G:K,5,FALSE)</f>
        <v>1818.9402748303323</v>
      </c>
      <c r="AX3" s="148">
        <f t="shared" ref="AX3:AX12" si="0">VLOOKUP(AU3,AT$79:AU$174,2,FALSE)</f>
        <v>1881.7631020478532</v>
      </c>
      <c r="AY3" s="149">
        <f t="shared" ref="AY3:AY12" si="1">IF(ISNA(VLOOKUP(AU3,AT$182:AU$234,2,FALSE)),AX3,VLOOKUP(AU3,AT$182:AU$234,2,FALSE))</f>
        <v>1868.4106312164884</v>
      </c>
    </row>
    <row r="4" spans="1:53" ht="24" customHeight="1" thickBot="1" x14ac:dyDescent="0.25">
      <c r="A4" s="340" t="s">
        <v>24</v>
      </c>
      <c r="B4" s="341"/>
      <c r="C4" s="341"/>
      <c r="D4" s="342"/>
      <c r="E4" s="343" t="s">
        <v>25</v>
      </c>
      <c r="F4" s="344"/>
      <c r="G4" s="344"/>
      <c r="H4" s="344"/>
      <c r="I4" s="344"/>
      <c r="J4" s="344"/>
      <c r="K4" s="344"/>
      <c r="L4" s="344"/>
      <c r="M4" s="345"/>
      <c r="N4" s="340" t="s">
        <v>26</v>
      </c>
      <c r="O4" s="341"/>
      <c r="P4" s="341"/>
      <c r="Q4" s="342"/>
      <c r="R4" s="346" t="s">
        <v>1124</v>
      </c>
      <c r="S4" s="323"/>
      <c r="T4" s="323"/>
      <c r="U4" s="323"/>
      <c r="V4" s="323"/>
      <c r="W4" s="323"/>
      <c r="X4" s="323"/>
      <c r="Y4" s="323"/>
      <c r="Z4" s="323"/>
      <c r="AA4" s="324"/>
      <c r="AB4" s="340" t="s">
        <v>1125</v>
      </c>
      <c r="AC4" s="341"/>
      <c r="AD4" s="341"/>
      <c r="AE4" s="342"/>
      <c r="AF4" s="346"/>
      <c r="AG4" s="323"/>
      <c r="AH4" s="323"/>
      <c r="AI4" s="324"/>
      <c r="AJ4" s="138"/>
      <c r="AK4" s="138"/>
      <c r="AL4" s="138"/>
      <c r="AM4" s="138"/>
      <c r="AN4" s="138"/>
      <c r="AO4" s="138"/>
      <c r="AP4" s="138"/>
      <c r="AQ4" s="138"/>
      <c r="AR4" s="133"/>
      <c r="AT4" s="150">
        <v>2</v>
      </c>
      <c r="AU4" s="291" t="s">
        <v>515</v>
      </c>
      <c r="AV4" s="291" t="s">
        <v>514</v>
      </c>
      <c r="AW4" s="147">
        <f>VLOOKUP(AV4,Initial!G:K,5,FALSE)</f>
        <v>1696.7395363532391</v>
      </c>
      <c r="AX4" s="151">
        <f t="shared" si="0"/>
        <v>1766.1664477901725</v>
      </c>
      <c r="AY4" s="152">
        <f t="shared" si="1"/>
        <v>1754.9535955038507</v>
      </c>
    </row>
    <row r="5" spans="1:53" ht="15.75" thickBot="1" x14ac:dyDescent="0.25">
      <c r="A5" s="131" t="s">
        <v>30</v>
      </c>
      <c r="B5" s="347" t="s">
        <v>30</v>
      </c>
      <c r="C5" s="348"/>
      <c r="D5" s="348"/>
      <c r="E5" s="348"/>
      <c r="F5" s="348"/>
      <c r="G5" s="348"/>
      <c r="H5" s="348"/>
      <c r="I5" s="348"/>
      <c r="J5" s="348"/>
      <c r="K5" s="349" t="s">
        <v>30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49"/>
      <c r="AD5" s="349"/>
      <c r="AE5" s="349"/>
      <c r="AF5" s="131"/>
      <c r="AG5" s="131"/>
      <c r="AH5" s="131"/>
      <c r="AI5" s="131"/>
      <c r="AJ5" s="131"/>
      <c r="AK5" s="131"/>
      <c r="AL5" s="131"/>
      <c r="AM5" s="131"/>
      <c r="AN5" s="131"/>
      <c r="AO5" s="131"/>
      <c r="AP5" s="131"/>
      <c r="AQ5" s="131"/>
      <c r="AR5" s="133"/>
      <c r="AT5" s="150">
        <v>3</v>
      </c>
      <c r="AU5" s="291" t="s">
        <v>481</v>
      </c>
      <c r="AV5" s="291" t="s">
        <v>480</v>
      </c>
      <c r="AW5" s="147">
        <f>VLOOKUP(AV5,Initial!G:K,5,FALSE)</f>
        <v>1696.3067637980012</v>
      </c>
      <c r="AX5" s="151">
        <f t="shared" si="0"/>
        <v>1733.6228345206546</v>
      </c>
      <c r="AY5" s="152">
        <f t="shared" si="1"/>
        <v>1724.0595262997672</v>
      </c>
    </row>
    <row r="6" spans="1:53" ht="24" customHeight="1" thickBot="1" x14ac:dyDescent="0.25">
      <c r="A6" s="153" t="s">
        <v>33</v>
      </c>
      <c r="B6" s="154" t="s">
        <v>34</v>
      </c>
      <c r="C6" s="350" t="s">
        <v>35</v>
      </c>
      <c r="D6" s="351"/>
      <c r="E6" s="351"/>
      <c r="F6" s="351"/>
      <c r="G6" s="351"/>
      <c r="H6" s="352"/>
      <c r="I6" s="353">
        <v>1</v>
      </c>
      <c r="J6" s="354"/>
      <c r="K6" s="355" t="str">
        <f>"Pool "&amp;B6&amp;" - Round 1 - Court "&amp;I6</f>
        <v>Pool A - Round 1 - Court 1</v>
      </c>
      <c r="L6" s="356"/>
      <c r="M6" s="356"/>
      <c r="N6" s="356"/>
      <c r="O6" s="356"/>
      <c r="P6" s="356"/>
      <c r="Q6" s="356"/>
      <c r="R6" s="356"/>
      <c r="S6" s="356"/>
      <c r="T6" s="356"/>
      <c r="U6" s="356"/>
      <c r="V6" s="356"/>
      <c r="W6" s="356"/>
      <c r="X6" s="356"/>
      <c r="Y6" s="356"/>
      <c r="Z6" s="356"/>
      <c r="AA6" s="356"/>
      <c r="AB6" s="356"/>
      <c r="AC6" s="356"/>
      <c r="AD6" s="356"/>
      <c r="AE6" s="356"/>
      <c r="AF6" s="356"/>
      <c r="AG6" s="356"/>
      <c r="AH6" s="356"/>
      <c r="AI6" s="357"/>
      <c r="AJ6" s="138"/>
      <c r="AK6" s="138"/>
      <c r="AL6" s="138"/>
      <c r="AM6" s="138"/>
      <c r="AN6" s="138"/>
      <c r="AO6" s="138"/>
      <c r="AP6" s="138"/>
      <c r="AQ6" s="138"/>
      <c r="AT6" s="150">
        <v>4</v>
      </c>
      <c r="AU6" s="291" t="s">
        <v>458</v>
      </c>
      <c r="AV6" s="291" t="s">
        <v>457</v>
      </c>
      <c r="AW6" s="147">
        <f>VLOOKUP(AV6,Initial!G:K,5,FALSE)</f>
        <v>1693.3818306474545</v>
      </c>
      <c r="AX6" s="151">
        <f t="shared" si="0"/>
        <v>1659.8628805971612</v>
      </c>
      <c r="AY6" s="152">
        <f t="shared" si="1"/>
        <v>1649.1598067006576</v>
      </c>
    </row>
    <row r="7" spans="1:53" ht="27" customHeight="1" thickBot="1" x14ac:dyDescent="0.25">
      <c r="A7" s="155" t="s">
        <v>38</v>
      </c>
      <c r="B7" s="358" t="s">
        <v>10</v>
      </c>
      <c r="C7" s="359"/>
      <c r="D7" s="359"/>
      <c r="E7" s="359"/>
      <c r="F7" s="359"/>
      <c r="G7" s="359"/>
      <c r="H7" s="359"/>
      <c r="I7" s="359"/>
      <c r="J7" s="359"/>
      <c r="K7" s="359"/>
      <c r="L7" s="358" t="str">
        <f>IF($AK10=0,"Games Won","Matches Won")</f>
        <v>Games Won</v>
      </c>
      <c r="M7" s="359"/>
      <c r="N7" s="359"/>
      <c r="O7" s="359"/>
      <c r="P7" s="359"/>
      <c r="Q7" s="360"/>
      <c r="R7" s="358" t="str">
        <f>IF($AK10=0,"Games Lost","Matches Lost")</f>
        <v>Games Lost</v>
      </c>
      <c r="S7" s="361"/>
      <c r="T7" s="361"/>
      <c r="U7" s="361"/>
      <c r="V7" s="362"/>
      <c r="W7" s="363" t="s">
        <v>39</v>
      </c>
      <c r="X7" s="364"/>
      <c r="Y7" s="365"/>
      <c r="Z7" s="363" t="s">
        <v>40</v>
      </c>
      <c r="AA7" s="364"/>
      <c r="AB7" s="365"/>
      <c r="AC7" s="366" t="s">
        <v>41</v>
      </c>
      <c r="AD7" s="367"/>
      <c r="AE7" s="368"/>
      <c r="AF7" s="156" t="s">
        <v>42</v>
      </c>
      <c r="AG7" s="157" t="s">
        <v>9</v>
      </c>
      <c r="AH7" s="369" t="s">
        <v>43</v>
      </c>
      <c r="AI7" s="370"/>
      <c r="AJ7" s="158"/>
      <c r="AK7" s="159">
        <v>2</v>
      </c>
      <c r="AL7" s="160" t="s">
        <v>44</v>
      </c>
      <c r="AM7" s="160"/>
      <c r="AN7" s="160"/>
      <c r="AO7" s="160"/>
      <c r="AP7" s="160"/>
      <c r="AQ7" s="160"/>
      <c r="AR7" s="161"/>
      <c r="AT7" s="150">
        <v>5</v>
      </c>
      <c r="AU7" s="291" t="s">
        <v>467</v>
      </c>
      <c r="AV7" s="291" t="s">
        <v>466</v>
      </c>
      <c r="AW7" s="147">
        <f>VLOOKUP(AV7,Initial!G:K,5,FALSE)</f>
        <v>1690.2861109118255</v>
      </c>
      <c r="AX7" s="151">
        <f t="shared" si="0"/>
        <v>1719.3747829432907</v>
      </c>
      <c r="AY7" s="152">
        <f t="shared" si="1"/>
        <v>1753.5034142818647</v>
      </c>
    </row>
    <row r="8" spans="1:53" ht="18.75" customHeight="1" thickBot="1" x14ac:dyDescent="0.25">
      <c r="A8" s="371" t="str">
        <f>IF($AK9&gt;0,"1","")</f>
        <v>1</v>
      </c>
      <c r="B8" s="373" t="s">
        <v>10</v>
      </c>
      <c r="C8" s="374"/>
      <c r="D8" s="375"/>
      <c r="E8" s="376" t="str">
        <f>AU3</f>
        <v>PRV - 13U Bayley</v>
      </c>
      <c r="F8" s="377"/>
      <c r="G8" s="377"/>
      <c r="H8" s="377"/>
      <c r="I8" s="377"/>
      <c r="J8" s="377"/>
      <c r="K8" s="378"/>
      <c r="L8" s="379">
        <f>IF($AK10=0,AF64,AF46)</f>
        <v>8</v>
      </c>
      <c r="M8" s="380"/>
      <c r="N8" s="380"/>
      <c r="O8" s="380"/>
      <c r="P8" s="380"/>
      <c r="Q8" s="360"/>
      <c r="R8" s="379">
        <f>IF($AK10=0,AG64,AG46)</f>
        <v>0</v>
      </c>
      <c r="S8" s="380"/>
      <c r="T8" s="380"/>
      <c r="U8" s="380"/>
      <c r="V8" s="380"/>
      <c r="W8" s="379">
        <f>AQ24</f>
        <v>71</v>
      </c>
      <c r="X8" s="380"/>
      <c r="Y8" s="380"/>
      <c r="Z8" s="383">
        <f>IF(AF58&gt;0,(AQ24/AF58),0)</f>
        <v>0.35323383084577115</v>
      </c>
      <c r="AA8" s="384"/>
      <c r="AB8" s="384"/>
      <c r="AC8" s="387">
        <f>IF(AF72=0,0,(AF64/AF72))</f>
        <v>1</v>
      </c>
      <c r="AD8" s="388"/>
      <c r="AE8" s="389"/>
      <c r="AF8" s="393">
        <v>1</v>
      </c>
      <c r="AG8" s="393">
        <v>1</v>
      </c>
      <c r="AH8" s="395"/>
      <c r="AI8" s="396"/>
      <c r="AJ8" s="158"/>
      <c r="AK8" s="159">
        <v>10</v>
      </c>
      <c r="AL8" s="160" t="s">
        <v>47</v>
      </c>
      <c r="AM8" s="160"/>
      <c r="AN8" s="160"/>
      <c r="AO8" s="160"/>
      <c r="AP8" s="160"/>
      <c r="AQ8" s="160"/>
      <c r="AR8" s="161"/>
      <c r="AT8" s="150">
        <v>6</v>
      </c>
      <c r="AU8" s="291" t="s">
        <v>471</v>
      </c>
      <c r="AV8" s="291" t="s">
        <v>470</v>
      </c>
      <c r="AW8" s="147">
        <f>VLOOKUP(AV8,Initial!G:K,5,FALSE)</f>
        <v>1669.8390646286034</v>
      </c>
      <c r="AX8" s="151">
        <f t="shared" si="0"/>
        <v>1644.4117353404943</v>
      </c>
      <c r="AY8" s="152">
        <f t="shared" si="1"/>
        <v>1677.3980559149245</v>
      </c>
    </row>
    <row r="9" spans="1:53" ht="18.75" customHeight="1" thickBot="1" x14ac:dyDescent="0.25">
      <c r="A9" s="372"/>
      <c r="B9" s="399" t="s">
        <v>11</v>
      </c>
      <c r="C9" s="400"/>
      <c r="D9" s="401"/>
      <c r="E9" s="402" t="str">
        <f>AV3</f>
        <v>fj3prage1pm</v>
      </c>
      <c r="F9" s="403"/>
      <c r="G9" s="403"/>
      <c r="H9" s="403"/>
      <c r="I9" s="403"/>
      <c r="J9" s="403"/>
      <c r="K9" s="403"/>
      <c r="L9" s="381"/>
      <c r="M9" s="382"/>
      <c r="N9" s="382"/>
      <c r="O9" s="382"/>
      <c r="P9" s="382"/>
      <c r="Q9" s="360"/>
      <c r="R9" s="381"/>
      <c r="S9" s="382"/>
      <c r="T9" s="382"/>
      <c r="U9" s="382"/>
      <c r="V9" s="382"/>
      <c r="W9" s="381"/>
      <c r="X9" s="382"/>
      <c r="Y9" s="382"/>
      <c r="Z9" s="385"/>
      <c r="AA9" s="386"/>
      <c r="AB9" s="386"/>
      <c r="AC9" s="390"/>
      <c r="AD9" s="391"/>
      <c r="AE9" s="392"/>
      <c r="AF9" s="394"/>
      <c r="AG9" s="394"/>
      <c r="AH9" s="397"/>
      <c r="AI9" s="398"/>
      <c r="AJ9" s="158"/>
      <c r="AK9" s="159">
        <v>5</v>
      </c>
      <c r="AL9" s="160" t="s">
        <v>50</v>
      </c>
      <c r="AM9" s="158"/>
      <c r="AN9" s="158"/>
      <c r="AO9" s="158"/>
      <c r="AP9" s="158"/>
      <c r="AQ9" s="158"/>
      <c r="AR9" s="133"/>
      <c r="AT9" s="150">
        <v>7</v>
      </c>
      <c r="AU9" s="291" t="s">
        <v>517</v>
      </c>
      <c r="AV9" s="291" t="s">
        <v>516</v>
      </c>
      <c r="AW9" s="147">
        <f>VLOOKUP(AV9,Initial!G:K,5,FALSE)</f>
        <v>1636.6616321677709</v>
      </c>
      <c r="AX9" s="151">
        <f t="shared" si="0"/>
        <v>1531.9857171026847</v>
      </c>
      <c r="AY9" s="152">
        <f t="shared" si="1"/>
        <v>1531.9857171026847</v>
      </c>
    </row>
    <row r="10" spans="1:53" ht="18.75" customHeight="1" thickBot="1" x14ac:dyDescent="0.25">
      <c r="A10" s="371" t="str">
        <f>IF($AK9&gt;1,"2","")</f>
        <v>2</v>
      </c>
      <c r="B10" s="373" t="s">
        <v>10</v>
      </c>
      <c r="C10" s="374"/>
      <c r="D10" s="375"/>
      <c r="E10" s="376" t="str">
        <f>AU6</f>
        <v>CSRA Heat 13 Black</v>
      </c>
      <c r="F10" s="377"/>
      <c r="G10" s="377"/>
      <c r="H10" s="377"/>
      <c r="I10" s="377"/>
      <c r="J10" s="377"/>
      <c r="K10" s="378"/>
      <c r="L10" s="379">
        <f>IF($AK10=0,AF65,AF47)</f>
        <v>3</v>
      </c>
      <c r="M10" s="380"/>
      <c r="N10" s="380"/>
      <c r="O10" s="380"/>
      <c r="P10" s="380"/>
      <c r="Q10" s="360"/>
      <c r="R10" s="379">
        <f>IF($AK10=0,AG65,AG47)</f>
        <v>5</v>
      </c>
      <c r="S10" s="380"/>
      <c r="T10" s="380"/>
      <c r="U10" s="380"/>
      <c r="V10" s="380"/>
      <c r="W10" s="379">
        <f>AQ25</f>
        <v>3</v>
      </c>
      <c r="X10" s="380"/>
      <c r="Y10" s="380"/>
      <c r="Z10" s="383">
        <f>IF(AF59&gt;0,(AQ25/AF59),0)</f>
        <v>1.4705882352941176E-2</v>
      </c>
      <c r="AA10" s="384"/>
      <c r="AB10" s="384"/>
      <c r="AC10" s="387">
        <f>IF(AF73=0,0,(AF65/AF73))</f>
        <v>0.375</v>
      </c>
      <c r="AD10" s="388"/>
      <c r="AE10" s="389"/>
      <c r="AF10" s="393">
        <v>4</v>
      </c>
      <c r="AG10" s="393">
        <v>1</v>
      </c>
      <c r="AH10" s="395"/>
      <c r="AI10" s="396"/>
      <c r="AJ10" s="158"/>
      <c r="AK10" s="159">
        <v>0</v>
      </c>
      <c r="AL10" s="160" t="s">
        <v>53</v>
      </c>
      <c r="AM10" s="160"/>
      <c r="AN10" s="160"/>
      <c r="AO10" s="160"/>
      <c r="AP10" s="160"/>
      <c r="AQ10" s="160"/>
      <c r="AR10" s="161"/>
      <c r="AT10" s="150">
        <v>8</v>
      </c>
      <c r="AU10" s="291" t="s">
        <v>621</v>
      </c>
      <c r="AV10" s="291" t="s">
        <v>619</v>
      </c>
      <c r="AW10" s="147">
        <f>VLOOKUP(AV10,Initial!G:K,5,FALSE)</f>
        <v>1636.641799015636</v>
      </c>
      <c r="AX10" s="151">
        <f t="shared" si="0"/>
        <v>1661.7005174858473</v>
      </c>
      <c r="AY10" s="152">
        <f t="shared" si="1"/>
        <v>1644.9049961515773</v>
      </c>
    </row>
    <row r="11" spans="1:53" ht="18.75" customHeight="1" thickBot="1" x14ac:dyDescent="0.25">
      <c r="A11" s="372"/>
      <c r="B11" s="404" t="s">
        <v>11</v>
      </c>
      <c r="C11" s="405"/>
      <c r="D11" s="405"/>
      <c r="E11" s="402" t="str">
        <f>AV6</f>
        <v>fj3csrah2pm</v>
      </c>
      <c r="F11" s="403"/>
      <c r="G11" s="403"/>
      <c r="H11" s="403"/>
      <c r="I11" s="403"/>
      <c r="J11" s="403"/>
      <c r="K11" s="403"/>
      <c r="L11" s="381"/>
      <c r="M11" s="382"/>
      <c r="N11" s="382"/>
      <c r="O11" s="382"/>
      <c r="P11" s="382"/>
      <c r="Q11" s="360"/>
      <c r="R11" s="381"/>
      <c r="S11" s="382"/>
      <c r="T11" s="382"/>
      <c r="U11" s="382"/>
      <c r="V11" s="382"/>
      <c r="W11" s="381"/>
      <c r="X11" s="382"/>
      <c r="Y11" s="382"/>
      <c r="Z11" s="385"/>
      <c r="AA11" s="386"/>
      <c r="AB11" s="386"/>
      <c r="AC11" s="390"/>
      <c r="AD11" s="391"/>
      <c r="AE11" s="392"/>
      <c r="AF11" s="394"/>
      <c r="AG11" s="394"/>
      <c r="AH11" s="397"/>
      <c r="AI11" s="398"/>
      <c r="AJ11" s="158"/>
      <c r="AK11" s="159">
        <v>1</v>
      </c>
      <c r="AL11" s="160" t="s">
        <v>56</v>
      </c>
      <c r="AM11" s="158"/>
      <c r="AN11" s="158"/>
      <c r="AO11" s="158"/>
      <c r="AP11" s="158"/>
      <c r="AQ11" s="158"/>
      <c r="AR11" s="133"/>
      <c r="AT11" s="150">
        <v>9</v>
      </c>
      <c r="AU11" s="291" t="s">
        <v>437</v>
      </c>
      <c r="AV11" s="291" t="s">
        <v>436</v>
      </c>
      <c r="AW11" s="147">
        <f>VLOOKUP(AV11,Initial!G:K,5,FALSE)</f>
        <v>1615.8472257401343</v>
      </c>
      <c r="AX11" s="151">
        <f t="shared" si="0"/>
        <v>1532.3959580712301</v>
      </c>
      <c r="AY11" s="152">
        <f t="shared" si="1"/>
        <v>1532.3959580712301</v>
      </c>
    </row>
    <row r="12" spans="1:53" ht="18.75" customHeight="1" thickBot="1" x14ac:dyDescent="0.25">
      <c r="A12" s="371" t="str">
        <f>IF($AK9&gt;2,"3","")</f>
        <v>3</v>
      </c>
      <c r="B12" s="406" t="s">
        <v>10</v>
      </c>
      <c r="C12" s="407"/>
      <c r="D12" s="407"/>
      <c r="E12" s="376" t="str">
        <f>AU7</f>
        <v>Foothills 13 May</v>
      </c>
      <c r="F12" s="377"/>
      <c r="G12" s="377"/>
      <c r="H12" s="377"/>
      <c r="I12" s="377"/>
      <c r="J12" s="377"/>
      <c r="K12" s="378"/>
      <c r="L12" s="379">
        <f>IF($AK10=0,AF66,AF48)</f>
        <v>5</v>
      </c>
      <c r="M12" s="380"/>
      <c r="N12" s="380"/>
      <c r="O12" s="380"/>
      <c r="P12" s="380"/>
      <c r="Q12" s="360"/>
      <c r="R12" s="379">
        <f>IF($AK10=0,AG66,AG48)</f>
        <v>3</v>
      </c>
      <c r="S12" s="380"/>
      <c r="T12" s="380"/>
      <c r="U12" s="380"/>
      <c r="V12" s="380"/>
      <c r="W12" s="379">
        <f>AQ26</f>
        <v>5</v>
      </c>
      <c r="X12" s="380"/>
      <c r="Y12" s="380"/>
      <c r="Z12" s="383">
        <f>IF(AF60&gt;0,(AQ26/AF60),0)</f>
        <v>2.4752475247524754E-2</v>
      </c>
      <c r="AA12" s="384"/>
      <c r="AB12" s="384"/>
      <c r="AC12" s="387">
        <f>IF(AF74=0,0,(AF66/AF74))</f>
        <v>0.625</v>
      </c>
      <c r="AD12" s="388"/>
      <c r="AE12" s="389"/>
      <c r="AF12" s="393">
        <v>2</v>
      </c>
      <c r="AG12" s="393">
        <v>1</v>
      </c>
      <c r="AH12" s="395"/>
      <c r="AI12" s="396"/>
      <c r="AJ12" s="167"/>
      <c r="AK12" s="159">
        <v>8</v>
      </c>
      <c r="AL12" s="168" t="s">
        <v>59</v>
      </c>
      <c r="AM12" s="160"/>
      <c r="AN12" s="160"/>
      <c r="AO12" s="160"/>
      <c r="AP12" s="160"/>
      <c r="AQ12" s="160"/>
      <c r="AR12" s="161"/>
      <c r="AT12" s="162">
        <v>10</v>
      </c>
      <c r="AU12" s="291" t="s">
        <v>489</v>
      </c>
      <c r="AV12" s="291" t="s">
        <v>488</v>
      </c>
      <c r="AW12" s="147">
        <f>VLOOKUP(AV12,Initial!G:K,5,FALSE)</f>
        <v>1600</v>
      </c>
      <c r="AX12" s="163">
        <f t="shared" si="0"/>
        <v>1623.3602621936086</v>
      </c>
      <c r="AY12" s="164">
        <f t="shared" si="1"/>
        <v>1617.872536849952</v>
      </c>
    </row>
    <row r="13" spans="1:53" ht="18.75" customHeight="1" thickBot="1" x14ac:dyDescent="0.25">
      <c r="A13" s="372"/>
      <c r="B13" s="404" t="s">
        <v>11</v>
      </c>
      <c r="C13" s="405"/>
      <c r="D13" s="405"/>
      <c r="E13" s="402" t="str">
        <f>AV7</f>
        <v>fj3footh1pm</v>
      </c>
      <c r="F13" s="403"/>
      <c r="G13" s="403"/>
      <c r="H13" s="403"/>
      <c r="I13" s="403"/>
      <c r="J13" s="403"/>
      <c r="K13" s="403"/>
      <c r="L13" s="381"/>
      <c r="M13" s="382"/>
      <c r="N13" s="382"/>
      <c r="O13" s="382"/>
      <c r="P13" s="382"/>
      <c r="Q13" s="360"/>
      <c r="R13" s="381"/>
      <c r="S13" s="382"/>
      <c r="T13" s="382"/>
      <c r="U13" s="382"/>
      <c r="V13" s="382"/>
      <c r="W13" s="381"/>
      <c r="X13" s="382"/>
      <c r="Y13" s="382"/>
      <c r="Z13" s="385"/>
      <c r="AA13" s="386"/>
      <c r="AB13" s="386"/>
      <c r="AC13" s="390"/>
      <c r="AD13" s="391"/>
      <c r="AE13" s="392"/>
      <c r="AF13" s="394"/>
      <c r="AG13" s="394"/>
      <c r="AH13" s="397"/>
      <c r="AI13" s="398"/>
      <c r="AJ13" s="167"/>
      <c r="AK13" s="169"/>
      <c r="AL13" s="170"/>
      <c r="AM13" s="170"/>
      <c r="AN13" s="170"/>
      <c r="AO13" s="170"/>
      <c r="AP13" s="170"/>
      <c r="AQ13" s="158"/>
      <c r="AR13" s="133"/>
      <c r="AT13" s="408" t="s">
        <v>62</v>
      </c>
      <c r="AU13" s="409"/>
      <c r="AV13" s="409"/>
      <c r="AW13" s="409"/>
      <c r="AX13" s="409"/>
      <c r="AY13" s="410"/>
    </row>
    <row r="14" spans="1:53" ht="18.75" customHeight="1" thickBot="1" x14ac:dyDescent="0.25">
      <c r="A14" s="371" t="str">
        <f>IF($AK9&gt;3,"4","")</f>
        <v>4</v>
      </c>
      <c r="B14" s="406" t="s">
        <v>10</v>
      </c>
      <c r="C14" s="407"/>
      <c r="D14" s="407"/>
      <c r="E14" s="376" t="str">
        <f>AU10</f>
        <v>Branchville U14 Juniors</v>
      </c>
      <c r="F14" s="377"/>
      <c r="G14" s="377"/>
      <c r="H14" s="377"/>
      <c r="I14" s="377"/>
      <c r="J14" s="377"/>
      <c r="K14" s="378"/>
      <c r="L14" s="379">
        <f>IF($AK10=0,AF67,AF49)</f>
        <v>4</v>
      </c>
      <c r="M14" s="380"/>
      <c r="N14" s="380"/>
      <c r="O14" s="380"/>
      <c r="P14" s="380"/>
      <c r="Q14" s="360"/>
      <c r="R14" s="379">
        <f>IF($AK10=0,AG67,AG49)</f>
        <v>4</v>
      </c>
      <c r="S14" s="380"/>
      <c r="T14" s="380"/>
      <c r="U14" s="380"/>
      <c r="V14" s="380"/>
      <c r="W14" s="379">
        <f>AQ27</f>
        <v>-9</v>
      </c>
      <c r="X14" s="380"/>
      <c r="Y14" s="380"/>
      <c r="Z14" s="383">
        <f>IF(AF61&gt;0,(AQ27/AF61),0)</f>
        <v>-4.3902439024390241E-2</v>
      </c>
      <c r="AA14" s="384"/>
      <c r="AB14" s="384"/>
      <c r="AC14" s="387">
        <f>IF(AF75=0,0,(AF67/AF75))</f>
        <v>0.5</v>
      </c>
      <c r="AD14" s="388"/>
      <c r="AE14" s="389"/>
      <c r="AF14" s="393">
        <v>3</v>
      </c>
      <c r="AG14" s="393">
        <v>1</v>
      </c>
      <c r="AH14" s="395"/>
      <c r="AI14" s="396"/>
      <c r="AJ14" s="138"/>
      <c r="AK14" s="170"/>
      <c r="AL14" s="170"/>
      <c r="AM14" s="170"/>
      <c r="AN14" s="170"/>
      <c r="AO14" s="170"/>
      <c r="AP14" s="170"/>
      <c r="AQ14" s="160"/>
      <c r="AR14" s="161"/>
      <c r="AT14" s="411"/>
      <c r="AU14" s="412"/>
      <c r="AV14" s="412"/>
      <c r="AW14" s="412"/>
      <c r="AX14" s="412"/>
      <c r="AY14" s="413"/>
    </row>
    <row r="15" spans="1:53" ht="18.75" customHeight="1" thickBot="1" x14ac:dyDescent="0.25">
      <c r="A15" s="372"/>
      <c r="B15" s="404" t="s">
        <v>11</v>
      </c>
      <c r="C15" s="405"/>
      <c r="D15" s="405"/>
      <c r="E15" s="402" t="str">
        <f>AV10</f>
        <v>fj4branc3pm</v>
      </c>
      <c r="F15" s="403"/>
      <c r="G15" s="403"/>
      <c r="H15" s="403"/>
      <c r="I15" s="403"/>
      <c r="J15" s="403"/>
      <c r="K15" s="403"/>
      <c r="L15" s="381"/>
      <c r="M15" s="382"/>
      <c r="N15" s="382"/>
      <c r="O15" s="382"/>
      <c r="P15" s="382"/>
      <c r="Q15" s="360"/>
      <c r="R15" s="381"/>
      <c r="S15" s="382"/>
      <c r="T15" s="382"/>
      <c r="U15" s="382"/>
      <c r="V15" s="382"/>
      <c r="W15" s="381"/>
      <c r="X15" s="382"/>
      <c r="Y15" s="382"/>
      <c r="Z15" s="385"/>
      <c r="AA15" s="386"/>
      <c r="AB15" s="386"/>
      <c r="AC15" s="390"/>
      <c r="AD15" s="391"/>
      <c r="AE15" s="392"/>
      <c r="AF15" s="394"/>
      <c r="AG15" s="394"/>
      <c r="AH15" s="397"/>
      <c r="AI15" s="398"/>
      <c r="AJ15" s="138"/>
      <c r="AK15" s="170"/>
      <c r="AL15" s="170"/>
      <c r="AM15" s="170"/>
      <c r="AN15" s="170"/>
      <c r="AO15" s="170"/>
      <c r="AP15" s="170"/>
      <c r="AQ15" s="138"/>
      <c r="AR15" s="133"/>
      <c r="AW15" s="166"/>
      <c r="AX15" s="166"/>
      <c r="AY15" s="166"/>
    </row>
    <row r="16" spans="1:53" ht="18.75" customHeight="1" x14ac:dyDescent="0.2">
      <c r="A16" s="371" t="str">
        <f>IF($AK9&gt;4,"5","")</f>
        <v>5</v>
      </c>
      <c r="B16" s="406" t="s">
        <v>10</v>
      </c>
      <c r="C16" s="407"/>
      <c r="D16" s="407"/>
      <c r="E16" s="376" t="str">
        <f>AU11</f>
        <v>PRV - 13U Brittany</v>
      </c>
      <c r="F16" s="377"/>
      <c r="G16" s="377"/>
      <c r="H16" s="377"/>
      <c r="I16" s="377"/>
      <c r="J16" s="377"/>
      <c r="K16" s="378"/>
      <c r="L16" s="379">
        <f>IF($AK10=0,AF68,AF50)</f>
        <v>0</v>
      </c>
      <c r="M16" s="380"/>
      <c r="N16" s="380"/>
      <c r="O16" s="380"/>
      <c r="P16" s="380"/>
      <c r="Q16" s="360"/>
      <c r="R16" s="379">
        <f>IF($AK10=0,AG68,AG50)</f>
        <v>8</v>
      </c>
      <c r="S16" s="380"/>
      <c r="T16" s="380"/>
      <c r="U16" s="380"/>
      <c r="V16" s="380"/>
      <c r="W16" s="379">
        <f>AQ28</f>
        <v>-70</v>
      </c>
      <c r="X16" s="380"/>
      <c r="Y16" s="380"/>
      <c r="Z16" s="383">
        <f>IF(AF62&gt;0,(AQ28/AF62),0)</f>
        <v>-0.34653465346534651</v>
      </c>
      <c r="AA16" s="384"/>
      <c r="AB16" s="384"/>
      <c r="AC16" s="387">
        <f>IF(AF76=0,0,(AF68/AF76))</f>
        <v>0</v>
      </c>
      <c r="AD16" s="388"/>
      <c r="AE16" s="389"/>
      <c r="AF16" s="393">
        <v>5</v>
      </c>
      <c r="AG16" s="393">
        <v>1</v>
      </c>
      <c r="AH16" s="395"/>
      <c r="AI16" s="396"/>
      <c r="AJ16" s="138"/>
      <c r="AK16" s="170"/>
      <c r="AL16" s="170"/>
      <c r="AM16" s="170"/>
      <c r="AN16" s="170"/>
      <c r="AO16" s="170"/>
      <c r="AP16" s="170"/>
      <c r="AQ16" s="138"/>
      <c r="AR16" s="133"/>
      <c r="AT16" s="165"/>
      <c r="AU16" s="166"/>
      <c r="AV16" s="166"/>
      <c r="AW16" s="166"/>
      <c r="AX16" s="166"/>
      <c r="AY16" s="166"/>
    </row>
    <row r="17" spans="1:51" ht="18.75" customHeight="1" thickBot="1" x14ac:dyDescent="0.25">
      <c r="A17" s="372"/>
      <c r="B17" s="424" t="s">
        <v>11</v>
      </c>
      <c r="C17" s="425"/>
      <c r="D17" s="425"/>
      <c r="E17" s="426" t="str">
        <f>AV11</f>
        <v>fj3prage2pm</v>
      </c>
      <c r="F17" s="427"/>
      <c r="G17" s="427"/>
      <c r="H17" s="427"/>
      <c r="I17" s="427"/>
      <c r="J17" s="427"/>
      <c r="K17" s="427"/>
      <c r="L17" s="414"/>
      <c r="M17" s="415"/>
      <c r="N17" s="415"/>
      <c r="O17" s="415"/>
      <c r="P17" s="415"/>
      <c r="Q17" s="360"/>
      <c r="R17" s="414"/>
      <c r="S17" s="415"/>
      <c r="T17" s="415"/>
      <c r="U17" s="415"/>
      <c r="V17" s="415"/>
      <c r="W17" s="414"/>
      <c r="X17" s="415"/>
      <c r="Y17" s="415"/>
      <c r="Z17" s="416"/>
      <c r="AA17" s="417"/>
      <c r="AB17" s="417"/>
      <c r="AC17" s="418"/>
      <c r="AD17" s="419"/>
      <c r="AE17" s="420"/>
      <c r="AF17" s="421"/>
      <c r="AG17" s="421"/>
      <c r="AH17" s="422"/>
      <c r="AI17" s="423"/>
      <c r="AJ17" s="138"/>
      <c r="AK17" s="170"/>
      <c r="AL17" s="170"/>
      <c r="AM17" s="170"/>
      <c r="AN17" s="170"/>
      <c r="AO17" s="170"/>
      <c r="AP17" s="170"/>
      <c r="AQ17" s="138"/>
      <c r="AR17" s="133"/>
      <c r="AT17" s="165"/>
      <c r="AU17" s="166"/>
      <c r="AV17" s="166"/>
      <c r="AW17" s="166"/>
      <c r="AX17" s="166"/>
      <c r="AY17" s="166"/>
    </row>
    <row r="18" spans="1:51" ht="21" customHeight="1" thickTop="1" thickBot="1" x14ac:dyDescent="0.25">
      <c r="A18" s="172"/>
      <c r="B18" s="428" t="s">
        <v>63</v>
      </c>
      <c r="C18" s="429"/>
      <c r="D18" s="429"/>
      <c r="E18" s="429"/>
      <c r="F18" s="429"/>
      <c r="G18" s="429"/>
      <c r="H18" s="429"/>
      <c r="I18" s="429"/>
      <c r="J18" s="429"/>
      <c r="K18" s="429"/>
      <c r="L18" s="429"/>
      <c r="M18" s="429"/>
      <c r="N18" s="429"/>
      <c r="O18" s="429"/>
      <c r="P18" s="429"/>
      <c r="Q18" s="429"/>
      <c r="R18" s="429"/>
      <c r="S18" s="429"/>
      <c r="T18" s="429"/>
      <c r="U18" s="429"/>
      <c r="V18" s="429"/>
      <c r="W18" s="429"/>
      <c r="X18" s="429"/>
      <c r="Y18" s="429"/>
      <c r="Z18" s="429"/>
      <c r="AA18" s="429"/>
      <c r="AB18" s="429"/>
      <c r="AC18" s="429"/>
      <c r="AD18" s="429"/>
      <c r="AE18" s="429"/>
      <c r="AF18" s="429"/>
      <c r="AG18" s="429"/>
      <c r="AH18" s="429"/>
      <c r="AI18" s="430"/>
      <c r="AJ18" s="138"/>
      <c r="AK18" s="170"/>
      <c r="AL18" s="170"/>
      <c r="AM18" s="170"/>
      <c r="AN18" s="170"/>
      <c r="AO18" s="170"/>
      <c r="AP18" s="170"/>
      <c r="AQ18" s="138"/>
      <c r="AR18" s="133"/>
      <c r="AT18" s="165"/>
      <c r="AU18" s="166"/>
      <c r="AV18" s="166"/>
      <c r="AW18" s="134"/>
    </row>
    <row r="19" spans="1:51" ht="13.5" thickTop="1" x14ac:dyDescent="0.2">
      <c r="A19" s="134" t="s">
        <v>64</v>
      </c>
      <c r="B19" s="431">
        <v>0.35416666666666669</v>
      </c>
      <c r="C19" s="432"/>
      <c r="D19" s="433"/>
      <c r="E19" s="431">
        <v>0.38541666666666669</v>
      </c>
      <c r="F19" s="432"/>
      <c r="G19" s="433"/>
      <c r="H19" s="431">
        <v>0.41666666666666669</v>
      </c>
      <c r="I19" s="432"/>
      <c r="J19" s="433"/>
      <c r="K19" s="431">
        <v>0.44791666666666669</v>
      </c>
      <c r="L19" s="432"/>
      <c r="M19" s="433"/>
      <c r="N19" s="431">
        <v>0.47916666666666669</v>
      </c>
      <c r="O19" s="432"/>
      <c r="P19" s="433"/>
      <c r="Q19" s="431">
        <v>0.51041666666666663</v>
      </c>
      <c r="R19" s="432"/>
      <c r="S19" s="433"/>
      <c r="T19" s="431">
        <v>4.1666666666666664E-2</v>
      </c>
      <c r="U19" s="432"/>
      <c r="V19" s="433"/>
      <c r="W19" s="431">
        <v>7.2916666666666671E-2</v>
      </c>
      <c r="X19" s="432"/>
      <c r="Y19" s="433"/>
      <c r="Z19" s="431">
        <v>0.10416666666666667</v>
      </c>
      <c r="AA19" s="432"/>
      <c r="AB19" s="433"/>
      <c r="AC19" s="431">
        <v>0.13541666666666666</v>
      </c>
      <c r="AD19" s="432"/>
      <c r="AE19" s="433"/>
      <c r="AF19" s="434" t="s">
        <v>65</v>
      </c>
      <c r="AG19" s="435"/>
      <c r="AH19" s="435"/>
      <c r="AI19" s="435"/>
      <c r="AJ19" s="436"/>
      <c r="AK19" s="436"/>
      <c r="AL19" s="436"/>
      <c r="AM19" s="436"/>
      <c r="AN19" s="436"/>
      <c r="AO19" s="436"/>
      <c r="AP19" s="436"/>
      <c r="AQ19" s="437"/>
      <c r="AT19" s="165"/>
      <c r="AU19" s="166"/>
      <c r="AV19" s="166"/>
      <c r="AW19" s="134"/>
    </row>
    <row r="20" spans="1:51" x14ac:dyDescent="0.2">
      <c r="A20" s="173" t="s">
        <v>66</v>
      </c>
      <c r="B20" s="442">
        <v>0.35902777777777778</v>
      </c>
      <c r="C20" s="443"/>
      <c r="D20" s="444"/>
      <c r="E20" s="442">
        <v>0.38750000000000001</v>
      </c>
      <c r="F20" s="443"/>
      <c r="G20" s="444"/>
      <c r="H20" s="442">
        <v>0.41388888888888892</v>
      </c>
      <c r="I20" s="443"/>
      <c r="J20" s="444"/>
      <c r="K20" s="442">
        <v>0.44236111111111115</v>
      </c>
      <c r="L20" s="443"/>
      <c r="M20" s="444"/>
      <c r="N20" s="442"/>
      <c r="O20" s="443"/>
      <c r="P20" s="444"/>
      <c r="Q20" s="442">
        <v>0.51041666666666663</v>
      </c>
      <c r="R20" s="443"/>
      <c r="S20" s="444"/>
      <c r="T20" s="442">
        <v>0.53125</v>
      </c>
      <c r="U20" s="443"/>
      <c r="V20" s="444"/>
      <c r="W20" s="442">
        <v>7.2916666666666671E-2</v>
      </c>
      <c r="X20" s="443"/>
      <c r="Y20" s="444"/>
      <c r="Z20" s="442"/>
      <c r="AA20" s="443"/>
      <c r="AB20" s="444"/>
      <c r="AC20" s="442">
        <v>0.125</v>
      </c>
      <c r="AD20" s="443"/>
      <c r="AE20" s="444"/>
      <c r="AF20" s="434"/>
      <c r="AG20" s="435"/>
      <c r="AH20" s="435"/>
      <c r="AI20" s="435"/>
      <c r="AJ20" s="435"/>
      <c r="AK20" s="435"/>
      <c r="AL20" s="435"/>
      <c r="AM20" s="435"/>
      <c r="AN20" s="435"/>
      <c r="AO20" s="435"/>
      <c r="AP20" s="435"/>
      <c r="AQ20" s="438"/>
      <c r="AT20" s="165"/>
      <c r="AU20" s="166"/>
      <c r="AV20" s="166"/>
      <c r="AW20" s="134"/>
    </row>
    <row r="21" spans="1:51" x14ac:dyDescent="0.2">
      <c r="A21" s="173" t="s">
        <v>67</v>
      </c>
      <c r="B21" s="442" t="s">
        <v>1126</v>
      </c>
      <c r="C21" s="443"/>
      <c r="D21" s="444"/>
      <c r="E21" s="442">
        <v>0.39305555555555555</v>
      </c>
      <c r="F21" s="443"/>
      <c r="G21" s="444"/>
      <c r="H21" s="442">
        <v>0.43055555555555558</v>
      </c>
      <c r="I21" s="443"/>
      <c r="J21" s="444"/>
      <c r="K21" s="442">
        <v>0.47152777777777777</v>
      </c>
      <c r="L21" s="443"/>
      <c r="M21" s="444"/>
      <c r="N21" s="442"/>
      <c r="O21" s="443"/>
      <c r="P21" s="444"/>
      <c r="Q21" s="442">
        <v>0.53333333333333333</v>
      </c>
      <c r="R21" s="443"/>
      <c r="S21" s="444"/>
      <c r="T21" s="442">
        <v>6.25E-2</v>
      </c>
      <c r="U21" s="443"/>
      <c r="V21" s="444"/>
      <c r="W21" s="442">
        <v>8.8888888888888892E-2</v>
      </c>
      <c r="X21" s="443"/>
      <c r="Y21" s="444"/>
      <c r="Z21" s="442">
        <v>0.11388888888888889</v>
      </c>
      <c r="AA21" s="443"/>
      <c r="AB21" s="444"/>
      <c r="AC21" s="442">
        <v>0.16041666666666668</v>
      </c>
      <c r="AD21" s="443"/>
      <c r="AE21" s="444"/>
      <c r="AF21" s="434"/>
      <c r="AG21" s="435"/>
      <c r="AH21" s="435"/>
      <c r="AI21" s="435"/>
      <c r="AJ21" s="435"/>
      <c r="AK21" s="435"/>
      <c r="AL21" s="435"/>
      <c r="AM21" s="435"/>
      <c r="AN21" s="435"/>
      <c r="AO21" s="435"/>
      <c r="AP21" s="435"/>
      <c r="AQ21" s="438"/>
      <c r="AT21" s="137"/>
      <c r="AU21" s="137"/>
      <c r="AV21" s="137"/>
      <c r="AW21" s="134"/>
    </row>
    <row r="22" spans="1:51" ht="13.5" thickBot="1" x14ac:dyDescent="0.25">
      <c r="A22" s="138"/>
      <c r="B22" s="445" t="s">
        <v>68</v>
      </c>
      <c r="C22" s="446"/>
      <c r="D22" s="447"/>
      <c r="E22" s="445" t="str">
        <f>IF($AK8&gt;1,"Match 2","")</f>
        <v>Match 2</v>
      </c>
      <c r="F22" s="446"/>
      <c r="G22" s="447"/>
      <c r="H22" s="445" t="str">
        <f>IF($AK8&gt;2,"Match 3","")</f>
        <v>Match 3</v>
      </c>
      <c r="I22" s="446"/>
      <c r="J22" s="447"/>
      <c r="K22" s="445" t="str">
        <f>IF($AK8&gt;3,"Match 4","")</f>
        <v>Match 4</v>
      </c>
      <c r="L22" s="446"/>
      <c r="M22" s="447"/>
      <c r="N22" s="445" t="str">
        <f>IF($AK8&gt;4,"Match 5","")</f>
        <v>Match 5</v>
      </c>
      <c r="O22" s="446"/>
      <c r="P22" s="447"/>
      <c r="Q22" s="445" t="str">
        <f>IF($AK8&gt;5,"Match 6","")</f>
        <v>Match 6</v>
      </c>
      <c r="R22" s="446"/>
      <c r="S22" s="447"/>
      <c r="T22" s="445" t="str">
        <f>IF($AK8&gt;6,"Match 7","")</f>
        <v>Match 7</v>
      </c>
      <c r="U22" s="446"/>
      <c r="V22" s="447"/>
      <c r="W22" s="445" t="str">
        <f>IF($AK8&gt;7,"Match 8","")</f>
        <v>Match 8</v>
      </c>
      <c r="X22" s="446"/>
      <c r="Y22" s="447"/>
      <c r="Z22" s="445" t="str">
        <f>IF($AK8&gt;8,"Match 9","")</f>
        <v>Match 9</v>
      </c>
      <c r="AA22" s="446"/>
      <c r="AB22" s="447"/>
      <c r="AC22" s="445" t="str">
        <f>IF($AK8&gt;9,"Match 10","")</f>
        <v>Match 10</v>
      </c>
      <c r="AD22" s="446"/>
      <c r="AE22" s="447"/>
      <c r="AF22" s="439"/>
      <c r="AG22" s="440"/>
      <c r="AH22" s="440"/>
      <c r="AI22" s="440"/>
      <c r="AJ22" s="440"/>
      <c r="AK22" s="440"/>
      <c r="AL22" s="440"/>
      <c r="AM22" s="440"/>
      <c r="AN22" s="440"/>
      <c r="AO22" s="440"/>
      <c r="AP22" s="440"/>
      <c r="AQ22" s="441"/>
      <c r="AT22" s="165"/>
      <c r="AU22" s="166"/>
      <c r="AV22" s="166"/>
      <c r="AW22" s="134"/>
    </row>
    <row r="23" spans="1:51" ht="15.75" x14ac:dyDescent="0.25">
      <c r="A23" s="138"/>
      <c r="B23" s="448" t="s">
        <v>69</v>
      </c>
      <c r="C23" s="449"/>
      <c r="D23" s="450"/>
      <c r="E23" s="448" t="s">
        <v>70</v>
      </c>
      <c r="F23" s="449"/>
      <c r="G23" s="450"/>
      <c r="H23" s="448" t="s">
        <v>71</v>
      </c>
      <c r="I23" s="449"/>
      <c r="J23" s="450"/>
      <c r="K23" s="448" t="s">
        <v>72</v>
      </c>
      <c r="L23" s="449"/>
      <c r="M23" s="450"/>
      <c r="N23" s="448" t="s">
        <v>73</v>
      </c>
      <c r="O23" s="449"/>
      <c r="P23" s="450"/>
      <c r="Q23" s="448" t="s">
        <v>71</v>
      </c>
      <c r="R23" s="449"/>
      <c r="S23" s="450"/>
      <c r="T23" s="448" t="s">
        <v>69</v>
      </c>
      <c r="U23" s="449"/>
      <c r="V23" s="450"/>
      <c r="W23" s="448" t="s">
        <v>73</v>
      </c>
      <c r="X23" s="449"/>
      <c r="Y23" s="450"/>
      <c r="Z23" s="448" t="s">
        <v>72</v>
      </c>
      <c r="AA23" s="449"/>
      <c r="AB23" s="450"/>
      <c r="AC23" s="448" t="s">
        <v>70</v>
      </c>
      <c r="AD23" s="449"/>
      <c r="AE23" s="450"/>
      <c r="AF23" s="174" t="s">
        <v>74</v>
      </c>
      <c r="AG23" s="175">
        <v>1</v>
      </c>
      <c r="AH23" s="175">
        <v>2</v>
      </c>
      <c r="AI23" s="175">
        <v>3</v>
      </c>
      <c r="AJ23" s="175">
        <v>4</v>
      </c>
      <c r="AK23" s="175">
        <v>5</v>
      </c>
      <c r="AL23" s="175">
        <v>6</v>
      </c>
      <c r="AM23" s="175">
        <v>7</v>
      </c>
      <c r="AN23" s="175">
        <v>8</v>
      </c>
      <c r="AO23" s="175">
        <v>9</v>
      </c>
      <c r="AP23" s="175">
        <v>10</v>
      </c>
      <c r="AQ23" s="176" t="s">
        <v>75</v>
      </c>
      <c r="AT23" s="165"/>
      <c r="AU23" s="166"/>
      <c r="AV23" s="166"/>
      <c r="AW23" s="166"/>
      <c r="AX23" s="166"/>
      <c r="AY23" s="166"/>
    </row>
    <row r="24" spans="1:51" ht="15.75" x14ac:dyDescent="0.25">
      <c r="A24" s="138"/>
      <c r="B24" s="177">
        <v>2</v>
      </c>
      <c r="C24" s="178" t="s">
        <v>76</v>
      </c>
      <c r="D24" s="179">
        <v>5</v>
      </c>
      <c r="E24" s="177">
        <v>1</v>
      </c>
      <c r="F24" s="178" t="str">
        <f>IF($AK8&gt;1,"v","")</f>
        <v>v</v>
      </c>
      <c r="G24" s="179">
        <v>4</v>
      </c>
      <c r="H24" s="177">
        <v>3</v>
      </c>
      <c r="I24" s="178" t="str">
        <f>IF($AK8&gt;2,"v","")</f>
        <v>v</v>
      </c>
      <c r="J24" s="179">
        <v>5</v>
      </c>
      <c r="K24" s="177">
        <v>2</v>
      </c>
      <c r="L24" s="178" t="str">
        <f>IF($AK8&gt;3,"v","")</f>
        <v>v</v>
      </c>
      <c r="M24" s="179">
        <v>4</v>
      </c>
      <c r="N24" s="177">
        <v>1</v>
      </c>
      <c r="O24" s="178" t="str">
        <f>IF($AK8&gt;4,"v","")</f>
        <v>v</v>
      </c>
      <c r="P24" s="179">
        <v>3</v>
      </c>
      <c r="Q24" s="177">
        <v>4</v>
      </c>
      <c r="R24" s="178" t="str">
        <f>IF($AK8&gt;5,"v","")</f>
        <v>v</v>
      </c>
      <c r="S24" s="179">
        <v>5</v>
      </c>
      <c r="T24" s="177">
        <v>2</v>
      </c>
      <c r="U24" s="178" t="str">
        <f>IF($AK8&gt;6,"v","")</f>
        <v>v</v>
      </c>
      <c r="V24" s="179">
        <v>3</v>
      </c>
      <c r="W24" s="177">
        <v>1</v>
      </c>
      <c r="X24" s="178" t="str">
        <f>IF($AK8&gt;7,"v","")</f>
        <v>v</v>
      </c>
      <c r="Y24" s="179">
        <v>5</v>
      </c>
      <c r="Z24" s="177">
        <v>3</v>
      </c>
      <c r="AA24" s="178" t="str">
        <f>IF($AK8&gt;8,"v","")</f>
        <v>v</v>
      </c>
      <c r="AB24" s="179">
        <v>4</v>
      </c>
      <c r="AC24" s="177">
        <v>1</v>
      </c>
      <c r="AD24" s="178" t="str">
        <f>IF($AK8&gt;9,"v","")</f>
        <v>v</v>
      </c>
      <c r="AE24" s="179">
        <v>2</v>
      </c>
      <c r="AF24" s="174" t="str">
        <f>IF($AK9&gt;0,"Team 1","")</f>
        <v>Team 1</v>
      </c>
      <c r="AG24" s="180" t="str">
        <f>IF($AK9&lt;1,"",IF($AK8&lt;1,"",IF(B24=1,B30-D30,IF(D24=1,D30-B30,""))))</f>
        <v/>
      </c>
      <c r="AH24" s="180">
        <f>IF($AK9&lt;1,"",IF($AK8&lt;2,"",IF(E24=1,E30-G30,IF(G24=1,G30-E30,""))))</f>
        <v>22</v>
      </c>
      <c r="AI24" s="180" t="str">
        <f>IF($AK9&lt;1,"",IF($AK8&lt;3,"",IF(H24=1,H30-J30,IF(J24=1,J30-H30,""))))</f>
        <v/>
      </c>
      <c r="AJ24" s="180" t="str">
        <f>IF($AK9&lt;1,"",IF($AK8&lt;4,"",IF(K24=1,K30-M30,IF(M24=1,M30-K30,""))))</f>
        <v/>
      </c>
      <c r="AK24" s="180">
        <f>IF($AK9&lt;1,"",IF($AK8&lt;5,"",IF(N24=1,N30-P30,IF(P24=1,P30-N30,""))))</f>
        <v>12</v>
      </c>
      <c r="AL24" s="180" t="str">
        <f>IF($AK9&lt;1,"",IF($AK8&lt;6,"",IF(Q24=1,Q30-S30,IF(S24=1,S30-Q30,""))))</f>
        <v/>
      </c>
      <c r="AM24" s="180" t="str">
        <f>IF($AK9&lt;1,"",IF($AK8&lt;7,"",IF(T24=1,T30-V30,IF(V24=1,V30-T30,""))))</f>
        <v/>
      </c>
      <c r="AN24" s="180">
        <f>IF($AK9&lt;1,"",IF($AK8&lt;8,"",IF(W24=1,W30-Y30,IF(Y24=1,Y30-W30,""))))</f>
        <v>27</v>
      </c>
      <c r="AO24" s="180" t="str">
        <f>IF($AK9&lt;1,"",IF($AK8&lt;9,"",IF(Z24=1,Z30-AB30,IF(AB24=1,AB30-Z30,""))))</f>
        <v/>
      </c>
      <c r="AP24" s="180">
        <f>IF($AK9&lt;1,"",IF($AK8&lt;10,"",IF(AC24=1,AC30-AE30,IF(AE24=1,AE30-AC30,""))))</f>
        <v>10</v>
      </c>
      <c r="AQ24" s="176">
        <f>SUM(AG24:AP24)</f>
        <v>71</v>
      </c>
      <c r="AT24" s="165"/>
      <c r="AU24" s="166"/>
      <c r="AV24" s="166"/>
      <c r="AW24" s="166"/>
      <c r="AX24" s="166"/>
      <c r="AY24" s="166"/>
    </row>
    <row r="25" spans="1:51" ht="15" x14ac:dyDescent="0.2">
      <c r="A25" s="134" t="s">
        <v>77</v>
      </c>
      <c r="B25" s="181">
        <v>25</v>
      </c>
      <c r="C25" s="182" t="s">
        <v>78</v>
      </c>
      <c r="D25" s="183">
        <v>17</v>
      </c>
      <c r="E25" s="181">
        <v>25</v>
      </c>
      <c r="F25" s="182" t="str">
        <f>IF($AK8&gt;1,"/","")</f>
        <v>/</v>
      </c>
      <c r="G25" s="183">
        <v>16</v>
      </c>
      <c r="H25" s="181">
        <v>25</v>
      </c>
      <c r="I25" s="182" t="str">
        <f>IF($AK8&gt;2,"/","")</f>
        <v>/</v>
      </c>
      <c r="J25" s="183">
        <v>17</v>
      </c>
      <c r="K25" s="181">
        <v>24</v>
      </c>
      <c r="L25" s="182" t="str">
        <f>IF($AK8&gt;3,"/","")</f>
        <v>/</v>
      </c>
      <c r="M25" s="183">
        <v>26</v>
      </c>
      <c r="N25" s="181">
        <v>25</v>
      </c>
      <c r="O25" s="182" t="str">
        <f>IF($AK8&gt;4,"/","")</f>
        <v>/</v>
      </c>
      <c r="P25" s="183">
        <v>15</v>
      </c>
      <c r="Q25" s="181">
        <v>27</v>
      </c>
      <c r="R25" s="182" t="str">
        <f>IF($AK8&gt;5,"/","")</f>
        <v>/</v>
      </c>
      <c r="S25" s="183">
        <v>26</v>
      </c>
      <c r="T25" s="181">
        <v>24</v>
      </c>
      <c r="U25" s="182" t="str">
        <f>IF($AK8&gt;6,"/","")</f>
        <v>/</v>
      </c>
      <c r="V25" s="183">
        <v>26</v>
      </c>
      <c r="W25" s="181">
        <v>25</v>
      </c>
      <c r="X25" s="182" t="str">
        <f>IF($AK8&gt;7,"/","")</f>
        <v>/</v>
      </c>
      <c r="Y25" s="183">
        <v>10</v>
      </c>
      <c r="Z25" s="181">
        <v>25</v>
      </c>
      <c r="AA25" s="182" t="str">
        <f>IF($AK8&gt;8,"/","")</f>
        <v>/</v>
      </c>
      <c r="AB25" s="183">
        <v>16</v>
      </c>
      <c r="AC25" s="181">
        <v>25</v>
      </c>
      <c r="AD25" s="182" t="str">
        <f>IF($AK8&gt;9,"/","")</f>
        <v>/</v>
      </c>
      <c r="AE25" s="183">
        <v>18</v>
      </c>
      <c r="AF25" s="174" t="str">
        <f>IF($AK9&gt;1,"Team 2","")</f>
        <v>Team 2</v>
      </c>
      <c r="AG25" s="180">
        <f>IF($AK9&lt;2,"",IF($AK8&lt;1,"",IF(B24=2,B30-D30,IF(D24=2,D30-B30,""))))</f>
        <v>18</v>
      </c>
      <c r="AH25" s="180" t="str">
        <f>IF($AK9&lt;2,"",IF($AK8&lt;2,"",IF(E24=2,E30-G30,IF(G24=2,G30-E30,""))))</f>
        <v/>
      </c>
      <c r="AI25" s="180" t="str">
        <f>IF($AK9&lt;2,"",IF($AK8&lt;3,"",IF(H24=2,H30-J30,IF(J24=2,J30-H30,""))))</f>
        <v/>
      </c>
      <c r="AJ25" s="180">
        <f>IF($AK9&lt;2,"",IF($AK8&lt;4,"",IF(K24=2,K30-M30,IF(M24=2,M30-K30,""))))</f>
        <v>-1</v>
      </c>
      <c r="AK25" s="180" t="str">
        <f>IF($AK9&lt;2,"",IF($AK8&lt;5,"",IF(N24=2,N30-P30,IF(P24=2,P30-N30,""))))</f>
        <v/>
      </c>
      <c r="AL25" s="180" t="str">
        <f>IF($AK9&lt;2,"",IF($AK8&lt;6,"",IF(Q24=2,Q30-S30,IF(S24=2,S30-Q30,""))))</f>
        <v/>
      </c>
      <c r="AM25" s="180">
        <f>IF($AK9&lt;2,"",IF($AK8&lt;7,"",IF(T24=2,T30-V30,IF(V24=2,V30-T30,""))))</f>
        <v>-4</v>
      </c>
      <c r="AN25" s="180" t="str">
        <f>IF($AK9&lt;2,"",IF($AK8&lt;8,"",IF(W24=2,W30-Y30,IF(Y24=2,Y30-W30,""))))</f>
        <v/>
      </c>
      <c r="AO25" s="180" t="str">
        <f>IF($AK9&lt;2,"",IF($AK8&lt;9,"",IF(Z24=2,Z30-AB30,IF(AB24=2,AB30-Z30,""))))</f>
        <v/>
      </c>
      <c r="AP25" s="180">
        <f>IF($AK9&lt;2,"",IF($AK8&lt;10,"",IF(AC24=2,AC30-AE30,IF(AE24=2,AE30-AC30,""))))</f>
        <v>-10</v>
      </c>
      <c r="AQ25" s="176">
        <f>SUM(AG25:AP25)</f>
        <v>3</v>
      </c>
      <c r="AW25" s="134"/>
    </row>
    <row r="26" spans="1:51" ht="15" x14ac:dyDescent="0.2">
      <c r="A26" s="133" t="str">
        <f>IF($AK7&gt;1,"Game 2","")</f>
        <v>Game 2</v>
      </c>
      <c r="B26" s="181">
        <v>25</v>
      </c>
      <c r="C26" s="182" t="s">
        <v>78</v>
      </c>
      <c r="D26" s="183">
        <v>15</v>
      </c>
      <c r="E26" s="181">
        <v>25</v>
      </c>
      <c r="F26" s="182" t="str">
        <f>IF($AK8&gt;1,IF($AK7&gt;1,"/",""),"")</f>
        <v>/</v>
      </c>
      <c r="G26" s="183">
        <v>12</v>
      </c>
      <c r="H26" s="181">
        <v>25</v>
      </c>
      <c r="I26" s="182" t="str">
        <f>IF($AK8&gt;2,IF($AK7&gt;1,"/",""),"")</f>
        <v>/</v>
      </c>
      <c r="J26" s="183">
        <v>17</v>
      </c>
      <c r="K26" s="181">
        <v>27</v>
      </c>
      <c r="L26" s="182" t="str">
        <f>IF($AK8&gt;3,IF($AK7&gt;1,"/",""),"")</f>
        <v>/</v>
      </c>
      <c r="M26" s="183">
        <v>26</v>
      </c>
      <c r="N26" s="181">
        <v>26</v>
      </c>
      <c r="O26" s="182" t="str">
        <f>IF($AK8&gt;4,IF($AK7&gt;1,"/",""),"")</f>
        <v>/</v>
      </c>
      <c r="P26" s="183">
        <v>24</v>
      </c>
      <c r="Q26" s="181">
        <v>25</v>
      </c>
      <c r="R26" s="182" t="str">
        <f>IF($AK8&gt;5,IF($AK7&gt;1,"/",""),"")</f>
        <v>/</v>
      </c>
      <c r="S26" s="183">
        <v>17</v>
      </c>
      <c r="T26" s="181">
        <v>23</v>
      </c>
      <c r="U26" s="182" t="str">
        <f>IF($AK8&gt;6,IF($AK7&gt;1,"/",""),"")</f>
        <v>/</v>
      </c>
      <c r="V26" s="183">
        <v>25</v>
      </c>
      <c r="W26" s="181">
        <v>25</v>
      </c>
      <c r="X26" s="182" t="str">
        <f>IF($AK8&gt;7,IF($AK7&gt;1,"/",""),"")</f>
        <v>/</v>
      </c>
      <c r="Y26" s="183">
        <v>13</v>
      </c>
      <c r="Z26" s="181">
        <v>13</v>
      </c>
      <c r="AA26" s="182" t="str">
        <f>IF($AK8&gt;8,IF($AK7&gt;1,"/",""),"")</f>
        <v>/</v>
      </c>
      <c r="AB26" s="183">
        <v>25</v>
      </c>
      <c r="AC26" s="181">
        <v>25</v>
      </c>
      <c r="AD26" s="182" t="str">
        <f>IF($AK8&gt;9,IF($AK7&gt;1,"/",""),"")</f>
        <v>/</v>
      </c>
      <c r="AE26" s="183">
        <v>22</v>
      </c>
      <c r="AF26" s="174" t="str">
        <f>IF($AK9&gt;2,"Team 3","")</f>
        <v>Team 3</v>
      </c>
      <c r="AG26" s="180" t="str">
        <f>IF($AK9&lt;3,"",IF($AK8&lt;1,"",IF(B24=3,B30-D30,IF(D24=3,D30-B30,""))))</f>
        <v/>
      </c>
      <c r="AH26" s="180" t="str">
        <f>IF($AK9&lt;3,"",IF($AK8&lt;2,"",IF(E24=3,E30-G30,IF(G24=3,G30-E30,""))))</f>
        <v/>
      </c>
      <c r="AI26" s="180">
        <f>IF($AK9&lt;3,"",IF($AK8&lt;3,"",IF(H24=3,H30-J30,IF(J24=3,J30-H30,""))))</f>
        <v>16</v>
      </c>
      <c r="AJ26" s="180" t="str">
        <f>IF($AK9&lt;3,"",IF($AK8&lt;4,"",IF(K24=3,K30-M30,IF(M24=3,M30-K30,""))))</f>
        <v/>
      </c>
      <c r="AK26" s="180">
        <f>IF($AK9&lt;3,"",IF($AK8&lt;5,"",IF(N24=3,N30-P30,IF(P24=3,P30-N30,""))))</f>
        <v>-12</v>
      </c>
      <c r="AL26" s="180" t="str">
        <f>IF($AK9&lt;3,"",IF($AK8&lt;6,"",IF(Q24=3,Q30-S30,IF(S24=3,S30-Q30,""))))</f>
        <v/>
      </c>
      <c r="AM26" s="180">
        <f>IF($AK9&lt;3,"",IF($AK8&lt;7,"",IF(T24=3,T30-V30,IF(V24=3,V30-T30,""))))</f>
        <v>4</v>
      </c>
      <c r="AN26" s="180" t="str">
        <f>IF($AK9&lt;3,"",IF($AK8&lt;8,"",IF(W24=3,W30-Y30,IF(Y24=3,Y30-W30,""))))</f>
        <v/>
      </c>
      <c r="AO26" s="180">
        <f>IF($AK9&lt;3,"",IF($AK8&lt;9,"",IF(Z24=3,Z30-AB30,IF(AB24=3,AB30-Z30,""))))</f>
        <v>-3</v>
      </c>
      <c r="AP26" s="180" t="str">
        <f>IF($AK9&lt;3,"",IF($AK8&lt;9,"",IF(AC24=3,AC30-AE30,IF(AE24=3,AE30-AC30,""))))</f>
        <v/>
      </c>
      <c r="AQ26" s="176">
        <f>SUM(AG26:AP26)</f>
        <v>5</v>
      </c>
      <c r="AW26" s="134"/>
    </row>
    <row r="27" spans="1:51" ht="15" x14ac:dyDescent="0.2">
      <c r="A27" s="133" t="str">
        <f>IF($AK7&gt;2,"Game 3","")</f>
        <v/>
      </c>
      <c r="B27" s="181"/>
      <c r="C27" s="182" t="s">
        <v>78</v>
      </c>
      <c r="D27" s="183"/>
      <c r="E27" s="181"/>
      <c r="F27" s="182" t="str">
        <f>IF($AK8&gt;1,IF($AK7&gt;2,"/",""),"")</f>
        <v/>
      </c>
      <c r="G27" s="183"/>
      <c r="H27" s="181"/>
      <c r="I27" s="182" t="str">
        <f>IF($AK8&gt;2,IF($AK7&gt;2,"/",""),"")</f>
        <v/>
      </c>
      <c r="J27" s="183"/>
      <c r="K27" s="181"/>
      <c r="L27" s="182" t="str">
        <f>IF($AK8&gt;3,IF($AK7&gt;2,"/",""),"")</f>
        <v/>
      </c>
      <c r="M27" s="183"/>
      <c r="N27" s="181"/>
      <c r="O27" s="182" t="str">
        <f>IF($AK8&gt;4,IF($AK7&gt;2,"/",""),"")</f>
        <v/>
      </c>
      <c r="P27" s="183"/>
      <c r="Q27" s="181"/>
      <c r="R27" s="182" t="str">
        <f>IF($AK8&gt;5,IF($AK7&gt;2,"/",""),"")</f>
        <v/>
      </c>
      <c r="S27" s="183"/>
      <c r="T27" s="181"/>
      <c r="U27" s="182" t="str">
        <f>IF($AK8&gt;6,IF($AK7&gt;2,"/",""),"")</f>
        <v/>
      </c>
      <c r="V27" s="183"/>
      <c r="W27" s="181"/>
      <c r="X27" s="182" t="str">
        <f>IF($AK8&gt;7,IF($AK7&gt;2,"/",""),"")</f>
        <v/>
      </c>
      <c r="Y27" s="183"/>
      <c r="Z27" s="181"/>
      <c r="AA27" s="182" t="str">
        <f>IF($AK8&gt;8,IF($AK7&gt;2,"/",""),"")</f>
        <v/>
      </c>
      <c r="AB27" s="183"/>
      <c r="AC27" s="181"/>
      <c r="AD27" s="182" t="str">
        <f>IF($AK8&gt;9,IF($AK7&gt;2,"/",""),"")</f>
        <v/>
      </c>
      <c r="AE27" s="183"/>
      <c r="AF27" s="174" t="str">
        <f>IF($AK9&gt;3,"Team 4","")</f>
        <v>Team 4</v>
      </c>
      <c r="AG27" s="180" t="str">
        <f>IF($AK9&lt;4,"",IF($AK8&lt;1,"",IF(B24=4,B30-D30,IF(D24=4,D30-B30,""))))</f>
        <v/>
      </c>
      <c r="AH27" s="180">
        <f>IF($AK9&lt;4,"",IF($AK8&lt;2,"",IF(E24=4,E30-G30,IF(G24=4,G30-E30,""))))</f>
        <v>-22</v>
      </c>
      <c r="AI27" s="180" t="str">
        <f>IF($AK9&lt;4,"",IF($AK8&lt;3,"",IF(H24=4,H30-J30,IF(J24=4,J30-H30,""))))</f>
        <v/>
      </c>
      <c r="AJ27" s="180">
        <f>IF($AK9&lt;4,"",IF($AK8&lt;4,"",IF(K24=4,K30-M30,IF(M24=4,M30-K30,""))))</f>
        <v>1</v>
      </c>
      <c r="AK27" s="180" t="str">
        <f>IF($AK9&lt;4,"",IF($AK8&lt;5,"",IF(N24=4,N30-P30,IF(P24=4,P30-N30,""))))</f>
        <v/>
      </c>
      <c r="AL27" s="180">
        <f>IF($AK9&lt;4,"",IF($AK8&lt;6,"",IF(Q24=4,Q30-S30,IF(S24=4,S30-Q30,""))))</f>
        <v>9</v>
      </c>
      <c r="AM27" s="180" t="str">
        <f>IF($AK9&lt;4,"",IF($AK8&lt;7,"",IF(T24=4,T30-V30,IF(V24=4,V30-T30,""))))</f>
        <v/>
      </c>
      <c r="AN27" s="180" t="str">
        <f>IF($AK9&lt;4,"",IF($AK8&lt;8,"",IF(W24=4,W30-Y30,IF(Y24=4,Y30-W30,""))))</f>
        <v/>
      </c>
      <c r="AO27" s="180">
        <f>IF($AK9&lt;4,"",IF($AK8&lt;9,"",IF(Z24=4,Z30-AB30,IF(AB24=4,AB30-Z30,""))))</f>
        <v>3</v>
      </c>
      <c r="AP27" s="180" t="str">
        <f>IF($AK9&lt;4,"",IF($AK8&lt;10,"",IF(AC24=4,AC30-AE30,IF(AE24=4,AE30-AC30,""))))</f>
        <v/>
      </c>
      <c r="AQ27" s="176">
        <f>SUM(AG27:AP27)</f>
        <v>-9</v>
      </c>
      <c r="AW27" s="134"/>
    </row>
    <row r="28" spans="1:51" ht="15" x14ac:dyDescent="0.2">
      <c r="A28" s="133" t="str">
        <f>IF($AK7&gt;3,"Game 4","")</f>
        <v/>
      </c>
      <c r="B28" s="181"/>
      <c r="C28" s="182" t="s">
        <v>78</v>
      </c>
      <c r="D28" s="183"/>
      <c r="E28" s="181"/>
      <c r="F28" s="182" t="str">
        <f>IF($AK8&gt;1,IF($AK7&gt;3,"/",""),"")</f>
        <v/>
      </c>
      <c r="G28" s="183"/>
      <c r="H28" s="181"/>
      <c r="I28" s="182" t="str">
        <f>IF($AK8&gt;2,IF($AK7&gt;3,"/",""),"")</f>
        <v/>
      </c>
      <c r="J28" s="183"/>
      <c r="K28" s="181"/>
      <c r="L28" s="182" t="str">
        <f>IF($AK8&gt;3,IF($AK7&gt;3,"/",""),"")</f>
        <v/>
      </c>
      <c r="M28" s="183"/>
      <c r="N28" s="181"/>
      <c r="O28" s="182" t="str">
        <f>IF($AK8&gt;4,IF($AK7&gt;3,"/",""),"")</f>
        <v/>
      </c>
      <c r="P28" s="183"/>
      <c r="Q28" s="181"/>
      <c r="R28" s="182" t="str">
        <f>IF($AK8&gt;5,IF($AK7&gt;3,"/",""),"")</f>
        <v/>
      </c>
      <c r="S28" s="183"/>
      <c r="T28" s="181"/>
      <c r="U28" s="182" t="str">
        <f>IF($AK8&gt;6,IF($AK7&gt;3,"/",""),"")</f>
        <v/>
      </c>
      <c r="V28" s="183"/>
      <c r="W28" s="181"/>
      <c r="X28" s="182" t="str">
        <f>IF($AK8&gt;7,IF($AK7&gt;3,"/",""),"")</f>
        <v/>
      </c>
      <c r="Y28" s="183"/>
      <c r="Z28" s="181"/>
      <c r="AA28" s="182" t="str">
        <f>IF($AK8&gt;8,IF($AK7&gt;3,"/",""),"")</f>
        <v/>
      </c>
      <c r="AB28" s="183"/>
      <c r="AC28" s="181"/>
      <c r="AD28" s="182" t="str">
        <f>IF($AK8&gt;9,IF($AK7&gt;3,"/",""),"")</f>
        <v/>
      </c>
      <c r="AE28" s="183"/>
      <c r="AF28" s="174" t="str">
        <f>IF($AK9&gt;4,"Team 5","")</f>
        <v>Team 5</v>
      </c>
      <c r="AG28" s="184">
        <f>IF($AK9&lt;5,"",IF($AK8&lt;1,"",IF(B24=5,B30-D30,IF(D24=5,D30-B30,""))))</f>
        <v>-18</v>
      </c>
      <c r="AH28" s="180" t="str">
        <f>IF($AK9&lt;5,"",IF($AK8&lt;2,"",IF(E24=5,E30-G30,IF(G24=5,G30-E30,""))))</f>
        <v/>
      </c>
      <c r="AI28" s="180">
        <f>IF($AK9&lt;5,"",IF($AK8&lt;3,"",IF(H24=5,H30-J30,IF(J24=5,J30-H30,""))))</f>
        <v>-16</v>
      </c>
      <c r="AJ28" s="180" t="str">
        <f>IF($AK9&lt;5,"",IF($AK8&lt;4,"",IF(K24=5,K30-M30,IF(M24=5,M30-K30,""))))</f>
        <v/>
      </c>
      <c r="AK28" s="180" t="str">
        <f>IF($AK9&lt;5,"",IF($AK8&lt;5,"",IF(N24=5,N30-P30,IF(P24=5,P30-N30,""))))</f>
        <v/>
      </c>
      <c r="AL28" s="180">
        <f>IF($AK9&lt;5,"",IF($AK8&lt;6,"",IF(Q24=5,Q30-S30,IF(S24=5,S30-Q30,""))))</f>
        <v>-9</v>
      </c>
      <c r="AM28" s="180" t="str">
        <f>IF($AK9&lt;5,"",IF($AK8&lt;7,"",IF(T24=5,T30-V30,IF(V24=5,V30-T30,""))))</f>
        <v/>
      </c>
      <c r="AN28" s="180">
        <f>IF($AK9&lt;5,"",IF($AK8&lt;8,"",IF(W24=5,W30-Y30,IF(Y24=5,Y30-W30,""))))</f>
        <v>-27</v>
      </c>
      <c r="AO28" s="180" t="str">
        <f>IF($AK9&lt;5,"",IF($AK8&lt;9,"",IF(Z24=5,Z30-AB30,IF(AB24=5,AB30-Z30,""))))</f>
        <v/>
      </c>
      <c r="AP28" s="180" t="str">
        <f>IF($AK9&lt;5,"",IF($AK8&lt;10,"",IF(AC24=5,AC30-AE30,IF(AE24=5,AE30-AC30,""))))</f>
        <v/>
      </c>
      <c r="AQ28" s="176">
        <f>SUM(AG28:AP28)</f>
        <v>-70</v>
      </c>
      <c r="AW28" s="137"/>
      <c r="AX28" s="137"/>
      <c r="AY28" s="137"/>
    </row>
    <row r="29" spans="1:51" ht="15" x14ac:dyDescent="0.2">
      <c r="A29" s="133" t="str">
        <f>IF($AK7&gt;4,"Game 5","")</f>
        <v/>
      </c>
      <c r="B29" s="181"/>
      <c r="C29" s="182" t="s">
        <v>78</v>
      </c>
      <c r="D29" s="183"/>
      <c r="E29" s="181"/>
      <c r="F29" s="182" t="str">
        <f>IF($AK8&gt;1,IF($AK7&gt;4,"/",""),"")</f>
        <v/>
      </c>
      <c r="G29" s="183"/>
      <c r="H29" s="181"/>
      <c r="I29" s="182" t="str">
        <f>IF($AK8&gt;2,IF($AK7&gt;4,"/",""),"")</f>
        <v/>
      </c>
      <c r="J29" s="183"/>
      <c r="K29" s="181"/>
      <c r="L29" s="182" t="str">
        <f>IF($AK8&gt;3,IF($AK7&gt;4,"/",""),"")</f>
        <v/>
      </c>
      <c r="M29" s="183"/>
      <c r="N29" s="181"/>
      <c r="O29" s="182" t="str">
        <f>IF($AK8&gt;4,IF($AK7&gt;4,"/",""),"")</f>
        <v/>
      </c>
      <c r="P29" s="183"/>
      <c r="Q29" s="181"/>
      <c r="R29" s="182" t="str">
        <f>IF($AK8&gt;5,IF($AK7&gt;4,"/",""),"")</f>
        <v/>
      </c>
      <c r="S29" s="183"/>
      <c r="T29" s="181"/>
      <c r="U29" s="182" t="str">
        <f>IF($AK8&gt;6,IF($AK7&gt;4,"/",""),"")</f>
        <v/>
      </c>
      <c r="V29" s="183"/>
      <c r="W29" s="181"/>
      <c r="X29" s="182" t="str">
        <f>IF($AK8&gt;7,IF($AK7&gt;4,"/",""),"")</f>
        <v/>
      </c>
      <c r="Y29" s="183"/>
      <c r="Z29" s="181"/>
      <c r="AA29" s="182" t="str">
        <f>IF($AK8&gt;8,IF($AK7&gt;4,"/",""),"")</f>
        <v/>
      </c>
      <c r="AB29" s="183"/>
      <c r="AC29" s="181"/>
      <c r="AD29" s="182" t="str">
        <f>IF($AK8&gt;9,IF($AK7&gt;4,"/",""),"")</f>
        <v/>
      </c>
      <c r="AE29" s="183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W29" s="137"/>
      <c r="AX29" s="137"/>
      <c r="AY29" s="137"/>
    </row>
    <row r="30" spans="1:51" hidden="1" x14ac:dyDescent="0.2">
      <c r="A30" s="185"/>
      <c r="B30" s="185">
        <f>IF($AK7=5,SUM(B25:B29),IF($AK7=4,SUM(B25:B28),IF($AK7=3,SUM(B25:B27),IF($AK7=2,SUM(B25:B26),B25))))</f>
        <v>50</v>
      </c>
      <c r="C30" s="185"/>
      <c r="D30" s="185">
        <f>IF($AK7=5,SUM(D25:D29),IF($AK7=4,SUM(D25:D28),IF($AK7=3,SUM(D25:D27),IF($AK7=2,SUM(D25:D26),D25))))</f>
        <v>32</v>
      </c>
      <c r="E30" s="185">
        <f>IF($AK7=5,SUM(E25:E29),IF($AK7=4,SUM(E25:E28),IF($AK7=3,SUM(E25:E27),IF($AK7=2,SUM(E25:E26),E25))))</f>
        <v>50</v>
      </c>
      <c r="F30" s="185"/>
      <c r="G30" s="185">
        <f>IF($AK7=5,SUM(G25:G29),IF($AK7=4,SUM(G25:G28),IF($AK7=3,SUM(G25:G27),IF($AK7=2,SUM(G25:G26),G25))))</f>
        <v>28</v>
      </c>
      <c r="H30" s="185">
        <f>IF($AK7=5,SUM(H25:H29),IF($AK7=4,SUM(H25:H28),IF($AK7=3,SUM(H25:H27),IF($AK7=2,SUM(H25:H26),H25))))</f>
        <v>50</v>
      </c>
      <c r="I30" s="185"/>
      <c r="J30" s="185">
        <f>IF($AK7=5,SUM(J25:J29),IF($AK7=4,SUM(J25:J28),IF($AK7=3,SUM(J25:J27),IF($AK7=2,SUM(J25:J26),J25))))</f>
        <v>34</v>
      </c>
      <c r="K30" s="185">
        <f>IF($AK7=5,SUM(K25:K29),IF($AK7=4,SUM(K25:K28),IF($AK7=3,SUM(K25:K27),IF($AK7=2,SUM(K25:K26),K25))))</f>
        <v>51</v>
      </c>
      <c r="L30" s="185"/>
      <c r="M30" s="185">
        <f>IF($AK7=5,SUM(M25:M29),IF($AK7=4,SUM(M25:M28),IF($AK7=3,SUM(M25:M27),IF($AK7=2,SUM(M25:M26),M25))))</f>
        <v>52</v>
      </c>
      <c r="N30" s="185">
        <f>IF($AK7=5,SUM(N25:N29),IF($AK7=4,SUM(N25:N28),IF($AK7=3,SUM(N25:N27),IF($AK7=2,SUM(N25:N26),N25))))</f>
        <v>51</v>
      </c>
      <c r="O30" s="185"/>
      <c r="P30" s="185">
        <f>IF($AK7=5,SUM(P25:P29),IF($AK7=4,SUM(P25:P28),IF($AK7=3,SUM(P25:P27),IF($AK7=2,SUM(P25:P26),P25))))</f>
        <v>39</v>
      </c>
      <c r="Q30" s="185">
        <f>IF($AK7=5,SUM(Q25:Q29),IF($AK7=4,SUM(Q25:Q28),IF($AK7=3,SUM(Q25:Q27),IF($AK7=2,SUM(Q25:Q26),Q25))))</f>
        <v>52</v>
      </c>
      <c r="R30" s="185"/>
      <c r="S30" s="185">
        <f>IF($AK7=5,SUM(S25:S29),IF($AK7=4,SUM(S25:S28),IF($AK7=3,SUM(S25:S27),IF($AK7=2,SUM(S25:S26),S25))))</f>
        <v>43</v>
      </c>
      <c r="T30" s="185">
        <f>IF($AK7=5,SUM(T25:T29),IF($AK7=4,SUM(T25:T28),IF($AK7=3,SUM(T25:T27),IF($AK7=2,SUM(T25:T26),T25))))</f>
        <v>47</v>
      </c>
      <c r="U30" s="185"/>
      <c r="V30" s="185">
        <f>IF($AK7=5,SUM(V25:V29),IF($AK7=4,SUM(V25:V28),IF($AK7=3,SUM(V25:V27),IF($AK7=2,SUM(V25:V26),V25))))</f>
        <v>51</v>
      </c>
      <c r="W30" s="185">
        <f>IF($AK7=5,SUM(W25:W29),IF($AK7=4,SUM(W25:W28),IF($AK7=3,SUM(W25:W27),IF($AK7=2,SUM(W25:W26),W25))))</f>
        <v>50</v>
      </c>
      <c r="X30" s="185"/>
      <c r="Y30" s="185">
        <f>IF($AK7=5,SUM(Y25:Y29),IF($AK7=4,SUM(Y25:Y28),IF($AK7=3,SUM(Y25:Y27),IF($AK7=2,SUM(Y25:Y26),Y25))))</f>
        <v>23</v>
      </c>
      <c r="Z30" s="185">
        <f>IF($AK7=5,SUM(Z25:Z29),IF($AK7=4,SUM(Z25:Z28),IF($AK7=3,SUM(Z25:Z27),IF($AK7=2,SUM(Z25:Z26),Z25))))</f>
        <v>38</v>
      </c>
      <c r="AA30" s="185"/>
      <c r="AB30" s="185">
        <f>IF($AK7=5,SUM(AB25:AB29),IF($AK7=4,SUM(AB25:AB28),IF($AK7=3,SUM(AB25:AB27),IF($AK7=2,SUM(AB25:AB26),AB25))))</f>
        <v>41</v>
      </c>
      <c r="AC30" s="185">
        <f>IF($AK7=5,SUM(AC25:AC29),IF($AK7=4,SUM(AC25:AC28),IF($AK7=3,SUM(AC25:AC27),IF($AK7=2,SUM(AC25:AC26),AC25))))</f>
        <v>50</v>
      </c>
      <c r="AD30" s="185"/>
      <c r="AE30" s="185">
        <f>IF($AK7=5,SUM(AE25:AE29),IF($AK7=4,SUM(AE25:AE28),IF($AK7=3,SUM(AE25:AE27),IF($AK7=2,SUM(AE25:AE26),AE25))))</f>
        <v>40</v>
      </c>
      <c r="AF30" s="138"/>
      <c r="AG30" s="138"/>
      <c r="AH30" s="138"/>
      <c r="AI30" s="138"/>
      <c r="AJ30" s="138"/>
      <c r="AK30" s="138"/>
      <c r="AL30" s="138"/>
      <c r="AM30" s="138"/>
      <c r="AN30" s="138"/>
      <c r="AO30" s="138"/>
      <c r="AP30" s="138"/>
      <c r="AQ30" s="138"/>
    </row>
    <row r="31" spans="1:51" s="186" customFormat="1" ht="12.75" hidden="1" customHeight="1" x14ac:dyDescent="0.2">
      <c r="A31" s="186" t="s">
        <v>79</v>
      </c>
      <c r="B31" s="187">
        <f>IF(AND(B25&gt;D25,$AK8&gt;0,ISNUMBER(B25),ISNUMBER(D25)),1,0)</f>
        <v>1</v>
      </c>
      <c r="C31" s="187"/>
      <c r="D31" s="188">
        <f>IF(AND(D25&gt;B25,$AK8&gt;0,ISNUMBER(B25),ISNUMBER(D25)),1,0)</f>
        <v>0</v>
      </c>
      <c r="E31" s="187">
        <f>IF(AND(E25&gt;G25,$AK8&gt;1,ISNUMBER(E25),ISNUMBER(G25)),1,0)</f>
        <v>1</v>
      </c>
      <c r="F31" s="187"/>
      <c r="G31" s="188">
        <f>IF(AND(G25&gt;E25,$AK8&gt;1,ISNUMBER(E25),ISNUMBER(G25)),1,0)</f>
        <v>0</v>
      </c>
      <c r="H31" s="187">
        <f>IF(AND(H25&gt;J25,$AK8&gt;2,ISNUMBER(H25),ISNUMBER(J25)),1,0)</f>
        <v>1</v>
      </c>
      <c r="I31" s="187"/>
      <c r="J31" s="188">
        <f>IF(AND(J25&gt;H25,$AK8&gt;2,ISNUMBER(H25),ISNUMBER(J25)),1,0)</f>
        <v>0</v>
      </c>
      <c r="K31" s="187">
        <f>IF(AND(K25&gt;M25,$AK8&gt;3,ISNUMBER(K25),ISNUMBER(M25)),1,0)</f>
        <v>0</v>
      </c>
      <c r="L31" s="187"/>
      <c r="M31" s="188">
        <f>IF(AND(M25&gt;K25,$AK8&gt;3,ISNUMBER(K25),ISNUMBER(M25)),1,0)</f>
        <v>1</v>
      </c>
      <c r="N31" s="187">
        <f>IF(AND(N25&gt;P25,$AK8&gt;4,ISNUMBER(N25),ISNUMBER(P25)),1,0)</f>
        <v>1</v>
      </c>
      <c r="O31" s="187"/>
      <c r="P31" s="188">
        <f>IF(AND(P25&gt;N25,$AK8&gt;4,ISNUMBER(N25),ISNUMBER(P25)),1,0)</f>
        <v>0</v>
      </c>
      <c r="Q31" s="187">
        <f>IF(AND(Q25&gt;S25,$AK8&gt;5,ISNUMBER(Q25),ISNUMBER(S25)),1,0)</f>
        <v>1</v>
      </c>
      <c r="R31" s="187"/>
      <c r="S31" s="188">
        <f>IF(AND(S25&gt;Q25,$AK8&gt;5,ISNUMBER(Q25),ISNUMBER(S25)),1,0)</f>
        <v>0</v>
      </c>
      <c r="T31" s="187">
        <f>IF(AND(T25&gt;V25,$AK8&gt;6,ISNUMBER(T25),ISNUMBER(V25)),1,0)</f>
        <v>0</v>
      </c>
      <c r="U31" s="187"/>
      <c r="V31" s="188">
        <f>IF(AND(V25&gt;T25,$AK8&gt;6,ISNUMBER(T25),ISNUMBER(V25)),1,0)</f>
        <v>1</v>
      </c>
      <c r="W31" s="187">
        <f>IF(AND(W25&gt;Y25,$AK8&gt;7,ISNUMBER(W25),ISNUMBER(Y25)),1,0)</f>
        <v>1</v>
      </c>
      <c r="X31" s="187"/>
      <c r="Y31" s="188">
        <f>IF(AND(Y25&gt;W25,$AK8&gt;7,ISNUMBER(W25),ISNUMBER(Y25)),1,0)</f>
        <v>0</v>
      </c>
      <c r="Z31" s="187">
        <f>IF(AND(Z25&gt;AB25,$AK8&gt;8,ISNUMBER(Z25),ISNUMBER(AB25)),1,0)</f>
        <v>1</v>
      </c>
      <c r="AA31" s="187"/>
      <c r="AB31" s="188">
        <f>IF(AND(AB25&gt;Z25,$AK8&gt;8,ISNUMBER(Z25),ISNUMBER(AB25)),1,0)</f>
        <v>0</v>
      </c>
      <c r="AC31" s="187">
        <f>IF(AND(AC25&gt;AE25,$AK8&gt;9,ISNUMBER(AC25),ISNUMBER(AE25)),1,0)</f>
        <v>1</v>
      </c>
      <c r="AD31" s="187"/>
      <c r="AE31" s="188">
        <f>IF(AND(AE25&gt;AC25,$AK8&gt;9,ISNUMBER(AC25),ISNUMBER(AE25)),1,0)</f>
        <v>0</v>
      </c>
      <c r="AW31" s="274"/>
    </row>
    <row r="32" spans="1:51" s="186" customFormat="1" ht="12.75" hidden="1" customHeight="1" x14ac:dyDescent="0.2">
      <c r="A32" s="186" t="s">
        <v>80</v>
      </c>
      <c r="B32" s="187">
        <f>IF(AND(B26&gt;D26,$AK8&gt;0,$AK7&gt;1,ISNUMBER(B26),ISNUMBER(D26)),1,0)</f>
        <v>1</v>
      </c>
      <c r="C32" s="187"/>
      <c r="D32" s="188">
        <f>IF(AND(D26&gt;B26,$AK8&gt;0,$AK7&gt;1,ISNUMBER(B26),ISNUMBER(D26)),1,0)</f>
        <v>0</v>
      </c>
      <c r="E32" s="187">
        <f>IF(AND(E26&gt;G26,$AK8&gt;1,$AK7&gt;1,ISNUMBER(E26),ISNUMBER(G26)),1,0)</f>
        <v>1</v>
      </c>
      <c r="F32" s="187"/>
      <c r="G32" s="188">
        <f>IF(AND(G26&gt;E26,$AK8&gt;1,$AK7&gt;1,ISNUMBER(E26),ISNUMBER(G26)),1,0)</f>
        <v>0</v>
      </c>
      <c r="H32" s="187">
        <f>IF(AND(H26&gt;J26,$AK8&gt;2,$AK7&gt;1,ISNUMBER(H26),ISNUMBER(J26)),1,0)</f>
        <v>1</v>
      </c>
      <c r="I32" s="187"/>
      <c r="J32" s="188">
        <f>IF(AND(J26&gt;H26,$AK8&gt;2,$AK7&gt;1,ISNUMBER(H26),ISNUMBER(J26)),1,0)</f>
        <v>0</v>
      </c>
      <c r="K32" s="187">
        <f>IF(AND(K26&gt;M26,$AK8&gt;3,$AK7&gt;1,ISNUMBER(K26),ISNUMBER(M26)),1,0)</f>
        <v>1</v>
      </c>
      <c r="L32" s="187"/>
      <c r="M32" s="188">
        <f>IF(AND(M26&gt;K26,$AK8&gt;3,$AK7&gt;1,ISNUMBER(K26),ISNUMBER(M26)),1,0)</f>
        <v>0</v>
      </c>
      <c r="N32" s="187">
        <f>IF(AND(N26&gt;P26,$AK8&gt;4,$AK7&gt;1,ISNUMBER(N26),ISNUMBER(P26)),1,0)</f>
        <v>1</v>
      </c>
      <c r="O32" s="187"/>
      <c r="P32" s="188">
        <f>IF(AND(P26&gt;N26,$AK8&gt;4,$AK7&gt;1,ISNUMBER(N26),ISNUMBER(P26)),1,0)</f>
        <v>0</v>
      </c>
      <c r="Q32" s="187">
        <f>IF(AND(Q26&gt;S26,$AK8&gt;5,$AK7&gt;1,ISNUMBER(Q26),ISNUMBER(S26)),1,0)</f>
        <v>1</v>
      </c>
      <c r="R32" s="187"/>
      <c r="S32" s="188">
        <f>IF(AND(S26&gt;Q26,$AK8&gt;5,$AK7&gt;1,ISNUMBER(Q26),ISNUMBER(S26)),1,0)</f>
        <v>0</v>
      </c>
      <c r="T32" s="187">
        <f>IF(AND(T26&gt;V26,$AK8&gt;6,$AK7&gt;1,ISNUMBER(T26),ISNUMBER(V26)),1,0)</f>
        <v>0</v>
      </c>
      <c r="U32" s="187"/>
      <c r="V32" s="188">
        <f>IF(AND(V26&gt;T26,$AK8&gt;6,$AK7&gt;1,ISNUMBER(T26),ISNUMBER(V26)),1,0)</f>
        <v>1</v>
      </c>
      <c r="W32" s="187">
        <f>IF(AND(W26&gt;Y26,$AK8&gt;7,$AK7&gt;1,ISNUMBER(W26),ISNUMBER(Y26)),1,0)</f>
        <v>1</v>
      </c>
      <c r="X32" s="187"/>
      <c r="Y32" s="188">
        <f>IF(AND(Y26&gt;W26,$AK8&gt;7,$AK7&gt;1,ISNUMBER(W26),ISNUMBER(Y26)),1,0)</f>
        <v>0</v>
      </c>
      <c r="Z32" s="187">
        <f>IF(AND(Z26&gt;AB26,$AK8&gt;8,$AK7&gt;1,ISNUMBER(Z26),ISNUMBER(AB26)),1,0)</f>
        <v>0</v>
      </c>
      <c r="AA32" s="187"/>
      <c r="AB32" s="188">
        <f>IF(AND(AB26&gt;Z26,$AK8&gt;8,$AK7&gt;1,ISNUMBER(Z26),ISNUMBER(AB26)),1,0)</f>
        <v>1</v>
      </c>
      <c r="AC32" s="187">
        <f>IF(AND(AC26&gt;AE26,$AK8&gt;9,$AK7&gt;1,ISNUMBER(AC26),ISNUMBER(AE26)),1,0)</f>
        <v>1</v>
      </c>
      <c r="AD32" s="187"/>
      <c r="AE32" s="188">
        <f>IF(AND(AE26&gt;AC26,$AK8&gt;9,$AK7&gt;1,ISNUMBER(AC26),ISNUMBER(AE26)),1,0)</f>
        <v>0</v>
      </c>
      <c r="AW32" s="274"/>
    </row>
    <row r="33" spans="1:49" s="186" customFormat="1" ht="12.75" hidden="1" customHeight="1" x14ac:dyDescent="0.2">
      <c r="A33" s="186" t="s">
        <v>81</v>
      </c>
      <c r="B33" s="187">
        <f>IF(AND(B27&gt;D27,$AK8&gt;0,$AK7&gt;2,ISNUMBER(B27),ISNUMBER(D27)),1,0)</f>
        <v>0</v>
      </c>
      <c r="C33" s="187"/>
      <c r="D33" s="188">
        <f>IF(AND(D27&gt;B27,$AK8&gt;0,$AK7&gt;2,ISNUMBER(B27),ISNUMBER(D27)),1,0)</f>
        <v>0</v>
      </c>
      <c r="E33" s="187">
        <f>IF(AND(E27&gt;G27,$AK8&gt;1,$AK7&gt;2,ISNUMBER(E27),ISNUMBER(G27)),1,0)</f>
        <v>0</v>
      </c>
      <c r="F33" s="187"/>
      <c r="G33" s="188">
        <f>IF(AND(G27&gt;E27,$AK8&gt;1,$AK7&gt;2,ISNUMBER(E27),ISNUMBER(G27)),1,0)</f>
        <v>0</v>
      </c>
      <c r="H33" s="187">
        <f>IF(AND(H27&gt;J27,$AK8&gt;2,$AK7&gt;2,ISNUMBER(H27),ISNUMBER(J27)),1,0)</f>
        <v>0</v>
      </c>
      <c r="I33" s="187"/>
      <c r="J33" s="188">
        <f>IF(AND(J27&gt;H27,$AK8&gt;2,$AK7&gt;2,ISNUMBER(H27),ISNUMBER(J27)),1,0)</f>
        <v>0</v>
      </c>
      <c r="K33" s="187">
        <f>IF(AND(K27&gt;M27,$AK8&gt;3,$AK7&gt;2,ISNUMBER(K27),ISNUMBER(M27)),1,0)</f>
        <v>0</v>
      </c>
      <c r="L33" s="187"/>
      <c r="M33" s="188">
        <f>IF(AND(M27&gt;K27,$AK8&gt;3,$AK7&gt;2,ISNUMBER(K27),ISNUMBER(M27)),1,0)</f>
        <v>0</v>
      </c>
      <c r="N33" s="187">
        <f>IF(AND(N27&gt;P27,$AK8&gt;4,$AK7&gt;2,ISNUMBER(N27),ISNUMBER(P27)),1,0)</f>
        <v>0</v>
      </c>
      <c r="O33" s="187"/>
      <c r="P33" s="188">
        <f>IF(AND(P27&gt;N27,$AK8&gt;4,$AK7&gt;2,ISNUMBER(N27),ISNUMBER(P27)),1,0)</f>
        <v>0</v>
      </c>
      <c r="Q33" s="187">
        <f>IF(AND(Q27&gt;S27,$AK8&gt;5,$AK7&gt;2,ISNUMBER(Q27),ISNUMBER(S27)),1,0)</f>
        <v>0</v>
      </c>
      <c r="R33" s="187"/>
      <c r="S33" s="188">
        <f>IF(AND(S27&gt;Q27,$AK8&gt;5,$AK7&gt;2,ISNUMBER(Q27),ISNUMBER(S27)),1,0)</f>
        <v>0</v>
      </c>
      <c r="T33" s="187">
        <f>IF(AND(T27&gt;V27,$AK8&gt;6,$AK7&gt;2,ISNUMBER(T27),ISNUMBER(V27)),1,0)</f>
        <v>0</v>
      </c>
      <c r="U33" s="187"/>
      <c r="V33" s="188">
        <f>IF(AND(V27&gt;T27,$AK8&gt;6,$AK7&gt;2,ISNUMBER(T27),ISNUMBER(V27)),1,0)</f>
        <v>0</v>
      </c>
      <c r="W33" s="187">
        <f>IF(AND(W27&gt;Y27,$AK8&gt;7,$AK7&gt;2,ISNUMBER(W27),ISNUMBER(Y27)),1,0)</f>
        <v>0</v>
      </c>
      <c r="X33" s="187"/>
      <c r="Y33" s="188">
        <f>IF(AND(Y27&gt;W27,$AK8&gt;7,$AK7&gt;2,ISNUMBER(W27),ISNUMBER(Y27)),1,0)</f>
        <v>0</v>
      </c>
      <c r="Z33" s="187">
        <f>IF(AND(Z27&gt;AB27,$AK8&gt;8,$AK7&gt;2,ISNUMBER(Z27),ISNUMBER(AB27)),1,0)</f>
        <v>0</v>
      </c>
      <c r="AA33" s="187"/>
      <c r="AB33" s="188">
        <f>IF(AND(AB27&gt;Z27,$AK8&gt;8,$AK7&gt;2,ISNUMBER(Z27),ISNUMBER(AB27)),1,0)</f>
        <v>0</v>
      </c>
      <c r="AC33" s="187">
        <f>IF(AND(AC27&gt;AE27,$AK8&gt;9,$AK7&gt;2,ISNUMBER(AC27),ISNUMBER(AE27)),1,0)</f>
        <v>0</v>
      </c>
      <c r="AD33" s="187"/>
      <c r="AE33" s="188">
        <f>IF(AND(AE27&gt;AC27,$AK8&gt;9,$AK7&gt;2,ISNUMBER(AC27),ISNUMBER(AE27)),1,0)</f>
        <v>0</v>
      </c>
      <c r="AW33" s="274"/>
    </row>
    <row r="34" spans="1:49" s="186" customFormat="1" ht="12.75" hidden="1" customHeight="1" x14ac:dyDescent="0.2">
      <c r="A34" s="186" t="s">
        <v>82</v>
      </c>
      <c r="B34" s="187">
        <f>IF(AND(B28&gt;D28,$AK8&gt;0,$AK7&gt;3,ISNUMBER(B28),ISNUMBER(D28)),1,0)</f>
        <v>0</v>
      </c>
      <c r="C34" s="187"/>
      <c r="D34" s="188">
        <f>IF(AND(D28&gt;B28,$AK8&gt;0,$AK7&gt;3,ISNUMBER(B28),ISNUMBER(D28)),1,0)</f>
        <v>0</v>
      </c>
      <c r="E34" s="187">
        <f>IF(AND(E28&gt;G28,$AK8&gt;1,$AK7&gt;3,ISNUMBER(E28),ISNUMBER(G28)),1,0)</f>
        <v>0</v>
      </c>
      <c r="F34" s="187"/>
      <c r="G34" s="188">
        <f>IF(AND(G28&gt;E28,$AK8&gt;1,$AK7&gt;3,ISNUMBER(E28),ISNUMBER(G28)),1,0)</f>
        <v>0</v>
      </c>
      <c r="H34" s="187">
        <f>IF(AND(H28&gt;J28,$AK8&gt;2,$AK7&gt;3,ISNUMBER(H28),ISNUMBER(J28)),1,0)</f>
        <v>0</v>
      </c>
      <c r="I34" s="187"/>
      <c r="J34" s="188">
        <f>IF(AND(J28&gt;H28,$AK8&gt;2,$AK7&gt;3,ISNUMBER(H28),ISNUMBER(J28)),1,0)</f>
        <v>0</v>
      </c>
      <c r="K34" s="187">
        <f>IF(AND(K28&gt;M28,$AK8&gt;3,$AK7&gt;3,ISNUMBER(K28),ISNUMBER(M28)),1,0)</f>
        <v>0</v>
      </c>
      <c r="L34" s="187"/>
      <c r="M34" s="188">
        <f>IF(AND(M28&gt;K28,$AK8&gt;3,$AK7&gt;3,ISNUMBER(K28),ISNUMBER(M28)),1,0)</f>
        <v>0</v>
      </c>
      <c r="N34" s="187">
        <f>IF(AND(N28&gt;P28,$AK8&gt;4,$AK7&gt;3,ISNUMBER(N28),ISNUMBER(P28)),1,0)</f>
        <v>0</v>
      </c>
      <c r="O34" s="187"/>
      <c r="P34" s="188">
        <f>IF(AND(P28&gt;N28,$AK8&gt;4,$AK7&gt;3,ISNUMBER(N28),ISNUMBER(P28)),1,0)</f>
        <v>0</v>
      </c>
      <c r="Q34" s="187">
        <f>IF(AND(Q28&gt;S28,$AK8&gt;5,$AK7&gt;3,ISNUMBER(Q28),ISNUMBER(S28)),1,0)</f>
        <v>0</v>
      </c>
      <c r="R34" s="187"/>
      <c r="S34" s="188">
        <f>IF(AND(S28&gt;Q28,$AK8&gt;5,$AK7&gt;3,ISNUMBER(Q28),ISNUMBER(S28)),1,0)</f>
        <v>0</v>
      </c>
      <c r="T34" s="187">
        <f>IF(AND(T28&gt;V28,$AK8&gt;6,$AK7&gt;3,ISNUMBER(T28),ISNUMBER(V28)),1,0)</f>
        <v>0</v>
      </c>
      <c r="U34" s="187"/>
      <c r="V34" s="188">
        <f>IF(AND(V28&gt;T28,$AK8&gt;6,$AK7&gt;3,ISNUMBER(T28),ISNUMBER(V28)),1,0)</f>
        <v>0</v>
      </c>
      <c r="W34" s="187">
        <f>IF(AND(W28&gt;Y28,$AK8&gt;7,$AK7&gt;3,ISNUMBER(W28),ISNUMBER(Y28)),1,0)</f>
        <v>0</v>
      </c>
      <c r="X34" s="187"/>
      <c r="Y34" s="188">
        <f>IF(AND(Y28&gt;W28,$AK8&gt;7,$AK7&gt;3,ISNUMBER(W28),ISNUMBER(Y28)),1,0)</f>
        <v>0</v>
      </c>
      <c r="Z34" s="187">
        <f>IF(AND(Z28&gt;AB28,$AK8&gt;8,$AK7&gt;3,ISNUMBER(Z28),ISNUMBER(AB28)),1,0)</f>
        <v>0</v>
      </c>
      <c r="AA34" s="187"/>
      <c r="AB34" s="188">
        <f>IF(AND(AB28&gt;Z28,$AK8&gt;8,$AK7&gt;3,ISNUMBER(Z28),ISNUMBER(AB28)),1,0)</f>
        <v>0</v>
      </c>
      <c r="AC34" s="187">
        <f>IF(AND(AC28&gt;AE28,$AK8&gt;9,$AK7&gt;3,ISNUMBER(AC28),ISNUMBER(AE28)),1,0)</f>
        <v>0</v>
      </c>
      <c r="AD34" s="187"/>
      <c r="AE34" s="188">
        <f>IF(AND(AE28&gt;AC28,$AK8&gt;9,$AK7&gt;3,ISNUMBER(AC28),ISNUMBER(AE28)),1,0)</f>
        <v>0</v>
      </c>
      <c r="AW34" s="274"/>
    </row>
    <row r="35" spans="1:49" s="186" customFormat="1" ht="12.75" hidden="1" customHeight="1" x14ac:dyDescent="0.2">
      <c r="A35" s="186" t="s">
        <v>83</v>
      </c>
      <c r="B35" s="187">
        <f>IF(AND(B29&gt;D29,$AK8&gt;0,$AK7&gt;4,ISNUMBER(B29),ISNUMBER(D29)),1,0)</f>
        <v>0</v>
      </c>
      <c r="C35" s="187"/>
      <c r="D35" s="188">
        <f>IF(AND(D29&gt;B29,$AK8&gt;0,$AK7&gt;4,ISNUMBER(B29),ISNUMBER(D29)),1,0)</f>
        <v>0</v>
      </c>
      <c r="E35" s="187">
        <f>IF(AND(E29&gt;G29,$AK8&gt;1,$AK7&gt;4,ISNUMBER(E29),ISNUMBER(G29)),1,0)</f>
        <v>0</v>
      </c>
      <c r="F35" s="187"/>
      <c r="G35" s="188">
        <f>IF(AND(G29&gt;E29,$AK8&gt;1,$AK7&gt;4,ISNUMBER(E29),ISNUMBER(G29)),1,0)</f>
        <v>0</v>
      </c>
      <c r="H35" s="187">
        <f>IF(AND(H29&gt;J29,$AK8&gt;2,$AK7&gt;4,ISNUMBER(H29),ISNUMBER(J29)),1,0)</f>
        <v>0</v>
      </c>
      <c r="I35" s="187"/>
      <c r="J35" s="188">
        <f>IF(AND(J29&gt;H29,$AK8&gt;2,$AK7&gt;4,ISNUMBER(H29),ISNUMBER(J29)),1,0)</f>
        <v>0</v>
      </c>
      <c r="K35" s="187">
        <f>IF(AND(K29&gt;M29,$AK8&gt;3,$AK7&gt;4,ISNUMBER(K29),ISNUMBER(M29)),1,0)</f>
        <v>0</v>
      </c>
      <c r="L35" s="187"/>
      <c r="M35" s="188">
        <f>IF(AND(M29&gt;K29,$AK8&gt;3,$AK7&gt;4,ISNUMBER(K29),ISNUMBER(M29)),1,0)</f>
        <v>0</v>
      </c>
      <c r="N35" s="187">
        <f>IF(AND(N29&gt;P29,$AK8&gt;4,$AK7&gt;4,ISNUMBER(N29),ISNUMBER(P29)),1,0)</f>
        <v>0</v>
      </c>
      <c r="O35" s="187"/>
      <c r="P35" s="188">
        <f>IF(AND(P29&gt;N29,$AK8&gt;4,$AK7&gt;4,ISNUMBER(N29),ISNUMBER(P29)),1,0)</f>
        <v>0</v>
      </c>
      <c r="Q35" s="187">
        <f>IF(AND(Q29&gt;S29,$AK8&gt;5,$AK7&gt;4,ISNUMBER(Q29),ISNUMBER(S29)),1,0)</f>
        <v>0</v>
      </c>
      <c r="R35" s="187"/>
      <c r="S35" s="188">
        <f>IF(AND(S29&gt;Q29,$AK8&gt;5,$AK7&gt;4,ISNUMBER(Q29),ISNUMBER(S29)),1,0)</f>
        <v>0</v>
      </c>
      <c r="T35" s="187">
        <f>IF(AND(T29&gt;V29,$AK8&gt;6,$AK7&gt;4,ISNUMBER(T29),ISNUMBER(V29)),1,0)</f>
        <v>0</v>
      </c>
      <c r="U35" s="187"/>
      <c r="V35" s="188">
        <f>IF(AND(V29&gt;T29,$AK8&gt;6,$AK7&gt;4,ISNUMBER(T29),ISNUMBER(V29)),1,0)</f>
        <v>0</v>
      </c>
      <c r="W35" s="187">
        <f>IF(AND(W29&gt;Y29,$AK8&gt;7,$AK7&gt;4,ISNUMBER(W29),ISNUMBER(Y29)),1,0)</f>
        <v>0</v>
      </c>
      <c r="X35" s="187"/>
      <c r="Y35" s="188">
        <f>IF(AND(Y29&gt;W29,$AK8&gt;7,$AK7&gt;4,ISNUMBER(W29),ISNUMBER(Y29)),1,0)</f>
        <v>0</v>
      </c>
      <c r="Z35" s="187">
        <f>IF(AND(Z29&gt;AB29,$AK8&gt;8,$AK7&gt;4,ISNUMBER(Z29),ISNUMBER(AB29)),1,0)</f>
        <v>0</v>
      </c>
      <c r="AA35" s="187"/>
      <c r="AB35" s="188">
        <f>IF(AND(AB29&gt;Z29,$AK8&gt;8,$AK7&gt;4,ISNUMBER(Z29),ISNUMBER(AB29)),1,0)</f>
        <v>0</v>
      </c>
      <c r="AC35" s="187">
        <f>IF(AND(AC29&gt;AE29,$AK8&gt;9,$AK7&gt;4,ISNUMBER(AC29),ISNUMBER(AE29)),1,0)</f>
        <v>0</v>
      </c>
      <c r="AD35" s="187"/>
      <c r="AE35" s="188">
        <f>IF(AND(AE29&gt;AC29,$AK8&gt;9,$AK7&gt;4,ISNUMBER(AC29),ISNUMBER(AE29)),1,0)</f>
        <v>0</v>
      </c>
      <c r="AW35" s="274"/>
    </row>
    <row r="36" spans="1:49" s="186" customFormat="1" ht="38.25" hidden="1" customHeight="1" x14ac:dyDescent="0.2">
      <c r="A36" s="189" t="s">
        <v>84</v>
      </c>
      <c r="B36" s="186">
        <f>SUM(B31:B35)</f>
        <v>2</v>
      </c>
      <c r="D36" s="190">
        <f>SUM(D31:D35)</f>
        <v>0</v>
      </c>
      <c r="E36" s="186">
        <f>SUM(E31:E35)</f>
        <v>2</v>
      </c>
      <c r="G36" s="190">
        <f>SUM(G31:G35)</f>
        <v>0</v>
      </c>
      <c r="H36" s="186">
        <f>SUM(H31:H35)</f>
        <v>2</v>
      </c>
      <c r="J36" s="190">
        <f>SUM(J31:J35)</f>
        <v>0</v>
      </c>
      <c r="K36" s="186">
        <f>SUM(K31:K35)</f>
        <v>1</v>
      </c>
      <c r="M36" s="190">
        <f>SUM(M31:M35)</f>
        <v>1</v>
      </c>
      <c r="N36" s="186">
        <f>SUM(N31:N35)</f>
        <v>2</v>
      </c>
      <c r="P36" s="190">
        <f>SUM(P31:P35)</f>
        <v>0</v>
      </c>
      <c r="Q36" s="186">
        <f>SUM(Q31:Q35)</f>
        <v>2</v>
      </c>
      <c r="S36" s="190">
        <f>SUM(S31:S35)</f>
        <v>0</v>
      </c>
      <c r="T36" s="186">
        <f>SUM(T31:T35)</f>
        <v>0</v>
      </c>
      <c r="V36" s="190">
        <f>SUM(V31:V35)</f>
        <v>2</v>
      </c>
      <c r="W36" s="186">
        <f>SUM(W31:W35)</f>
        <v>2</v>
      </c>
      <c r="Y36" s="190">
        <f>SUM(Y31:Y35)</f>
        <v>0</v>
      </c>
      <c r="Z36" s="186">
        <f>SUM(Z31:Z35)</f>
        <v>1</v>
      </c>
      <c r="AB36" s="190">
        <f>SUM(AB31:AB35)</f>
        <v>1</v>
      </c>
      <c r="AC36" s="186">
        <f>SUM(AC31:AC35)</f>
        <v>2</v>
      </c>
      <c r="AE36" s="190">
        <f>SUM(AE31:AE35)</f>
        <v>0</v>
      </c>
      <c r="AW36" s="274"/>
    </row>
    <row r="37" spans="1:49" s="186" customFormat="1" ht="25.5" hidden="1" customHeight="1" x14ac:dyDescent="0.2">
      <c r="A37" s="189" t="s">
        <v>85</v>
      </c>
      <c r="B37" s="186">
        <f>IF(B36&gt;D36,IF(C71=AK7,1,IF(C71=AK7-1,1,0)),0)</f>
        <v>1</v>
      </c>
      <c r="C37" s="186">
        <f>B37+D37</f>
        <v>1</v>
      </c>
      <c r="D37" s="190">
        <f>IF(D36&gt;B36,IF(C71=AK7,1,IF(C71=AK7-1,1,0)),0)</f>
        <v>0</v>
      </c>
      <c r="E37" s="186">
        <f>IF(E36&gt;G36,IF(F71=AK7,1,IF(F71=AK7-1,1,0)),0)</f>
        <v>1</v>
      </c>
      <c r="F37" s="186">
        <f>E37+G37</f>
        <v>1</v>
      </c>
      <c r="G37" s="190">
        <f>IF(G36&gt;E36,IF(F71=AK7,1,IF(F71=AK7-1,1,0)),0)</f>
        <v>0</v>
      </c>
      <c r="H37" s="186">
        <f>IF(H36&gt;J36,IF(I71=AK7,1,IF(I71=AK7-1,1,0)),0)</f>
        <v>1</v>
      </c>
      <c r="I37" s="186">
        <f>H37+J37</f>
        <v>1</v>
      </c>
      <c r="J37" s="190">
        <f>IF(J36&gt;H36,IF(I71=AK7,1,IF(I71=AK7-1,1,0)),0)</f>
        <v>0</v>
      </c>
      <c r="K37" s="186">
        <f>IF(K36&gt;M36,IF(L71=AK7,1,IF(L71=AK7-1,1,0)),0)</f>
        <v>0</v>
      </c>
      <c r="L37" s="186">
        <f>K37+M37</f>
        <v>0</v>
      </c>
      <c r="M37" s="190">
        <f>IF(M36&gt;K36,IF(L71=AK7,1,IF(L71=AK7-1,1,0)),0)</f>
        <v>0</v>
      </c>
      <c r="N37" s="186">
        <f>IF(N36&gt;P36,IF(O71=AK7,1,IF(O71=AK7-1,1,0)),0)</f>
        <v>1</v>
      </c>
      <c r="O37" s="186">
        <f>N37+P37</f>
        <v>1</v>
      </c>
      <c r="P37" s="190">
        <f>IF(P36&gt;N36,IF(O71=AK7,1,IF(O71=AK7-1,1,0)),0)</f>
        <v>0</v>
      </c>
      <c r="Q37" s="186">
        <f>IF(Q36&gt;S36,IF(R71=AK7,1,IF(R71=AK7-1,1,0)),0)</f>
        <v>1</v>
      </c>
      <c r="R37" s="186">
        <f>Q37+S37</f>
        <v>1</v>
      </c>
      <c r="S37" s="190">
        <f>IF(S36&gt;Q36,IF(R71=AK7,1,IF(R71=AK7-1,1,0)),0)</f>
        <v>0</v>
      </c>
      <c r="T37" s="186">
        <f>IF(T36&gt;V36,IF(U71=AK7,1,IF(U71=AK7-1,1,0)),0)</f>
        <v>0</v>
      </c>
      <c r="U37" s="186">
        <f>T37+V37</f>
        <v>1</v>
      </c>
      <c r="V37" s="190">
        <f>IF(V36&gt;T36,IF(U71=AK7,1,IF(U71=AK7-1,1,0)),0)</f>
        <v>1</v>
      </c>
      <c r="W37" s="186">
        <f>IF(W36&gt;Y36,IF(X71=AK7,1,IF(X71=AK7-1,1,0)),0)</f>
        <v>1</v>
      </c>
      <c r="X37" s="186">
        <f>W37+Y37</f>
        <v>1</v>
      </c>
      <c r="Y37" s="190">
        <f>IF(Y36&gt;W36,IF(X71=AK7,1,IF(X71=AK7-1,1,0)),0)</f>
        <v>0</v>
      </c>
      <c r="Z37" s="186">
        <f>IF(Z36&gt;AB36,IF(AA71=AK7,1,IF(AA71=AK7-1,1,0)),0)</f>
        <v>0</v>
      </c>
      <c r="AA37" s="186">
        <f>Z37+AB37</f>
        <v>0</v>
      </c>
      <c r="AB37" s="190">
        <f>IF(AB36&gt;Z36,IF(AA71=AK7,1,IF(AA71=AK7-1,1,0)),0)</f>
        <v>0</v>
      </c>
      <c r="AC37" s="186">
        <f>IF(AC36&gt;AE36,IF(AD71=AK7,1,IF(AD71=AK7-1,1,0)),0)</f>
        <v>1</v>
      </c>
      <c r="AD37" s="186">
        <f>AC37+AE37</f>
        <v>1</v>
      </c>
      <c r="AE37" s="190">
        <f>IF(AE36&gt;AC36,IF(AD71=AK7,1,IF(AD71=AK7-1,1,0)),0)</f>
        <v>0</v>
      </c>
      <c r="AW37" s="274"/>
    </row>
    <row r="38" spans="1:49" s="186" customFormat="1" ht="25.5" hidden="1" customHeight="1" x14ac:dyDescent="0.2">
      <c r="A38" s="189"/>
      <c r="D38" s="190"/>
      <c r="G38" s="190"/>
      <c r="J38" s="190"/>
      <c r="M38" s="190"/>
      <c r="P38" s="190"/>
      <c r="S38" s="190"/>
      <c r="V38" s="190"/>
      <c r="Y38" s="190"/>
      <c r="AB38" s="190"/>
      <c r="AE38" s="190"/>
      <c r="AW38" s="274"/>
    </row>
    <row r="39" spans="1:49" s="186" customFormat="1" ht="12.75" hidden="1" customHeight="1" x14ac:dyDescent="0.2">
      <c r="A39" s="186" t="s">
        <v>86</v>
      </c>
      <c r="B39" s="186">
        <f>IF(B31=1,B25,0)</f>
        <v>25</v>
      </c>
      <c r="D39" s="190">
        <f t="shared" ref="D39:E43" si="2">IF(D31=1,D25,0)</f>
        <v>0</v>
      </c>
      <c r="E39" s="186">
        <f t="shared" si="2"/>
        <v>25</v>
      </c>
      <c r="G39" s="190">
        <f t="shared" ref="G39:H43" si="3">IF(G31=1,G25,0)</f>
        <v>0</v>
      </c>
      <c r="H39" s="186">
        <f t="shared" si="3"/>
        <v>25</v>
      </c>
      <c r="J39" s="190">
        <f t="shared" ref="J39:K43" si="4">IF(J31=1,J25,0)</f>
        <v>0</v>
      </c>
      <c r="K39" s="186">
        <f t="shared" si="4"/>
        <v>0</v>
      </c>
      <c r="M39" s="190">
        <f t="shared" ref="M39:N43" si="5">IF(M31=1,M25,0)</f>
        <v>26</v>
      </c>
      <c r="N39" s="186">
        <f t="shared" si="5"/>
        <v>25</v>
      </c>
      <c r="P39" s="190">
        <f t="shared" ref="P39:Q43" si="6">IF(P31=1,P25,0)</f>
        <v>0</v>
      </c>
      <c r="Q39" s="186">
        <f t="shared" si="6"/>
        <v>27</v>
      </c>
      <c r="S39" s="190">
        <f t="shared" ref="S39:T43" si="7">IF(S31=1,S25,0)</f>
        <v>0</v>
      </c>
      <c r="T39" s="186">
        <f t="shared" si="7"/>
        <v>0</v>
      </c>
      <c r="V39" s="190">
        <f t="shared" ref="V39:W43" si="8">IF(V31=1,V25,0)</f>
        <v>26</v>
      </c>
      <c r="W39" s="186">
        <f t="shared" si="8"/>
        <v>25</v>
      </c>
      <c r="Y39" s="190">
        <f t="shared" ref="Y39:Z43" si="9">IF(Y31=1,Y25,0)</f>
        <v>0</v>
      </c>
      <c r="Z39" s="186">
        <f t="shared" si="9"/>
        <v>25</v>
      </c>
      <c r="AB39" s="190">
        <f t="shared" ref="AB39:AC43" si="10">IF(AB31=1,AB25,0)</f>
        <v>0</v>
      </c>
      <c r="AC39" s="186">
        <f t="shared" si="10"/>
        <v>25</v>
      </c>
      <c r="AE39" s="190">
        <f>IF(AE31=1,AE25,0)</f>
        <v>0</v>
      </c>
      <c r="AW39" s="274"/>
    </row>
    <row r="40" spans="1:49" s="186" customFormat="1" ht="12.75" hidden="1" customHeight="1" x14ac:dyDescent="0.2">
      <c r="A40" s="186" t="s">
        <v>87</v>
      </c>
      <c r="B40" s="186">
        <f>IF(B32=1,B26,0)</f>
        <v>25</v>
      </c>
      <c r="D40" s="190">
        <f t="shared" si="2"/>
        <v>0</v>
      </c>
      <c r="E40" s="186">
        <f t="shared" si="2"/>
        <v>25</v>
      </c>
      <c r="G40" s="190">
        <f t="shared" si="3"/>
        <v>0</v>
      </c>
      <c r="H40" s="186">
        <f t="shared" si="3"/>
        <v>25</v>
      </c>
      <c r="J40" s="190">
        <f t="shared" si="4"/>
        <v>0</v>
      </c>
      <c r="K40" s="186">
        <f t="shared" si="4"/>
        <v>27</v>
      </c>
      <c r="M40" s="190">
        <f t="shared" si="5"/>
        <v>0</v>
      </c>
      <c r="N40" s="186">
        <f t="shared" si="5"/>
        <v>26</v>
      </c>
      <c r="P40" s="190">
        <f t="shared" si="6"/>
        <v>0</v>
      </c>
      <c r="Q40" s="186">
        <f t="shared" si="6"/>
        <v>25</v>
      </c>
      <c r="S40" s="190">
        <f t="shared" si="7"/>
        <v>0</v>
      </c>
      <c r="T40" s="186">
        <f t="shared" si="7"/>
        <v>0</v>
      </c>
      <c r="V40" s="190">
        <f t="shared" si="8"/>
        <v>25</v>
      </c>
      <c r="W40" s="186">
        <f t="shared" si="8"/>
        <v>25</v>
      </c>
      <c r="Y40" s="190">
        <f t="shared" si="9"/>
        <v>0</v>
      </c>
      <c r="Z40" s="186">
        <f t="shared" si="9"/>
        <v>0</v>
      </c>
      <c r="AB40" s="190">
        <f t="shared" si="10"/>
        <v>25</v>
      </c>
      <c r="AC40" s="186">
        <f t="shared" si="10"/>
        <v>25</v>
      </c>
      <c r="AE40" s="190">
        <f>IF(AE32=1,AE26,0)</f>
        <v>0</v>
      </c>
      <c r="AW40" s="274"/>
    </row>
    <row r="41" spans="1:49" s="186" customFormat="1" ht="12.75" hidden="1" customHeight="1" x14ac:dyDescent="0.2">
      <c r="A41" s="186" t="s">
        <v>88</v>
      </c>
      <c r="B41" s="186">
        <f>IF(B33=1,B27,0)</f>
        <v>0</v>
      </c>
      <c r="D41" s="190">
        <f t="shared" si="2"/>
        <v>0</v>
      </c>
      <c r="E41" s="186">
        <f t="shared" si="2"/>
        <v>0</v>
      </c>
      <c r="G41" s="190">
        <f t="shared" si="3"/>
        <v>0</v>
      </c>
      <c r="H41" s="186">
        <f t="shared" si="3"/>
        <v>0</v>
      </c>
      <c r="J41" s="190">
        <f t="shared" si="4"/>
        <v>0</v>
      </c>
      <c r="K41" s="186">
        <f t="shared" si="4"/>
        <v>0</v>
      </c>
      <c r="M41" s="190">
        <f t="shared" si="5"/>
        <v>0</v>
      </c>
      <c r="N41" s="186">
        <f t="shared" si="5"/>
        <v>0</v>
      </c>
      <c r="P41" s="190">
        <f t="shared" si="6"/>
        <v>0</v>
      </c>
      <c r="Q41" s="186">
        <f t="shared" si="6"/>
        <v>0</v>
      </c>
      <c r="S41" s="190">
        <f t="shared" si="7"/>
        <v>0</v>
      </c>
      <c r="T41" s="186">
        <f t="shared" si="7"/>
        <v>0</v>
      </c>
      <c r="V41" s="190">
        <f t="shared" si="8"/>
        <v>0</v>
      </c>
      <c r="W41" s="186">
        <f t="shared" si="8"/>
        <v>0</v>
      </c>
      <c r="Y41" s="190">
        <f t="shared" si="9"/>
        <v>0</v>
      </c>
      <c r="Z41" s="186">
        <f t="shared" si="9"/>
        <v>0</v>
      </c>
      <c r="AB41" s="190">
        <f t="shared" si="10"/>
        <v>0</v>
      </c>
      <c r="AC41" s="186">
        <f t="shared" si="10"/>
        <v>0</v>
      </c>
      <c r="AE41" s="190">
        <f>IF(AE33=1,AE27,0)</f>
        <v>0</v>
      </c>
      <c r="AW41" s="274"/>
    </row>
    <row r="42" spans="1:49" s="186" customFormat="1" ht="12.75" hidden="1" customHeight="1" x14ac:dyDescent="0.2">
      <c r="A42" s="186" t="s">
        <v>89</v>
      </c>
      <c r="B42" s="186">
        <f>IF(B34=1,B28,0)</f>
        <v>0</v>
      </c>
      <c r="D42" s="190">
        <f t="shared" si="2"/>
        <v>0</v>
      </c>
      <c r="E42" s="186">
        <f t="shared" si="2"/>
        <v>0</v>
      </c>
      <c r="G42" s="190">
        <f t="shared" si="3"/>
        <v>0</v>
      </c>
      <c r="H42" s="186">
        <f t="shared" si="3"/>
        <v>0</v>
      </c>
      <c r="J42" s="190">
        <f t="shared" si="4"/>
        <v>0</v>
      </c>
      <c r="K42" s="186">
        <f t="shared" si="4"/>
        <v>0</v>
      </c>
      <c r="M42" s="190">
        <f t="shared" si="5"/>
        <v>0</v>
      </c>
      <c r="N42" s="186">
        <f t="shared" si="5"/>
        <v>0</v>
      </c>
      <c r="P42" s="190">
        <f t="shared" si="6"/>
        <v>0</v>
      </c>
      <c r="Q42" s="186">
        <f t="shared" si="6"/>
        <v>0</v>
      </c>
      <c r="S42" s="190">
        <f t="shared" si="7"/>
        <v>0</v>
      </c>
      <c r="T42" s="186">
        <f t="shared" si="7"/>
        <v>0</v>
      </c>
      <c r="V42" s="190">
        <f t="shared" si="8"/>
        <v>0</v>
      </c>
      <c r="W42" s="186">
        <f t="shared" si="8"/>
        <v>0</v>
      </c>
      <c r="Y42" s="190">
        <f t="shared" si="9"/>
        <v>0</v>
      </c>
      <c r="Z42" s="186">
        <f t="shared" si="9"/>
        <v>0</v>
      </c>
      <c r="AB42" s="190">
        <f t="shared" si="10"/>
        <v>0</v>
      </c>
      <c r="AC42" s="186">
        <f t="shared" si="10"/>
        <v>0</v>
      </c>
      <c r="AE42" s="190">
        <f>IF(AE34=1,AE28,0)</f>
        <v>0</v>
      </c>
      <c r="AW42" s="274"/>
    </row>
    <row r="43" spans="1:49" s="186" customFormat="1" ht="12.75" hidden="1" customHeight="1" x14ac:dyDescent="0.2">
      <c r="A43" s="186" t="s">
        <v>90</v>
      </c>
      <c r="B43" s="186">
        <f>IF(B35=1,B29,0)</f>
        <v>0</v>
      </c>
      <c r="D43" s="190">
        <f t="shared" si="2"/>
        <v>0</v>
      </c>
      <c r="E43" s="186">
        <f t="shared" si="2"/>
        <v>0</v>
      </c>
      <c r="G43" s="190">
        <f t="shared" si="3"/>
        <v>0</v>
      </c>
      <c r="H43" s="186">
        <f t="shared" si="3"/>
        <v>0</v>
      </c>
      <c r="J43" s="190">
        <f t="shared" si="4"/>
        <v>0</v>
      </c>
      <c r="K43" s="186">
        <f t="shared" si="4"/>
        <v>0</v>
      </c>
      <c r="M43" s="190">
        <f t="shared" si="5"/>
        <v>0</v>
      </c>
      <c r="N43" s="186">
        <f t="shared" si="5"/>
        <v>0</v>
      </c>
      <c r="P43" s="190">
        <f t="shared" si="6"/>
        <v>0</v>
      </c>
      <c r="Q43" s="186">
        <f t="shared" si="6"/>
        <v>0</v>
      </c>
      <c r="S43" s="190">
        <f t="shared" si="7"/>
        <v>0</v>
      </c>
      <c r="T43" s="186">
        <f t="shared" si="7"/>
        <v>0</v>
      </c>
      <c r="V43" s="190">
        <f t="shared" si="8"/>
        <v>0</v>
      </c>
      <c r="W43" s="186">
        <f t="shared" si="8"/>
        <v>0</v>
      </c>
      <c r="Y43" s="190">
        <f t="shared" si="9"/>
        <v>0</v>
      </c>
      <c r="Z43" s="186">
        <f t="shared" si="9"/>
        <v>0</v>
      </c>
      <c r="AB43" s="190">
        <f t="shared" si="10"/>
        <v>0</v>
      </c>
      <c r="AC43" s="186">
        <f t="shared" si="10"/>
        <v>0</v>
      </c>
      <c r="AE43" s="190">
        <f>IF(AE35=1,AE29,0)</f>
        <v>0</v>
      </c>
      <c r="AW43" s="274"/>
    </row>
    <row r="44" spans="1:49" s="186" customFormat="1" ht="38.25" hidden="1" customHeight="1" x14ac:dyDescent="0.2">
      <c r="A44" s="189" t="s">
        <v>91</v>
      </c>
      <c r="B44" s="186">
        <f>SUM(B39:D43)</f>
        <v>50</v>
      </c>
      <c r="D44" s="190"/>
      <c r="E44" s="186">
        <f>SUM(E39:G43)</f>
        <v>50</v>
      </c>
      <c r="G44" s="190"/>
      <c r="H44" s="186">
        <f>SUM(H39:J43)</f>
        <v>50</v>
      </c>
      <c r="J44" s="190"/>
      <c r="K44" s="186">
        <f>SUM(K39:M43)</f>
        <v>53</v>
      </c>
      <c r="M44" s="190"/>
      <c r="N44" s="186">
        <f>SUM(N39:P43)</f>
        <v>51</v>
      </c>
      <c r="P44" s="190"/>
      <c r="Q44" s="186">
        <f>SUM(Q39:S43)</f>
        <v>52</v>
      </c>
      <c r="S44" s="190"/>
      <c r="T44" s="186">
        <f>SUM(T39:V43)</f>
        <v>51</v>
      </c>
      <c r="V44" s="190"/>
      <c r="W44" s="186">
        <f>SUM(W39:Y43)</f>
        <v>50</v>
      </c>
      <c r="Y44" s="190"/>
      <c r="Z44" s="186">
        <f>SUM(Z39:AB43)</f>
        <v>50</v>
      </c>
      <c r="AB44" s="190"/>
      <c r="AC44" s="186">
        <f>SUM(AC39:AE43)</f>
        <v>50</v>
      </c>
      <c r="AE44" s="190"/>
      <c r="AW44" s="274"/>
    </row>
    <row r="45" spans="1:49" s="186" customFormat="1" ht="38.25" hidden="1" customHeight="1" x14ac:dyDescent="0.2">
      <c r="A45" s="186" t="s">
        <v>92</v>
      </c>
      <c r="D45" s="190"/>
      <c r="G45" s="190"/>
      <c r="J45" s="190"/>
      <c r="M45" s="190"/>
      <c r="P45" s="190"/>
      <c r="S45" s="190"/>
      <c r="V45" s="190"/>
      <c r="Y45" s="190"/>
      <c r="AB45" s="190"/>
      <c r="AE45" s="190"/>
      <c r="AF45" s="189" t="s">
        <v>93</v>
      </c>
      <c r="AG45" s="186" t="s">
        <v>94</v>
      </c>
      <c r="AW45" s="274"/>
    </row>
    <row r="46" spans="1:49" s="186" customFormat="1" ht="12.75" hidden="1" customHeight="1" x14ac:dyDescent="0.2">
      <c r="A46" s="186" t="s">
        <v>95</v>
      </c>
      <c r="B46" s="186">
        <f>IF(B24=1,IF(B37=1,1,0),0)</f>
        <v>0</v>
      </c>
      <c r="D46" s="190">
        <f>IF(D24=1,IF(D37=1,1,0),0)</f>
        <v>0</v>
      </c>
      <c r="E46" s="186">
        <f>IF(E24=1,IF(E37=1,1,0),0)</f>
        <v>1</v>
      </c>
      <c r="G46" s="190">
        <f>IF(G24=1,IF(G37=1,1,0),0)</f>
        <v>0</v>
      </c>
      <c r="H46" s="186">
        <f>IF(H24=1,IF(H37=1,1,0),0)</f>
        <v>0</v>
      </c>
      <c r="J46" s="190">
        <f>IF(J24=1,IF(J37=1,1,0),0)</f>
        <v>0</v>
      </c>
      <c r="K46" s="186">
        <f>IF(K24=1,IF(K37=1,1,0),0)</f>
        <v>0</v>
      </c>
      <c r="M46" s="190">
        <f>IF(M24=1,IF(M37=1,1,0),0)</f>
        <v>0</v>
      </c>
      <c r="N46" s="186">
        <f>IF(N24=1,IF(N37=1,1,0),0)</f>
        <v>1</v>
      </c>
      <c r="P46" s="190">
        <f>IF(P24=1,IF(P37=1,1,0),0)</f>
        <v>0</v>
      </c>
      <c r="Q46" s="186">
        <f>IF(Q24=1,IF(Q37=1,1,0),0)</f>
        <v>0</v>
      </c>
      <c r="S46" s="190">
        <f>IF(S24=1,IF(S37=1,1,0),0)</f>
        <v>0</v>
      </c>
      <c r="T46" s="186">
        <f>IF(T24=1,IF(T37=1,1,0),0)</f>
        <v>0</v>
      </c>
      <c r="V46" s="190">
        <f>IF(V24=1,IF(V37=1,1,0),0)</f>
        <v>0</v>
      </c>
      <c r="W46" s="186">
        <f>IF(W24=1,IF(W37=1,1,0),0)</f>
        <v>1</v>
      </c>
      <c r="Y46" s="190">
        <f>IF(Y24=1,IF(Y37=1,1,0),0)</f>
        <v>0</v>
      </c>
      <c r="Z46" s="186">
        <f>IF(Z24=1,IF(Z37=1,1,0),0)</f>
        <v>0</v>
      </c>
      <c r="AB46" s="190">
        <f>IF(AB24=1,IF(AB37=1,1,0),0)</f>
        <v>0</v>
      </c>
      <c r="AC46" s="186">
        <f>IF(AC24=1,IF(AC37=1,1,0),0)</f>
        <v>1</v>
      </c>
      <c r="AE46" s="190">
        <f>IF(AE24=1,IF(AE37=1,1,0),0)</f>
        <v>0</v>
      </c>
      <c r="AF46" s="186">
        <f>SUM(B46:AE46)</f>
        <v>4</v>
      </c>
      <c r="AG46" s="186">
        <f>AF52-AF46</f>
        <v>0</v>
      </c>
      <c r="AW46" s="274"/>
    </row>
    <row r="47" spans="1:49" s="186" customFormat="1" ht="12.75" hidden="1" customHeight="1" x14ac:dyDescent="0.2">
      <c r="A47" s="186" t="s">
        <v>96</v>
      </c>
      <c r="B47" s="186">
        <f>IF(B24=2,IF(B37=1,1,0),0)</f>
        <v>1</v>
      </c>
      <c r="D47" s="190">
        <f>IF(D24=2,IF(D37=1,1,0),0)</f>
        <v>0</v>
      </c>
      <c r="E47" s="186">
        <f>IF(E24=2,IF(E37=1,1,0),0)</f>
        <v>0</v>
      </c>
      <c r="G47" s="190">
        <f>IF(G24=2,IF(G37=1,1,0),0)</f>
        <v>0</v>
      </c>
      <c r="H47" s="186">
        <f>IF(H24=2,IF(H37=1,1,0),0)</f>
        <v>0</v>
      </c>
      <c r="J47" s="190">
        <f>IF(J24=2,IF(J37=1,1,0),0)</f>
        <v>0</v>
      </c>
      <c r="K47" s="186">
        <f>IF(K24=2,IF(K37=1,1,0),0)</f>
        <v>0</v>
      </c>
      <c r="M47" s="190">
        <f>IF(M24=2,IF(M37=1,1,0),0)</f>
        <v>0</v>
      </c>
      <c r="N47" s="186">
        <f>IF(N24=2,IF(N37=1,1,0),0)</f>
        <v>0</v>
      </c>
      <c r="P47" s="190">
        <f>IF(P24=2,IF(P37=1,1,0),0)</f>
        <v>0</v>
      </c>
      <c r="Q47" s="186">
        <f>IF(Q24=2,IF(Q37=1,1,0),0)</f>
        <v>0</v>
      </c>
      <c r="S47" s="190">
        <f>IF(S24=2,IF(S37=1,1,0),0)</f>
        <v>0</v>
      </c>
      <c r="T47" s="186">
        <f>IF(T24=2,IF(T37=1,1,0),0)</f>
        <v>0</v>
      </c>
      <c r="V47" s="190">
        <f>IF(V24=2,IF(V37=1,1,0),0)</f>
        <v>0</v>
      </c>
      <c r="W47" s="186">
        <f>IF(W24=2,IF(W37=1,1,0),0)</f>
        <v>0</v>
      </c>
      <c r="Y47" s="190">
        <f>IF(Y24=2,IF(Y37=1,1,0),0)</f>
        <v>0</v>
      </c>
      <c r="Z47" s="186">
        <f>IF(Z24=2,IF(Z37=1,1,0),0)</f>
        <v>0</v>
      </c>
      <c r="AB47" s="190">
        <f>IF(AB24=2,IF(AB37=1,1,0),0)</f>
        <v>0</v>
      </c>
      <c r="AC47" s="186">
        <f>IF(AC24=2,IF(AC37=1,1,0),0)</f>
        <v>0</v>
      </c>
      <c r="AE47" s="190">
        <f>IF(AE24=2,IF(AE37=1,1,0),0)</f>
        <v>0</v>
      </c>
      <c r="AF47" s="186">
        <f>SUM(B47:AE47)</f>
        <v>1</v>
      </c>
      <c r="AG47" s="186">
        <f>AF53-AF47</f>
        <v>2</v>
      </c>
      <c r="AW47" s="274"/>
    </row>
    <row r="48" spans="1:49" s="186" customFormat="1" ht="12.75" hidden="1" customHeight="1" x14ac:dyDescent="0.2">
      <c r="A48" s="186" t="s">
        <v>97</v>
      </c>
      <c r="B48" s="186">
        <f>IF(B24=3,IF(B37=1,1,0),0)</f>
        <v>0</v>
      </c>
      <c r="D48" s="190">
        <f>IF(D24=3,IF(D37=1,1,0),0)</f>
        <v>0</v>
      </c>
      <c r="E48" s="186">
        <f>IF(E24=3,IF(E37=1,1,0),0)</f>
        <v>0</v>
      </c>
      <c r="G48" s="190">
        <f>IF(G24=3,IF(G37=1,1,0),0)</f>
        <v>0</v>
      </c>
      <c r="H48" s="186">
        <f>IF(H24=3,IF(H37=1,1,0),0)</f>
        <v>1</v>
      </c>
      <c r="J48" s="190">
        <f>IF(J24=3,IF(J37=1,1,0),0)</f>
        <v>0</v>
      </c>
      <c r="K48" s="186">
        <f>IF(K24=3,IF(K37=1,1,0),0)</f>
        <v>0</v>
      </c>
      <c r="M48" s="190">
        <f>IF(M24=3,IF(M37=1,1,0),0)</f>
        <v>0</v>
      </c>
      <c r="N48" s="186">
        <f>IF(N24=3,IF(N37=1,1,0),0)</f>
        <v>0</v>
      </c>
      <c r="P48" s="190">
        <f>IF(P24=3,IF(P37=1,1,0),0)</f>
        <v>0</v>
      </c>
      <c r="Q48" s="186">
        <f>IF(Q24=3,IF(Q37=1,1,0),0)</f>
        <v>0</v>
      </c>
      <c r="S48" s="190">
        <f>IF(S24=3,IF(S37=1,1,0),0)</f>
        <v>0</v>
      </c>
      <c r="T48" s="186">
        <f>IF(T24=3,IF(T37=1,1,0),0)</f>
        <v>0</v>
      </c>
      <c r="V48" s="190">
        <f>IF(V24=3,IF(V37=1,1,0),0)</f>
        <v>1</v>
      </c>
      <c r="W48" s="186">
        <f>IF(W24=3,IF(W37=1,1,0),0)</f>
        <v>0</v>
      </c>
      <c r="Y48" s="190">
        <f>IF(Y24=3,IF(Y37=1,1,0),0)</f>
        <v>0</v>
      </c>
      <c r="Z48" s="186">
        <f>IF(Z24=3,IF(Z37=1,1,0),0)</f>
        <v>0</v>
      </c>
      <c r="AB48" s="190">
        <f>IF(AB24=3,IF(AB37=1,1,0),0)</f>
        <v>0</v>
      </c>
      <c r="AC48" s="186">
        <f>IF(AC24=3,IF(AC37=1,1,0),0)</f>
        <v>0</v>
      </c>
      <c r="AE48" s="190">
        <f>IF(AE24=3,IF(AE37=1,1,0),0)</f>
        <v>0</v>
      </c>
      <c r="AF48" s="186">
        <f>SUM(B48:AE48)</f>
        <v>2</v>
      </c>
      <c r="AG48" s="186">
        <f>AF54-AF48</f>
        <v>1</v>
      </c>
      <c r="AW48" s="274"/>
    </row>
    <row r="49" spans="1:49" s="186" customFormat="1" ht="12.75" hidden="1" customHeight="1" x14ac:dyDescent="0.2">
      <c r="A49" s="186" t="s">
        <v>98</v>
      </c>
      <c r="B49" s="186">
        <f>IF(B24=4,IF(B37=1,1,0),0)</f>
        <v>0</v>
      </c>
      <c r="D49" s="190">
        <f>IF(D24=4,IF(D37=1,1,0),0)</f>
        <v>0</v>
      </c>
      <c r="E49" s="186">
        <f>IF(E24=4,IF(E37=1,1,0),0)</f>
        <v>0</v>
      </c>
      <c r="G49" s="190">
        <f>IF(G24=4,IF(G37=1,1,0),0)</f>
        <v>0</v>
      </c>
      <c r="H49" s="186">
        <f>IF(H24=4,IF(H37=1,1,0),0)</f>
        <v>0</v>
      </c>
      <c r="J49" s="190">
        <f>IF(J24=4,IF(J37=1,1,0),0)</f>
        <v>0</v>
      </c>
      <c r="K49" s="186">
        <f>IF(K24=4,IF(K37=1,1,0),0)</f>
        <v>0</v>
      </c>
      <c r="M49" s="190">
        <f>IF(M24=4,IF(M37=1,1,0),0)</f>
        <v>0</v>
      </c>
      <c r="N49" s="186">
        <f>IF(N24=4,IF(N37=1,1,0),0)</f>
        <v>0</v>
      </c>
      <c r="P49" s="190">
        <f>IF(P24=4,IF(P37=1,1,0),0)</f>
        <v>0</v>
      </c>
      <c r="Q49" s="186">
        <f>IF(Q24=4,IF(Q37=1,1,0),0)</f>
        <v>1</v>
      </c>
      <c r="S49" s="190">
        <f>IF(S24=4,IF(S37=1,1,0),0)</f>
        <v>0</v>
      </c>
      <c r="T49" s="186">
        <f>IF(T24=4,IF(T37=1,1,0),0)</f>
        <v>0</v>
      </c>
      <c r="V49" s="190">
        <f>IF(V24=4,IF(V37=1,1,0),0)</f>
        <v>0</v>
      </c>
      <c r="W49" s="186">
        <f>IF(W24=4,IF(W37=1,1,0),0)</f>
        <v>0</v>
      </c>
      <c r="Y49" s="190">
        <f>IF(Y24=4,IF(Y37=1,1,0),0)</f>
        <v>0</v>
      </c>
      <c r="Z49" s="186">
        <f>IF(Z24=4,IF(Z37=1,1,0),0)</f>
        <v>0</v>
      </c>
      <c r="AB49" s="190">
        <f>IF(AB24=4,IF(AB37=1,1,0),0)</f>
        <v>0</v>
      </c>
      <c r="AC49" s="186">
        <f>IF(AC24=4,IF(AC37=1,1,0),0)</f>
        <v>0</v>
      </c>
      <c r="AE49" s="190">
        <f>IF(AE24=4,IF(AE37=1,1,0),0)</f>
        <v>0</v>
      </c>
      <c r="AF49" s="186">
        <f>SUM(B49:AE49)</f>
        <v>1</v>
      </c>
      <c r="AG49" s="186">
        <f>AF55-AF49</f>
        <v>1</v>
      </c>
      <c r="AW49" s="274"/>
    </row>
    <row r="50" spans="1:49" s="186" customFormat="1" ht="12.75" hidden="1" customHeight="1" x14ac:dyDescent="0.2">
      <c r="A50" s="186" t="s">
        <v>99</v>
      </c>
      <c r="B50" s="186">
        <f>IF(B24=5,IF(B37=1,1,0),0)</f>
        <v>0</v>
      </c>
      <c r="D50" s="190">
        <f>IF(D24=5,IF(D37=1,1,0),0)</f>
        <v>0</v>
      </c>
      <c r="E50" s="186">
        <f>IF(E24=5,IF(E37=1,1,0),0)</f>
        <v>0</v>
      </c>
      <c r="G50" s="190">
        <f>IF(G24=5,IF(G37=1,1,0),0)</f>
        <v>0</v>
      </c>
      <c r="H50" s="186">
        <f>IF(H24=5,IF(H37=1,1,0),0)</f>
        <v>0</v>
      </c>
      <c r="J50" s="190">
        <f>IF(J24=5,IF(J37=1,1,0),0)</f>
        <v>0</v>
      </c>
      <c r="K50" s="186">
        <f>IF(K24=5,IF(K37=1,1,0),0)</f>
        <v>0</v>
      </c>
      <c r="M50" s="190">
        <f>IF(M24=5,IF(M37=1,1,0),0)</f>
        <v>0</v>
      </c>
      <c r="N50" s="186">
        <f>IF(N24=5,IF(N37=1,1,0),0)</f>
        <v>0</v>
      </c>
      <c r="P50" s="190">
        <f>IF(P24=5,IF(P37=1,1,0),0)</f>
        <v>0</v>
      </c>
      <c r="Q50" s="186">
        <f>IF(Q24=5,IF(Q37=1,1,0),0)</f>
        <v>0</v>
      </c>
      <c r="S50" s="190">
        <f>IF(S24=5,IF(S37=1,1,0),0)</f>
        <v>0</v>
      </c>
      <c r="T50" s="186">
        <f>IF(T24=5,IF(T37=1,1,0),0)</f>
        <v>0</v>
      </c>
      <c r="V50" s="190">
        <f>IF(V24=5,IF(V37=1,1,0),0)</f>
        <v>0</v>
      </c>
      <c r="W50" s="186">
        <f>IF(W24=5,IF(W37=1,1,0),0)</f>
        <v>0</v>
      </c>
      <c r="Y50" s="190">
        <f>IF(Y24=5,IF(Y37=1,1,0),0)</f>
        <v>0</v>
      </c>
      <c r="Z50" s="186">
        <f>IF(Z24=5,IF(Z37=1,1,0),0)</f>
        <v>0</v>
      </c>
      <c r="AB50" s="190">
        <f>IF(AB24=5,IF(AB37=1,1,0),0)</f>
        <v>0</v>
      </c>
      <c r="AC50" s="186">
        <f>IF(AC24=5,IF(AC37=1,1,0),0)</f>
        <v>0</v>
      </c>
      <c r="AE50" s="190">
        <f>IF(AE24=5,IF(AE37=1,1,0),0)</f>
        <v>0</v>
      </c>
      <c r="AF50" s="186">
        <f>SUM(B50:AE50)</f>
        <v>0</v>
      </c>
      <c r="AG50" s="186">
        <f>AF56-AF50</f>
        <v>4</v>
      </c>
      <c r="AW50" s="274"/>
    </row>
    <row r="51" spans="1:49" s="186" customFormat="1" ht="38.25" hidden="1" customHeight="1" x14ac:dyDescent="0.2">
      <c r="A51" s="189"/>
      <c r="D51" s="190"/>
      <c r="G51" s="190"/>
      <c r="J51" s="190"/>
      <c r="M51" s="190"/>
      <c r="P51" s="190"/>
      <c r="S51" s="190"/>
      <c r="V51" s="190"/>
      <c r="Y51" s="190"/>
      <c r="AB51" s="190"/>
      <c r="AE51" s="190"/>
      <c r="AF51" s="189" t="s">
        <v>100</v>
      </c>
      <c r="AW51" s="274"/>
    </row>
    <row r="52" spans="1:49" s="186" customFormat="1" ht="12.75" hidden="1" customHeight="1" x14ac:dyDescent="0.2">
      <c r="A52" s="186" t="s">
        <v>101</v>
      </c>
      <c r="B52" s="186">
        <f>IF(B24=1,IF(C37=1,1,0),0)</f>
        <v>0</v>
      </c>
      <c r="D52" s="190">
        <f>IF(D24=1,IF(C37=1,1,0),0)</f>
        <v>0</v>
      </c>
      <c r="E52" s="186">
        <f>IF(E24=1,IF(F37=1,1,0),0)</f>
        <v>1</v>
      </c>
      <c r="G52" s="190">
        <f>IF(G24=1,IF(F37=1,1,0),0)</f>
        <v>0</v>
      </c>
      <c r="H52" s="186">
        <f>IF(H24=1,IF(I37=1,1,0),0)</f>
        <v>0</v>
      </c>
      <c r="J52" s="190">
        <f>IF(J24=1,IF(I37=1,1,0),0)</f>
        <v>0</v>
      </c>
      <c r="K52" s="186">
        <f>IF(K24=1,IF(L37=1,1,0),0)</f>
        <v>0</v>
      </c>
      <c r="M52" s="190">
        <f>IF(M24=1,IF(L37=1,1,0),0)</f>
        <v>0</v>
      </c>
      <c r="N52" s="186">
        <f>IF(N24=1,IF(O37=1,1,0),0)</f>
        <v>1</v>
      </c>
      <c r="P52" s="190">
        <f>IF(P24=1,IF(O37=1,1,0),0)</f>
        <v>0</v>
      </c>
      <c r="Q52" s="186">
        <f>IF(Q24=1,IF(R37=1,1,0),0)</f>
        <v>0</v>
      </c>
      <c r="S52" s="190">
        <f>IF(S24=1,IF(R37=1,1,0),0)</f>
        <v>0</v>
      </c>
      <c r="T52" s="186">
        <f>IF(T24=1,IF(U37=1,1,0),0)</f>
        <v>0</v>
      </c>
      <c r="V52" s="190">
        <f>IF(V24=1,IF(U37=1,1,0),0)</f>
        <v>0</v>
      </c>
      <c r="W52" s="186">
        <f>IF(W24=1,IF(X37=1,1,0),0)</f>
        <v>1</v>
      </c>
      <c r="Y52" s="190">
        <f>IF(Y24=1,IF(X37=1,1,0),0)</f>
        <v>0</v>
      </c>
      <c r="Z52" s="186">
        <f>IF(Z24=1,IF(AA37=1,1,0),0)</f>
        <v>0</v>
      </c>
      <c r="AB52" s="190">
        <f>IF(AB24=1,IF(AA37=1,1,0),0)</f>
        <v>0</v>
      </c>
      <c r="AC52" s="186">
        <f>IF(AC24=1,IF(AD37=1,1,0),0)</f>
        <v>1</v>
      </c>
      <c r="AE52" s="190">
        <f>IF(AE24=1,IF(AD37=1,1,0),0)</f>
        <v>0</v>
      </c>
      <c r="AF52" s="186">
        <f>SUM(B52:AE52)</f>
        <v>4</v>
      </c>
      <c r="AW52" s="274"/>
    </row>
    <row r="53" spans="1:49" s="186" customFormat="1" ht="12.75" hidden="1" customHeight="1" x14ac:dyDescent="0.2">
      <c r="A53" s="186" t="s">
        <v>102</v>
      </c>
      <c r="B53" s="186">
        <f>IF(B24=2,IF(C37=1,1,0),0)</f>
        <v>1</v>
      </c>
      <c r="D53" s="190">
        <f>IF(D24=2,IF(C37=1,1,0),0)</f>
        <v>0</v>
      </c>
      <c r="E53" s="186">
        <f>IF(E24=2,IF(F37=1,1,0),0)</f>
        <v>0</v>
      </c>
      <c r="G53" s="190">
        <f>IF(G24=2,IF(F37=1,1,0),0)</f>
        <v>0</v>
      </c>
      <c r="H53" s="186">
        <f>IF(H24=2,IF(I37=1,1,0),0)</f>
        <v>0</v>
      </c>
      <c r="J53" s="190">
        <f>IF(J24=2,IF(I37=1,1,0),0)</f>
        <v>0</v>
      </c>
      <c r="K53" s="186">
        <f>IF(K24=2,IF(L37=1,1,0),0)</f>
        <v>0</v>
      </c>
      <c r="M53" s="190">
        <f>IF(M24=2,IF(L37=1,1,0),0)</f>
        <v>0</v>
      </c>
      <c r="N53" s="186">
        <f>IF(N24=2,IF(O37=1,1,0),0)</f>
        <v>0</v>
      </c>
      <c r="P53" s="190">
        <f>IF(P24=2,IF(O37=1,1,0),0)</f>
        <v>0</v>
      </c>
      <c r="Q53" s="186">
        <f>IF(Q24=2,IF(R37=1,1,0),0)</f>
        <v>0</v>
      </c>
      <c r="S53" s="190">
        <f>IF(S24=2,IF(R37=1,1,0),0)</f>
        <v>0</v>
      </c>
      <c r="T53" s="186">
        <f>IF(T24=2,IF(U37=1,1,0),0)</f>
        <v>1</v>
      </c>
      <c r="V53" s="190">
        <f>IF(V24=2,IF(U37=1,1,0),0)</f>
        <v>0</v>
      </c>
      <c r="W53" s="186">
        <f>IF(W24=2,IF(X37=1,1,0),0)</f>
        <v>0</v>
      </c>
      <c r="Y53" s="190">
        <f>IF(Y24=2,IF(X37=1,1,0),0)</f>
        <v>0</v>
      </c>
      <c r="Z53" s="186">
        <f>IF(Z24=2,IF(AA37=1,1,0),0)</f>
        <v>0</v>
      </c>
      <c r="AB53" s="190">
        <f>IF(AB24=2,IF(AA37=1,1,0),0)</f>
        <v>0</v>
      </c>
      <c r="AC53" s="186">
        <f>IF(AC24=2,IF(AD37=1,1,0),0)</f>
        <v>0</v>
      </c>
      <c r="AE53" s="190">
        <f>IF(AE24=2,IF(AD37=1,1,0),0)</f>
        <v>1</v>
      </c>
      <c r="AF53" s="186">
        <f>SUM(B53:AE53)</f>
        <v>3</v>
      </c>
      <c r="AW53" s="274"/>
    </row>
    <row r="54" spans="1:49" s="186" customFormat="1" ht="12.75" hidden="1" customHeight="1" x14ac:dyDescent="0.2">
      <c r="A54" s="186" t="s">
        <v>103</v>
      </c>
      <c r="B54" s="186">
        <f>IF(B24=3,IF(C37=1,1,0),0)</f>
        <v>0</v>
      </c>
      <c r="D54" s="190">
        <f>IF(D24=3,IF(C37=1,1,0),0)</f>
        <v>0</v>
      </c>
      <c r="E54" s="186">
        <f>IF(E24=3,IF(F37=1,1,0),0)</f>
        <v>0</v>
      </c>
      <c r="G54" s="190">
        <f>IF(G24=3,IF(F37=1,1,0),0)</f>
        <v>0</v>
      </c>
      <c r="H54" s="186">
        <f>IF(H24=3,IF(I37=1,1,0),0)</f>
        <v>1</v>
      </c>
      <c r="J54" s="190">
        <f>IF(J24=3,IF(I37=1,1,0),0)</f>
        <v>0</v>
      </c>
      <c r="K54" s="186">
        <f>IF(K24=3,IF(L37=1,1,0),0)</f>
        <v>0</v>
      </c>
      <c r="M54" s="190">
        <f>IF(M24=3,IF(L37=1,1,0),0)</f>
        <v>0</v>
      </c>
      <c r="N54" s="186">
        <f>IF(N24=3,IF(O37=1,1,0),0)</f>
        <v>0</v>
      </c>
      <c r="P54" s="190">
        <f>IF(P24=3,IF(O37=1,1,0),0)</f>
        <v>1</v>
      </c>
      <c r="Q54" s="186">
        <f>IF(Q24=3,IF(R37=1,1,0),0)</f>
        <v>0</v>
      </c>
      <c r="S54" s="190">
        <f>IF(S24=3,IF(R37=1,1,0),0)</f>
        <v>0</v>
      </c>
      <c r="T54" s="186">
        <f>IF(T24=3,IF(U37=1,1,0),0)</f>
        <v>0</v>
      </c>
      <c r="V54" s="190">
        <f>IF(V24=3,IF(U37=1,1,0),0)</f>
        <v>1</v>
      </c>
      <c r="W54" s="186">
        <f>IF(W24=3,IF(X37=1,1,0),0)</f>
        <v>0</v>
      </c>
      <c r="Y54" s="190">
        <f>IF(Y24=3,IF(X37=1,1,0),0)</f>
        <v>0</v>
      </c>
      <c r="Z54" s="186">
        <f>IF(Z24=3,IF(AA37=1,1,0),0)</f>
        <v>0</v>
      </c>
      <c r="AB54" s="190">
        <f>IF(AB24=3,IF(AA37=1,1,0),0)</f>
        <v>0</v>
      </c>
      <c r="AC54" s="186">
        <f>IF(AC24=3,IF(AD37=1,1,0),0)</f>
        <v>0</v>
      </c>
      <c r="AE54" s="190">
        <f>IF(AE24=3,IF(AD37=1,1,0),0)</f>
        <v>0</v>
      </c>
      <c r="AF54" s="186">
        <f>SUM(B54:AE54)</f>
        <v>3</v>
      </c>
      <c r="AW54" s="274"/>
    </row>
    <row r="55" spans="1:49" s="186" customFormat="1" ht="12.75" hidden="1" customHeight="1" x14ac:dyDescent="0.2">
      <c r="A55" s="186" t="s">
        <v>104</v>
      </c>
      <c r="B55" s="186">
        <f>IF(B24=4,IF(C37=1,1,0),0)</f>
        <v>0</v>
      </c>
      <c r="D55" s="190">
        <f>IF(D24=4,IF(C37=1,1,0),0)</f>
        <v>0</v>
      </c>
      <c r="E55" s="186">
        <f>IF(E24=4,IF(F37=1,1,0),0)</f>
        <v>0</v>
      </c>
      <c r="G55" s="190">
        <f>IF(G24=4,IF(F37=1,1,0),0)</f>
        <v>1</v>
      </c>
      <c r="H55" s="186">
        <f>IF(H24=4,IF(I37=1,1,0),0)</f>
        <v>0</v>
      </c>
      <c r="J55" s="190">
        <f>IF(J24=4,IF(I37=1,1,0),0)</f>
        <v>0</v>
      </c>
      <c r="K55" s="186">
        <f>IF(K24=4,IF(L37=1,1,0),0)</f>
        <v>0</v>
      </c>
      <c r="M55" s="190">
        <f>IF(M24=4,IF(L37=1,1,0),0)</f>
        <v>0</v>
      </c>
      <c r="N55" s="186">
        <f>IF(N24=4,IF(O37=1,1,0),0)</f>
        <v>0</v>
      </c>
      <c r="P55" s="190">
        <f>IF(P24=4,IF(O37=1,1,0),0)</f>
        <v>0</v>
      </c>
      <c r="Q55" s="186">
        <f>IF(Q24=4,IF(R37=1,1,0),0)</f>
        <v>1</v>
      </c>
      <c r="S55" s="190">
        <f>IF(S24=4,IF(R37=1,1,0),0)</f>
        <v>0</v>
      </c>
      <c r="T55" s="186">
        <f>IF(T24=4,IF(U37=1,1,0),0)</f>
        <v>0</v>
      </c>
      <c r="V55" s="190">
        <f>IF(V24=4,IF(U37=1,1,0),0)</f>
        <v>0</v>
      </c>
      <c r="W55" s="186">
        <f>IF(W24=4,IF(X37=1,1,0),0)</f>
        <v>0</v>
      </c>
      <c r="Y55" s="190">
        <f>IF(Y24=4,IF(X37=1,1,0),0)</f>
        <v>0</v>
      </c>
      <c r="Z55" s="186">
        <f>IF(Z24=4,IF(AA37=1,1,0),0)</f>
        <v>0</v>
      </c>
      <c r="AB55" s="190">
        <f>IF(AB24=4,IF(AA37=1,1,0),0)</f>
        <v>0</v>
      </c>
      <c r="AC55" s="186">
        <f>IF(AC24=4,IF(AD37=1,1,0),0)</f>
        <v>0</v>
      </c>
      <c r="AE55" s="190">
        <f>IF(AE24=4,IF(AD37=1,1,0),0)</f>
        <v>0</v>
      </c>
      <c r="AF55" s="186">
        <f>SUM(B55:AE55)</f>
        <v>2</v>
      </c>
      <c r="AW55" s="274"/>
    </row>
    <row r="56" spans="1:49" s="186" customFormat="1" ht="12.75" hidden="1" customHeight="1" x14ac:dyDescent="0.2">
      <c r="A56" s="186" t="s">
        <v>105</v>
      </c>
      <c r="B56" s="186">
        <f>IF(B24=5,IF(C37=1,1,0),0)</f>
        <v>0</v>
      </c>
      <c r="D56" s="190">
        <f>IF(D24=5,IF(C37=1,1,0),0)</f>
        <v>1</v>
      </c>
      <c r="E56" s="186">
        <f>IF(E24=5,IF(F37=1,1,0),0)</f>
        <v>0</v>
      </c>
      <c r="G56" s="190">
        <f>IF(G24=5,IF(F37=1,1,0),0)</f>
        <v>0</v>
      </c>
      <c r="H56" s="186">
        <f>IF(H24=5,IF(I37=1,1,0),0)</f>
        <v>0</v>
      </c>
      <c r="J56" s="190">
        <f>IF(J24=5,IF(I37=1,1,0),0)</f>
        <v>1</v>
      </c>
      <c r="K56" s="186">
        <f>IF(K24=5,IF(L37=1,1,0),0)</f>
        <v>0</v>
      </c>
      <c r="M56" s="190">
        <f>IF(M24=5,IF(L37=1,1,0),0)</f>
        <v>0</v>
      </c>
      <c r="N56" s="186">
        <f>IF(N24=5,IF(O37=1,1,0),0)</f>
        <v>0</v>
      </c>
      <c r="P56" s="190">
        <f>IF(P24=5,IF(O37=1,1,0),0)</f>
        <v>0</v>
      </c>
      <c r="Q56" s="186">
        <f>IF(Q24=5,IF(R37=1,1,0),0)</f>
        <v>0</v>
      </c>
      <c r="S56" s="190">
        <f>IF(S24=5,IF(R37=1,1,0),0)</f>
        <v>1</v>
      </c>
      <c r="T56" s="186">
        <f>IF(T24=5,IF(U37=1,1,0),0)</f>
        <v>0</v>
      </c>
      <c r="V56" s="190">
        <f>IF(V24=5,IF(U37=1,1,0),0)</f>
        <v>0</v>
      </c>
      <c r="W56" s="186">
        <f>IF(W24=5,IF(X37=1,1,0),0)</f>
        <v>0</v>
      </c>
      <c r="Y56" s="190">
        <f>IF(Y24=5,IF(X37=1,1,0),0)</f>
        <v>1</v>
      </c>
      <c r="Z56" s="186">
        <f>IF(Z24=5,IF(AA37=1,1,0),0)</f>
        <v>0</v>
      </c>
      <c r="AB56" s="190">
        <f>IF(AB24=5,IF(AA37=1,1,0),0)</f>
        <v>0</v>
      </c>
      <c r="AC56" s="186">
        <f>IF(AC24=5,IF(AD37=1,1,0),0)</f>
        <v>0</v>
      </c>
      <c r="AE56" s="190">
        <f>IF(AE24=5,IF(AD37=1,1,0),0)</f>
        <v>0</v>
      </c>
      <c r="AF56" s="186">
        <f>SUM(B56:AE56)</f>
        <v>4</v>
      </c>
      <c r="AW56" s="274"/>
    </row>
    <row r="57" spans="1:49" s="186" customFormat="1" ht="38.25" hidden="1" customHeight="1" x14ac:dyDescent="0.2">
      <c r="A57" s="189"/>
      <c r="D57" s="190"/>
      <c r="G57" s="190"/>
      <c r="J57" s="190"/>
      <c r="M57" s="190"/>
      <c r="P57" s="190"/>
      <c r="S57" s="190"/>
      <c r="V57" s="190"/>
      <c r="Y57" s="190"/>
      <c r="AB57" s="190"/>
      <c r="AE57" s="190"/>
      <c r="AF57" s="189" t="s">
        <v>106</v>
      </c>
      <c r="AG57" s="451"/>
      <c r="AH57" s="451"/>
      <c r="AI57" s="451"/>
      <c r="AJ57" s="451"/>
      <c r="AK57" s="451"/>
      <c r="AW57" s="274"/>
    </row>
    <row r="58" spans="1:49" s="186" customFormat="1" ht="12.75" hidden="1" customHeight="1" x14ac:dyDescent="0.2">
      <c r="A58" s="186" t="s">
        <v>101</v>
      </c>
      <c r="B58" s="186">
        <f>IF(B24=1,B44,0)</f>
        <v>0</v>
      </c>
      <c r="D58" s="190">
        <f>IF(D24=1,B44,0)</f>
        <v>0</v>
      </c>
      <c r="E58" s="186">
        <f>IF(E24=1,E44,0)</f>
        <v>50</v>
      </c>
      <c r="G58" s="190">
        <f>IF(G24=1,E44,0)</f>
        <v>0</v>
      </c>
      <c r="H58" s="186">
        <f>IF(H24=1,H44,0)</f>
        <v>0</v>
      </c>
      <c r="J58" s="190">
        <f>IF(J24=1,H44,0)</f>
        <v>0</v>
      </c>
      <c r="K58" s="186">
        <f>IF(K24=1,K44,0)</f>
        <v>0</v>
      </c>
      <c r="M58" s="190">
        <f>IF(M24=1,K44,0)</f>
        <v>0</v>
      </c>
      <c r="N58" s="186">
        <f>IF(N24=1,N44,0)</f>
        <v>51</v>
      </c>
      <c r="P58" s="190">
        <f>IF(P24=1,N44,0)</f>
        <v>0</v>
      </c>
      <c r="Q58" s="186">
        <f>IF(Q24=1,Q44,0)</f>
        <v>0</v>
      </c>
      <c r="S58" s="190">
        <f>IF(S24=1,Q44,0)</f>
        <v>0</v>
      </c>
      <c r="T58" s="186">
        <f>IF(T24=1,T44,0)</f>
        <v>0</v>
      </c>
      <c r="V58" s="190">
        <f>IF(V24=1,T44,0)</f>
        <v>0</v>
      </c>
      <c r="W58" s="186">
        <f>IF(W24=1,W44,0)</f>
        <v>50</v>
      </c>
      <c r="Y58" s="190">
        <f>IF(Y24=1,W44,0)</f>
        <v>0</v>
      </c>
      <c r="Z58" s="186">
        <f>IF(Z24=1,Z44,0)</f>
        <v>0</v>
      </c>
      <c r="AB58" s="190">
        <f>IF(AB24=1,Z44,0)</f>
        <v>0</v>
      </c>
      <c r="AC58" s="186">
        <f>IF(AC24=1,AC44,0)</f>
        <v>50</v>
      </c>
      <c r="AE58" s="190">
        <f>IF(AE24=1,AC44,0)</f>
        <v>0</v>
      </c>
      <c r="AF58" s="186">
        <f>SUM(B58:AE58)</f>
        <v>201</v>
      </c>
      <c r="AW58" s="274"/>
    </row>
    <row r="59" spans="1:49" s="186" customFormat="1" ht="12.75" hidden="1" customHeight="1" x14ac:dyDescent="0.2">
      <c r="A59" s="186" t="s">
        <v>102</v>
      </c>
      <c r="B59" s="186">
        <f>IF(B24=2,B44,0)</f>
        <v>50</v>
      </c>
      <c r="D59" s="190">
        <f>IF(D24=2,B44,0)</f>
        <v>0</v>
      </c>
      <c r="E59" s="186">
        <f>IF(E24=2,E44,0)</f>
        <v>0</v>
      </c>
      <c r="G59" s="190">
        <f>IF(G24=2,E44,0)</f>
        <v>0</v>
      </c>
      <c r="H59" s="186">
        <f>IF(H24=2,H44,0)</f>
        <v>0</v>
      </c>
      <c r="J59" s="190">
        <f>IF(J24=2,H44,0)</f>
        <v>0</v>
      </c>
      <c r="K59" s="186">
        <f>IF(K24=2,K44,0)</f>
        <v>53</v>
      </c>
      <c r="M59" s="190">
        <f>IF(M24=2,K44,0)</f>
        <v>0</v>
      </c>
      <c r="N59" s="186">
        <f>IF(N24=2,N44,0)</f>
        <v>0</v>
      </c>
      <c r="P59" s="190">
        <f>IF(P24=2,N44,0)</f>
        <v>0</v>
      </c>
      <c r="Q59" s="186">
        <f>IF(Q24=2,Q44,0)</f>
        <v>0</v>
      </c>
      <c r="S59" s="190">
        <f>IF(S24=2,Q44,0)</f>
        <v>0</v>
      </c>
      <c r="T59" s="186">
        <f>IF(T24=2,T44,0)</f>
        <v>51</v>
      </c>
      <c r="V59" s="190">
        <f>IF(V24=2,T44,0)</f>
        <v>0</v>
      </c>
      <c r="W59" s="186">
        <f>IF(W24=2,W44,0)</f>
        <v>0</v>
      </c>
      <c r="Y59" s="190">
        <f>IF(Y24=2,W44,0)</f>
        <v>0</v>
      </c>
      <c r="Z59" s="186">
        <f>IF(Z24=2,Z44,0)</f>
        <v>0</v>
      </c>
      <c r="AB59" s="190">
        <f>IF(AB24=2,Z44,0)</f>
        <v>0</v>
      </c>
      <c r="AC59" s="186">
        <f>IF(AC24=2,AC44,0)</f>
        <v>0</v>
      </c>
      <c r="AE59" s="190">
        <f>IF(AE24=2,AC44,0)</f>
        <v>50</v>
      </c>
      <c r="AF59" s="186">
        <f>SUM(B59:AE59)</f>
        <v>204</v>
      </c>
      <c r="AW59" s="274"/>
    </row>
    <row r="60" spans="1:49" s="186" customFormat="1" ht="12.75" hidden="1" customHeight="1" x14ac:dyDescent="0.2">
      <c r="A60" s="186" t="s">
        <v>103</v>
      </c>
      <c r="B60" s="186">
        <f>IF(B24=3,B44,0)</f>
        <v>0</v>
      </c>
      <c r="D60" s="190">
        <f>IF(D24=3,B44,0)</f>
        <v>0</v>
      </c>
      <c r="E60" s="186">
        <f>IF(E24=3,E44,0)</f>
        <v>0</v>
      </c>
      <c r="G60" s="190">
        <f>IF(G24=3,E44,0)</f>
        <v>0</v>
      </c>
      <c r="H60" s="186">
        <f>IF(H24=3,H44,0)</f>
        <v>50</v>
      </c>
      <c r="J60" s="190">
        <f>IF(J24=3,H44,0)</f>
        <v>0</v>
      </c>
      <c r="K60" s="186">
        <f>IF(K24=3,K44,0)</f>
        <v>0</v>
      </c>
      <c r="M60" s="190">
        <f>IF(M24=3,K44,0)</f>
        <v>0</v>
      </c>
      <c r="N60" s="186">
        <f>IF(N24=3,N44,0)</f>
        <v>0</v>
      </c>
      <c r="P60" s="190">
        <f>IF(P24=3,N44,0)</f>
        <v>51</v>
      </c>
      <c r="Q60" s="186">
        <f>IF(Q24=3,Q44,0)</f>
        <v>0</v>
      </c>
      <c r="S60" s="190">
        <f>IF(S24=3,Q44,0)</f>
        <v>0</v>
      </c>
      <c r="T60" s="186">
        <f>IF(T24=3,T44,0)</f>
        <v>0</v>
      </c>
      <c r="V60" s="190">
        <f>IF(V24=3,T44,0)</f>
        <v>51</v>
      </c>
      <c r="W60" s="186">
        <f>IF(W24=3,W44,0)</f>
        <v>0</v>
      </c>
      <c r="Y60" s="190">
        <f>IF(Y24=3,W44,0)</f>
        <v>0</v>
      </c>
      <c r="Z60" s="186">
        <f>IF(Z24=3,Z44,0)</f>
        <v>50</v>
      </c>
      <c r="AB60" s="190">
        <f>IF(AB24=3,Z44,0)</f>
        <v>0</v>
      </c>
      <c r="AC60" s="186">
        <f>IF(AC24=3,AC44,0)</f>
        <v>0</v>
      </c>
      <c r="AE60" s="190">
        <f>IF(AE24=3,AC44,0)</f>
        <v>0</v>
      </c>
      <c r="AF60" s="186">
        <f>SUM(B60:AE60)</f>
        <v>202</v>
      </c>
      <c r="AW60" s="274"/>
    </row>
    <row r="61" spans="1:49" s="186" customFormat="1" ht="12.75" hidden="1" customHeight="1" x14ac:dyDescent="0.2">
      <c r="A61" s="186" t="s">
        <v>104</v>
      </c>
      <c r="B61" s="186">
        <f>IF(B24=4,B44,0)</f>
        <v>0</v>
      </c>
      <c r="D61" s="190">
        <f>IF(D24=4,B44,0)</f>
        <v>0</v>
      </c>
      <c r="E61" s="186">
        <f>IF(E24=4,E44,0)</f>
        <v>0</v>
      </c>
      <c r="G61" s="190">
        <f>IF(G24=4,E44,0)</f>
        <v>50</v>
      </c>
      <c r="H61" s="186">
        <f>IF(H24=4,H44,0)</f>
        <v>0</v>
      </c>
      <c r="J61" s="190">
        <f>IF(J24=4,H44,0)</f>
        <v>0</v>
      </c>
      <c r="K61" s="186">
        <f>IF(K24=4,K44,0)</f>
        <v>0</v>
      </c>
      <c r="M61" s="190">
        <f>IF(M24=4,K44,0)</f>
        <v>53</v>
      </c>
      <c r="N61" s="186">
        <f>IF(N24=4,N44,0)</f>
        <v>0</v>
      </c>
      <c r="P61" s="190">
        <f>IF(P24=4,N44,0)</f>
        <v>0</v>
      </c>
      <c r="Q61" s="186">
        <f>IF(Q24=4,Q44,0)</f>
        <v>52</v>
      </c>
      <c r="S61" s="190">
        <f>IF(S24=4,Q44,0)</f>
        <v>0</v>
      </c>
      <c r="T61" s="186">
        <f>IF(T24=4,T44,0)</f>
        <v>0</v>
      </c>
      <c r="V61" s="190">
        <f>IF(V24=4,T44,0)</f>
        <v>0</v>
      </c>
      <c r="W61" s="186">
        <f>IF(W24=4,W44,0)</f>
        <v>0</v>
      </c>
      <c r="Y61" s="190">
        <f>IF(Y24=4,W44,0)</f>
        <v>0</v>
      </c>
      <c r="Z61" s="186">
        <f>IF(Z24=4,Z44,0)</f>
        <v>0</v>
      </c>
      <c r="AB61" s="190">
        <f>IF(AB24=4,Z44,0)</f>
        <v>50</v>
      </c>
      <c r="AC61" s="186">
        <f>IF(AC24=4,AC44,0)</f>
        <v>0</v>
      </c>
      <c r="AE61" s="190">
        <f>IF(AE24=4,AC44,0)</f>
        <v>0</v>
      </c>
      <c r="AF61" s="186">
        <f>SUM(B61:AE61)</f>
        <v>205</v>
      </c>
      <c r="AW61" s="274"/>
    </row>
    <row r="62" spans="1:49" s="186" customFormat="1" ht="12.75" hidden="1" customHeight="1" x14ac:dyDescent="0.2">
      <c r="A62" s="186" t="s">
        <v>105</v>
      </c>
      <c r="B62" s="186">
        <f>IF(B24=5,B44,0)</f>
        <v>0</v>
      </c>
      <c r="D62" s="190">
        <f>IF(D24=5,B44,0)</f>
        <v>50</v>
      </c>
      <c r="E62" s="186">
        <f>IF(E24=5,E44,0)</f>
        <v>0</v>
      </c>
      <c r="G62" s="190">
        <f>IF(G24=5,E44,0)</f>
        <v>0</v>
      </c>
      <c r="H62" s="186">
        <f>IF(H24=5,H44,0)</f>
        <v>0</v>
      </c>
      <c r="J62" s="190">
        <f>IF(J24=5,H44,0)</f>
        <v>50</v>
      </c>
      <c r="K62" s="186">
        <f>IF(K24=5,K44,0)</f>
        <v>0</v>
      </c>
      <c r="M62" s="190">
        <f>IF(M24=5,K44,0)</f>
        <v>0</v>
      </c>
      <c r="N62" s="186">
        <f>IF(N24=5,N44,0)</f>
        <v>0</v>
      </c>
      <c r="P62" s="190">
        <f>IF(P24=5,N44,0)</f>
        <v>0</v>
      </c>
      <c r="Q62" s="186">
        <f>IF(Q24=5,Q44,0)</f>
        <v>0</v>
      </c>
      <c r="S62" s="190">
        <f>IF(S24=5,Q44,0)</f>
        <v>52</v>
      </c>
      <c r="T62" s="186">
        <f>IF(T24=5,T44,0)</f>
        <v>0</v>
      </c>
      <c r="V62" s="190">
        <f>IF(V24=5,T44,0)</f>
        <v>0</v>
      </c>
      <c r="W62" s="186">
        <f>IF(W24=5,W44,0)</f>
        <v>0</v>
      </c>
      <c r="Y62" s="190">
        <f>IF(Y24=5,W44,0)</f>
        <v>50</v>
      </c>
      <c r="Z62" s="186">
        <f>IF(Z24=5,Z44,0)</f>
        <v>0</v>
      </c>
      <c r="AB62" s="190">
        <f>IF(AB24=5,Z44,0)</f>
        <v>0</v>
      </c>
      <c r="AC62" s="186">
        <f>IF(AC24=5,AC44,0)</f>
        <v>0</v>
      </c>
      <c r="AE62" s="190">
        <f>IF(AE24=5,AC44,0)</f>
        <v>0</v>
      </c>
      <c r="AF62" s="186">
        <f>SUM(B62:AE62)</f>
        <v>202</v>
      </c>
      <c r="AW62" s="274"/>
    </row>
    <row r="63" spans="1:49" s="186" customFormat="1" ht="38.25" hidden="1" customHeight="1" x14ac:dyDescent="0.2">
      <c r="A63" s="186" t="s">
        <v>107</v>
      </c>
      <c r="D63" s="190"/>
      <c r="G63" s="190"/>
      <c r="J63" s="190"/>
      <c r="M63" s="190"/>
      <c r="P63" s="190"/>
      <c r="S63" s="190"/>
      <c r="V63" s="190"/>
      <c r="Y63" s="190"/>
      <c r="AB63" s="190"/>
      <c r="AE63" s="190"/>
      <c r="AF63" s="189" t="s">
        <v>108</v>
      </c>
      <c r="AG63" s="186" t="s">
        <v>109</v>
      </c>
      <c r="AW63" s="274"/>
    </row>
    <row r="64" spans="1:49" s="186" customFormat="1" ht="12.75" hidden="1" customHeight="1" x14ac:dyDescent="0.2">
      <c r="A64" s="186" t="s">
        <v>95</v>
      </c>
      <c r="B64" s="186">
        <f>IF(B24=1,SUMIF(B31:B35,"&gt;0"),0)</f>
        <v>0</v>
      </c>
      <c r="D64" s="190">
        <f>IF(D24=1,SUMIF(D31:D35,"&gt;0"),0)</f>
        <v>0</v>
      </c>
      <c r="E64" s="186">
        <f>IF(E24=1,SUMIF(E31:E35,"&gt;0"),0)</f>
        <v>2</v>
      </c>
      <c r="G64" s="190">
        <f>IF(G24=1,SUMIF(G31:G35,"&gt;0"),0)</f>
        <v>0</v>
      </c>
      <c r="H64" s="186">
        <f>IF(H24=1,SUMIF(H31:H35,"&gt;0"),0)</f>
        <v>0</v>
      </c>
      <c r="J64" s="190">
        <f>IF(J24=1,SUMIF(J31:J35,"&gt;0"),0)</f>
        <v>0</v>
      </c>
      <c r="K64" s="186">
        <f>IF(K24=1,SUMIF(K31:K35,"&gt;0"),0)</f>
        <v>0</v>
      </c>
      <c r="M64" s="190">
        <f>IF(M24=1,SUMIF(M31:M35,"&gt;0"),0)</f>
        <v>0</v>
      </c>
      <c r="N64" s="186">
        <f>IF(N24=1,SUMIF(N31:N35,"&gt;0"),0)</f>
        <v>2</v>
      </c>
      <c r="P64" s="190">
        <f>IF(P24=1,SUMIF(P31:P35,"&gt;0"),0)</f>
        <v>0</v>
      </c>
      <c r="Q64" s="186">
        <f>IF(Q24=1,SUMIF(Q31:Q35,"&gt;0"),0)</f>
        <v>0</v>
      </c>
      <c r="S64" s="190">
        <f>IF(S24=1,SUMIF(S31:S35,"&gt;0"),0)</f>
        <v>0</v>
      </c>
      <c r="T64" s="186">
        <f>IF(T24=1,SUMIF(T31:T35,"&gt;0"),0)</f>
        <v>0</v>
      </c>
      <c r="V64" s="190">
        <f>IF(V24=1,SUMIF(V31:V35,"&gt;0"),0)</f>
        <v>0</v>
      </c>
      <c r="W64" s="186">
        <f>IF(W24=1,SUMIF(W31:W35,"&gt;0"),0)</f>
        <v>2</v>
      </c>
      <c r="Y64" s="190">
        <f>IF(Y24=1,SUMIF(Y31:Y35,"&gt;0"),0)</f>
        <v>0</v>
      </c>
      <c r="Z64" s="186">
        <f>IF(Z24=1,SUMIF(Z31:Z35,"&gt;0"),0)</f>
        <v>0</v>
      </c>
      <c r="AB64" s="190">
        <f>IF(AB24=1,SUMIF(AB31:AB35,"&gt;0"),0)</f>
        <v>0</v>
      </c>
      <c r="AC64" s="186">
        <f>IF(AC24=1,SUMIF(AC31:AC35,"&gt;0"),0)</f>
        <v>2</v>
      </c>
      <c r="AE64" s="190">
        <f>IF(AE24=1,SUMIF(AE31:AE35,"&gt;0"),0)</f>
        <v>0</v>
      </c>
      <c r="AF64" s="186">
        <f>SUM(B64:AE64)</f>
        <v>8</v>
      </c>
      <c r="AG64" s="186">
        <f>AF72-AF64</f>
        <v>0</v>
      </c>
      <c r="AW64" s="274"/>
    </row>
    <row r="65" spans="1:54" s="186" customFormat="1" ht="12.75" hidden="1" customHeight="1" x14ac:dyDescent="0.2">
      <c r="A65" s="186" t="s">
        <v>96</v>
      </c>
      <c r="B65" s="186">
        <f>IF(B24=2,SUMIF(B31:B35,"&gt;0"),0)</f>
        <v>2</v>
      </c>
      <c r="D65" s="190">
        <f>IF(D24=2,SUMIF(D31:D35,"&gt;0"),0)</f>
        <v>0</v>
      </c>
      <c r="E65" s="186">
        <f>IF(E24=2,SUMIF(E31:E35,"&gt;0"),0)</f>
        <v>0</v>
      </c>
      <c r="G65" s="190">
        <f>IF(G24=2,SUMIF(G31:G35,"&gt;0"),0)</f>
        <v>0</v>
      </c>
      <c r="H65" s="186">
        <f>IF(H24=2,SUMIF(H31:H35,"&gt;0"),0)</f>
        <v>0</v>
      </c>
      <c r="J65" s="190">
        <f>IF(J24=2,SUMIF(J31:J35,"&gt;0"),0)</f>
        <v>0</v>
      </c>
      <c r="K65" s="186">
        <f>IF(K24=2,SUMIF(K31:K35,"&gt;0"),0)</f>
        <v>1</v>
      </c>
      <c r="M65" s="190">
        <f>IF(M24=2,SUMIF(M31:M35,"&gt;0"),0)</f>
        <v>0</v>
      </c>
      <c r="N65" s="186">
        <f>IF(N24=2,SUMIF(N31:N35,"&gt;0"),0)</f>
        <v>0</v>
      </c>
      <c r="P65" s="190">
        <f>IF(P24=2,SUMIF(P31:P35,"&gt;0"),0)</f>
        <v>0</v>
      </c>
      <c r="Q65" s="186">
        <f>IF(Q24=2,SUMIF(Q31:Q35,"&gt;0"),0)</f>
        <v>0</v>
      </c>
      <c r="S65" s="190">
        <f>IF(S24=2,SUMIF(S31:S35,"&gt;0"),0)</f>
        <v>0</v>
      </c>
      <c r="T65" s="186">
        <f>IF(T24=2,SUMIF(T31:T35,"&gt;0"),0)</f>
        <v>0</v>
      </c>
      <c r="V65" s="190">
        <f>IF(V24=2,SUMIF(V31:V35,"&gt;0"),0)</f>
        <v>0</v>
      </c>
      <c r="W65" s="186">
        <f>IF(W24=2,SUMIF(W31:W35,"&gt;0"),0)</f>
        <v>0</v>
      </c>
      <c r="Y65" s="190">
        <f>IF(Y24=2,SUMIF(Y31:Y35,"&gt;0"),0)</f>
        <v>0</v>
      </c>
      <c r="Z65" s="186">
        <f>IF(Z24=2,SUMIF(Z31:Z35,"&gt;0"),0)</f>
        <v>0</v>
      </c>
      <c r="AB65" s="190">
        <f>IF(AB24=2,SUMIF(AB31:AB35,"&gt;0"),0)</f>
        <v>0</v>
      </c>
      <c r="AC65" s="186">
        <f>IF(AC24=2,SUMIF(AC31:AC35,"&gt;0"),0)</f>
        <v>0</v>
      </c>
      <c r="AE65" s="190">
        <f>IF(AE24=2,SUMIF(AE31:AE35,"&gt;0"),0)</f>
        <v>0</v>
      </c>
      <c r="AF65" s="186">
        <f>SUM(B65:AE65)</f>
        <v>3</v>
      </c>
      <c r="AG65" s="186">
        <f>AF73-AF65</f>
        <v>5</v>
      </c>
      <c r="AW65" s="274"/>
    </row>
    <row r="66" spans="1:54" s="186" customFormat="1" ht="12.75" hidden="1" customHeight="1" x14ac:dyDescent="0.2">
      <c r="A66" s="186" t="s">
        <v>97</v>
      </c>
      <c r="B66" s="186">
        <f>IF(B24=3,SUMIF(B31:B35,"&gt;0"),0)</f>
        <v>0</v>
      </c>
      <c r="D66" s="190">
        <f>IF(D24=3,SUMIF(D31:D35,"&gt;0"),0)</f>
        <v>0</v>
      </c>
      <c r="E66" s="186">
        <f>IF(E24=3,SUMIF(E31:E35,"&gt;0"),0)</f>
        <v>0</v>
      </c>
      <c r="G66" s="190">
        <f>IF(G24=3,SUMIF(G31:G35,"&gt;0"),0)</f>
        <v>0</v>
      </c>
      <c r="H66" s="186">
        <f>IF(H24=3,SUMIF(H31:H35,"&gt;0"),0)</f>
        <v>2</v>
      </c>
      <c r="J66" s="190">
        <f>IF(J24=3,SUMIF(J31:J35,"&gt;0"),0)</f>
        <v>0</v>
      </c>
      <c r="K66" s="186">
        <f>IF(K24=3,SUMIF(K31:K35,"&gt;0"),0)</f>
        <v>0</v>
      </c>
      <c r="M66" s="190">
        <f>IF(M24=3,SUMIF(M31:M35,"&gt;0"),0)</f>
        <v>0</v>
      </c>
      <c r="N66" s="186">
        <f>IF(N24=3,SUMIF(N31:N35,"&gt;0"),0)</f>
        <v>0</v>
      </c>
      <c r="P66" s="190">
        <f>IF(P24=3,SUMIF(P31:P35,"&gt;0"),0)</f>
        <v>0</v>
      </c>
      <c r="Q66" s="186">
        <f>IF(Q24=3,SUMIF(Q31:Q35,"&gt;0"),0)</f>
        <v>0</v>
      </c>
      <c r="S66" s="190">
        <f>IF(S24=3,SUMIF(S31:S35,"&gt;0"),0)</f>
        <v>0</v>
      </c>
      <c r="T66" s="186">
        <f>IF(T24=3,SUMIF(T31:T35,"&gt;0"),0)</f>
        <v>0</v>
      </c>
      <c r="V66" s="190">
        <f>IF(V24=3,SUMIF(V31:V35,"&gt;0"),0)</f>
        <v>2</v>
      </c>
      <c r="W66" s="186">
        <f>IF(W24=3,SUMIF(W31:W35,"&gt;0"),0)</f>
        <v>0</v>
      </c>
      <c r="Y66" s="190">
        <f>IF(Y24=3,SUMIF(Y31:Y35,"&gt;0"),0)</f>
        <v>0</v>
      </c>
      <c r="Z66" s="186">
        <f>IF(Z24=3,SUMIF(Z31:Z35,"&gt;0"),0)</f>
        <v>1</v>
      </c>
      <c r="AB66" s="190">
        <f>IF(AB24=3,SUMIF(AB31:AB35,"&gt;0"),0)</f>
        <v>0</v>
      </c>
      <c r="AC66" s="186">
        <f>IF(AC24=3,SUMIF(AC31:AC35,"&gt;0"),0)</f>
        <v>0</v>
      </c>
      <c r="AE66" s="190">
        <f>IF(AE24=3,SUMIF(AE31:AE35,"&gt;0"),0)</f>
        <v>0</v>
      </c>
      <c r="AF66" s="186">
        <f>SUM(B66:AE66)</f>
        <v>5</v>
      </c>
      <c r="AG66" s="186">
        <f>AF74-AF66</f>
        <v>3</v>
      </c>
      <c r="AW66" s="274"/>
    </row>
    <row r="67" spans="1:54" s="186" customFormat="1" ht="12.75" hidden="1" customHeight="1" x14ac:dyDescent="0.2">
      <c r="A67" s="186" t="s">
        <v>98</v>
      </c>
      <c r="B67" s="186">
        <f>IF(B24=4,SUMIF(B31:B35,"&gt;0"),0)</f>
        <v>0</v>
      </c>
      <c r="D67" s="190">
        <f>IF(D24=4,SUMIF(D31:D35,"&gt;0"),0)</f>
        <v>0</v>
      </c>
      <c r="E67" s="186">
        <f>IF(E24=4,SUMIF(E31:E35,"&gt;0"),0)</f>
        <v>0</v>
      </c>
      <c r="G67" s="190">
        <f>IF(G24=4,SUMIF(G31:G35,"&gt;0"),0)</f>
        <v>0</v>
      </c>
      <c r="H67" s="186">
        <f>IF(H24=4,SUMIF(H31:H35,"&gt;0"),0)</f>
        <v>0</v>
      </c>
      <c r="J67" s="190">
        <f>IF(J24=4,SUMIF(J31:J35,"&gt;0"),0)</f>
        <v>0</v>
      </c>
      <c r="K67" s="186">
        <f>IF(K24=4,SUMIF(K31:K35,"&gt;0"),0)</f>
        <v>0</v>
      </c>
      <c r="M67" s="190">
        <f>IF(M24=4,SUMIF(M31:M35,"&gt;0"),0)</f>
        <v>1</v>
      </c>
      <c r="N67" s="186">
        <f>IF(N24=4,SUMIF(N31:N35,"&gt;0"),0)</f>
        <v>0</v>
      </c>
      <c r="P67" s="190">
        <f>IF(P24=4,SUMIF(P31:P35,"&gt;0"),0)</f>
        <v>0</v>
      </c>
      <c r="Q67" s="186">
        <f>IF(Q24=4,SUMIF(Q31:Q35,"&gt;0"),0)</f>
        <v>2</v>
      </c>
      <c r="S67" s="190">
        <f>IF(S24=4,SUMIF(S31:S35,"&gt;0"),0)</f>
        <v>0</v>
      </c>
      <c r="T67" s="186">
        <f>IF(T24=4,SUMIF(T31:T35,"&gt;0"),0)</f>
        <v>0</v>
      </c>
      <c r="V67" s="190">
        <f>IF(V24=4,SUMIF(V31:V35,"&gt;0"),0)</f>
        <v>0</v>
      </c>
      <c r="W67" s="186">
        <f>IF(W24=4,SUMIF(W31:W35,"&gt;0"),0)</f>
        <v>0</v>
      </c>
      <c r="Y67" s="190">
        <f>IF(Y24=4,SUMIF(Y31:Y35,"&gt;0"),0)</f>
        <v>0</v>
      </c>
      <c r="Z67" s="186">
        <f>IF(Z24=4,SUMIF(Z31:Z35,"&gt;0"),0)</f>
        <v>0</v>
      </c>
      <c r="AB67" s="190">
        <f>IF(AB24=4,SUMIF(AB31:AB35,"&gt;0"),0)</f>
        <v>1</v>
      </c>
      <c r="AC67" s="186">
        <f>IF(AC24=4,SUMIF(AC31:AC35,"&gt;0"),0)</f>
        <v>0</v>
      </c>
      <c r="AE67" s="190">
        <f>IF(AE24=4,SUMIF(AE31:AE35,"&gt;0"),0)</f>
        <v>0</v>
      </c>
      <c r="AF67" s="186">
        <f>SUM(B67:AE67)</f>
        <v>4</v>
      </c>
      <c r="AG67" s="186">
        <f>AF75-AF67</f>
        <v>4</v>
      </c>
      <c r="AW67" s="274"/>
    </row>
    <row r="68" spans="1:54" s="186" customFormat="1" ht="12.75" hidden="1" customHeight="1" x14ac:dyDescent="0.2">
      <c r="A68" s="186" t="s">
        <v>99</v>
      </c>
      <c r="B68" s="186">
        <f>IF(B24=5,SUMIF(B31:B35,"&gt;0"),0)</f>
        <v>0</v>
      </c>
      <c r="D68" s="190">
        <f>IF(D24=5,SUMIF(D31:D35,"&gt;0"),0)</f>
        <v>0</v>
      </c>
      <c r="E68" s="186">
        <f>IF(E24=5,SUMIF(E31:E35,"&gt;0"),0)</f>
        <v>0</v>
      </c>
      <c r="G68" s="190">
        <f>IF(G24=5,SUMIF(G31:G35,"&gt;0"),0)</f>
        <v>0</v>
      </c>
      <c r="H68" s="186">
        <f>IF(H24=5,SUMIF(H31:H35,"&gt;0"),0)</f>
        <v>0</v>
      </c>
      <c r="J68" s="190">
        <f>IF(J24=5,SUMIF(J31:J35,"&gt;0"),0)</f>
        <v>0</v>
      </c>
      <c r="K68" s="186">
        <f>IF(K24=5,SUMIF(K31:K35,"&gt;0"),0)</f>
        <v>0</v>
      </c>
      <c r="M68" s="190">
        <f>IF(M24=5,SUMIF(M31:M35,"&gt;0"),0)</f>
        <v>0</v>
      </c>
      <c r="N68" s="186">
        <f>IF(N24=5,SUMIF(N31:N35,"&gt;0"),0)</f>
        <v>0</v>
      </c>
      <c r="P68" s="190">
        <f>IF(P24=5,SUMIF(P31:P35,"&gt;0"),0)</f>
        <v>0</v>
      </c>
      <c r="Q68" s="186">
        <f>IF(Q24=5,SUMIF(Q31:Q35,"&gt;0"),0)</f>
        <v>0</v>
      </c>
      <c r="S68" s="190">
        <f>IF(S24=5,SUMIF(S31:S35,"&gt;0"),0)</f>
        <v>0</v>
      </c>
      <c r="T68" s="186">
        <f>IF(T24=5,SUMIF(T31:T35,"&gt;0"),0)</f>
        <v>0</v>
      </c>
      <c r="V68" s="190">
        <f>IF(V24=5,SUMIF(V31:V35,"&gt;0"),0)</f>
        <v>0</v>
      </c>
      <c r="W68" s="186">
        <f>IF(W24=5,SUMIF(W31:W35,"&gt;0"),0)</f>
        <v>0</v>
      </c>
      <c r="Y68" s="190">
        <f>IF(Y24=5,SUMIF(Y31:Y35,"&gt;0"),0)</f>
        <v>0</v>
      </c>
      <c r="Z68" s="186">
        <f>IF(Z24=5,SUMIF(Z31:Z35,"&gt;0"),0)</f>
        <v>0</v>
      </c>
      <c r="AB68" s="190">
        <f>IF(AB24=5,SUMIF(AB31:AB35,"&gt;0"),0)</f>
        <v>0</v>
      </c>
      <c r="AC68" s="186">
        <f>IF(AC24=5,SUMIF(AC31:AC35,"&gt;0"),0)</f>
        <v>0</v>
      </c>
      <c r="AE68" s="190">
        <f>IF(AE24=5,SUMIF(AE31:AE35,"&gt;0"),0)</f>
        <v>0</v>
      </c>
      <c r="AF68" s="186">
        <f>SUM(B68:AE68)</f>
        <v>0</v>
      </c>
      <c r="AG68" s="186">
        <f>AF76-AF68</f>
        <v>8</v>
      </c>
      <c r="AW68" s="274"/>
    </row>
    <row r="69" spans="1:54" s="186" customFormat="1" ht="12.75" hidden="1" customHeight="1" x14ac:dyDescent="0.2">
      <c r="D69" s="190"/>
      <c r="G69" s="190"/>
      <c r="J69" s="190"/>
      <c r="M69" s="190"/>
      <c r="P69" s="190"/>
      <c r="S69" s="190"/>
      <c r="V69" s="190"/>
      <c r="Y69" s="190"/>
      <c r="AB69" s="190"/>
      <c r="AE69" s="190"/>
      <c r="AW69" s="274"/>
    </row>
    <row r="70" spans="1:54" s="186" customFormat="1" ht="12.75" hidden="1" customHeight="1" x14ac:dyDescent="0.2">
      <c r="D70" s="190"/>
      <c r="G70" s="190"/>
      <c r="J70" s="190"/>
      <c r="M70" s="190"/>
      <c r="P70" s="190"/>
      <c r="S70" s="190"/>
      <c r="V70" s="190"/>
      <c r="Y70" s="190"/>
      <c r="AB70" s="190"/>
      <c r="AE70" s="190"/>
      <c r="AW70" s="274"/>
    </row>
    <row r="71" spans="1:54" s="186" customFormat="1" ht="51" hidden="1" customHeight="1" x14ac:dyDescent="0.2">
      <c r="A71" s="189" t="s">
        <v>110</v>
      </c>
      <c r="C71" s="186">
        <f>SUMIF(B64:D68,"&gt;0")</f>
        <v>2</v>
      </c>
      <c r="D71" s="190"/>
      <c r="F71" s="186">
        <f>SUMIF(E64:G68,"&gt;0")</f>
        <v>2</v>
      </c>
      <c r="G71" s="190"/>
      <c r="I71" s="186">
        <f>SUMIF(H64:J68,"&gt;0")</f>
        <v>2</v>
      </c>
      <c r="J71" s="190"/>
      <c r="L71" s="186">
        <f>SUMIF(K64:M68,"&gt;0")</f>
        <v>2</v>
      </c>
      <c r="M71" s="190"/>
      <c r="O71" s="186">
        <f>SUMIF(N64:P68,"&gt;0")</f>
        <v>2</v>
      </c>
      <c r="P71" s="190"/>
      <c r="R71" s="186">
        <f>SUMIF(Q64:S68,"&gt;0")</f>
        <v>2</v>
      </c>
      <c r="S71" s="190"/>
      <c r="U71" s="186">
        <f>SUMIF(T64:V68,"&gt;0")</f>
        <v>2</v>
      </c>
      <c r="V71" s="190"/>
      <c r="X71" s="186">
        <f>SUMIF(W64:Y68,"&gt;0")</f>
        <v>2</v>
      </c>
      <c r="Y71" s="190"/>
      <c r="AA71" s="186">
        <f>SUMIF(Z64:AB68,"&gt;0")</f>
        <v>2</v>
      </c>
      <c r="AB71" s="190"/>
      <c r="AD71" s="186">
        <f>SUMIF(AC64:AE68,"&gt;0")</f>
        <v>2</v>
      </c>
      <c r="AE71" s="190"/>
      <c r="AF71" s="189" t="s">
        <v>111</v>
      </c>
      <c r="AW71" s="274"/>
    </row>
    <row r="72" spans="1:54" s="186" customFormat="1" ht="12.75" hidden="1" customHeight="1" x14ac:dyDescent="0.2">
      <c r="A72" s="186" t="s">
        <v>101</v>
      </c>
      <c r="B72" s="186">
        <f>IF(B24=1,C71,0)</f>
        <v>0</v>
      </c>
      <c r="D72" s="190">
        <f>IF(D24=1,C71,0)</f>
        <v>0</v>
      </c>
      <c r="E72" s="186">
        <f>IF(E24=1,F71,0)</f>
        <v>2</v>
      </c>
      <c r="G72" s="190">
        <f>IF(G24=1,F71,0)</f>
        <v>0</v>
      </c>
      <c r="H72" s="186">
        <f>IF(H24=1,I71,0)</f>
        <v>0</v>
      </c>
      <c r="J72" s="190">
        <f>IF(J24=1,I71,0)</f>
        <v>0</v>
      </c>
      <c r="K72" s="186">
        <f>IF(K24=1,L71,0)</f>
        <v>0</v>
      </c>
      <c r="M72" s="190">
        <f>IF(M24=1,L71,0)</f>
        <v>0</v>
      </c>
      <c r="N72" s="186">
        <f>IF(N24=1,O71,0)</f>
        <v>2</v>
      </c>
      <c r="P72" s="190">
        <f>IF(P24=1,O71,0)</f>
        <v>0</v>
      </c>
      <c r="Q72" s="186">
        <f>IF(Q24=1,R71,0)</f>
        <v>0</v>
      </c>
      <c r="S72" s="190">
        <f>IF(S24=1,R71,0)</f>
        <v>0</v>
      </c>
      <c r="T72" s="186">
        <f>IF(T24=1,U71,0)</f>
        <v>0</v>
      </c>
      <c r="V72" s="190">
        <f>IF(V24=1,U71,0)</f>
        <v>0</v>
      </c>
      <c r="W72" s="186">
        <f>IF(W24=1,X71,0)</f>
        <v>2</v>
      </c>
      <c r="Y72" s="190">
        <f>IF(Y24=1,X71,0)</f>
        <v>0</v>
      </c>
      <c r="Z72" s="186">
        <f>IF(Z24=1,AA71,0)</f>
        <v>0</v>
      </c>
      <c r="AB72" s="190">
        <f>IF(AB24=1,AA71,0)</f>
        <v>0</v>
      </c>
      <c r="AC72" s="186">
        <f>IF(AC24=1,AD71,0)</f>
        <v>2</v>
      </c>
      <c r="AE72" s="190">
        <f>IF(AE24=1,AD71,0)</f>
        <v>0</v>
      </c>
      <c r="AF72" s="186">
        <f>SUM(B72:AE72)</f>
        <v>8</v>
      </c>
      <c r="AW72" s="274"/>
    </row>
    <row r="73" spans="1:54" s="186" customFormat="1" ht="12.75" hidden="1" customHeight="1" x14ac:dyDescent="0.2">
      <c r="A73" s="186" t="s">
        <v>102</v>
      </c>
      <c r="B73" s="186">
        <f>IF(B24=2,C71,0)</f>
        <v>2</v>
      </c>
      <c r="D73" s="190">
        <f>IF(D24=2,C71,0)</f>
        <v>0</v>
      </c>
      <c r="E73" s="186">
        <f>IF(E24=2,F71,0)</f>
        <v>0</v>
      </c>
      <c r="G73" s="190">
        <f>IF(G24=2,F71,0)</f>
        <v>0</v>
      </c>
      <c r="H73" s="186">
        <f>IF(H24=2,I71,0)</f>
        <v>0</v>
      </c>
      <c r="J73" s="190">
        <f>IF(J24=2,I71,0)</f>
        <v>0</v>
      </c>
      <c r="K73" s="186">
        <f>IF(K24=2,L71,0)</f>
        <v>2</v>
      </c>
      <c r="M73" s="190">
        <f>IF(M24=2,L71,0)</f>
        <v>0</v>
      </c>
      <c r="N73" s="186">
        <f>IF(N24=2,O71,0)</f>
        <v>0</v>
      </c>
      <c r="P73" s="190">
        <f>IF(P24=2,O71,0)</f>
        <v>0</v>
      </c>
      <c r="Q73" s="186">
        <f>IF(Q24=2,R71,0)</f>
        <v>0</v>
      </c>
      <c r="S73" s="190">
        <f>IF(S24=2,R71,0)</f>
        <v>0</v>
      </c>
      <c r="T73" s="186">
        <f>IF(T24=2,U71,0)</f>
        <v>2</v>
      </c>
      <c r="V73" s="190">
        <f>IF(V24=2,U71,0)</f>
        <v>0</v>
      </c>
      <c r="W73" s="186">
        <f>IF(W24=2,X71,0)</f>
        <v>0</v>
      </c>
      <c r="Y73" s="190">
        <f>IF(Y24=2,X71,0)</f>
        <v>0</v>
      </c>
      <c r="Z73" s="186">
        <f>IF(Z24=2,AA71,0)</f>
        <v>0</v>
      </c>
      <c r="AB73" s="190">
        <f>IF(AB24=2,AA71,0)</f>
        <v>0</v>
      </c>
      <c r="AC73" s="186">
        <f>IF(AC24=2,AD71,0)</f>
        <v>0</v>
      </c>
      <c r="AE73" s="190">
        <f>IF(AE24=2,AD71,0)</f>
        <v>2</v>
      </c>
      <c r="AF73" s="186">
        <f>SUM(B73:AE73)</f>
        <v>8</v>
      </c>
      <c r="AW73" s="274"/>
    </row>
    <row r="74" spans="1:54" s="186" customFormat="1" ht="12.75" hidden="1" customHeight="1" x14ac:dyDescent="0.2">
      <c r="A74" s="186" t="s">
        <v>103</v>
      </c>
      <c r="B74" s="186">
        <f>IF(B24=3,C71,0)</f>
        <v>0</v>
      </c>
      <c r="D74" s="190">
        <f>IF(D24=3,C71,0)</f>
        <v>0</v>
      </c>
      <c r="E74" s="186">
        <f>IF(E24=3,F71,0)</f>
        <v>0</v>
      </c>
      <c r="G74" s="190">
        <f>IF(G24=3,F71,0)</f>
        <v>0</v>
      </c>
      <c r="H74" s="186">
        <f>IF(H24=3,I71,0)</f>
        <v>2</v>
      </c>
      <c r="J74" s="190">
        <f>IF(J24=3,I71,0)</f>
        <v>0</v>
      </c>
      <c r="K74" s="186">
        <f>IF(K24=3,L71,0)</f>
        <v>0</v>
      </c>
      <c r="M74" s="190">
        <f>IF(M24=3,L71,0)</f>
        <v>0</v>
      </c>
      <c r="N74" s="186">
        <f>IF(N24=3,O71,0)</f>
        <v>0</v>
      </c>
      <c r="P74" s="190">
        <f>IF(P24=3,O71,0)</f>
        <v>2</v>
      </c>
      <c r="Q74" s="186">
        <f>IF(Q24=3,R71,0)</f>
        <v>0</v>
      </c>
      <c r="S74" s="190">
        <f>IF(S24=3,R71,0)</f>
        <v>0</v>
      </c>
      <c r="T74" s="186">
        <f>IF(T24=3,U71,0)</f>
        <v>0</v>
      </c>
      <c r="V74" s="190">
        <f>IF(V24=3,U71,0)</f>
        <v>2</v>
      </c>
      <c r="W74" s="186">
        <f>IF(W24=3,X71,0)</f>
        <v>0</v>
      </c>
      <c r="Y74" s="190">
        <f>IF(Y24=3,X71,0)</f>
        <v>0</v>
      </c>
      <c r="Z74" s="186">
        <f>IF(Z24=3,AA71,0)</f>
        <v>2</v>
      </c>
      <c r="AB74" s="190">
        <f>IF(AB24=3,AA71,0)</f>
        <v>0</v>
      </c>
      <c r="AC74" s="186">
        <f>IF(AC24=3,AD71,0)</f>
        <v>0</v>
      </c>
      <c r="AE74" s="190">
        <f>IF(AE24=3,AD71,0)</f>
        <v>0</v>
      </c>
      <c r="AF74" s="186">
        <f>SUM(B74:AE74)</f>
        <v>8</v>
      </c>
      <c r="AW74" s="274"/>
    </row>
    <row r="75" spans="1:54" s="186" customFormat="1" ht="12.75" hidden="1" customHeight="1" x14ac:dyDescent="0.2">
      <c r="A75" s="186" t="s">
        <v>104</v>
      </c>
      <c r="B75" s="186">
        <f>IF(B24=4,C71,0)</f>
        <v>0</v>
      </c>
      <c r="D75" s="190">
        <f>IF(D24=4,C71,0)</f>
        <v>0</v>
      </c>
      <c r="E75" s="186">
        <f>IF(E24=4,F71,0)</f>
        <v>0</v>
      </c>
      <c r="G75" s="190">
        <f>IF(G24=4,F71,0)</f>
        <v>2</v>
      </c>
      <c r="H75" s="186">
        <f>IF(H24=4,I71,0)</f>
        <v>0</v>
      </c>
      <c r="J75" s="190">
        <f>IF(J24=4,I71,0)</f>
        <v>0</v>
      </c>
      <c r="K75" s="186">
        <f>IF(K24=4,L71,0)</f>
        <v>0</v>
      </c>
      <c r="M75" s="190">
        <f>IF(M24=4,L71,0)</f>
        <v>2</v>
      </c>
      <c r="N75" s="186">
        <f>IF(N24=4,O71,0)</f>
        <v>0</v>
      </c>
      <c r="P75" s="190">
        <f>IF(P24=4,O71,0)</f>
        <v>0</v>
      </c>
      <c r="Q75" s="186">
        <f>IF(Q24=4,R71,0)</f>
        <v>2</v>
      </c>
      <c r="S75" s="190">
        <f>IF(S24=4,R71,0)</f>
        <v>0</v>
      </c>
      <c r="T75" s="186">
        <f>IF(T24=4,U71,0)</f>
        <v>0</v>
      </c>
      <c r="V75" s="190">
        <f>IF(V24=4,U71,0)</f>
        <v>0</v>
      </c>
      <c r="W75" s="186">
        <f>IF(W24=4,X71,0)</f>
        <v>0</v>
      </c>
      <c r="Y75" s="190">
        <f>IF(Y24=4,X71,0)</f>
        <v>0</v>
      </c>
      <c r="Z75" s="186">
        <f>IF(Z24=4,AA71,0)</f>
        <v>0</v>
      </c>
      <c r="AB75" s="190">
        <f>IF(AB24=4,AA71,0)</f>
        <v>2</v>
      </c>
      <c r="AC75" s="186">
        <f>IF(AC24=4,AD71,0)</f>
        <v>0</v>
      </c>
      <c r="AE75" s="190">
        <f>IF(AE24=4,AD71,0)</f>
        <v>0</v>
      </c>
      <c r="AF75" s="186">
        <f>SUM(B75:AE75)</f>
        <v>8</v>
      </c>
      <c r="AW75" s="274"/>
    </row>
    <row r="76" spans="1:54" s="186" customFormat="1" ht="12.75" hidden="1" customHeight="1" x14ac:dyDescent="0.2">
      <c r="A76" s="186" t="s">
        <v>105</v>
      </c>
      <c r="B76" s="186">
        <f>IF(B24=5,C71,0)</f>
        <v>0</v>
      </c>
      <c r="D76" s="190">
        <f>IF(D24=5,C71,0)</f>
        <v>2</v>
      </c>
      <c r="E76" s="186">
        <f>IF(E24=5,F71,0)</f>
        <v>0</v>
      </c>
      <c r="G76" s="190">
        <f>IF(G24=5,F71,0)</f>
        <v>0</v>
      </c>
      <c r="H76" s="186">
        <f>IF(H24=5,I71,0)</f>
        <v>0</v>
      </c>
      <c r="J76" s="190">
        <f>IF(J24=5,I71,0)</f>
        <v>2</v>
      </c>
      <c r="K76" s="186">
        <f>IF(K24=5,L71,0)</f>
        <v>0</v>
      </c>
      <c r="M76" s="190">
        <f>IF(M24=5,L71,0)</f>
        <v>0</v>
      </c>
      <c r="N76" s="186">
        <f>IF(N24=5,O71,0)</f>
        <v>0</v>
      </c>
      <c r="P76" s="190">
        <f>IF(P24=5,O71,0)</f>
        <v>0</v>
      </c>
      <c r="Q76" s="186">
        <f>IF(Q24=5,R71,0)</f>
        <v>0</v>
      </c>
      <c r="S76" s="190">
        <f>IF(S24=5,R71,0)</f>
        <v>2</v>
      </c>
      <c r="T76" s="186">
        <f>IF(T24=5,U71,0)</f>
        <v>0</v>
      </c>
      <c r="V76" s="190">
        <f>IF(V24=5,U71,0)</f>
        <v>0</v>
      </c>
      <c r="W76" s="186">
        <f>IF(W24=5,X71,0)</f>
        <v>0</v>
      </c>
      <c r="Y76" s="190">
        <f>IF(Y24=5,X71,0)</f>
        <v>2</v>
      </c>
      <c r="Z76" s="186">
        <f>IF(Z24=5,AA71,0)</f>
        <v>0</v>
      </c>
      <c r="AB76" s="190">
        <f>IF(AB24=5,AA71,0)</f>
        <v>0</v>
      </c>
      <c r="AC76" s="186">
        <f>IF(AC24=5,AD71,0)</f>
        <v>0</v>
      </c>
      <c r="AE76" s="190">
        <f>IF(AE24=5,AD71,0)</f>
        <v>0</v>
      </c>
      <c r="AF76" s="186">
        <f>SUM(B76:AE76)</f>
        <v>8</v>
      </c>
      <c r="AW76" s="274"/>
    </row>
    <row r="77" spans="1:54" hidden="1" x14ac:dyDescent="0.2">
      <c r="A77" s="191"/>
      <c r="B77" s="191"/>
      <c r="C77" s="191"/>
      <c r="D77" s="191"/>
      <c r="E77" s="191"/>
      <c r="F77" s="191"/>
      <c r="G77" s="191"/>
      <c r="H77" s="191"/>
      <c r="I77" s="191"/>
      <c r="J77" s="191"/>
      <c r="K77" s="191"/>
      <c r="L77" s="191"/>
      <c r="M77" s="191"/>
      <c r="N77" s="191"/>
      <c r="O77" s="191"/>
      <c r="P77" s="191"/>
      <c r="Q77" s="191"/>
      <c r="R77" s="191"/>
      <c r="S77" s="191"/>
      <c r="T77" s="191"/>
      <c r="U77" s="191"/>
      <c r="V77" s="191"/>
      <c r="W77" s="191"/>
      <c r="X77" s="191"/>
      <c r="Y77" s="191"/>
      <c r="Z77" s="191"/>
      <c r="AA77" s="191"/>
      <c r="AB77" s="191"/>
      <c r="AC77" s="191"/>
      <c r="AD77" s="191"/>
      <c r="AE77" s="191"/>
      <c r="AF77" s="191"/>
      <c r="AG77" s="191"/>
      <c r="AH77" s="191"/>
      <c r="AI77" s="191"/>
      <c r="AJ77" s="191"/>
      <c r="AK77" s="191"/>
      <c r="AL77" s="191"/>
      <c r="AM77" s="191"/>
      <c r="AN77" s="192"/>
      <c r="AO77" s="192"/>
      <c r="AP77" s="192"/>
      <c r="AQ77" s="192"/>
      <c r="AR77" s="193"/>
      <c r="AS77" s="193"/>
      <c r="AT77" s="193"/>
      <c r="AU77" s="193"/>
      <c r="AV77" s="193"/>
      <c r="BB77" s="194"/>
    </row>
    <row r="78" spans="1:54" s="193" customFormat="1" hidden="1" x14ac:dyDescent="0.2">
      <c r="A78" s="195"/>
      <c r="B78" s="195"/>
      <c r="C78" s="195" t="s">
        <v>112</v>
      </c>
      <c r="D78" s="195">
        <v>1</v>
      </c>
      <c r="E78" s="195"/>
      <c r="F78" s="195"/>
      <c r="G78" s="195">
        <v>2</v>
      </c>
      <c r="H78" s="195"/>
      <c r="I78" s="195"/>
      <c r="J78" s="195">
        <v>3</v>
      </c>
      <c r="K78" s="195"/>
      <c r="L78" s="195"/>
      <c r="M78" s="195">
        <v>4</v>
      </c>
      <c r="N78" s="195"/>
      <c r="O78" s="195"/>
      <c r="P78" s="195">
        <v>5</v>
      </c>
      <c r="Q78" s="195"/>
      <c r="R78" s="195"/>
      <c r="S78" s="195">
        <v>6</v>
      </c>
      <c r="T78" s="195"/>
      <c r="U78" s="195"/>
      <c r="V78" s="195">
        <v>7</v>
      </c>
      <c r="W78" s="195"/>
      <c r="X78" s="195"/>
      <c r="Y78" s="195">
        <v>8</v>
      </c>
      <c r="Z78" s="195"/>
      <c r="AA78" s="195"/>
      <c r="AB78" s="195">
        <v>9</v>
      </c>
      <c r="AC78" s="195"/>
      <c r="AD78" s="195"/>
      <c r="AE78" s="195">
        <v>10</v>
      </c>
      <c r="AF78" s="134"/>
      <c r="AG78" s="195"/>
      <c r="AI78" s="196"/>
      <c r="AJ78" s="134"/>
      <c r="AK78" s="134"/>
      <c r="AL78" s="134"/>
      <c r="AM78" s="134"/>
      <c r="AN78" s="134"/>
      <c r="AO78" s="134"/>
      <c r="AT78" s="196" t="s">
        <v>113</v>
      </c>
      <c r="AW78" s="197"/>
      <c r="BB78" s="197"/>
    </row>
    <row r="79" spans="1:54" s="193" customFormat="1" hidden="1" x14ac:dyDescent="0.2">
      <c r="A79" s="198">
        <v>1</v>
      </c>
      <c r="B79" s="198" t="str">
        <f>E8</f>
        <v>PRV - 13U Bayley</v>
      </c>
      <c r="C79" s="198">
        <f>VLOOKUP(B79,AU$3:AY$12,3,FALSE)</f>
        <v>1818.9402748303323</v>
      </c>
      <c r="D79" s="198">
        <f>IF(B72,B87,IF(D72,D87,C79))</f>
        <v>1818.9402748303323</v>
      </c>
      <c r="E79" s="198"/>
      <c r="F79" s="198"/>
      <c r="G79" s="198">
        <f>IF(E72,E87,IF(G72,G87,D79))</f>
        <v>1835.5381252631068</v>
      </c>
      <c r="H79" s="198"/>
      <c r="I79" s="198"/>
      <c r="J79" s="198">
        <f>IF(H72,H87,IF(J72,J87,G79))</f>
        <v>1835.5381252631068</v>
      </c>
      <c r="K79" s="198"/>
      <c r="L79" s="198"/>
      <c r="M79" s="198">
        <f>IF(K72,K87,IF(M72,M87,J79))</f>
        <v>1835.5381252631068</v>
      </c>
      <c r="N79" s="198"/>
      <c r="O79" s="198"/>
      <c r="P79" s="198">
        <f>IF(N72,N87,IF(P72,P87,M79))</f>
        <v>1856.7280682994535</v>
      </c>
      <c r="Q79" s="198"/>
      <c r="R79" s="198"/>
      <c r="S79" s="198">
        <f>IF(Q72,Q87,IF(S72,S87,P79))</f>
        <v>1856.7280682994535</v>
      </c>
      <c r="T79" s="198"/>
      <c r="U79" s="198"/>
      <c r="V79" s="198">
        <f>IF(T72,T87,IF(V72,V87,S79))</f>
        <v>1856.7280682994535</v>
      </c>
      <c r="W79" s="198"/>
      <c r="X79" s="198"/>
      <c r="Y79" s="198">
        <f>IF(W72,W87,IF(Y72,Y87,V79))</f>
        <v>1865.6869569782</v>
      </c>
      <c r="Z79" s="198"/>
      <c r="AA79" s="198"/>
      <c r="AB79" s="198">
        <f>IF(Z72,Z87,IF(AB72,AB87,Y79))</f>
        <v>1865.6869569782</v>
      </c>
      <c r="AC79" s="198"/>
      <c r="AD79" s="198"/>
      <c r="AE79" s="198">
        <f>IF(AC72,AC87,IF(AE72,AE87,AB79))</f>
        <v>1881.7631020478532</v>
      </c>
      <c r="AF79" s="134"/>
      <c r="AG79" s="134"/>
      <c r="AJ79" s="134"/>
      <c r="AK79" s="134"/>
      <c r="AL79" s="134"/>
      <c r="AM79" s="134"/>
      <c r="AN79" s="134"/>
      <c r="AO79" s="134"/>
      <c r="AT79" s="193" t="str">
        <f>B79</f>
        <v>PRV - 13U Bayley</v>
      </c>
      <c r="AU79" s="193">
        <f>AE79</f>
        <v>1881.7631020478532</v>
      </c>
      <c r="AW79" s="197"/>
      <c r="BB79" s="197"/>
    </row>
    <row r="80" spans="1:54" s="193" customFormat="1" hidden="1" x14ac:dyDescent="0.2">
      <c r="A80" s="198">
        <v>2</v>
      </c>
      <c r="B80" s="198" t="str">
        <f>E10</f>
        <v>CSRA Heat 13 Black</v>
      </c>
      <c r="C80" s="198">
        <f>VLOOKUP(B80,AU$3:AY$12,3,FALSE)</f>
        <v>1693.3818306474545</v>
      </c>
      <c r="D80" s="198">
        <f>IF(B73,B87,IF(D73,D87,C80))</f>
        <v>1718.3568622967625</v>
      </c>
      <c r="E80" s="198"/>
      <c r="F80" s="198"/>
      <c r="G80" s="198">
        <f>IF(E73,E87,IF(G73,G87,D80))</f>
        <v>1718.3568622967625</v>
      </c>
      <c r="H80" s="198"/>
      <c r="I80" s="198"/>
      <c r="J80" s="198">
        <f>IF(H73,H87,IF(J73,J87,G80))</f>
        <v>1718.3568622967625</v>
      </c>
      <c r="K80" s="198"/>
      <c r="L80" s="198"/>
      <c r="M80" s="198">
        <f>IF(K73,K87,IF(M73,M87,J80))</f>
        <v>1709.5360890075817</v>
      </c>
      <c r="N80" s="198"/>
      <c r="O80" s="198"/>
      <c r="P80" s="198">
        <f>IF(N73,N87,IF(P73,P87,M80))</f>
        <v>1709.5360890075817</v>
      </c>
      <c r="Q80" s="198"/>
      <c r="R80" s="198"/>
      <c r="S80" s="198">
        <f>IF(Q73,Q87,IF(S73,S87,P80))</f>
        <v>1709.5360890075817</v>
      </c>
      <c r="T80" s="198"/>
      <c r="U80" s="198"/>
      <c r="V80" s="198">
        <f>IF(T73,T87,IF(V73,V87,S80))</f>
        <v>1675.9390256668144</v>
      </c>
      <c r="W80" s="198"/>
      <c r="X80" s="198"/>
      <c r="Y80" s="198">
        <f>IF(W73,W87,IF(Y73,Y87,V80))</f>
        <v>1675.9390256668144</v>
      </c>
      <c r="Z80" s="198"/>
      <c r="AA80" s="198"/>
      <c r="AB80" s="198">
        <f>IF(Z73,Z87,IF(AB73,AB87,Y80))</f>
        <v>1675.9390256668144</v>
      </c>
      <c r="AC80" s="198"/>
      <c r="AD80" s="198"/>
      <c r="AE80" s="198">
        <f>IF(AC73,AC87,IF(AE73,AE87,AB80))</f>
        <v>1659.8628805971612</v>
      </c>
      <c r="AF80" s="134"/>
      <c r="AG80" s="134"/>
      <c r="AJ80" s="134"/>
      <c r="AL80" s="134"/>
      <c r="AM80" s="134"/>
      <c r="AN80" s="134"/>
      <c r="AO80" s="134"/>
      <c r="AT80" s="193" t="str">
        <f>B80</f>
        <v>CSRA Heat 13 Black</v>
      </c>
      <c r="AU80" s="193">
        <f>AE80</f>
        <v>1659.8628805971612</v>
      </c>
      <c r="AW80" s="197"/>
      <c r="BB80" s="197"/>
    </row>
    <row r="81" spans="1:54" s="193" customFormat="1" hidden="1" x14ac:dyDescent="0.2">
      <c r="A81" s="198">
        <v>3</v>
      </c>
      <c r="B81" s="198" t="str">
        <f>E12</f>
        <v>Foothills 13 May</v>
      </c>
      <c r="C81" s="198">
        <f>VLOOKUP(B81,AU$3:AY$12,3,FALSE)</f>
        <v>1690.2861109118255</v>
      </c>
      <c r="D81" s="198">
        <f>IF(B74,B87,IF(D74,D87,C81))</f>
        <v>1690.2861109118255</v>
      </c>
      <c r="E81" s="198"/>
      <c r="F81" s="198"/>
      <c r="G81" s="198">
        <f>IF(E74,E87,IF(G74,G87,D81))</f>
        <v>1690.2861109118255</v>
      </c>
      <c r="H81" s="198"/>
      <c r="I81" s="198"/>
      <c r="J81" s="198">
        <f>IF(H74,H87,IF(J74,J87,G81))</f>
        <v>1713.3717186677525</v>
      </c>
      <c r="K81" s="198"/>
      <c r="L81" s="198"/>
      <c r="M81" s="198">
        <f>IF(K74,K87,IF(M74,M87,J81))</f>
        <v>1713.3717186677525</v>
      </c>
      <c r="N81" s="198"/>
      <c r="O81" s="198"/>
      <c r="P81" s="198">
        <f>IF(N74,N87,IF(P74,P87,M81))</f>
        <v>1692.1817756314058</v>
      </c>
      <c r="Q81" s="198"/>
      <c r="R81" s="198"/>
      <c r="S81" s="198">
        <f>IF(Q74,Q87,IF(S74,S87,P81))</f>
        <v>1692.1817756314058</v>
      </c>
      <c r="T81" s="198"/>
      <c r="U81" s="198"/>
      <c r="V81" s="198">
        <f>IF(T74,T87,IF(V74,V87,S81))</f>
        <v>1725.7788389721732</v>
      </c>
      <c r="W81" s="198"/>
      <c r="X81" s="198"/>
      <c r="Y81" s="198">
        <f>IF(W74,W87,IF(Y74,Y87,V81))</f>
        <v>1725.7788389721732</v>
      </c>
      <c r="Z81" s="198"/>
      <c r="AA81" s="198"/>
      <c r="AB81" s="198">
        <f>IF(Z74,Z87,IF(AB74,AB87,Y81))</f>
        <v>1719.3747829432907</v>
      </c>
      <c r="AC81" s="198"/>
      <c r="AD81" s="198"/>
      <c r="AE81" s="198">
        <f>IF(AC74,AC87,IF(AE74,AE87,AB81))</f>
        <v>1719.3747829432907</v>
      </c>
      <c r="AF81" s="134"/>
      <c r="AG81" s="134"/>
      <c r="AJ81" s="134"/>
      <c r="AL81" s="134"/>
      <c r="AM81" s="134"/>
      <c r="AN81" s="134"/>
      <c r="AO81" s="134"/>
      <c r="AT81" s="193" t="str">
        <f>B81</f>
        <v>Foothills 13 May</v>
      </c>
      <c r="AU81" s="193">
        <f>AE81</f>
        <v>1719.3747829432907</v>
      </c>
      <c r="AW81" s="197"/>
      <c r="BB81" s="197"/>
    </row>
    <row r="82" spans="1:54" s="193" customFormat="1" hidden="1" x14ac:dyDescent="0.2">
      <c r="A82" s="198">
        <v>4</v>
      </c>
      <c r="B82" s="198" t="str">
        <f>E14</f>
        <v>Branchville U14 Juniors</v>
      </c>
      <c r="C82" s="198">
        <f>VLOOKUP(B82,AU$3:AY$12,3,FALSE)</f>
        <v>1636.641799015636</v>
      </c>
      <c r="D82" s="198">
        <f>IF(B75,B87,IF(D75,D87,C82))</f>
        <v>1636.641799015636</v>
      </c>
      <c r="E82" s="198"/>
      <c r="F82" s="198"/>
      <c r="G82" s="198">
        <f>IF(E75,E87,IF(G75,G87,D82))</f>
        <v>1620.0439485828613</v>
      </c>
      <c r="H82" s="198"/>
      <c r="I82" s="198"/>
      <c r="J82" s="198">
        <f>IF(H75,H87,IF(J75,J87,G82))</f>
        <v>1620.0439485828613</v>
      </c>
      <c r="K82" s="198"/>
      <c r="L82" s="198"/>
      <c r="M82" s="198">
        <f>IF(K75,K87,IF(M75,M87,J82))</f>
        <v>1628.8647218720421</v>
      </c>
      <c r="N82" s="198"/>
      <c r="O82" s="198"/>
      <c r="P82" s="198">
        <f>IF(N75,N87,IF(P75,P87,M82))</f>
        <v>1628.8647218720421</v>
      </c>
      <c r="Q82" s="198"/>
      <c r="R82" s="198"/>
      <c r="S82" s="198">
        <f>IF(Q75,Q87,IF(S75,S87,P82))</f>
        <v>1655.2964614569648</v>
      </c>
      <c r="T82" s="198"/>
      <c r="U82" s="198"/>
      <c r="V82" s="198">
        <f>IF(T75,T87,IF(V75,V87,S82))</f>
        <v>1655.2964614569648</v>
      </c>
      <c r="W82" s="198"/>
      <c r="X82" s="198"/>
      <c r="Y82" s="198">
        <f>IF(W75,W87,IF(Y75,Y87,V82))</f>
        <v>1655.2964614569648</v>
      </c>
      <c r="Z82" s="198"/>
      <c r="AA82" s="198"/>
      <c r="AB82" s="198">
        <f>IF(Z75,Z87,IF(AB75,AB87,Y82))</f>
        <v>1661.7005174858473</v>
      </c>
      <c r="AC82" s="198"/>
      <c r="AD82" s="198"/>
      <c r="AE82" s="198">
        <f>IF(AC75,AC87,IF(AE75,AE87,AB82))</f>
        <v>1661.7005174858473</v>
      </c>
      <c r="AF82" s="134"/>
      <c r="AG82" s="134"/>
      <c r="AJ82" s="134"/>
      <c r="AL82" s="134"/>
      <c r="AM82" s="134"/>
      <c r="AN82" s="134"/>
      <c r="AO82" s="134"/>
      <c r="AT82" s="193" t="str">
        <f>B82</f>
        <v>Branchville U14 Juniors</v>
      </c>
      <c r="AU82" s="193">
        <f>AE82</f>
        <v>1661.7005174858473</v>
      </c>
      <c r="AW82" s="197"/>
      <c r="BB82" s="197"/>
    </row>
    <row r="83" spans="1:54" s="193" customFormat="1" hidden="1" x14ac:dyDescent="0.2">
      <c r="A83" s="198">
        <v>5</v>
      </c>
      <c r="B83" s="198" t="str">
        <f>E16</f>
        <v>PRV - 13U Brittany</v>
      </c>
      <c r="C83" s="198">
        <f>VLOOKUP(B83,AU$3:AY$12,3,FALSE)</f>
        <v>1615.8472257401343</v>
      </c>
      <c r="D83" s="198">
        <f>IF(B76,B87,IF(D76,D87,C83))</f>
        <v>1590.8721940908263</v>
      </c>
      <c r="E83" s="198"/>
      <c r="F83" s="198"/>
      <c r="G83" s="198">
        <f>IF(E76,E87,IF(G76,G87,D83))</f>
        <v>1590.8721940908263</v>
      </c>
      <c r="H83" s="198"/>
      <c r="I83" s="198"/>
      <c r="J83" s="198">
        <f>IF(H76,H87,IF(J76,J87,G83))</f>
        <v>1567.7865863348993</v>
      </c>
      <c r="K83" s="198"/>
      <c r="L83" s="198"/>
      <c r="M83" s="198">
        <f>IF(K76,K87,IF(M76,M87,J83))</f>
        <v>1567.7865863348993</v>
      </c>
      <c r="N83" s="198"/>
      <c r="O83" s="198"/>
      <c r="P83" s="198">
        <f>IF(N76,N87,IF(P76,P87,M83))</f>
        <v>1567.7865863348993</v>
      </c>
      <c r="Q83" s="198"/>
      <c r="R83" s="198"/>
      <c r="S83" s="198">
        <f>IF(Q76,Q87,IF(S76,S87,P83))</f>
        <v>1541.3548467499766</v>
      </c>
      <c r="T83" s="198"/>
      <c r="U83" s="198"/>
      <c r="V83" s="198">
        <f>IF(T76,T87,IF(V76,V87,S83))</f>
        <v>1541.3548467499766</v>
      </c>
      <c r="W83" s="198"/>
      <c r="X83" s="198"/>
      <c r="Y83" s="198">
        <f>IF(W76,W87,IF(Y76,Y87,V83))</f>
        <v>1532.3959580712301</v>
      </c>
      <c r="Z83" s="198"/>
      <c r="AA83" s="198"/>
      <c r="AB83" s="198">
        <f>IF(Z76,Z87,IF(AB76,AB87,Y83))</f>
        <v>1532.3959580712301</v>
      </c>
      <c r="AC83" s="198"/>
      <c r="AD83" s="198"/>
      <c r="AE83" s="198">
        <f>IF(AC76,AC87,IF(AE76,AE87,AB83))</f>
        <v>1532.3959580712301</v>
      </c>
      <c r="AF83" s="134"/>
      <c r="AG83" s="134"/>
      <c r="AJ83" s="134"/>
      <c r="AL83" s="134"/>
      <c r="AM83" s="134"/>
      <c r="AN83" s="134"/>
      <c r="AO83" s="134"/>
      <c r="AT83" s="193" t="str">
        <f>B83</f>
        <v>PRV - 13U Brittany</v>
      </c>
      <c r="AU83" s="193">
        <f>AE83</f>
        <v>1532.3959580712301</v>
      </c>
      <c r="AW83" s="197"/>
      <c r="BB83" s="197"/>
    </row>
    <row r="84" spans="1:54" s="193" customFormat="1" hidden="1" x14ac:dyDescent="0.2">
      <c r="A84" s="198"/>
      <c r="B84" s="198"/>
      <c r="C84" s="198"/>
      <c r="D84" s="198"/>
      <c r="E84" s="198"/>
      <c r="F84" s="198"/>
      <c r="G84" s="198"/>
      <c r="H84" s="198"/>
      <c r="I84" s="198"/>
      <c r="J84" s="198"/>
      <c r="K84" s="198"/>
      <c r="L84" s="198"/>
      <c r="M84" s="198"/>
      <c r="N84" s="198"/>
      <c r="O84" s="198"/>
      <c r="P84" s="198"/>
      <c r="Q84" s="198"/>
      <c r="R84" s="198"/>
      <c r="S84" s="198"/>
      <c r="T84" s="198"/>
      <c r="U84" s="198"/>
      <c r="V84" s="198"/>
      <c r="W84" s="198"/>
      <c r="X84" s="198"/>
      <c r="Y84" s="198"/>
      <c r="Z84" s="198"/>
      <c r="AA84" s="198"/>
      <c r="AB84" s="198"/>
      <c r="AC84" s="198"/>
      <c r="AD84" s="198"/>
      <c r="AE84" s="198"/>
      <c r="AF84" s="134"/>
      <c r="AG84" s="134"/>
      <c r="AJ84" s="134"/>
      <c r="AL84" s="134"/>
      <c r="AM84" s="134"/>
      <c r="AN84" s="134"/>
      <c r="AO84" s="134"/>
      <c r="AW84" s="197"/>
      <c r="BB84" s="197"/>
    </row>
    <row r="85" spans="1:54" s="193" customFormat="1" hidden="1" x14ac:dyDescent="0.2">
      <c r="A85" s="198" t="s">
        <v>114</v>
      </c>
      <c r="B85" s="198">
        <f>VLOOKUP(B24,$A79:$AE83,3,FALSE)</f>
        <v>1693.3818306474545</v>
      </c>
      <c r="C85" s="198">
        <v>1</v>
      </c>
      <c r="D85" s="198">
        <f>VLOOKUP(D24,$A79:$AE83,3,FALSE)</f>
        <v>1615.8472257401343</v>
      </c>
      <c r="E85" s="198">
        <f>VLOOKUP(E24,$A79:$AE83,4,FALSE)</f>
        <v>1818.9402748303323</v>
      </c>
      <c r="F85" s="198">
        <v>2</v>
      </c>
      <c r="G85" s="198">
        <f>VLOOKUP(G24,$A79:$AE83,4,FALSE)</f>
        <v>1636.641799015636</v>
      </c>
      <c r="H85" s="198">
        <f>VLOOKUP(H24,$A79:$AE83,7,FALSE)</f>
        <v>1690.2861109118255</v>
      </c>
      <c r="I85" s="198">
        <v>3</v>
      </c>
      <c r="J85" s="198">
        <f>VLOOKUP(J24,$A79:$AE83,7,FALSE)</f>
        <v>1590.8721940908263</v>
      </c>
      <c r="K85" s="198">
        <f>VLOOKUP(K24,$A79:$AE83,10,FALSE)</f>
        <v>1718.3568622967625</v>
      </c>
      <c r="L85" s="198">
        <v>4</v>
      </c>
      <c r="M85" s="198">
        <f>VLOOKUP(M24,$A79:$AE83,10,FALSE)</f>
        <v>1620.0439485828613</v>
      </c>
      <c r="N85" s="198">
        <f>VLOOKUP(N24,$A79:$AE83,13,FALSE)</f>
        <v>1835.5381252631068</v>
      </c>
      <c r="O85" s="198">
        <v>5</v>
      </c>
      <c r="P85" s="198">
        <f>VLOOKUP(P24,$A79:$AE83,13,FALSE)</f>
        <v>1713.3717186677525</v>
      </c>
      <c r="Q85" s="198">
        <f>VLOOKUP(Q24,$A79:$AE83,16,FALSE)</f>
        <v>1628.8647218720421</v>
      </c>
      <c r="R85" s="198">
        <v>6</v>
      </c>
      <c r="S85" s="198">
        <f>VLOOKUP(S24,$A79:$AE83,16,FALSE)</f>
        <v>1567.7865863348993</v>
      </c>
      <c r="T85" s="198">
        <f>VLOOKUP(T24,$A79:$AE83,19,FALSE)</f>
        <v>1709.5360890075817</v>
      </c>
      <c r="U85" s="198">
        <v>7</v>
      </c>
      <c r="V85" s="198">
        <f>VLOOKUP(V24,$A79:$AE83,19,FALSE)</f>
        <v>1692.1817756314058</v>
      </c>
      <c r="W85" s="198">
        <f>VLOOKUP(W24,$A79:$AE83,22,FALSE)</f>
        <v>1856.7280682994535</v>
      </c>
      <c r="X85" s="198">
        <v>8</v>
      </c>
      <c r="Y85" s="198">
        <f>VLOOKUP(Y24,$A79:$AE83,22,FALSE)</f>
        <v>1541.3548467499766</v>
      </c>
      <c r="Z85" s="198">
        <f>VLOOKUP(Z24,$A79:$AE83,25,FALSE)</f>
        <v>1725.7788389721732</v>
      </c>
      <c r="AA85" s="198">
        <v>9</v>
      </c>
      <c r="AB85" s="198">
        <f>VLOOKUP(AB24,$A79:$AE83,25,FALSE)</f>
        <v>1655.2964614569648</v>
      </c>
      <c r="AC85" s="198">
        <f>VLOOKUP(AC24,$A79:$AE83,28,FALSE)</f>
        <v>1865.6869569782</v>
      </c>
      <c r="AD85" s="198">
        <v>10</v>
      </c>
      <c r="AE85" s="198">
        <f>VLOOKUP(AE24,$A79:$AE83,28,FALSE)</f>
        <v>1675.9390256668144</v>
      </c>
      <c r="AF85" s="134"/>
      <c r="AG85" s="191"/>
      <c r="AH85" s="191"/>
      <c r="AI85" s="191"/>
      <c r="AJ85" s="191"/>
      <c r="AK85" s="191"/>
      <c r="AL85" s="191"/>
      <c r="AM85" s="191"/>
      <c r="AN85" s="192"/>
      <c r="AO85" s="192"/>
      <c r="AP85" s="192"/>
      <c r="AQ85" s="192"/>
      <c r="AW85" s="197"/>
      <c r="BB85" s="197"/>
    </row>
    <row r="86" spans="1:54" s="203" customFormat="1" hidden="1" x14ac:dyDescent="0.2">
      <c r="A86" s="199" t="s">
        <v>115</v>
      </c>
      <c r="B86" s="199">
        <f>1/(1+(10^-((B85-D85)/400)))*(B36+D36)</f>
        <v>1.2195302609591245</v>
      </c>
      <c r="C86" s="199"/>
      <c r="D86" s="199">
        <f>1/(1+(10^-((D85-B85)/400)))*(B36+D36)</f>
        <v>0.78046973904087535</v>
      </c>
      <c r="E86" s="199">
        <f>1/(1+(10^-((E85-G85)/400)))*(E36+G36)</f>
        <v>1.4813171739757927</v>
      </c>
      <c r="F86" s="199"/>
      <c r="G86" s="199">
        <f>1/(1+(10^-((G85-E85)/400)))*(E36+G36)</f>
        <v>0.51868282602420746</v>
      </c>
      <c r="H86" s="199">
        <f>1/(1+(10^-((H85-J85)/400)))*(H36+J36)</f>
        <v>1.2785747576272835</v>
      </c>
      <c r="I86" s="199"/>
      <c r="J86" s="199">
        <f>1/(1+(10^-((J85-H85)/400)))*(H36+J36)</f>
        <v>0.72142524237271655</v>
      </c>
      <c r="K86" s="199">
        <f>1/(1+(10^-((K85-M85)/400)))*(K36+M36)</f>
        <v>1.2756491652869013</v>
      </c>
      <c r="L86" s="199"/>
      <c r="M86" s="199">
        <f>1/(1+(10^-((M85-K85)/400)))*(K36+M36)</f>
        <v>0.72435083471309869</v>
      </c>
      <c r="N86" s="199">
        <f>1/(1+(10^-((N85-P85)/400)))*(N36+P36)</f>
        <v>1.3378142801141684</v>
      </c>
      <c r="O86" s="199"/>
      <c r="P86" s="199">
        <f>1/(1+(10^-((P85-N85)/400)))*(N36+P36)</f>
        <v>0.66218571988583164</v>
      </c>
      <c r="Q86" s="199">
        <f>1/(1+(10^-((Q85-S85)/400)))*(Q36+S36)</f>
        <v>1.1740081379711618</v>
      </c>
      <c r="R86" s="199"/>
      <c r="S86" s="199">
        <f>1/(1+(10^-((S85-Q85)/400)))*(Q36+S36)</f>
        <v>0.82599186202883823</v>
      </c>
      <c r="T86" s="199">
        <f>1/(1+(10^-((T85-V85)/400)))*(T36+V36)</f>
        <v>1.0499082293989832</v>
      </c>
      <c r="U86" s="199"/>
      <c r="V86" s="199">
        <f>1/(1+(10^-((V85-T85)/400)))*(T36+V36)</f>
        <v>0.95009177060101668</v>
      </c>
      <c r="W86" s="199">
        <f>1/(1+(10^-((W85-Y85)/400)))*(W36+Y36)</f>
        <v>1.7200347287891724</v>
      </c>
      <c r="X86" s="199"/>
      <c r="Y86" s="199">
        <f>1/(1+(10^-((Y85-W85)/400)))*(W36+Y36)</f>
        <v>0.27996527121082776</v>
      </c>
      <c r="Z86" s="199">
        <f>1/(1+(10^-((Z85-AB85)/400)))*(Z36+AB36)</f>
        <v>1.2001267509025733</v>
      </c>
      <c r="AA86" s="199"/>
      <c r="AB86" s="199">
        <f>1/(1+(10^-((AB85-Z85)/400)))*(Z36+AB36)</f>
        <v>0.79987324909742685</v>
      </c>
      <c r="AC86" s="199">
        <f>1/(1+(10^-((AC85-AE85)/400)))*(AC36+AE36)</f>
        <v>1.497620466573335</v>
      </c>
      <c r="AD86" s="199"/>
      <c r="AE86" s="199">
        <f>1/(1+(10^-((AE85-AC85)/400)))*(AC36+AE36)</f>
        <v>0.50237953342666475</v>
      </c>
      <c r="AF86" s="200"/>
      <c r="AG86" s="201"/>
      <c r="AH86" s="201"/>
      <c r="AI86" s="201"/>
      <c r="AJ86" s="201"/>
      <c r="AK86" s="201"/>
      <c r="AL86" s="201"/>
      <c r="AM86" s="201"/>
      <c r="AN86" s="202"/>
      <c r="AO86" s="202"/>
      <c r="AP86" s="202"/>
      <c r="AQ86" s="202"/>
      <c r="AW86" s="204"/>
      <c r="BB86" s="204"/>
    </row>
    <row r="87" spans="1:54" s="209" customFormat="1" hidden="1" x14ac:dyDescent="0.2">
      <c r="A87" s="205" t="s">
        <v>116</v>
      </c>
      <c r="B87" s="205">
        <f>B85+(B36-B86)*$BA$1</f>
        <v>1718.3568622967625</v>
      </c>
      <c r="C87" s="205"/>
      <c r="D87" s="205">
        <f>D85+(D36-D86)*$BA$1</f>
        <v>1590.8721940908263</v>
      </c>
      <c r="E87" s="205">
        <f>E85+(E36-E86)*$BA$1</f>
        <v>1835.5381252631068</v>
      </c>
      <c r="F87" s="205"/>
      <c r="G87" s="205">
        <f>G85+(G36-G86)*$BA$1</f>
        <v>1620.0439485828613</v>
      </c>
      <c r="H87" s="205">
        <f>H85+(H36-H86)*$BA$1</f>
        <v>1713.3717186677525</v>
      </c>
      <c r="I87" s="205"/>
      <c r="J87" s="205">
        <f>J85+(J36-J86)*$BA$1</f>
        <v>1567.7865863348993</v>
      </c>
      <c r="K87" s="205">
        <f>K85+(K36-K86)*$BA$1</f>
        <v>1709.5360890075817</v>
      </c>
      <c r="L87" s="205"/>
      <c r="M87" s="205">
        <f>M85+(M36-M86)*$BA$1</f>
        <v>1628.8647218720421</v>
      </c>
      <c r="N87" s="205">
        <f>N85+(N36-N86)*$BA$1</f>
        <v>1856.7280682994535</v>
      </c>
      <c r="O87" s="205"/>
      <c r="P87" s="205">
        <f>P85+(P36-P86)*$BA$1</f>
        <v>1692.1817756314058</v>
      </c>
      <c r="Q87" s="205">
        <f>Q85+(Q36-Q86)*$BA$1</f>
        <v>1655.2964614569648</v>
      </c>
      <c r="R87" s="205"/>
      <c r="S87" s="205">
        <f>S85+(S36-S86)*$BA$1</f>
        <v>1541.3548467499766</v>
      </c>
      <c r="T87" s="205">
        <f>T85+(T36-T86)*$BA$1</f>
        <v>1675.9390256668144</v>
      </c>
      <c r="U87" s="205"/>
      <c r="V87" s="205">
        <f>V85+(V36-V86)*$BA$1</f>
        <v>1725.7788389721732</v>
      </c>
      <c r="W87" s="205">
        <f>W85+(W36-W86)*$BA$1</f>
        <v>1865.6869569782</v>
      </c>
      <c r="X87" s="205"/>
      <c r="Y87" s="205">
        <f>Y85+(Y36-Y86)*$BA$1</f>
        <v>1532.3959580712301</v>
      </c>
      <c r="Z87" s="205">
        <f>Z85+(Z36-Z86)*$BA$1</f>
        <v>1719.3747829432907</v>
      </c>
      <c r="AA87" s="205"/>
      <c r="AB87" s="205">
        <f>AB85+(AB36-AB86)*$BA$1</f>
        <v>1661.7005174858473</v>
      </c>
      <c r="AC87" s="205">
        <f>AC85+(AC36-AC86)*$BA$1</f>
        <v>1881.7631020478532</v>
      </c>
      <c r="AD87" s="205"/>
      <c r="AE87" s="205">
        <f>AE85+(AE36-AE86)*$BA$1</f>
        <v>1659.8628805971612</v>
      </c>
      <c r="AF87" s="206"/>
      <c r="AG87" s="207"/>
      <c r="AH87" s="207"/>
      <c r="AI87" s="207"/>
      <c r="AJ87" s="207"/>
      <c r="AK87" s="207"/>
      <c r="AL87" s="207"/>
      <c r="AM87" s="207"/>
      <c r="AN87" s="208"/>
      <c r="AO87" s="208"/>
      <c r="AP87" s="208"/>
      <c r="AQ87" s="208"/>
      <c r="AW87" s="210"/>
      <c r="BB87" s="210"/>
    </row>
    <row r="88" spans="1:54" s="209" customFormat="1" hidden="1" x14ac:dyDescent="0.2">
      <c r="A88" s="205"/>
      <c r="B88" s="205"/>
      <c r="C88" s="205"/>
      <c r="D88" s="205"/>
      <c r="E88" s="205"/>
      <c r="F88" s="205"/>
      <c r="G88" s="205"/>
      <c r="H88" s="205"/>
      <c r="I88" s="205"/>
      <c r="J88" s="205"/>
      <c r="K88" s="205"/>
      <c r="L88" s="205"/>
      <c r="M88" s="205"/>
      <c r="N88" s="205"/>
      <c r="O88" s="205"/>
      <c r="P88" s="205"/>
      <c r="Q88" s="205"/>
      <c r="R88" s="205"/>
      <c r="S88" s="205"/>
      <c r="T88" s="205"/>
      <c r="U88" s="205"/>
      <c r="V88" s="205"/>
      <c r="W88" s="205"/>
      <c r="X88" s="205"/>
      <c r="Y88" s="205"/>
      <c r="Z88" s="205"/>
      <c r="AA88" s="205"/>
      <c r="AB88" s="205"/>
      <c r="AC88" s="205"/>
      <c r="AD88" s="205"/>
      <c r="AE88" s="205"/>
      <c r="AF88" s="206"/>
      <c r="AG88" s="207"/>
      <c r="AH88" s="207"/>
      <c r="AI88" s="207"/>
      <c r="AJ88" s="207"/>
      <c r="AK88" s="207"/>
      <c r="AL88" s="207"/>
      <c r="AM88" s="207"/>
      <c r="AN88" s="208"/>
      <c r="AO88" s="208"/>
      <c r="AP88" s="208"/>
      <c r="AQ88" s="208"/>
      <c r="AW88" s="210"/>
      <c r="BB88" s="210"/>
    </row>
    <row r="89" spans="1:54" s="193" customFormat="1" x14ac:dyDescent="0.2">
      <c r="A89" s="452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452"/>
      <c r="C89" s="452"/>
      <c r="D89" s="452"/>
      <c r="E89" s="452"/>
      <c r="F89" s="452"/>
      <c r="G89" s="452"/>
      <c r="H89" s="452"/>
      <c r="I89" s="452"/>
      <c r="J89" s="452"/>
      <c r="K89" s="452"/>
      <c r="L89" s="452"/>
      <c r="M89" s="452"/>
      <c r="N89" s="452"/>
      <c r="O89" s="452"/>
      <c r="P89" s="452"/>
      <c r="Q89" s="452"/>
      <c r="R89" s="452"/>
      <c r="S89" s="452"/>
      <c r="T89" s="452"/>
      <c r="U89" s="452"/>
      <c r="V89" s="452"/>
      <c r="W89" s="452"/>
      <c r="X89" s="452"/>
      <c r="Y89" s="452"/>
      <c r="Z89" s="452"/>
      <c r="AA89" s="452"/>
      <c r="AB89" s="452"/>
      <c r="AC89" s="452"/>
      <c r="AD89" s="452"/>
      <c r="AE89" s="452"/>
      <c r="AF89" s="452"/>
      <c r="AG89" s="452"/>
      <c r="AH89" s="452"/>
      <c r="AI89" s="452"/>
      <c r="AJ89" s="452"/>
      <c r="AK89" s="452"/>
      <c r="AL89" s="452"/>
      <c r="AM89" s="452"/>
      <c r="AN89" s="453"/>
      <c r="AO89" s="453"/>
      <c r="AP89" s="453"/>
      <c r="AQ89" s="453"/>
      <c r="AW89" s="197"/>
    </row>
    <row r="90" spans="1:54" s="193" customFormat="1" ht="13.5" thickBot="1" x14ac:dyDescent="0.25">
      <c r="A90" s="454"/>
      <c r="B90" s="454"/>
      <c r="C90" s="454"/>
      <c r="D90" s="454"/>
      <c r="E90" s="454"/>
      <c r="F90" s="454"/>
      <c r="G90" s="454"/>
      <c r="H90" s="454"/>
      <c r="I90" s="454"/>
      <c r="J90" s="454"/>
      <c r="K90" s="454"/>
      <c r="L90" s="454"/>
      <c r="M90" s="454"/>
      <c r="N90" s="454"/>
      <c r="O90" s="454"/>
      <c r="P90" s="454"/>
      <c r="Q90" s="454"/>
      <c r="R90" s="454"/>
      <c r="S90" s="454"/>
      <c r="T90" s="454"/>
      <c r="U90" s="454"/>
      <c r="V90" s="454"/>
      <c r="W90" s="454"/>
      <c r="X90" s="454"/>
      <c r="Y90" s="454"/>
      <c r="Z90" s="454"/>
      <c r="AA90" s="454"/>
      <c r="AB90" s="454"/>
      <c r="AC90" s="454"/>
      <c r="AD90" s="454"/>
      <c r="AE90" s="454"/>
      <c r="AF90" s="454"/>
      <c r="AG90" s="454"/>
      <c r="AH90" s="454"/>
      <c r="AI90" s="454"/>
      <c r="AJ90" s="454"/>
      <c r="AK90" s="454"/>
      <c r="AL90" s="454"/>
      <c r="AM90" s="454"/>
      <c r="AN90" s="454"/>
      <c r="AO90" s="454"/>
      <c r="AP90" s="454"/>
      <c r="AQ90" s="454"/>
      <c r="AW90" s="197"/>
    </row>
    <row r="91" spans="1:54" ht="24" customHeight="1" thickBot="1" x14ac:dyDescent="0.25">
      <c r="A91" s="153" t="s">
        <v>33</v>
      </c>
      <c r="B91" s="154" t="s">
        <v>117</v>
      </c>
      <c r="C91" s="350" t="s">
        <v>35</v>
      </c>
      <c r="D91" s="351"/>
      <c r="E91" s="351"/>
      <c r="F91" s="351"/>
      <c r="G91" s="351"/>
      <c r="H91" s="352"/>
      <c r="I91" s="353">
        <v>2</v>
      </c>
      <c r="J91" s="354"/>
      <c r="K91" s="355" t="str">
        <f>"Pool "&amp;B91&amp;" - Round 1 - Court "&amp;I91</f>
        <v>Pool B - Round 1 - Court 2</v>
      </c>
      <c r="L91" s="356"/>
      <c r="M91" s="356"/>
      <c r="N91" s="356"/>
      <c r="O91" s="356"/>
      <c r="P91" s="356"/>
      <c r="Q91" s="356"/>
      <c r="R91" s="356"/>
      <c r="S91" s="356"/>
      <c r="T91" s="356"/>
      <c r="U91" s="356"/>
      <c r="V91" s="356"/>
      <c r="W91" s="356"/>
      <c r="X91" s="356"/>
      <c r="Y91" s="356"/>
      <c r="Z91" s="356"/>
      <c r="AA91" s="356"/>
      <c r="AB91" s="356"/>
      <c r="AC91" s="356"/>
      <c r="AD91" s="356"/>
      <c r="AE91" s="356"/>
      <c r="AF91" s="356"/>
      <c r="AG91" s="356"/>
      <c r="AH91" s="356"/>
      <c r="AI91" s="357"/>
      <c r="AJ91" s="138"/>
      <c r="AK91" s="138"/>
      <c r="AL91" s="138"/>
      <c r="AM91" s="138"/>
      <c r="AN91" s="138"/>
      <c r="AO91" s="138"/>
      <c r="AP91" s="138"/>
      <c r="AQ91" s="138"/>
    </row>
    <row r="92" spans="1:54" ht="27" customHeight="1" thickBot="1" x14ac:dyDescent="0.25">
      <c r="A92" s="155" t="s">
        <v>38</v>
      </c>
      <c r="B92" s="358" t="s">
        <v>10</v>
      </c>
      <c r="C92" s="359"/>
      <c r="D92" s="359"/>
      <c r="E92" s="359"/>
      <c r="F92" s="359"/>
      <c r="G92" s="359"/>
      <c r="H92" s="359"/>
      <c r="I92" s="359"/>
      <c r="J92" s="359"/>
      <c r="K92" s="359"/>
      <c r="L92" s="358" t="str">
        <f>IF($AK95=0,"Games Won","Matches Won")</f>
        <v>Games Won</v>
      </c>
      <c r="M92" s="359"/>
      <c r="N92" s="359"/>
      <c r="O92" s="359"/>
      <c r="P92" s="359"/>
      <c r="Q92" s="360"/>
      <c r="R92" s="358" t="str">
        <f>IF($AK95=0,"Games Lost","Matches Lost")</f>
        <v>Games Lost</v>
      </c>
      <c r="S92" s="361"/>
      <c r="T92" s="361"/>
      <c r="U92" s="361"/>
      <c r="V92" s="362"/>
      <c r="W92" s="363" t="s">
        <v>39</v>
      </c>
      <c r="X92" s="364"/>
      <c r="Y92" s="365"/>
      <c r="Z92" s="363" t="s">
        <v>40</v>
      </c>
      <c r="AA92" s="364"/>
      <c r="AB92" s="365"/>
      <c r="AC92" s="366" t="s">
        <v>41</v>
      </c>
      <c r="AD92" s="367"/>
      <c r="AE92" s="368"/>
      <c r="AF92" s="156" t="s">
        <v>42</v>
      </c>
      <c r="AG92" s="157" t="s">
        <v>9</v>
      </c>
      <c r="AH92" s="369" t="s">
        <v>43</v>
      </c>
      <c r="AI92" s="370"/>
      <c r="AJ92" s="158"/>
      <c r="AK92" s="159">
        <v>2</v>
      </c>
      <c r="AL92" s="160" t="s">
        <v>44</v>
      </c>
      <c r="AM92" s="160"/>
      <c r="AN92" s="160"/>
      <c r="AO92" s="160"/>
      <c r="AP92" s="160"/>
      <c r="AQ92" s="160"/>
      <c r="AR92" s="161"/>
    </row>
    <row r="93" spans="1:54" ht="18.75" customHeight="1" x14ac:dyDescent="0.2">
      <c r="A93" s="371" t="str">
        <f>IF($AK94&gt;0,"1","")</f>
        <v>1</v>
      </c>
      <c r="B93" s="373" t="s">
        <v>10</v>
      </c>
      <c r="C93" s="374"/>
      <c r="D93" s="375"/>
      <c r="E93" s="376" t="str">
        <f>AU4</f>
        <v>Vision 13 Regional Ben</v>
      </c>
      <c r="F93" s="377"/>
      <c r="G93" s="377"/>
      <c r="H93" s="377"/>
      <c r="I93" s="377"/>
      <c r="J93" s="377"/>
      <c r="K93" s="378"/>
      <c r="L93" s="379">
        <f>IF($AK95=0,AF149,AF131)</f>
        <v>7</v>
      </c>
      <c r="M93" s="380"/>
      <c r="N93" s="380"/>
      <c r="O93" s="380"/>
      <c r="P93" s="380"/>
      <c r="Q93" s="360"/>
      <c r="R93" s="379">
        <f>IF($AK95=0,AG149,AG131)</f>
        <v>1</v>
      </c>
      <c r="S93" s="380"/>
      <c r="T93" s="380"/>
      <c r="U93" s="380"/>
      <c r="V93" s="380"/>
      <c r="W93" s="379">
        <f>AQ109</f>
        <v>34</v>
      </c>
      <c r="X93" s="380"/>
      <c r="Y93" s="380"/>
      <c r="Z93" s="383">
        <f>IF(AF143&gt;0,(AQ109/AF143),0)</f>
        <v>0.16748768472906403</v>
      </c>
      <c r="AA93" s="384"/>
      <c r="AB93" s="384"/>
      <c r="AC93" s="387">
        <f>IF(AF157=0,0,(AF149/AF157))</f>
        <v>0.875</v>
      </c>
      <c r="AD93" s="388"/>
      <c r="AE93" s="389"/>
      <c r="AF93" s="393">
        <v>1</v>
      </c>
      <c r="AG93" s="393">
        <v>1</v>
      </c>
      <c r="AH93" s="395"/>
      <c r="AI93" s="396"/>
      <c r="AJ93" s="158"/>
      <c r="AK93" s="159">
        <v>10</v>
      </c>
      <c r="AL93" s="160" t="s">
        <v>47</v>
      </c>
      <c r="AM93" s="160"/>
      <c r="AN93" s="160"/>
      <c r="AO93" s="160"/>
      <c r="AP93" s="160"/>
      <c r="AQ93" s="160"/>
      <c r="AR93" s="161"/>
    </row>
    <row r="94" spans="1:54" ht="18.75" customHeight="1" thickBot="1" x14ac:dyDescent="0.25">
      <c r="A94" s="372"/>
      <c r="B94" s="399" t="s">
        <v>11</v>
      </c>
      <c r="C94" s="400"/>
      <c r="D94" s="401"/>
      <c r="E94" s="402" t="str">
        <f>AV4</f>
        <v>fj3vison2pm</v>
      </c>
      <c r="F94" s="403"/>
      <c r="G94" s="403"/>
      <c r="H94" s="403"/>
      <c r="I94" s="403"/>
      <c r="J94" s="403"/>
      <c r="K94" s="403"/>
      <c r="L94" s="381"/>
      <c r="M94" s="382"/>
      <c r="N94" s="382"/>
      <c r="O94" s="382"/>
      <c r="P94" s="382"/>
      <c r="Q94" s="360"/>
      <c r="R94" s="381"/>
      <c r="S94" s="382"/>
      <c r="T94" s="382"/>
      <c r="U94" s="382"/>
      <c r="V94" s="382"/>
      <c r="W94" s="381"/>
      <c r="X94" s="382"/>
      <c r="Y94" s="382"/>
      <c r="Z94" s="385"/>
      <c r="AA94" s="386"/>
      <c r="AB94" s="386"/>
      <c r="AC94" s="390"/>
      <c r="AD94" s="391"/>
      <c r="AE94" s="392"/>
      <c r="AF94" s="394"/>
      <c r="AG94" s="394"/>
      <c r="AH94" s="397"/>
      <c r="AI94" s="398"/>
      <c r="AJ94" s="158"/>
      <c r="AK94" s="159">
        <v>5</v>
      </c>
      <c r="AL94" s="160" t="s">
        <v>50</v>
      </c>
      <c r="AM94" s="158"/>
      <c r="AN94" s="158"/>
      <c r="AO94" s="158"/>
      <c r="AP94" s="158"/>
      <c r="AQ94" s="158"/>
      <c r="AR94" s="133"/>
    </row>
    <row r="95" spans="1:54" ht="18.75" customHeight="1" x14ac:dyDescent="0.2">
      <c r="A95" s="371" t="str">
        <f>IF($AK94&gt;1,"2","")</f>
        <v>2</v>
      </c>
      <c r="B95" s="373" t="s">
        <v>10</v>
      </c>
      <c r="C95" s="374"/>
      <c r="D95" s="375"/>
      <c r="E95" s="376" t="str">
        <f>AU5</f>
        <v>Lake Murray 13 Black</v>
      </c>
      <c r="F95" s="377"/>
      <c r="G95" s="377"/>
      <c r="H95" s="377"/>
      <c r="I95" s="377"/>
      <c r="J95" s="377"/>
      <c r="K95" s="378"/>
      <c r="L95" s="379">
        <f>IF($AK95=0,AF150,AF132)</f>
        <v>6</v>
      </c>
      <c r="M95" s="380"/>
      <c r="N95" s="380"/>
      <c r="O95" s="380"/>
      <c r="P95" s="380"/>
      <c r="Q95" s="360"/>
      <c r="R95" s="379">
        <f>IF($AK95=0,AG150,AG132)</f>
        <v>2</v>
      </c>
      <c r="S95" s="380"/>
      <c r="T95" s="380"/>
      <c r="U95" s="380"/>
      <c r="V95" s="380"/>
      <c r="W95" s="379">
        <f>AQ110</f>
        <v>40</v>
      </c>
      <c r="X95" s="380"/>
      <c r="Y95" s="380"/>
      <c r="Z95" s="383">
        <f>IF(AF144&gt;0,(AQ110/AF144),0)</f>
        <v>0.19900497512437812</v>
      </c>
      <c r="AA95" s="384"/>
      <c r="AB95" s="384"/>
      <c r="AC95" s="387">
        <f>IF(AF158=0,0,(AF150/AF158))</f>
        <v>0.75</v>
      </c>
      <c r="AD95" s="388"/>
      <c r="AE95" s="389"/>
      <c r="AF95" s="393">
        <v>2</v>
      </c>
      <c r="AG95" s="393">
        <v>1</v>
      </c>
      <c r="AH95" s="395"/>
      <c r="AI95" s="396"/>
      <c r="AJ95" s="158"/>
      <c r="AK95" s="159">
        <v>0</v>
      </c>
      <c r="AL95" s="160" t="s">
        <v>53</v>
      </c>
      <c r="AM95" s="160"/>
      <c r="AN95" s="160"/>
      <c r="AO95" s="160"/>
      <c r="AP95" s="160"/>
      <c r="AQ95" s="160"/>
      <c r="AR95" s="161"/>
    </row>
    <row r="96" spans="1:54" ht="18.75" customHeight="1" thickBot="1" x14ac:dyDescent="0.25">
      <c r="A96" s="372"/>
      <c r="B96" s="404" t="s">
        <v>11</v>
      </c>
      <c r="C96" s="405"/>
      <c r="D96" s="405"/>
      <c r="E96" s="402" t="str">
        <f>AV5</f>
        <v>fj3lakem2pm</v>
      </c>
      <c r="F96" s="403"/>
      <c r="G96" s="403"/>
      <c r="H96" s="403"/>
      <c r="I96" s="403"/>
      <c r="J96" s="403"/>
      <c r="K96" s="403"/>
      <c r="L96" s="381"/>
      <c r="M96" s="382"/>
      <c r="N96" s="382"/>
      <c r="O96" s="382"/>
      <c r="P96" s="382"/>
      <c r="Q96" s="360"/>
      <c r="R96" s="381"/>
      <c r="S96" s="382"/>
      <c r="T96" s="382"/>
      <c r="U96" s="382"/>
      <c r="V96" s="382"/>
      <c r="W96" s="381"/>
      <c r="X96" s="382"/>
      <c r="Y96" s="382"/>
      <c r="Z96" s="385"/>
      <c r="AA96" s="386"/>
      <c r="AB96" s="386"/>
      <c r="AC96" s="390"/>
      <c r="AD96" s="391"/>
      <c r="AE96" s="392"/>
      <c r="AF96" s="394"/>
      <c r="AG96" s="394"/>
      <c r="AH96" s="397"/>
      <c r="AI96" s="398"/>
      <c r="AJ96" s="158"/>
      <c r="AK96" s="159">
        <v>1</v>
      </c>
      <c r="AL96" s="160" t="s">
        <v>56</v>
      </c>
      <c r="AM96" s="158"/>
      <c r="AN96" s="158"/>
      <c r="AO96" s="158"/>
      <c r="AP96" s="158"/>
      <c r="AQ96" s="158"/>
      <c r="AR96" s="133"/>
    </row>
    <row r="97" spans="1:44" ht="18.75" customHeight="1" x14ac:dyDescent="0.2">
      <c r="A97" s="371" t="str">
        <f>IF($AK94&gt;2,"3","")</f>
        <v>3</v>
      </c>
      <c r="B97" s="406" t="s">
        <v>10</v>
      </c>
      <c r="C97" s="407"/>
      <c r="D97" s="407"/>
      <c r="E97" s="376" t="str">
        <f>AU8</f>
        <v>Kershaw 13 Black</v>
      </c>
      <c r="F97" s="377"/>
      <c r="G97" s="377"/>
      <c r="H97" s="377"/>
      <c r="I97" s="377"/>
      <c r="J97" s="377"/>
      <c r="K97" s="378"/>
      <c r="L97" s="379">
        <f>IF($AK95=0,AF151,AF133)</f>
        <v>3</v>
      </c>
      <c r="M97" s="380"/>
      <c r="N97" s="380"/>
      <c r="O97" s="380"/>
      <c r="P97" s="380"/>
      <c r="Q97" s="360"/>
      <c r="R97" s="379">
        <f>IF($AK95=0,AG151,AG133)</f>
        <v>5</v>
      </c>
      <c r="S97" s="380"/>
      <c r="T97" s="380"/>
      <c r="U97" s="380"/>
      <c r="V97" s="380"/>
      <c r="W97" s="379">
        <f>AQ111</f>
        <v>11</v>
      </c>
      <c r="X97" s="380"/>
      <c r="Y97" s="380"/>
      <c r="Z97" s="383">
        <f>IF(AF145&gt;0,(AQ111/AF145),0)</f>
        <v>5.4455445544554455E-2</v>
      </c>
      <c r="AA97" s="384"/>
      <c r="AB97" s="384"/>
      <c r="AC97" s="387">
        <f>IF(AF159=0,0,(AF151/AF159))</f>
        <v>0.375</v>
      </c>
      <c r="AD97" s="388"/>
      <c r="AE97" s="389"/>
      <c r="AF97" s="393">
        <v>4</v>
      </c>
      <c r="AG97" s="393">
        <v>1</v>
      </c>
      <c r="AH97" s="395"/>
      <c r="AI97" s="396"/>
      <c r="AJ97" s="167"/>
      <c r="AK97" s="159">
        <v>8</v>
      </c>
      <c r="AL97" s="168" t="s">
        <v>59</v>
      </c>
      <c r="AM97" s="160"/>
      <c r="AN97" s="160"/>
      <c r="AO97" s="160"/>
      <c r="AP97" s="160"/>
      <c r="AQ97" s="160"/>
      <c r="AR97" s="161"/>
    </row>
    <row r="98" spans="1:44" ht="18.75" customHeight="1" thickBot="1" x14ac:dyDescent="0.25">
      <c r="A98" s="372"/>
      <c r="B98" s="404" t="s">
        <v>11</v>
      </c>
      <c r="C98" s="405"/>
      <c r="D98" s="405"/>
      <c r="E98" s="402" t="str">
        <f>AV8</f>
        <v>fj3kersh1pm</v>
      </c>
      <c r="F98" s="403"/>
      <c r="G98" s="403"/>
      <c r="H98" s="403"/>
      <c r="I98" s="403"/>
      <c r="J98" s="403"/>
      <c r="K98" s="403"/>
      <c r="L98" s="381"/>
      <c r="M98" s="382"/>
      <c r="N98" s="382"/>
      <c r="O98" s="382"/>
      <c r="P98" s="382"/>
      <c r="Q98" s="360"/>
      <c r="R98" s="381"/>
      <c r="S98" s="382"/>
      <c r="T98" s="382"/>
      <c r="U98" s="382"/>
      <c r="V98" s="382"/>
      <c r="W98" s="381"/>
      <c r="X98" s="382"/>
      <c r="Y98" s="382"/>
      <c r="Z98" s="385"/>
      <c r="AA98" s="386"/>
      <c r="AB98" s="386"/>
      <c r="AC98" s="390"/>
      <c r="AD98" s="391"/>
      <c r="AE98" s="392"/>
      <c r="AF98" s="394"/>
      <c r="AG98" s="394"/>
      <c r="AH98" s="397"/>
      <c r="AI98" s="398"/>
      <c r="AJ98" s="167"/>
      <c r="AK98" s="169"/>
      <c r="AL98" s="170"/>
      <c r="AM98" s="170"/>
      <c r="AN98" s="170"/>
      <c r="AO98" s="170"/>
      <c r="AP98" s="170"/>
      <c r="AQ98" s="158"/>
      <c r="AR98" s="133"/>
    </row>
    <row r="99" spans="1:44" ht="18.75" customHeight="1" x14ac:dyDescent="0.2">
      <c r="A99" s="371" t="str">
        <f>IF($AK94&gt;3,"4","")</f>
        <v>4</v>
      </c>
      <c r="B99" s="406" t="s">
        <v>10</v>
      </c>
      <c r="C99" s="407"/>
      <c r="D99" s="407"/>
      <c r="E99" s="376" t="str">
        <f>AU9</f>
        <v>Vision 13 Regional</v>
      </c>
      <c r="F99" s="377"/>
      <c r="G99" s="377"/>
      <c r="H99" s="377"/>
      <c r="I99" s="377"/>
      <c r="J99" s="377"/>
      <c r="K99" s="378"/>
      <c r="L99" s="379">
        <f>IF($AK95=0,AF152,AF134)</f>
        <v>0</v>
      </c>
      <c r="M99" s="380"/>
      <c r="N99" s="380"/>
      <c r="O99" s="380"/>
      <c r="P99" s="380"/>
      <c r="Q99" s="360"/>
      <c r="R99" s="379">
        <f>IF($AK95=0,AG152,AG134)</f>
        <v>8</v>
      </c>
      <c r="S99" s="380"/>
      <c r="T99" s="380"/>
      <c r="U99" s="380"/>
      <c r="V99" s="380"/>
      <c r="W99" s="379">
        <f>AQ112</f>
        <v>-78</v>
      </c>
      <c r="X99" s="380"/>
      <c r="Y99" s="380"/>
      <c r="Z99" s="383">
        <f>IF(AF146&gt;0,(AQ112/AF146),0)</f>
        <v>-0.39</v>
      </c>
      <c r="AA99" s="384"/>
      <c r="AB99" s="384"/>
      <c r="AC99" s="387">
        <f>IF(AF160=0,0,(AF152/AF160))</f>
        <v>0</v>
      </c>
      <c r="AD99" s="388"/>
      <c r="AE99" s="389"/>
      <c r="AF99" s="393">
        <v>5</v>
      </c>
      <c r="AG99" s="393">
        <v>1</v>
      </c>
      <c r="AH99" s="395"/>
      <c r="AI99" s="396"/>
      <c r="AJ99" s="138"/>
      <c r="AK99" s="170"/>
      <c r="AL99" s="170"/>
      <c r="AM99" s="170"/>
      <c r="AN99" s="170"/>
      <c r="AO99" s="170"/>
      <c r="AP99" s="170"/>
      <c r="AQ99" s="160"/>
      <c r="AR99" s="161"/>
    </row>
    <row r="100" spans="1:44" ht="18.75" customHeight="1" thickBot="1" x14ac:dyDescent="0.25">
      <c r="A100" s="372"/>
      <c r="B100" s="404" t="s">
        <v>11</v>
      </c>
      <c r="C100" s="405"/>
      <c r="D100" s="405"/>
      <c r="E100" s="402" t="str">
        <f>AV9</f>
        <v>fj3vison3pm</v>
      </c>
      <c r="F100" s="403"/>
      <c r="G100" s="403"/>
      <c r="H100" s="403"/>
      <c r="I100" s="403"/>
      <c r="J100" s="403"/>
      <c r="K100" s="403"/>
      <c r="L100" s="381"/>
      <c r="M100" s="382"/>
      <c r="N100" s="382"/>
      <c r="O100" s="382"/>
      <c r="P100" s="382"/>
      <c r="Q100" s="360"/>
      <c r="R100" s="381"/>
      <c r="S100" s="382"/>
      <c r="T100" s="382"/>
      <c r="U100" s="382"/>
      <c r="V100" s="382"/>
      <c r="W100" s="381"/>
      <c r="X100" s="382"/>
      <c r="Y100" s="382"/>
      <c r="Z100" s="385"/>
      <c r="AA100" s="386"/>
      <c r="AB100" s="386"/>
      <c r="AC100" s="390"/>
      <c r="AD100" s="391"/>
      <c r="AE100" s="392"/>
      <c r="AF100" s="394"/>
      <c r="AG100" s="394"/>
      <c r="AH100" s="397"/>
      <c r="AI100" s="398"/>
      <c r="AJ100" s="138"/>
      <c r="AK100" s="170"/>
      <c r="AL100" s="170"/>
      <c r="AM100" s="170"/>
      <c r="AN100" s="170"/>
      <c r="AO100" s="170"/>
      <c r="AP100" s="170"/>
      <c r="AQ100" s="138"/>
      <c r="AR100" s="133"/>
    </row>
    <row r="101" spans="1:44" ht="18.75" customHeight="1" x14ac:dyDescent="0.2">
      <c r="A101" s="371" t="str">
        <f>IF($AK94&gt;4,"5","")</f>
        <v>5</v>
      </c>
      <c r="B101" s="406" t="s">
        <v>10</v>
      </c>
      <c r="C101" s="407"/>
      <c r="D101" s="407"/>
      <c r="E101" s="376" t="str">
        <f>AU12</f>
        <v>Magnum Aiken 13 Yellow</v>
      </c>
      <c r="F101" s="377"/>
      <c r="G101" s="377"/>
      <c r="H101" s="377"/>
      <c r="I101" s="377"/>
      <c r="J101" s="377"/>
      <c r="K101" s="378"/>
      <c r="L101" s="379">
        <f>IF($AK95=0,AF153,AF135)</f>
        <v>4</v>
      </c>
      <c r="M101" s="380"/>
      <c r="N101" s="380"/>
      <c r="O101" s="380"/>
      <c r="P101" s="380"/>
      <c r="Q101" s="360"/>
      <c r="R101" s="379">
        <f>IF($AK95=0,AG153,AG135)</f>
        <v>4</v>
      </c>
      <c r="S101" s="380"/>
      <c r="T101" s="380"/>
      <c r="U101" s="380"/>
      <c r="V101" s="380"/>
      <c r="W101" s="379">
        <f>AQ113</f>
        <v>-7</v>
      </c>
      <c r="X101" s="380"/>
      <c r="Y101" s="380"/>
      <c r="Z101" s="383">
        <f>IF(AF147&gt;0,(AQ113/AF147),0)</f>
        <v>-3.5000000000000003E-2</v>
      </c>
      <c r="AA101" s="384"/>
      <c r="AB101" s="384"/>
      <c r="AC101" s="387">
        <f>IF(AF161=0,0,(AF153/AF161))</f>
        <v>0.5</v>
      </c>
      <c r="AD101" s="388"/>
      <c r="AE101" s="389"/>
      <c r="AF101" s="393">
        <v>3</v>
      </c>
      <c r="AG101" s="393">
        <v>1</v>
      </c>
      <c r="AH101" s="395"/>
      <c r="AI101" s="396"/>
      <c r="AJ101" s="138"/>
      <c r="AK101" s="170"/>
      <c r="AL101" s="170"/>
      <c r="AM101" s="170"/>
      <c r="AN101" s="170"/>
      <c r="AO101" s="170"/>
      <c r="AP101" s="170"/>
      <c r="AQ101" s="138"/>
      <c r="AR101" s="133"/>
    </row>
    <row r="102" spans="1:44" ht="18.75" customHeight="1" thickBot="1" x14ac:dyDescent="0.25">
      <c r="A102" s="372"/>
      <c r="B102" s="424" t="s">
        <v>11</v>
      </c>
      <c r="C102" s="425"/>
      <c r="D102" s="425"/>
      <c r="E102" s="426" t="str">
        <f>AV12</f>
        <v>fj3magnm6pm</v>
      </c>
      <c r="F102" s="427"/>
      <c r="G102" s="427"/>
      <c r="H102" s="427"/>
      <c r="I102" s="427"/>
      <c r="J102" s="427"/>
      <c r="K102" s="427"/>
      <c r="L102" s="414"/>
      <c r="M102" s="415"/>
      <c r="N102" s="415"/>
      <c r="O102" s="415"/>
      <c r="P102" s="415"/>
      <c r="Q102" s="360"/>
      <c r="R102" s="414"/>
      <c r="S102" s="415"/>
      <c r="T102" s="415"/>
      <c r="U102" s="415"/>
      <c r="V102" s="415"/>
      <c r="W102" s="414"/>
      <c r="X102" s="415"/>
      <c r="Y102" s="415"/>
      <c r="Z102" s="416"/>
      <c r="AA102" s="417"/>
      <c r="AB102" s="417"/>
      <c r="AC102" s="418"/>
      <c r="AD102" s="419"/>
      <c r="AE102" s="420"/>
      <c r="AF102" s="421"/>
      <c r="AG102" s="421"/>
      <c r="AH102" s="422"/>
      <c r="AI102" s="423"/>
      <c r="AJ102" s="138"/>
      <c r="AK102" s="170"/>
      <c r="AL102" s="170"/>
      <c r="AM102" s="170"/>
      <c r="AN102" s="170"/>
      <c r="AO102" s="170"/>
      <c r="AP102" s="170"/>
      <c r="AQ102" s="138"/>
      <c r="AR102" s="133"/>
    </row>
    <row r="103" spans="1:44" ht="21" customHeight="1" thickTop="1" thickBot="1" x14ac:dyDescent="0.25">
      <c r="A103" s="172"/>
      <c r="B103" s="428" t="s">
        <v>63</v>
      </c>
      <c r="C103" s="429"/>
      <c r="D103" s="429"/>
      <c r="E103" s="429"/>
      <c r="F103" s="429"/>
      <c r="G103" s="429"/>
      <c r="H103" s="429"/>
      <c r="I103" s="429"/>
      <c r="J103" s="429"/>
      <c r="K103" s="429"/>
      <c r="L103" s="429"/>
      <c r="M103" s="429"/>
      <c r="N103" s="429"/>
      <c r="O103" s="429"/>
      <c r="P103" s="429"/>
      <c r="Q103" s="429"/>
      <c r="R103" s="429"/>
      <c r="S103" s="429"/>
      <c r="T103" s="429"/>
      <c r="U103" s="429"/>
      <c r="V103" s="429"/>
      <c r="W103" s="429"/>
      <c r="X103" s="429"/>
      <c r="Y103" s="429"/>
      <c r="Z103" s="429"/>
      <c r="AA103" s="429"/>
      <c r="AB103" s="429"/>
      <c r="AC103" s="429"/>
      <c r="AD103" s="429"/>
      <c r="AE103" s="429"/>
      <c r="AF103" s="429"/>
      <c r="AG103" s="429"/>
      <c r="AH103" s="429"/>
      <c r="AI103" s="430"/>
      <c r="AJ103" s="138"/>
      <c r="AK103" s="170"/>
      <c r="AL103" s="170"/>
      <c r="AM103" s="170"/>
      <c r="AN103" s="170"/>
      <c r="AO103" s="170"/>
      <c r="AP103" s="170"/>
      <c r="AQ103" s="138"/>
      <c r="AR103" s="133"/>
    </row>
    <row r="104" spans="1:44" ht="13.5" thickTop="1" x14ac:dyDescent="0.2">
      <c r="A104" s="134" t="s">
        <v>64</v>
      </c>
      <c r="B104" s="431">
        <v>0.35416666666666669</v>
      </c>
      <c r="C104" s="432"/>
      <c r="D104" s="433"/>
      <c r="E104" s="431">
        <v>0.38541666666666669</v>
      </c>
      <c r="F104" s="432"/>
      <c r="G104" s="433"/>
      <c r="H104" s="431">
        <v>0.41666666666666669</v>
      </c>
      <c r="I104" s="432"/>
      <c r="J104" s="433"/>
      <c r="K104" s="431">
        <v>0.44791666666666669</v>
      </c>
      <c r="L104" s="432"/>
      <c r="M104" s="433"/>
      <c r="N104" s="431">
        <v>0.47916666666666669</v>
      </c>
      <c r="O104" s="432"/>
      <c r="P104" s="433"/>
      <c r="Q104" s="431">
        <v>0.51041666666666663</v>
      </c>
      <c r="R104" s="432"/>
      <c r="S104" s="433"/>
      <c r="T104" s="431">
        <v>4.1666666666666664E-2</v>
      </c>
      <c r="U104" s="432"/>
      <c r="V104" s="433"/>
      <c r="W104" s="431">
        <v>7.2916666666666671E-2</v>
      </c>
      <c r="X104" s="432"/>
      <c r="Y104" s="433"/>
      <c r="Z104" s="431">
        <v>0.10416666666666667</v>
      </c>
      <c r="AA104" s="432"/>
      <c r="AB104" s="433"/>
      <c r="AC104" s="431">
        <v>0.13541666666666666</v>
      </c>
      <c r="AD104" s="432"/>
      <c r="AE104" s="433"/>
      <c r="AF104" s="434" t="s">
        <v>65</v>
      </c>
      <c r="AG104" s="435"/>
      <c r="AH104" s="435"/>
      <c r="AI104" s="435"/>
      <c r="AJ104" s="436"/>
      <c r="AK104" s="436"/>
      <c r="AL104" s="436"/>
      <c r="AM104" s="436"/>
      <c r="AN104" s="436"/>
      <c r="AO104" s="436"/>
      <c r="AP104" s="436"/>
      <c r="AQ104" s="437"/>
    </row>
    <row r="105" spans="1:44" x14ac:dyDescent="0.2">
      <c r="A105" s="173" t="s">
        <v>66</v>
      </c>
      <c r="B105" s="442">
        <v>0.35625000000000001</v>
      </c>
      <c r="C105" s="443"/>
      <c r="D105" s="444"/>
      <c r="E105" s="442">
        <v>0.38194444444444442</v>
      </c>
      <c r="F105" s="443"/>
      <c r="G105" s="444"/>
      <c r="H105" s="442">
        <v>0.40972222222222227</v>
      </c>
      <c r="I105" s="443"/>
      <c r="J105" s="444"/>
      <c r="K105" s="442">
        <v>0.44097222222222227</v>
      </c>
      <c r="L105" s="443"/>
      <c r="M105" s="444"/>
      <c r="N105" s="442">
        <v>0.47013888888888888</v>
      </c>
      <c r="O105" s="443"/>
      <c r="P105" s="444"/>
      <c r="Q105" s="442">
        <v>0.50347222222222221</v>
      </c>
      <c r="R105" s="443"/>
      <c r="S105" s="444"/>
      <c r="T105" s="442">
        <v>0.53333333333333333</v>
      </c>
      <c r="U105" s="443"/>
      <c r="V105" s="444"/>
      <c r="W105" s="442">
        <v>6.7361111111111108E-2</v>
      </c>
      <c r="X105" s="443"/>
      <c r="Y105" s="444"/>
      <c r="Z105" s="442">
        <v>0.10069444444444443</v>
      </c>
      <c r="AA105" s="443"/>
      <c r="AB105" s="444"/>
      <c r="AC105" s="442">
        <v>0.12847222222222224</v>
      </c>
      <c r="AD105" s="443"/>
      <c r="AE105" s="444"/>
      <c r="AF105" s="434"/>
      <c r="AG105" s="435"/>
      <c r="AH105" s="435"/>
      <c r="AI105" s="435"/>
      <c r="AJ105" s="435"/>
      <c r="AK105" s="435"/>
      <c r="AL105" s="435"/>
      <c r="AM105" s="435"/>
      <c r="AN105" s="435"/>
      <c r="AO105" s="435"/>
      <c r="AP105" s="435"/>
      <c r="AQ105" s="438"/>
    </row>
    <row r="106" spans="1:44" x14ac:dyDescent="0.2">
      <c r="A106" s="173" t="s">
        <v>67</v>
      </c>
      <c r="B106" s="442">
        <v>0.3756944444444445</v>
      </c>
      <c r="C106" s="443"/>
      <c r="D106" s="444"/>
      <c r="E106" s="442">
        <v>0.40069444444444446</v>
      </c>
      <c r="F106" s="443"/>
      <c r="G106" s="444"/>
      <c r="H106" s="442">
        <v>0.43472222222222223</v>
      </c>
      <c r="I106" s="443"/>
      <c r="J106" s="444"/>
      <c r="K106" s="442">
        <v>0.46180555555555558</v>
      </c>
      <c r="L106" s="443"/>
      <c r="M106" s="444"/>
      <c r="N106" s="442">
        <v>0.49722222222222223</v>
      </c>
      <c r="O106" s="443"/>
      <c r="P106" s="444"/>
      <c r="Q106" s="442">
        <v>0.52777777777777779</v>
      </c>
      <c r="R106" s="443"/>
      <c r="S106" s="444"/>
      <c r="T106" s="442">
        <v>5.9027777777777783E-2</v>
      </c>
      <c r="U106" s="443"/>
      <c r="V106" s="444"/>
      <c r="W106" s="442">
        <v>9.3055555555555558E-2</v>
      </c>
      <c r="X106" s="443"/>
      <c r="Y106" s="444"/>
      <c r="Z106" s="442">
        <v>0.12152777777777778</v>
      </c>
      <c r="AA106" s="443"/>
      <c r="AB106" s="444"/>
      <c r="AC106" s="442">
        <v>0.15277777777777776</v>
      </c>
      <c r="AD106" s="443"/>
      <c r="AE106" s="444"/>
      <c r="AF106" s="434"/>
      <c r="AG106" s="435"/>
      <c r="AH106" s="435"/>
      <c r="AI106" s="435"/>
      <c r="AJ106" s="435"/>
      <c r="AK106" s="435"/>
      <c r="AL106" s="435"/>
      <c r="AM106" s="435"/>
      <c r="AN106" s="435"/>
      <c r="AO106" s="435"/>
      <c r="AP106" s="435"/>
      <c r="AQ106" s="438"/>
    </row>
    <row r="107" spans="1:44" ht="13.5" thickBot="1" x14ac:dyDescent="0.25">
      <c r="A107" s="138"/>
      <c r="B107" s="445" t="s">
        <v>68</v>
      </c>
      <c r="C107" s="446"/>
      <c r="D107" s="447"/>
      <c r="E107" s="445" t="str">
        <f>IF(AK93&gt;1,"Match 2","")</f>
        <v>Match 2</v>
      </c>
      <c r="F107" s="446"/>
      <c r="G107" s="447"/>
      <c r="H107" s="445" t="str">
        <f>IF(AK93&gt;2,"Match 3","")</f>
        <v>Match 3</v>
      </c>
      <c r="I107" s="446"/>
      <c r="J107" s="447"/>
      <c r="K107" s="445" t="str">
        <f>IF(AK93&gt;3,"Match 4","")</f>
        <v>Match 4</v>
      </c>
      <c r="L107" s="446"/>
      <c r="M107" s="447"/>
      <c r="N107" s="445" t="str">
        <f>IF(AK93&gt;4,"Match 5","")</f>
        <v>Match 5</v>
      </c>
      <c r="O107" s="446"/>
      <c r="P107" s="447"/>
      <c r="Q107" s="445" t="str">
        <f>IF(AK93&gt;5,"Match 6","")</f>
        <v>Match 6</v>
      </c>
      <c r="R107" s="446"/>
      <c r="S107" s="447"/>
      <c r="T107" s="445" t="str">
        <f>IF(AK93&gt;6,"Match 7","")</f>
        <v>Match 7</v>
      </c>
      <c r="U107" s="446"/>
      <c r="V107" s="447"/>
      <c r="W107" s="445" t="str">
        <f>IF(AK93&gt;7,"Match 8","")</f>
        <v>Match 8</v>
      </c>
      <c r="X107" s="446"/>
      <c r="Y107" s="447"/>
      <c r="Z107" s="445" t="str">
        <f>IF(AK93&gt;8,"Match 9","")</f>
        <v>Match 9</v>
      </c>
      <c r="AA107" s="446"/>
      <c r="AB107" s="447"/>
      <c r="AC107" s="445" t="str">
        <f>IF(AK93&gt;9,"Match 10","")</f>
        <v>Match 10</v>
      </c>
      <c r="AD107" s="446"/>
      <c r="AE107" s="447"/>
      <c r="AF107" s="439"/>
      <c r="AG107" s="440"/>
      <c r="AH107" s="440"/>
      <c r="AI107" s="440"/>
      <c r="AJ107" s="440"/>
      <c r="AK107" s="440"/>
      <c r="AL107" s="440"/>
      <c r="AM107" s="440"/>
      <c r="AN107" s="440"/>
      <c r="AO107" s="440"/>
      <c r="AP107" s="440"/>
      <c r="AQ107" s="441"/>
    </row>
    <row r="108" spans="1:44" ht="15.75" x14ac:dyDescent="0.25">
      <c r="A108" s="138"/>
      <c r="B108" s="448" t="s">
        <v>69</v>
      </c>
      <c r="C108" s="449"/>
      <c r="D108" s="450"/>
      <c r="E108" s="448" t="s">
        <v>70</v>
      </c>
      <c r="F108" s="449"/>
      <c r="G108" s="450"/>
      <c r="H108" s="448" t="s">
        <v>71</v>
      </c>
      <c r="I108" s="449"/>
      <c r="J108" s="450"/>
      <c r="K108" s="448" t="s">
        <v>72</v>
      </c>
      <c r="L108" s="449"/>
      <c r="M108" s="450"/>
      <c r="N108" s="448" t="s">
        <v>73</v>
      </c>
      <c r="O108" s="449"/>
      <c r="P108" s="450"/>
      <c r="Q108" s="448" t="s">
        <v>71</v>
      </c>
      <c r="R108" s="449"/>
      <c r="S108" s="450"/>
      <c r="T108" s="448" t="s">
        <v>69</v>
      </c>
      <c r="U108" s="449"/>
      <c r="V108" s="450"/>
      <c r="W108" s="448" t="s">
        <v>73</v>
      </c>
      <c r="X108" s="449"/>
      <c r="Y108" s="450"/>
      <c r="Z108" s="448" t="s">
        <v>72</v>
      </c>
      <c r="AA108" s="449"/>
      <c r="AB108" s="450"/>
      <c r="AC108" s="448" t="s">
        <v>70</v>
      </c>
      <c r="AD108" s="449"/>
      <c r="AE108" s="450"/>
      <c r="AF108" s="174" t="s">
        <v>74</v>
      </c>
      <c r="AG108" s="175">
        <v>1</v>
      </c>
      <c r="AH108" s="175">
        <v>2</v>
      </c>
      <c r="AI108" s="175">
        <v>3</v>
      </c>
      <c r="AJ108" s="175">
        <v>4</v>
      </c>
      <c r="AK108" s="175">
        <v>5</v>
      </c>
      <c r="AL108" s="175">
        <v>6</v>
      </c>
      <c r="AM108" s="175">
        <v>7</v>
      </c>
      <c r="AN108" s="175">
        <v>8</v>
      </c>
      <c r="AO108" s="175">
        <v>9</v>
      </c>
      <c r="AP108" s="175">
        <v>10</v>
      </c>
      <c r="AQ108" s="176" t="s">
        <v>75</v>
      </c>
    </row>
    <row r="109" spans="1:44" ht="15.75" x14ac:dyDescent="0.25">
      <c r="A109" s="138"/>
      <c r="B109" s="177">
        <v>2</v>
      </c>
      <c r="C109" s="178" t="s">
        <v>76</v>
      </c>
      <c r="D109" s="179">
        <v>5</v>
      </c>
      <c r="E109" s="177">
        <v>1</v>
      </c>
      <c r="F109" s="178" t="str">
        <f>IF(AK93&gt;1,"v","")</f>
        <v>v</v>
      </c>
      <c r="G109" s="179">
        <v>4</v>
      </c>
      <c r="H109" s="177">
        <v>3</v>
      </c>
      <c r="I109" s="178" t="str">
        <f>IF(AK93&gt;2,"v","")</f>
        <v>v</v>
      </c>
      <c r="J109" s="179">
        <v>5</v>
      </c>
      <c r="K109" s="177">
        <v>2</v>
      </c>
      <c r="L109" s="178" t="str">
        <f>IF(AK93&gt;3,"v","")</f>
        <v>v</v>
      </c>
      <c r="M109" s="179">
        <v>4</v>
      </c>
      <c r="N109" s="177">
        <v>1</v>
      </c>
      <c r="O109" s="178" t="str">
        <f>IF(AK93&gt;4,"v","")</f>
        <v>v</v>
      </c>
      <c r="P109" s="179">
        <v>3</v>
      </c>
      <c r="Q109" s="177">
        <v>4</v>
      </c>
      <c r="R109" s="178" t="str">
        <f>IF(AK93&gt;5,"v","")</f>
        <v>v</v>
      </c>
      <c r="S109" s="179">
        <v>5</v>
      </c>
      <c r="T109" s="177">
        <v>2</v>
      </c>
      <c r="U109" s="178" t="str">
        <f>IF(AK93&gt;6,"v","")</f>
        <v>v</v>
      </c>
      <c r="V109" s="179">
        <v>3</v>
      </c>
      <c r="W109" s="177">
        <v>1</v>
      </c>
      <c r="X109" s="178" t="str">
        <f>IF(AK93&gt;7,"v","")</f>
        <v>v</v>
      </c>
      <c r="Y109" s="179">
        <v>5</v>
      </c>
      <c r="Z109" s="177">
        <v>3</v>
      </c>
      <c r="AA109" s="178" t="str">
        <f>IF(AK93&gt;8,"v","")</f>
        <v>v</v>
      </c>
      <c r="AB109" s="179">
        <v>4</v>
      </c>
      <c r="AC109" s="177">
        <v>1</v>
      </c>
      <c r="AD109" s="178" t="str">
        <f>IF(AK93&gt;9,"v","")</f>
        <v>v</v>
      </c>
      <c r="AE109" s="179">
        <v>2</v>
      </c>
      <c r="AF109" s="174" t="str">
        <f>IF(AK94&gt;0,"Team 1","")</f>
        <v>Team 1</v>
      </c>
      <c r="AG109" s="180" t="str">
        <f>IF(AK94&lt;1,"",IF(AK93&lt;1,"",IF(B109=1,B115-D115,IF(D109=1,D115-B115,""))))</f>
        <v/>
      </c>
      <c r="AH109" s="180">
        <f>IF(AK94&lt;1,"",IF(AK93&lt;2,"",IF(E109=1,E115-G115,IF(G109=1,G115-E115,""))))</f>
        <v>27</v>
      </c>
      <c r="AI109" s="180" t="str">
        <f>IF(AK94&lt;1,"",IF(AK93&lt;3,"",IF(H109=1,H115-J115,IF(J109=1,J115-H115,""))))</f>
        <v/>
      </c>
      <c r="AJ109" s="180" t="str">
        <f>IF(AK94&lt;1,"",IF(AK93&lt;4,"",IF(K109=1,K115-M115,IF(M109=1,M115-K115,""))))</f>
        <v/>
      </c>
      <c r="AK109" s="180">
        <f>IF(AK94&lt;1,"",IF(AK93&lt;5,"",IF(N109=1,N115-P115,IF(P109=1,P115-N115,""))))</f>
        <v>4</v>
      </c>
      <c r="AL109" s="180" t="str">
        <f>IF(AK94&lt;1,"",IF(AK93&lt;6,"",IF(Q109=1,Q115-S115,IF(S109=1,S115-Q115,""))))</f>
        <v/>
      </c>
      <c r="AM109" s="180" t="str">
        <f>IF(AK94&lt;1,"",IF(AK93&lt;7,"",IF(T109=1,T115-V115,IF(V109=1,V115-T115,""))))</f>
        <v/>
      </c>
      <c r="AN109" s="180">
        <f>IF(AK94&lt;1,"",IF(AK93&lt;8,"",IF(W109=1,W115-Y115,IF(Y109=1,Y115-W115,""))))</f>
        <v>6</v>
      </c>
      <c r="AO109" s="180" t="str">
        <f>IF(AK94&lt;1,"",IF(AK93&lt;9,"",IF(Z109=1,Z115-AB115,IF(AB109=1,AB115-Z115,""))))</f>
        <v/>
      </c>
      <c r="AP109" s="180">
        <f>IF(AK94&lt;1,"",IF(AK93&lt;10,"",IF(AC109=1,AC115-AE115,IF(AE109=1,AE115-AC115,""))))</f>
        <v>-3</v>
      </c>
      <c r="AQ109" s="176">
        <f>SUM(AG109:AP109)</f>
        <v>34</v>
      </c>
    </row>
    <row r="110" spans="1:44" ht="15" x14ac:dyDescent="0.2">
      <c r="A110" s="134" t="s">
        <v>77</v>
      </c>
      <c r="B110" s="181">
        <v>25</v>
      </c>
      <c r="C110" s="182" t="s">
        <v>78</v>
      </c>
      <c r="D110" s="183">
        <v>16</v>
      </c>
      <c r="E110" s="181">
        <v>25</v>
      </c>
      <c r="F110" s="182" t="str">
        <f>IF(AK93&gt;1,"/","")</f>
        <v>/</v>
      </c>
      <c r="G110" s="183">
        <v>12</v>
      </c>
      <c r="H110" s="181">
        <v>18</v>
      </c>
      <c r="I110" s="182" t="str">
        <f>IF(AK93&gt;2,"/","")</f>
        <v>/</v>
      </c>
      <c r="J110" s="183">
        <v>25</v>
      </c>
      <c r="K110" s="181">
        <v>25</v>
      </c>
      <c r="L110" s="182" t="str">
        <f>IF(AK93&gt;3,"/","")</f>
        <v>/</v>
      </c>
      <c r="M110" s="183">
        <v>17</v>
      </c>
      <c r="N110" s="181">
        <v>27</v>
      </c>
      <c r="O110" s="182" t="str">
        <f>IF(AK93&gt;4,"/","")</f>
        <v>/</v>
      </c>
      <c r="P110" s="183">
        <v>26</v>
      </c>
      <c r="Q110" s="181">
        <v>21</v>
      </c>
      <c r="R110" s="182" t="str">
        <f>IF(AK93&gt;5,"/","")</f>
        <v>/</v>
      </c>
      <c r="S110" s="183">
        <v>25</v>
      </c>
      <c r="T110" s="181">
        <v>25</v>
      </c>
      <c r="U110" s="182" t="str">
        <f>IF(AK93&gt;6,"/","")</f>
        <v>/</v>
      </c>
      <c r="V110" s="183">
        <v>23</v>
      </c>
      <c r="W110" s="181">
        <v>25</v>
      </c>
      <c r="X110" s="182" t="str">
        <f>IF(AK93&gt;7,"/","")</f>
        <v>/</v>
      </c>
      <c r="Y110" s="183">
        <v>23</v>
      </c>
      <c r="Z110" s="181">
        <v>25</v>
      </c>
      <c r="AA110" s="182" t="str">
        <f>IF(AK93&gt;8,"/","")</f>
        <v>/</v>
      </c>
      <c r="AB110" s="183">
        <v>15</v>
      </c>
      <c r="AC110" s="181">
        <v>26</v>
      </c>
      <c r="AD110" s="182" t="str">
        <f>IF(AK93&gt;9,"/","")</f>
        <v>/</v>
      </c>
      <c r="AE110" s="183">
        <v>24</v>
      </c>
      <c r="AF110" s="174" t="str">
        <f>IF(AK94&gt;1,"Team 2","")</f>
        <v>Team 2</v>
      </c>
      <c r="AG110" s="180">
        <f>IF(AK94&lt;2,"",IF(AK93&lt;1,"",IF(B109=2,B115-D115,IF(D109=2,D115-B115,""))))</f>
        <v>23</v>
      </c>
      <c r="AH110" s="180" t="str">
        <f>IF(AK94&lt;2,"",IF(AK93&lt;2,"",IF(E109=2,E115-G115,IF(G109=2,G115-E115,""))))</f>
        <v/>
      </c>
      <c r="AI110" s="180" t="str">
        <f>IF(AK94&lt;2,"",IF(AK93&lt;3,"",IF(H109=2,H115-J115,IF(J109=2,J115-H115,""))))</f>
        <v/>
      </c>
      <c r="AJ110" s="180">
        <f>IF(AK94&lt;2,"",IF(AK93&lt;4,"",IF(K109=2,K115-M115,IF(M109=2,M115-K115,""))))</f>
        <v>19</v>
      </c>
      <c r="AK110" s="180" t="str">
        <f>IF(AK94&lt;2,"",IF(AK93&lt;5,"",IF(N109=2,N115-P115,IF(P109=2,P115-N115,""))))</f>
        <v/>
      </c>
      <c r="AL110" s="180" t="str">
        <f>IF(AK94&lt;2,"",IF(AK93&lt;6,"",IF(Q109=2,Q115-S115,IF(S109=2,S115-Q115,""))))</f>
        <v/>
      </c>
      <c r="AM110" s="180">
        <f>IF(AK94&lt;2,"",IF(AK93&lt;7,"",IF(T109=2,T115-V115,IF(V109=2,V115-T115,""))))</f>
        <v>-5</v>
      </c>
      <c r="AN110" s="180" t="str">
        <f>IF(AK94&lt;2,"",IF(AK93&lt;8,"",IF(W109=2,W115-Y115,IF(Y109=2,Y115-W115,""))))</f>
        <v/>
      </c>
      <c r="AO110" s="180" t="str">
        <f>IF(AK94&lt;2,"",IF(AK93&lt;9,"",IF(Z109=2,Z115-AB115,IF(AB109=2,AB115-Z115,""))))</f>
        <v/>
      </c>
      <c r="AP110" s="180">
        <f>IF(AK94&lt;2,"",IF(AK93&lt;10,"",IF(AC109=2,AC115-AE115,IF(AE109=2,AE115-AC115,""))))</f>
        <v>3</v>
      </c>
      <c r="AQ110" s="176">
        <f>SUM(AG110:AP110)</f>
        <v>40</v>
      </c>
    </row>
    <row r="111" spans="1:44" ht="15" x14ac:dyDescent="0.2">
      <c r="A111" s="133" t="str">
        <f>IF(AK92&gt;1,"Game 2","")</f>
        <v>Game 2</v>
      </c>
      <c r="B111" s="181">
        <v>25</v>
      </c>
      <c r="C111" s="182" t="s">
        <v>78</v>
      </c>
      <c r="D111" s="183">
        <v>11</v>
      </c>
      <c r="E111" s="181">
        <v>25</v>
      </c>
      <c r="F111" s="182" t="str">
        <f>IF(AK93&gt;1,IF(AK92&gt;1,"/",""),"")</f>
        <v>/</v>
      </c>
      <c r="G111" s="183">
        <v>11</v>
      </c>
      <c r="H111" s="181">
        <v>22</v>
      </c>
      <c r="I111" s="182" t="str">
        <f>IF(AK93&gt;2,IF(AK92&gt;1,"/",""),"")</f>
        <v>/</v>
      </c>
      <c r="J111" s="183">
        <v>25</v>
      </c>
      <c r="K111" s="181">
        <v>25</v>
      </c>
      <c r="L111" s="182" t="str">
        <f>IF(AK93&gt;3,IF(AK92&gt;1,"/",""),"")</f>
        <v>/</v>
      </c>
      <c r="M111" s="183">
        <v>14</v>
      </c>
      <c r="N111" s="181">
        <v>25</v>
      </c>
      <c r="O111" s="182" t="str">
        <f>IF(AK93&gt;4,IF(AK92&gt;1,"/",""),"")</f>
        <v>/</v>
      </c>
      <c r="P111" s="183">
        <v>22</v>
      </c>
      <c r="Q111" s="181">
        <v>17</v>
      </c>
      <c r="R111" s="182" t="str">
        <f>IF(AK93&gt;5,IF(AK92&gt;1,"/",""),"")</f>
        <v>/</v>
      </c>
      <c r="S111" s="183">
        <v>25</v>
      </c>
      <c r="T111" s="181">
        <v>18</v>
      </c>
      <c r="U111" s="182" t="str">
        <f>IF(AK93&gt;6,IF(AK92&gt;1,"/",""),"")</f>
        <v>/</v>
      </c>
      <c r="V111" s="183">
        <v>25</v>
      </c>
      <c r="W111" s="181">
        <v>25</v>
      </c>
      <c r="X111" s="182" t="str">
        <f>IF(AK93&gt;7,IF(AK92&gt;1,"/",""),"")</f>
        <v>/</v>
      </c>
      <c r="Y111" s="183">
        <v>21</v>
      </c>
      <c r="Z111" s="181">
        <v>25</v>
      </c>
      <c r="AA111" s="182" t="str">
        <f>IF(AK93&gt;8,IF(AK92&gt;1,"/",""),"")</f>
        <v>/</v>
      </c>
      <c r="AB111" s="183">
        <v>15</v>
      </c>
      <c r="AC111" s="181">
        <v>20</v>
      </c>
      <c r="AD111" s="182" t="str">
        <f>IF(AK93&gt;9,IF(AK92&gt;1,"/",""),"")</f>
        <v>/</v>
      </c>
      <c r="AE111" s="183">
        <v>25</v>
      </c>
      <c r="AF111" s="174" t="str">
        <f>IF(AK94&gt;2,"Team 3","")</f>
        <v>Team 3</v>
      </c>
      <c r="AG111" s="180" t="str">
        <f>IF(AK94&lt;3,"",IF(AK93&lt;1,"",IF(B109=3,B115-D115,IF(D109=3,D115-B115,""))))</f>
        <v/>
      </c>
      <c r="AH111" s="180" t="str">
        <f>IF(AK94&lt;3,"",IF(AK93&lt;2,"",IF(E109=3,E115-G115,IF(G109=3,G115-E115,""))))</f>
        <v/>
      </c>
      <c r="AI111" s="180">
        <f>IF(AK94&lt;3,"",IF(AK93&lt;3,"",IF(H109=3,H115-J115,IF(J109=3,J115-H115,""))))</f>
        <v>-10</v>
      </c>
      <c r="AJ111" s="180" t="str">
        <f>IF(AK94&lt;3,"",IF(AK93&lt;4,"",IF(K109=3,K115-M115,IF(M109=3,M115-K115,""))))</f>
        <v/>
      </c>
      <c r="AK111" s="180">
        <f>IF(AK94&lt;3,"",IF(AK93&lt;5,"",IF(N109=3,N115-P115,IF(P109=3,P115-N115,""))))</f>
        <v>-4</v>
      </c>
      <c r="AL111" s="180" t="str">
        <f>IF(AK94&lt;3,"",IF(AK93&lt;6,"",IF(Q109=3,Q115-S115,IF(S109=3,S115-Q115,""))))</f>
        <v/>
      </c>
      <c r="AM111" s="180">
        <f>IF(AK94&lt;3,"",IF(AK93&lt;7,"",IF(T109=3,T115-V115,IF(V109=3,V115-T115,""))))</f>
        <v>5</v>
      </c>
      <c r="AN111" s="180" t="str">
        <f>IF(AK94&lt;3,"",IF(AK93&lt;8,"",IF(W109=3,W115-Y115,IF(Y109=3,Y115-W115,""))))</f>
        <v/>
      </c>
      <c r="AO111" s="180">
        <f>IF(AK94&lt;3,"",IF(AK93&lt;9,"",IF(Z109=3,Z115-AB115,IF(AB109=3,AB115-Z115,""))))</f>
        <v>20</v>
      </c>
      <c r="AP111" s="180" t="str">
        <f>IF(AK94&lt;3,"",IF(AK93&lt;9,"",IF(AC109=3,AC115-AE115,IF(AE109=3,AE115-AC115,""))))</f>
        <v/>
      </c>
      <c r="AQ111" s="176">
        <f>SUM(AG111:AP111)</f>
        <v>11</v>
      </c>
    </row>
    <row r="112" spans="1:44" ht="15" x14ac:dyDescent="0.2">
      <c r="A112" s="133" t="str">
        <f>IF(AK92&gt;2,"Game 3","")</f>
        <v/>
      </c>
      <c r="B112" s="181"/>
      <c r="C112" s="182" t="s">
        <v>78</v>
      </c>
      <c r="D112" s="183"/>
      <c r="E112" s="181"/>
      <c r="F112" s="182" t="str">
        <f>IF(AK93&gt;1,IF(AK92&gt;2,"/",""),"")</f>
        <v/>
      </c>
      <c r="G112" s="183"/>
      <c r="H112" s="181"/>
      <c r="I112" s="182" t="str">
        <f>IF(AK93&gt;2,IF(AK92&gt;2,"/",""),"")</f>
        <v/>
      </c>
      <c r="J112" s="183"/>
      <c r="K112" s="181"/>
      <c r="L112" s="182" t="str">
        <f>IF(AK93&gt;3,IF(AK92&gt;2,"/",""),"")</f>
        <v/>
      </c>
      <c r="M112" s="183"/>
      <c r="N112" s="181"/>
      <c r="O112" s="182" t="str">
        <f>IF(AK93&gt;4,IF(AK92&gt;2,"/",""),"")</f>
        <v/>
      </c>
      <c r="P112" s="183"/>
      <c r="Q112" s="181"/>
      <c r="R112" s="182" t="str">
        <f>IF(AK93&gt;5,IF(AK92&gt;2,"/",""),"")</f>
        <v/>
      </c>
      <c r="S112" s="183"/>
      <c r="T112" s="181"/>
      <c r="U112" s="182" t="str">
        <f>IF(AK93&gt;6,IF(AK92&gt;2,"/",""),"")</f>
        <v/>
      </c>
      <c r="V112" s="183"/>
      <c r="W112" s="181"/>
      <c r="X112" s="182" t="str">
        <f>IF(AK93&gt;7,IF(AK92&gt;2,"/",""),"")</f>
        <v/>
      </c>
      <c r="Y112" s="183"/>
      <c r="Z112" s="181"/>
      <c r="AA112" s="182" t="str">
        <f>IF(AK93&gt;8,IF(AK92&gt;2,"/",""),"")</f>
        <v/>
      </c>
      <c r="AB112" s="183"/>
      <c r="AC112" s="181"/>
      <c r="AD112" s="182" t="str">
        <f>IF(AK93&gt;9,IF(AK92&gt;2,"/",""),"")</f>
        <v/>
      </c>
      <c r="AE112" s="183"/>
      <c r="AF112" s="174" t="str">
        <f>IF(AK94&gt;3,"Team 4","")</f>
        <v>Team 4</v>
      </c>
      <c r="AG112" s="180" t="str">
        <f>IF(AK94&lt;4,"",IF(AK93&lt;1,"",IF(B109=4,B115-D115,IF(D109=4,D115-B115,""))))</f>
        <v/>
      </c>
      <c r="AH112" s="180">
        <f>IF(AK94&lt;4,"",IF(AK93&lt;2,"",IF(E109=4,E115-G115,IF(G109=4,G115-E115,""))))</f>
        <v>-27</v>
      </c>
      <c r="AI112" s="180" t="str">
        <f>IF(AK94&lt;4,"",IF(AK93&lt;3,"",IF(H109=4,H115-J115,IF(J109=4,J115-H115,""))))</f>
        <v/>
      </c>
      <c r="AJ112" s="180">
        <f>IF(AK94&lt;4,"",IF(AK93&lt;4,"",IF(K109=4,K115-M115,IF(M109=4,M115-K115,""))))</f>
        <v>-19</v>
      </c>
      <c r="AK112" s="180" t="str">
        <f>IF(AK94&lt;4,"",IF(AK93&lt;5,"",IF(N109=4,N115-P115,IF(P109=4,P115-N115,""))))</f>
        <v/>
      </c>
      <c r="AL112" s="180">
        <f>IF(AK94&lt;4,"",IF(AK93&lt;6,"",IF(Q109=4,Q115-S115,IF(S109=4,S115-Q115,""))))</f>
        <v>-12</v>
      </c>
      <c r="AM112" s="180" t="str">
        <f>IF(AK94&lt;4,"",IF(AK93&lt;7,"",IF(T109=4,T115-V115,IF(V109=4,V115-T115,""))))</f>
        <v/>
      </c>
      <c r="AN112" s="180" t="str">
        <f>IF(AK94&lt;4,"",IF(AK93&lt;8,"",IF(W109=4,W115-Y115,IF(Y109=4,Y115-W115,""))))</f>
        <v/>
      </c>
      <c r="AO112" s="180">
        <f>IF(AK94&lt;4,"",IF(AK93&lt;9,"",IF(Z109=4,Z115-AB115,IF(AB109=4,AB115-Z115,""))))</f>
        <v>-20</v>
      </c>
      <c r="AP112" s="180" t="str">
        <f>IF(AK94&lt;4,"",IF(AK93&lt;10,"",IF(AC109=4,AC115-AE115,IF(AE109=4,AE115-AC115,""))))</f>
        <v/>
      </c>
      <c r="AQ112" s="176">
        <f>SUM(AG112:AP112)</f>
        <v>-78</v>
      </c>
    </row>
    <row r="113" spans="1:49" ht="15" x14ac:dyDescent="0.2">
      <c r="A113" s="133" t="str">
        <f>IF(AK92&gt;3,"Game 4","")</f>
        <v/>
      </c>
      <c r="B113" s="181"/>
      <c r="C113" s="182" t="s">
        <v>78</v>
      </c>
      <c r="D113" s="183"/>
      <c r="E113" s="181"/>
      <c r="F113" s="182" t="str">
        <f>IF(AK93&gt;1,IF(AK92&gt;3,"/",""),"")</f>
        <v/>
      </c>
      <c r="G113" s="183"/>
      <c r="H113" s="181"/>
      <c r="I113" s="182" t="str">
        <f>IF(AK93&gt;2,IF(AK92&gt;3,"/",""),"")</f>
        <v/>
      </c>
      <c r="J113" s="183"/>
      <c r="K113" s="181"/>
      <c r="L113" s="182" t="str">
        <f>IF(AK93&gt;3,IF(AK92&gt;3,"/",""),"")</f>
        <v/>
      </c>
      <c r="M113" s="183"/>
      <c r="N113" s="181"/>
      <c r="O113" s="182" t="str">
        <f>IF(AK93&gt;4,IF(AK92&gt;3,"/",""),"")</f>
        <v/>
      </c>
      <c r="P113" s="183"/>
      <c r="Q113" s="181"/>
      <c r="R113" s="182" t="str">
        <f>IF(AK93&gt;5,IF(AK92&gt;3,"/",""),"")</f>
        <v/>
      </c>
      <c r="S113" s="183"/>
      <c r="T113" s="181"/>
      <c r="U113" s="182" t="str">
        <f>IF(AK93&gt;6,IF(AK92&gt;3,"/",""),"")</f>
        <v/>
      </c>
      <c r="V113" s="183"/>
      <c r="W113" s="181"/>
      <c r="X113" s="182" t="str">
        <f>IF(AK93&gt;7,IF(AK92&gt;3,"/",""),"")</f>
        <v/>
      </c>
      <c r="Y113" s="183"/>
      <c r="Z113" s="181"/>
      <c r="AA113" s="182" t="str">
        <f>IF(AK93&gt;8,IF(AK92&gt;3,"/",""),"")</f>
        <v/>
      </c>
      <c r="AB113" s="183"/>
      <c r="AC113" s="181"/>
      <c r="AD113" s="182" t="str">
        <f>IF(AK93&gt;9,IF(AK92&gt;3,"/",""),"")</f>
        <v/>
      </c>
      <c r="AE113" s="183"/>
      <c r="AF113" s="174" t="str">
        <f>IF(AK94&gt;4,"Team 5","")</f>
        <v>Team 5</v>
      </c>
      <c r="AG113" s="184">
        <f>IF(AK94&lt;5,"",IF(AK93&lt;1,"",IF(B109=5,B115-D115,IF(D109=5,D115-B115,""))))</f>
        <v>-23</v>
      </c>
      <c r="AH113" s="180" t="str">
        <f>IF(AK94&lt;5,"",IF(AK93&lt;2,"",IF(E109=5,E115-G115,IF(G109=5,G115-E115,""))))</f>
        <v/>
      </c>
      <c r="AI113" s="180">
        <f>IF(AK94&lt;5,"",IF(AK93&lt;3,"",IF(H109=5,H115-J115,IF(J109=5,J115-H115,""))))</f>
        <v>10</v>
      </c>
      <c r="AJ113" s="180" t="str">
        <f>IF(AK94&lt;5,"",IF(AK93&lt;4,"",IF(K109=5,K115-M115,IF(M109=5,M115-K115,""))))</f>
        <v/>
      </c>
      <c r="AK113" s="180" t="str">
        <f>IF(AK94&lt;5,"",IF(AK93&lt;5,"",IF(N109=5,N115-P115,IF(P109=5,P115-N115,""))))</f>
        <v/>
      </c>
      <c r="AL113" s="180">
        <f>IF(AK94&lt;5,"",IF(AK93&lt;6,"",IF(Q109=5,Q115-S115,IF(S109=5,S115-Q115,""))))</f>
        <v>12</v>
      </c>
      <c r="AM113" s="180" t="str">
        <f>IF(AK94&lt;5,"",IF(AK93&lt;7,"",IF(T109=5,T115-V115,IF(V109=5,V115-T115,""))))</f>
        <v/>
      </c>
      <c r="AN113" s="180">
        <f>IF(AK94&lt;5,"",IF(AK93&lt;8,"",IF(W109=5,W115-Y115,IF(Y109=5,Y115-W115,""))))</f>
        <v>-6</v>
      </c>
      <c r="AO113" s="180" t="str">
        <f>IF(AK94&lt;5,"",IF(AK93&lt;9,"",IF(Z109=5,Z115-AB115,IF(AB109=5,AB115-Z115,""))))</f>
        <v/>
      </c>
      <c r="AP113" s="180" t="str">
        <f>IF(AK94&lt;5,"",IF(AK93&lt;10,"",IF(AC109=5,AC115-AE115,IF(AE109=5,AE115-AC115,""))))</f>
        <v/>
      </c>
      <c r="AQ113" s="176">
        <f>SUM(AG113:AP113)</f>
        <v>-7</v>
      </c>
    </row>
    <row r="114" spans="1:49" ht="15" x14ac:dyDescent="0.2">
      <c r="A114" s="133" t="str">
        <f>IF(AK92&gt;4,"Game 5","")</f>
        <v/>
      </c>
      <c r="B114" s="181"/>
      <c r="C114" s="182" t="s">
        <v>78</v>
      </c>
      <c r="D114" s="183"/>
      <c r="E114" s="181"/>
      <c r="F114" s="182" t="str">
        <f>IF(AK93&gt;1,IF(AK92&gt;4,"/",""),"")</f>
        <v/>
      </c>
      <c r="G114" s="183"/>
      <c r="H114" s="181"/>
      <c r="I114" s="182" t="str">
        <f>IF(AK93&gt;2,IF(AK92&gt;4,"/",""),"")</f>
        <v/>
      </c>
      <c r="J114" s="183"/>
      <c r="K114" s="181"/>
      <c r="L114" s="182" t="str">
        <f>IF(AK93&gt;3,IF(AK92&gt;4,"/",""),"")</f>
        <v/>
      </c>
      <c r="M114" s="183"/>
      <c r="N114" s="181"/>
      <c r="O114" s="182" t="str">
        <f>IF(AK93&gt;4,IF(AK92&gt;4,"/",""),"")</f>
        <v/>
      </c>
      <c r="P114" s="183"/>
      <c r="Q114" s="181"/>
      <c r="R114" s="182" t="str">
        <f>IF(AK93&gt;5,IF(AK92&gt;4,"/",""),"")</f>
        <v/>
      </c>
      <c r="S114" s="183"/>
      <c r="T114" s="181"/>
      <c r="U114" s="182" t="str">
        <f>IF(AK93&gt;6,IF(AK92&gt;4,"/",""),"")</f>
        <v/>
      </c>
      <c r="V114" s="183"/>
      <c r="W114" s="181"/>
      <c r="X114" s="182" t="str">
        <f>IF(AK93&gt;7,IF(AK92&gt;4,"/",""),"")</f>
        <v/>
      </c>
      <c r="Y114" s="183"/>
      <c r="Z114" s="181"/>
      <c r="AA114" s="182" t="str">
        <f>IF(AK93&gt;8,IF(AK92&gt;4,"/",""),"")</f>
        <v/>
      </c>
      <c r="AB114" s="183"/>
      <c r="AC114" s="181"/>
      <c r="AD114" s="182" t="str">
        <f>IF(AK93&gt;9,IF(AK92&gt;4,"/",""),"")</f>
        <v/>
      </c>
      <c r="AE114" s="183"/>
      <c r="AF114" s="138"/>
      <c r="AG114" s="138"/>
      <c r="AH114" s="138"/>
      <c r="AI114" s="138"/>
      <c r="AJ114" s="138"/>
      <c r="AK114" s="138"/>
      <c r="AL114" s="138"/>
      <c r="AM114" s="138"/>
      <c r="AN114" s="138"/>
      <c r="AO114" s="138"/>
      <c r="AP114" s="138"/>
      <c r="AQ114" s="138"/>
    </row>
    <row r="115" spans="1:49" hidden="1" x14ac:dyDescent="0.2">
      <c r="A115" s="185"/>
      <c r="B115" s="185">
        <f>IF($AK92=5,SUM(B110:B114),IF($AK92=4,SUM(B110:B113),IF($AK92=3,SUM(B110:B112),IF($AK92=2,SUM(B110:B111),B110))))</f>
        <v>50</v>
      </c>
      <c r="C115" s="185"/>
      <c r="D115" s="185">
        <f>IF($AK92=5,SUM(D110:D114),IF($AK92=4,SUM(D110:D113),IF($AK92=3,SUM(D110:D112),IF($AK92=2,SUM(D110:D111),D110))))</f>
        <v>27</v>
      </c>
      <c r="E115" s="185">
        <f>IF($AK92=5,SUM(E110:E114),IF($AK92=4,SUM(E110:E113),IF($AK92=3,SUM(E110:E112),IF($AK92=2,SUM(E110:E111),E110))))</f>
        <v>50</v>
      </c>
      <c r="F115" s="185"/>
      <c r="G115" s="185">
        <f>IF($AK92=5,SUM(G110:G114),IF($AK92=4,SUM(G110:G113),IF($AK92=3,SUM(G110:G112),IF($AK92=2,SUM(G110:G111),G110))))</f>
        <v>23</v>
      </c>
      <c r="H115" s="185">
        <f>IF($AK92=5,SUM(H110:H114),IF($AK92=4,SUM(H110:H113),IF($AK92=3,SUM(H110:H112),IF($AK92=2,SUM(H110:H111),H110))))</f>
        <v>40</v>
      </c>
      <c r="I115" s="185"/>
      <c r="J115" s="185">
        <f>IF($AK92=5,SUM(J110:J114),IF($AK92=4,SUM(J110:J113),IF($AK92=3,SUM(J110:J112),IF($AK92=2,SUM(J110:J111),J110))))</f>
        <v>50</v>
      </c>
      <c r="K115" s="185">
        <f>IF($AK92=5,SUM(K110:K114),IF($AK92=4,SUM(K110:K113),IF($AK92=3,SUM(K110:K112),IF($AK92=2,SUM(K110:K111),K110))))</f>
        <v>50</v>
      </c>
      <c r="L115" s="185"/>
      <c r="M115" s="185">
        <f>IF($AK92=5,SUM(M110:M114),IF($AK92=4,SUM(M110:M113),IF($AK92=3,SUM(M110:M112),IF($AK92=2,SUM(M110:M111),M110))))</f>
        <v>31</v>
      </c>
      <c r="N115" s="185">
        <f>IF($AK92=5,SUM(N110:N114),IF($AK92=4,SUM(N110:N113),IF($AK92=3,SUM(N110:N112),IF($AK92=2,SUM(N110:N111),N110))))</f>
        <v>52</v>
      </c>
      <c r="O115" s="185"/>
      <c r="P115" s="185">
        <f>IF($AK92=5,SUM(P110:P114),IF($AK92=4,SUM(P110:P113),IF($AK92=3,SUM(P110:P112),IF($AK92=2,SUM(P110:P111),P110))))</f>
        <v>48</v>
      </c>
      <c r="Q115" s="185">
        <f>IF($AK92=5,SUM(Q110:Q114),IF($AK92=4,SUM(Q110:Q113),IF($AK92=3,SUM(Q110:Q112),IF($AK92=2,SUM(Q110:Q111),Q110))))</f>
        <v>38</v>
      </c>
      <c r="R115" s="185"/>
      <c r="S115" s="185">
        <f>IF($AK92=5,SUM(S110:S114),IF($AK92=4,SUM(S110:S113),IF($AK92=3,SUM(S110:S112),IF($AK92=2,SUM(S110:S111),S110))))</f>
        <v>50</v>
      </c>
      <c r="T115" s="185">
        <f>IF($AK92=5,SUM(T110:T114),IF($AK92=4,SUM(T110:T113),IF($AK92=3,SUM(T110:T112),IF($AK92=2,SUM(T110:T111),T110))))</f>
        <v>43</v>
      </c>
      <c r="U115" s="185"/>
      <c r="V115" s="185">
        <f>IF($AK92=5,SUM(V110:V114),IF($AK92=4,SUM(V110:V113),IF($AK92=3,SUM(V110:V112),IF($AK92=2,SUM(V110:V111),V110))))</f>
        <v>48</v>
      </c>
      <c r="W115" s="185">
        <f>IF($AK92=5,SUM(W110:W114),IF($AK92=4,SUM(W110:W113),IF($AK92=3,SUM(W110:W112),IF($AK92=2,SUM(W110:W111),W110))))</f>
        <v>50</v>
      </c>
      <c r="X115" s="185"/>
      <c r="Y115" s="185">
        <f>IF($AK92=5,SUM(Y110:Y114),IF($AK92=4,SUM(Y110:Y113),IF($AK92=3,SUM(Y110:Y112),IF($AK92=2,SUM(Y110:Y111),Y110))))</f>
        <v>44</v>
      </c>
      <c r="Z115" s="185">
        <f>IF($AK92=5,SUM(Z110:Z114),IF($AK92=4,SUM(Z110:Z113),IF($AK92=3,SUM(Z110:Z112),IF($AK92=2,SUM(Z110:Z111),Z110))))</f>
        <v>50</v>
      </c>
      <c r="AA115" s="185"/>
      <c r="AB115" s="185">
        <f>IF($AK92=5,SUM(AB110:AB114),IF($AK92=4,SUM(AB110:AB113),IF($AK92=3,SUM(AB110:AB112),IF($AK92=2,SUM(AB110:AB111),AB110))))</f>
        <v>30</v>
      </c>
      <c r="AC115" s="185">
        <f>IF($AK92=5,SUM(AC110:AC114),IF($AK92=4,SUM(AC110:AC113),IF($AK92=3,SUM(AC110:AC112),IF($AK92=2,SUM(AC110:AC111),AC110))))</f>
        <v>46</v>
      </c>
      <c r="AD115" s="185"/>
      <c r="AE115" s="185">
        <f>IF($AK92=5,SUM(AE110:AE114),IF($AK92=4,SUM(AE110:AE113),IF($AK92=3,SUM(AE110:AE112),IF($AK92=2,SUM(AE110:AE111),AE110))))</f>
        <v>49</v>
      </c>
      <c r="AF115" s="138"/>
      <c r="AG115" s="138"/>
      <c r="AH115" s="138"/>
      <c r="AI115" s="138"/>
      <c r="AJ115" s="138"/>
      <c r="AK115" s="138"/>
      <c r="AL115" s="138"/>
      <c r="AM115" s="138"/>
      <c r="AN115" s="138"/>
      <c r="AO115" s="138"/>
      <c r="AP115" s="138"/>
      <c r="AQ115" s="138"/>
    </row>
    <row r="116" spans="1:49" s="186" customFormat="1" ht="12.75" hidden="1" customHeight="1" x14ac:dyDescent="0.2">
      <c r="A116" s="186" t="s">
        <v>79</v>
      </c>
      <c r="B116" s="187">
        <f>IF(AND(B110&gt;D110,$AK93&gt;0,ISNUMBER(B110),ISNUMBER(D110)),1,0)</f>
        <v>1</v>
      </c>
      <c r="C116" s="187"/>
      <c r="D116" s="188">
        <f>IF(AND(D110&gt;B110,$AK93&gt;0,ISNUMBER(B110),ISNUMBER(D110)),1,0)</f>
        <v>0</v>
      </c>
      <c r="E116" s="187">
        <f>IF(AND(E110&gt;G110,$AK93&gt;1,ISNUMBER(E110),ISNUMBER(G110)),1,0)</f>
        <v>1</v>
      </c>
      <c r="F116" s="187"/>
      <c r="G116" s="188">
        <f>IF(AND(G110&gt;E110,$AK93&gt;1,ISNUMBER(E110),ISNUMBER(G110)),1,0)</f>
        <v>0</v>
      </c>
      <c r="H116" s="187">
        <f>IF(AND(H110&gt;J110,$AK93&gt;2,ISNUMBER(H110),ISNUMBER(J110)),1,0)</f>
        <v>0</v>
      </c>
      <c r="I116" s="187"/>
      <c r="J116" s="188">
        <f>IF(AND(J110&gt;H110,$AK93&gt;2,ISNUMBER(H110),ISNUMBER(J110)),1,0)</f>
        <v>1</v>
      </c>
      <c r="K116" s="187">
        <f>IF(AND(K110&gt;M110,$AK93&gt;3,ISNUMBER(K110),ISNUMBER(M110)),1,0)</f>
        <v>1</v>
      </c>
      <c r="L116" s="187"/>
      <c r="M116" s="188">
        <f>IF(AND(M110&gt;K110,$AK93&gt;3,ISNUMBER(K110),ISNUMBER(M110)),1,0)</f>
        <v>0</v>
      </c>
      <c r="N116" s="187">
        <f>IF(AND(N110&gt;P110,$AK93&gt;4,ISNUMBER(N110),ISNUMBER(P110)),1,0)</f>
        <v>1</v>
      </c>
      <c r="O116" s="187"/>
      <c r="P116" s="188">
        <f>IF(AND(P110&gt;N110,$AK93&gt;4,ISNUMBER(N110),ISNUMBER(P110)),1,0)</f>
        <v>0</v>
      </c>
      <c r="Q116" s="187">
        <f>IF(AND(Q110&gt;S110,$AK93&gt;5,ISNUMBER(Q110),ISNUMBER(S110)),1,0)</f>
        <v>0</v>
      </c>
      <c r="R116" s="187"/>
      <c r="S116" s="188">
        <f>IF(AND(S110&gt;Q110,$AK93&gt;5,ISNUMBER(Q110),ISNUMBER(S110)),1,0)</f>
        <v>1</v>
      </c>
      <c r="T116" s="187">
        <f>IF(AND(T110&gt;V110,$AK93&gt;6,ISNUMBER(T110),ISNUMBER(V110)),1,0)</f>
        <v>1</v>
      </c>
      <c r="U116" s="187"/>
      <c r="V116" s="188">
        <f>IF(AND(V110&gt;T110,$AK93&gt;6,ISNUMBER(T110),ISNUMBER(V110)),1,0)</f>
        <v>0</v>
      </c>
      <c r="W116" s="187">
        <f>IF(AND(W110&gt;Y110,$AK93&gt;7,ISNUMBER(W110),ISNUMBER(Y110)),1,0)</f>
        <v>1</v>
      </c>
      <c r="X116" s="187"/>
      <c r="Y116" s="188">
        <f>IF(AND(Y110&gt;W110,$AK93&gt;7,ISNUMBER(W110),ISNUMBER(Y110)),1,0)</f>
        <v>0</v>
      </c>
      <c r="Z116" s="187">
        <f>IF(AND(Z110&gt;AB110,$AK93&gt;8,ISNUMBER(Z110),ISNUMBER(AB110)),1,0)</f>
        <v>1</v>
      </c>
      <c r="AA116" s="187"/>
      <c r="AB116" s="188">
        <f>IF(AND(AB110&gt;Z110,$AK93&gt;8,ISNUMBER(Z110),ISNUMBER(AB110)),1,0)</f>
        <v>0</v>
      </c>
      <c r="AC116" s="187">
        <f>IF(AND(AC110&gt;AE110,$AK93&gt;9,ISNUMBER(AC110),ISNUMBER(AE110)),1,0)</f>
        <v>1</v>
      </c>
      <c r="AD116" s="187"/>
      <c r="AE116" s="188">
        <f>IF(AND(AE110&gt;AC110,$AK93&gt;9,ISNUMBER(AC110),ISNUMBER(AE110)),1,0)</f>
        <v>0</v>
      </c>
      <c r="AW116" s="274"/>
    </row>
    <row r="117" spans="1:49" s="186" customFormat="1" ht="12.75" hidden="1" customHeight="1" x14ac:dyDescent="0.2">
      <c r="A117" s="186" t="s">
        <v>80</v>
      </c>
      <c r="B117" s="187">
        <f>IF(AND(B111&gt;D111,$AK93&gt;0,$AK92&gt;1,ISNUMBER(B111),ISNUMBER(D111)),1,0)</f>
        <v>1</v>
      </c>
      <c r="C117" s="187"/>
      <c r="D117" s="188">
        <f>IF(AND(D111&gt;B111,$AK93&gt;0,$AK92&gt;1,ISNUMBER(B111),ISNUMBER(D111)),1,0)</f>
        <v>0</v>
      </c>
      <c r="E117" s="187">
        <f>IF(AND(E111&gt;G111,$AK93&gt;1,$AK92&gt;1,ISNUMBER(E111),ISNUMBER(G111)),1,0)</f>
        <v>1</v>
      </c>
      <c r="F117" s="187"/>
      <c r="G117" s="188">
        <f>IF(AND(G111&gt;E111,$AK93&gt;1,$AK92&gt;1,ISNUMBER(E111),ISNUMBER(G111)),1,0)</f>
        <v>0</v>
      </c>
      <c r="H117" s="187">
        <f>IF(AND(H111&gt;J111,$AK93&gt;2,$AK92&gt;1,ISNUMBER(H111),ISNUMBER(J111)),1,0)</f>
        <v>0</v>
      </c>
      <c r="I117" s="187"/>
      <c r="J117" s="188">
        <f>IF(AND(J111&gt;H111,$AK93&gt;2,$AK92&gt;1,ISNUMBER(H111),ISNUMBER(J111)),1,0)</f>
        <v>1</v>
      </c>
      <c r="K117" s="187">
        <f>IF(AND(K111&gt;M111,$AK93&gt;3,$AK92&gt;1,ISNUMBER(K111),ISNUMBER(M111)),1,0)</f>
        <v>1</v>
      </c>
      <c r="L117" s="187"/>
      <c r="M117" s="188">
        <f>IF(AND(M111&gt;K111,$AK93&gt;3,$AK92&gt;1,ISNUMBER(K111),ISNUMBER(M111)),1,0)</f>
        <v>0</v>
      </c>
      <c r="N117" s="187">
        <f>IF(AND(N111&gt;P111,$AK93&gt;4,$AK92&gt;1,ISNUMBER(N111),ISNUMBER(P111)),1,0)</f>
        <v>1</v>
      </c>
      <c r="O117" s="187"/>
      <c r="P117" s="188">
        <f>IF(AND(P111&gt;N111,$AK93&gt;4,$AK92&gt;1,ISNUMBER(N111),ISNUMBER(P111)),1,0)</f>
        <v>0</v>
      </c>
      <c r="Q117" s="187">
        <f>IF(AND(Q111&gt;S111,$AK93&gt;5,$AK92&gt;1,ISNUMBER(Q111),ISNUMBER(S111)),1,0)</f>
        <v>0</v>
      </c>
      <c r="R117" s="187"/>
      <c r="S117" s="188">
        <f>IF(AND(S111&gt;Q111,$AK93&gt;5,$AK92&gt;1,ISNUMBER(Q111),ISNUMBER(S111)),1,0)</f>
        <v>1</v>
      </c>
      <c r="T117" s="187">
        <f>IF(AND(T111&gt;V111,$AK93&gt;6,$AK92&gt;1,ISNUMBER(T111),ISNUMBER(V111)),1,0)</f>
        <v>0</v>
      </c>
      <c r="U117" s="187"/>
      <c r="V117" s="188">
        <f>IF(AND(V111&gt;T111,$AK93&gt;6,$AK92&gt;1,ISNUMBER(T111),ISNUMBER(V111)),1,0)</f>
        <v>1</v>
      </c>
      <c r="W117" s="187">
        <f>IF(AND(W111&gt;Y111,$AK93&gt;7,$AK92&gt;1,ISNUMBER(W111),ISNUMBER(Y111)),1,0)</f>
        <v>1</v>
      </c>
      <c r="X117" s="187"/>
      <c r="Y117" s="188">
        <f>IF(AND(Y111&gt;W111,$AK93&gt;7,$AK92&gt;1,ISNUMBER(W111),ISNUMBER(Y111)),1,0)</f>
        <v>0</v>
      </c>
      <c r="Z117" s="187">
        <f>IF(AND(Z111&gt;AB111,$AK93&gt;8,$AK92&gt;1,ISNUMBER(Z111),ISNUMBER(AB111)),1,0)</f>
        <v>1</v>
      </c>
      <c r="AA117" s="187"/>
      <c r="AB117" s="188">
        <f>IF(AND(AB111&gt;Z111,$AK93&gt;8,$AK92&gt;1,ISNUMBER(Z111),ISNUMBER(AB111)),1,0)</f>
        <v>0</v>
      </c>
      <c r="AC117" s="187">
        <f>IF(AND(AC111&gt;AE111,$AK93&gt;9,$AK92&gt;1,ISNUMBER(AC111),ISNUMBER(AE111)),1,0)</f>
        <v>0</v>
      </c>
      <c r="AD117" s="187"/>
      <c r="AE117" s="188">
        <f>IF(AND(AE111&gt;AC111,$AK93&gt;9,$AK92&gt;1,ISNUMBER(AC111),ISNUMBER(AE111)),1,0)</f>
        <v>1</v>
      </c>
      <c r="AW117" s="274"/>
    </row>
    <row r="118" spans="1:49" s="186" customFormat="1" ht="12.75" hidden="1" customHeight="1" x14ac:dyDescent="0.2">
      <c r="A118" s="186" t="s">
        <v>81</v>
      </c>
      <c r="B118" s="187">
        <f>IF(AND(B112&gt;D112,$AK93&gt;0,$AK92&gt;2,ISNUMBER(B112),ISNUMBER(D112)),1,0)</f>
        <v>0</v>
      </c>
      <c r="C118" s="187"/>
      <c r="D118" s="188">
        <f>IF(AND(D112&gt;B112,$AK93&gt;0,$AK92&gt;2,ISNUMBER(B112),ISNUMBER(D112)),1,0)</f>
        <v>0</v>
      </c>
      <c r="E118" s="187">
        <f>IF(AND(E112&gt;G112,$AK93&gt;1,$AK92&gt;2,ISNUMBER(E112),ISNUMBER(G112)),1,0)</f>
        <v>0</v>
      </c>
      <c r="F118" s="187"/>
      <c r="G118" s="188">
        <f>IF(AND(G112&gt;E112,$AK93&gt;1,$AK92&gt;2,ISNUMBER(E112),ISNUMBER(G112)),1,0)</f>
        <v>0</v>
      </c>
      <c r="H118" s="187">
        <f>IF(AND(H112&gt;J112,$AK93&gt;2,$AK92&gt;2,ISNUMBER(H112),ISNUMBER(J112)),1,0)</f>
        <v>0</v>
      </c>
      <c r="I118" s="187"/>
      <c r="J118" s="188">
        <f>IF(AND(J112&gt;H112,$AK93&gt;2,$AK92&gt;2,ISNUMBER(H112),ISNUMBER(J112)),1,0)</f>
        <v>0</v>
      </c>
      <c r="K118" s="187">
        <f>IF(AND(K112&gt;M112,$AK93&gt;3,$AK92&gt;2,ISNUMBER(K112),ISNUMBER(M112)),1,0)</f>
        <v>0</v>
      </c>
      <c r="L118" s="187"/>
      <c r="M118" s="188">
        <f>IF(AND(M112&gt;K112,$AK93&gt;3,$AK92&gt;2,ISNUMBER(K112),ISNUMBER(M112)),1,0)</f>
        <v>0</v>
      </c>
      <c r="N118" s="187">
        <f>IF(AND(N112&gt;P112,$AK93&gt;4,$AK92&gt;2,ISNUMBER(N112),ISNUMBER(P112)),1,0)</f>
        <v>0</v>
      </c>
      <c r="O118" s="187"/>
      <c r="P118" s="188">
        <f>IF(AND(P112&gt;N112,$AK93&gt;4,$AK92&gt;2,ISNUMBER(N112),ISNUMBER(P112)),1,0)</f>
        <v>0</v>
      </c>
      <c r="Q118" s="187">
        <f>IF(AND(Q112&gt;S112,$AK93&gt;5,$AK92&gt;2,ISNUMBER(Q112),ISNUMBER(S112)),1,0)</f>
        <v>0</v>
      </c>
      <c r="R118" s="187"/>
      <c r="S118" s="188">
        <f>IF(AND(S112&gt;Q112,$AK93&gt;5,$AK92&gt;2,ISNUMBER(Q112),ISNUMBER(S112)),1,0)</f>
        <v>0</v>
      </c>
      <c r="T118" s="187">
        <f>IF(AND(T112&gt;V112,$AK93&gt;6,$AK92&gt;2,ISNUMBER(T112),ISNUMBER(V112)),1,0)</f>
        <v>0</v>
      </c>
      <c r="U118" s="187"/>
      <c r="V118" s="188">
        <f>IF(AND(V112&gt;T112,$AK93&gt;6,$AK92&gt;2,ISNUMBER(T112),ISNUMBER(V112)),1,0)</f>
        <v>0</v>
      </c>
      <c r="W118" s="187">
        <f>IF(AND(W112&gt;Y112,$AK93&gt;7,$AK92&gt;2,ISNUMBER(W112),ISNUMBER(Y112)),1,0)</f>
        <v>0</v>
      </c>
      <c r="X118" s="187"/>
      <c r="Y118" s="188">
        <f>IF(AND(Y112&gt;W112,$AK93&gt;7,$AK92&gt;2,ISNUMBER(W112),ISNUMBER(Y112)),1,0)</f>
        <v>0</v>
      </c>
      <c r="Z118" s="187">
        <f>IF(AND(Z112&gt;AB112,$AK93&gt;8,$AK92&gt;2,ISNUMBER(Z112),ISNUMBER(AB112)),1,0)</f>
        <v>0</v>
      </c>
      <c r="AA118" s="187"/>
      <c r="AB118" s="188">
        <f>IF(AND(AB112&gt;Z112,$AK93&gt;8,$AK92&gt;2,ISNUMBER(Z112),ISNUMBER(AB112)),1,0)</f>
        <v>0</v>
      </c>
      <c r="AC118" s="187">
        <f>IF(AND(AC112&gt;AE112,$AK93&gt;9,$AK92&gt;2,ISNUMBER(AC112),ISNUMBER(AE112)),1,0)</f>
        <v>0</v>
      </c>
      <c r="AD118" s="187"/>
      <c r="AE118" s="188">
        <f>IF(AND(AE112&gt;AC112,$AK93&gt;9,$AK92&gt;2,ISNUMBER(AC112),ISNUMBER(AE112)),1,0)</f>
        <v>0</v>
      </c>
      <c r="AW118" s="274"/>
    </row>
    <row r="119" spans="1:49" s="186" customFormat="1" ht="12.75" hidden="1" customHeight="1" x14ac:dyDescent="0.2">
      <c r="A119" s="186" t="s">
        <v>82</v>
      </c>
      <c r="B119" s="187">
        <f>IF(AND(B113&gt;D113,$AK93&gt;0,$AK92&gt;3,ISNUMBER(B113),ISNUMBER(D113)),1,0)</f>
        <v>0</v>
      </c>
      <c r="C119" s="187"/>
      <c r="D119" s="188">
        <f>IF(AND(D113&gt;B113,$AK93&gt;0,$AK92&gt;3,ISNUMBER(B113),ISNUMBER(D113)),1,0)</f>
        <v>0</v>
      </c>
      <c r="E119" s="187">
        <f>IF(AND(E113&gt;G113,$AK93&gt;1,$AK92&gt;3,ISNUMBER(E113),ISNUMBER(G113)),1,0)</f>
        <v>0</v>
      </c>
      <c r="F119" s="187"/>
      <c r="G119" s="188">
        <f>IF(AND(G113&gt;E113,$AK93&gt;1,$AK92&gt;3,ISNUMBER(E113),ISNUMBER(G113)),1,0)</f>
        <v>0</v>
      </c>
      <c r="H119" s="187">
        <f>IF(AND(H113&gt;J113,$AK93&gt;2,$AK92&gt;3,ISNUMBER(H113),ISNUMBER(J113)),1,0)</f>
        <v>0</v>
      </c>
      <c r="I119" s="187"/>
      <c r="J119" s="188">
        <f>IF(AND(J113&gt;H113,$AK93&gt;2,$AK92&gt;3,ISNUMBER(H113),ISNUMBER(J113)),1,0)</f>
        <v>0</v>
      </c>
      <c r="K119" s="187">
        <f>IF(AND(K113&gt;M113,$AK93&gt;3,$AK92&gt;3,ISNUMBER(K113),ISNUMBER(M113)),1,0)</f>
        <v>0</v>
      </c>
      <c r="L119" s="187"/>
      <c r="M119" s="188">
        <f>IF(AND(M113&gt;K113,$AK93&gt;3,$AK92&gt;3,ISNUMBER(K113),ISNUMBER(M113)),1,0)</f>
        <v>0</v>
      </c>
      <c r="N119" s="187">
        <f>IF(AND(N113&gt;P113,$AK93&gt;4,$AK92&gt;3,ISNUMBER(N113),ISNUMBER(P113)),1,0)</f>
        <v>0</v>
      </c>
      <c r="O119" s="187"/>
      <c r="P119" s="188">
        <f>IF(AND(P113&gt;N113,$AK93&gt;4,$AK92&gt;3,ISNUMBER(N113),ISNUMBER(P113)),1,0)</f>
        <v>0</v>
      </c>
      <c r="Q119" s="187">
        <f>IF(AND(Q113&gt;S113,$AK93&gt;5,$AK92&gt;3,ISNUMBER(Q113),ISNUMBER(S113)),1,0)</f>
        <v>0</v>
      </c>
      <c r="R119" s="187"/>
      <c r="S119" s="188">
        <f>IF(AND(S113&gt;Q113,$AK93&gt;5,$AK92&gt;3,ISNUMBER(Q113),ISNUMBER(S113)),1,0)</f>
        <v>0</v>
      </c>
      <c r="T119" s="187">
        <f>IF(AND(T113&gt;V113,$AK93&gt;6,$AK92&gt;3,ISNUMBER(T113),ISNUMBER(V113)),1,0)</f>
        <v>0</v>
      </c>
      <c r="U119" s="187"/>
      <c r="V119" s="188">
        <f>IF(AND(V113&gt;T113,$AK93&gt;6,$AK92&gt;3,ISNUMBER(T113),ISNUMBER(V113)),1,0)</f>
        <v>0</v>
      </c>
      <c r="W119" s="187">
        <f>IF(AND(W113&gt;Y113,$AK93&gt;7,$AK92&gt;3,ISNUMBER(W113),ISNUMBER(Y113)),1,0)</f>
        <v>0</v>
      </c>
      <c r="X119" s="187"/>
      <c r="Y119" s="188">
        <f>IF(AND(Y113&gt;W113,$AK93&gt;7,$AK92&gt;3,ISNUMBER(W113),ISNUMBER(Y113)),1,0)</f>
        <v>0</v>
      </c>
      <c r="Z119" s="187">
        <f>IF(AND(Z113&gt;AB113,$AK93&gt;8,$AK92&gt;3,ISNUMBER(Z113),ISNUMBER(AB113)),1,0)</f>
        <v>0</v>
      </c>
      <c r="AA119" s="187"/>
      <c r="AB119" s="188">
        <f>IF(AND(AB113&gt;Z113,$AK93&gt;8,$AK92&gt;3,ISNUMBER(Z113),ISNUMBER(AB113)),1,0)</f>
        <v>0</v>
      </c>
      <c r="AC119" s="187">
        <f>IF(AND(AC113&gt;AE113,$AK93&gt;9,$AK92&gt;3,ISNUMBER(AC113),ISNUMBER(AE113)),1,0)</f>
        <v>0</v>
      </c>
      <c r="AD119" s="187"/>
      <c r="AE119" s="188">
        <f>IF(AND(AE113&gt;AC113,$AK93&gt;9,$AK92&gt;3,ISNUMBER(AC113),ISNUMBER(AE113)),1,0)</f>
        <v>0</v>
      </c>
      <c r="AW119" s="274"/>
    </row>
    <row r="120" spans="1:49" s="186" customFormat="1" ht="12.75" hidden="1" customHeight="1" x14ac:dyDescent="0.2">
      <c r="A120" s="186" t="s">
        <v>83</v>
      </c>
      <c r="B120" s="187">
        <f>IF(AND(B114&gt;D114,$AK93&gt;0,$AK92&gt;4,ISNUMBER(B114),ISNUMBER(D114)),1,0)</f>
        <v>0</v>
      </c>
      <c r="C120" s="187"/>
      <c r="D120" s="188">
        <f>IF(AND(D114&gt;B114,$AK93&gt;0,$AK92&gt;4,ISNUMBER(B114),ISNUMBER(D114)),1,0)</f>
        <v>0</v>
      </c>
      <c r="E120" s="187">
        <f>IF(AND(E114&gt;G114,$AK93&gt;1,$AK92&gt;4,ISNUMBER(E114),ISNUMBER(G114)),1,0)</f>
        <v>0</v>
      </c>
      <c r="F120" s="187"/>
      <c r="G120" s="188">
        <f>IF(AND(G114&gt;E114,$AK93&gt;1,$AK92&gt;4,ISNUMBER(E114),ISNUMBER(G114)),1,0)</f>
        <v>0</v>
      </c>
      <c r="H120" s="187">
        <f>IF(AND(H114&gt;J114,$AK93&gt;2,$AK92&gt;4,ISNUMBER(H114),ISNUMBER(J114)),1,0)</f>
        <v>0</v>
      </c>
      <c r="I120" s="187"/>
      <c r="J120" s="188">
        <f>IF(AND(J114&gt;H114,$AK93&gt;2,$AK92&gt;4,ISNUMBER(H114),ISNUMBER(J114)),1,0)</f>
        <v>0</v>
      </c>
      <c r="K120" s="187">
        <f>IF(AND(K114&gt;M114,$AK93&gt;3,$AK92&gt;4,ISNUMBER(K114),ISNUMBER(M114)),1,0)</f>
        <v>0</v>
      </c>
      <c r="L120" s="187"/>
      <c r="M120" s="188">
        <f>IF(AND(M114&gt;K114,$AK93&gt;3,$AK92&gt;4,ISNUMBER(K114),ISNUMBER(M114)),1,0)</f>
        <v>0</v>
      </c>
      <c r="N120" s="187">
        <f>IF(AND(N114&gt;P114,$AK93&gt;4,$AK92&gt;4,ISNUMBER(N114),ISNUMBER(P114)),1,0)</f>
        <v>0</v>
      </c>
      <c r="O120" s="187"/>
      <c r="P120" s="188">
        <f>IF(AND(P114&gt;N114,$AK93&gt;4,$AK92&gt;4,ISNUMBER(N114),ISNUMBER(P114)),1,0)</f>
        <v>0</v>
      </c>
      <c r="Q120" s="187">
        <f>IF(AND(Q114&gt;S114,$AK93&gt;5,$AK92&gt;4,ISNUMBER(Q114),ISNUMBER(S114)),1,0)</f>
        <v>0</v>
      </c>
      <c r="R120" s="187"/>
      <c r="S120" s="188">
        <f>IF(AND(S114&gt;Q114,$AK93&gt;5,$AK92&gt;4,ISNUMBER(Q114),ISNUMBER(S114)),1,0)</f>
        <v>0</v>
      </c>
      <c r="T120" s="187">
        <f>IF(AND(T114&gt;V114,$AK93&gt;6,$AK92&gt;4,ISNUMBER(T114),ISNUMBER(V114)),1,0)</f>
        <v>0</v>
      </c>
      <c r="U120" s="187"/>
      <c r="V120" s="188">
        <f>IF(AND(V114&gt;T114,$AK93&gt;6,$AK92&gt;4,ISNUMBER(T114),ISNUMBER(V114)),1,0)</f>
        <v>0</v>
      </c>
      <c r="W120" s="187">
        <f>IF(AND(W114&gt;Y114,$AK93&gt;7,$AK92&gt;4,ISNUMBER(W114),ISNUMBER(Y114)),1,0)</f>
        <v>0</v>
      </c>
      <c r="X120" s="187"/>
      <c r="Y120" s="188">
        <f>IF(AND(Y114&gt;W114,$AK93&gt;7,$AK92&gt;4,ISNUMBER(W114),ISNUMBER(Y114)),1,0)</f>
        <v>0</v>
      </c>
      <c r="Z120" s="187">
        <f>IF(AND(Z114&gt;AB114,$AK93&gt;8,$AK92&gt;4,ISNUMBER(Z114),ISNUMBER(AB114)),1,0)</f>
        <v>0</v>
      </c>
      <c r="AA120" s="187"/>
      <c r="AB120" s="188">
        <f>IF(AND(AB114&gt;Z114,$AK93&gt;8,$AK92&gt;4,ISNUMBER(Z114),ISNUMBER(AB114)),1,0)</f>
        <v>0</v>
      </c>
      <c r="AC120" s="187">
        <f>IF(AND(AC114&gt;AE114,$AK93&gt;9,$AK92&gt;4,ISNUMBER(AC114),ISNUMBER(AE114)),1,0)</f>
        <v>0</v>
      </c>
      <c r="AD120" s="187"/>
      <c r="AE120" s="188">
        <f>IF(AND(AE114&gt;AC114,$AK93&gt;9,$AK92&gt;4,ISNUMBER(AC114),ISNUMBER(AE114)),1,0)</f>
        <v>0</v>
      </c>
      <c r="AW120" s="274"/>
    </row>
    <row r="121" spans="1:49" s="186" customFormat="1" ht="38.25" hidden="1" customHeight="1" x14ac:dyDescent="0.2">
      <c r="A121" s="189" t="s">
        <v>84</v>
      </c>
      <c r="B121" s="186">
        <f>SUM(B116:B120)</f>
        <v>2</v>
      </c>
      <c r="D121" s="190">
        <f>SUM(D116:D120)</f>
        <v>0</v>
      </c>
      <c r="E121" s="186">
        <f>SUM(E116:E120)</f>
        <v>2</v>
      </c>
      <c r="G121" s="190">
        <f>SUM(G116:G120)</f>
        <v>0</v>
      </c>
      <c r="H121" s="186">
        <f>SUM(H116:H120)</f>
        <v>0</v>
      </c>
      <c r="J121" s="190">
        <f>SUM(J116:J120)</f>
        <v>2</v>
      </c>
      <c r="K121" s="186">
        <f>SUM(K116:K120)</f>
        <v>2</v>
      </c>
      <c r="M121" s="190">
        <f>SUM(M116:M120)</f>
        <v>0</v>
      </c>
      <c r="N121" s="186">
        <f>SUM(N116:N120)</f>
        <v>2</v>
      </c>
      <c r="P121" s="190">
        <f>SUM(P116:P120)</f>
        <v>0</v>
      </c>
      <c r="Q121" s="186">
        <f>SUM(Q116:Q120)</f>
        <v>0</v>
      </c>
      <c r="S121" s="190">
        <f>SUM(S116:S120)</f>
        <v>2</v>
      </c>
      <c r="T121" s="186">
        <f>SUM(T116:T120)</f>
        <v>1</v>
      </c>
      <c r="V121" s="190">
        <f>SUM(V116:V120)</f>
        <v>1</v>
      </c>
      <c r="W121" s="186">
        <f>SUM(W116:W120)</f>
        <v>2</v>
      </c>
      <c r="Y121" s="190">
        <f>SUM(Y116:Y120)</f>
        <v>0</v>
      </c>
      <c r="Z121" s="186">
        <f>SUM(Z116:Z120)</f>
        <v>2</v>
      </c>
      <c r="AB121" s="190">
        <f>SUM(AB116:AB120)</f>
        <v>0</v>
      </c>
      <c r="AC121" s="186">
        <f>SUM(AC116:AC120)</f>
        <v>1</v>
      </c>
      <c r="AE121" s="190">
        <f>SUM(AE116:AE120)</f>
        <v>1</v>
      </c>
      <c r="AW121" s="274"/>
    </row>
    <row r="122" spans="1:49" s="186" customFormat="1" ht="25.5" hidden="1" customHeight="1" x14ac:dyDescent="0.2">
      <c r="A122" s="189" t="s">
        <v>85</v>
      </c>
      <c r="B122" s="186">
        <f>IF(B121&gt;D121,IF(C156=AK92,1,IF(C156=AK92-1,1,0)),0)</f>
        <v>1</v>
      </c>
      <c r="C122" s="186">
        <f>B122+D122</f>
        <v>1</v>
      </c>
      <c r="D122" s="190">
        <f>IF(D121&gt;B121,IF(C156=AK92,1,IF(C156=AK92-1,1,0)),0)</f>
        <v>0</v>
      </c>
      <c r="E122" s="186">
        <f>IF(E121&gt;G121,IF(F156=AK92,1,IF(F156=AK92-1,1,0)),0)</f>
        <v>1</v>
      </c>
      <c r="F122" s="186">
        <f>E122+G122</f>
        <v>1</v>
      </c>
      <c r="G122" s="190">
        <f>IF(G121&gt;E121,IF(F156=AK92,1,IF(F156=AK92-1,1,0)),0)</f>
        <v>0</v>
      </c>
      <c r="H122" s="186">
        <f>IF(H121&gt;J121,IF(I156=AK92,1,IF(I156=AK92-1,1,0)),0)</f>
        <v>0</v>
      </c>
      <c r="I122" s="186">
        <f>H122+J122</f>
        <v>1</v>
      </c>
      <c r="J122" s="190">
        <f>IF(J121&gt;H121,IF(I156=AK92,1,IF(I156=AK92-1,1,0)),0)</f>
        <v>1</v>
      </c>
      <c r="K122" s="186">
        <f>IF(K121&gt;M121,IF(L156=AK92,1,IF(L156=AK92-1,1,0)),0)</f>
        <v>1</v>
      </c>
      <c r="L122" s="186">
        <f>K122+M122</f>
        <v>1</v>
      </c>
      <c r="M122" s="190">
        <f>IF(M121&gt;K121,IF(L156=AK92,1,IF(L156=AK92-1,1,0)),0)</f>
        <v>0</v>
      </c>
      <c r="N122" s="186">
        <f>IF(N121&gt;P121,IF(O156=AK92,1,IF(O156=AK92-1,1,0)),0)</f>
        <v>1</v>
      </c>
      <c r="O122" s="186">
        <f>N122+P122</f>
        <v>1</v>
      </c>
      <c r="P122" s="190">
        <f>IF(P121&gt;N121,IF(O156=AK92,1,IF(O156=AK92-1,1,0)),0)</f>
        <v>0</v>
      </c>
      <c r="Q122" s="186">
        <f>IF(Q121&gt;S121,IF(R156=AK92,1,IF(R156=AK92-1,1,0)),0)</f>
        <v>0</v>
      </c>
      <c r="R122" s="186">
        <f>Q122+S122</f>
        <v>1</v>
      </c>
      <c r="S122" s="190">
        <f>IF(S121&gt;Q121,IF(R156=AK92,1,IF(R156=AK92-1,1,0)),0)</f>
        <v>1</v>
      </c>
      <c r="T122" s="186">
        <f>IF(T121&gt;V121,IF(U156=AK92,1,IF(U156=AK92-1,1,0)),0)</f>
        <v>0</v>
      </c>
      <c r="U122" s="186">
        <f>T122+V122</f>
        <v>0</v>
      </c>
      <c r="V122" s="190">
        <f>IF(V121&gt;T121,IF(U156=AK92,1,IF(U156=AK92-1,1,0)),0)</f>
        <v>0</v>
      </c>
      <c r="W122" s="186">
        <f>IF(W121&gt;Y121,IF(X156=AK92,1,IF(X156=AK92-1,1,0)),0)</f>
        <v>1</v>
      </c>
      <c r="X122" s="186">
        <f>W122+Y122</f>
        <v>1</v>
      </c>
      <c r="Y122" s="190">
        <f>IF(Y121&gt;W121,IF(X156=AK92,1,IF(X156=AK92-1,1,0)),0)</f>
        <v>0</v>
      </c>
      <c r="Z122" s="186">
        <f>IF(Z121&gt;AB121,IF(AA156=AK92,1,IF(AA156=AK92-1,1,0)),0)</f>
        <v>1</v>
      </c>
      <c r="AA122" s="186">
        <f>Z122+AB122</f>
        <v>1</v>
      </c>
      <c r="AB122" s="190">
        <f>IF(AB121&gt;Z121,IF(AA156=AK92,1,IF(AA156=AK92-1,1,0)),0)</f>
        <v>0</v>
      </c>
      <c r="AC122" s="186">
        <f>IF(AC121&gt;AE121,IF(AD156=AK92,1,IF(AD156=AK92-1,1,0)),0)</f>
        <v>0</v>
      </c>
      <c r="AD122" s="186">
        <f>AC122+AE122</f>
        <v>0</v>
      </c>
      <c r="AE122" s="190">
        <f>IF(AE121&gt;AC121,IF(AD156=AK92,1,IF(AD156=AK92-1,1,0)),0)</f>
        <v>0</v>
      </c>
      <c r="AW122" s="274"/>
    </row>
    <row r="123" spans="1:49" s="186" customFormat="1" ht="25.5" hidden="1" customHeight="1" x14ac:dyDescent="0.2">
      <c r="A123" s="189"/>
      <c r="D123" s="190"/>
      <c r="G123" s="190"/>
      <c r="J123" s="190"/>
      <c r="M123" s="190"/>
      <c r="P123" s="190"/>
      <c r="S123" s="190"/>
      <c r="V123" s="190"/>
      <c r="Y123" s="190"/>
      <c r="AB123" s="190"/>
      <c r="AE123" s="190"/>
      <c r="AW123" s="274"/>
    </row>
    <row r="124" spans="1:49" s="186" customFormat="1" ht="12.75" hidden="1" customHeight="1" x14ac:dyDescent="0.2">
      <c r="A124" s="186" t="s">
        <v>86</v>
      </c>
      <c r="B124" s="186">
        <f>IF(B116=1,B110,0)</f>
        <v>25</v>
      </c>
      <c r="D124" s="190">
        <f t="shared" ref="D124:E128" si="11">IF(D116=1,D110,0)</f>
        <v>0</v>
      </c>
      <c r="E124" s="186">
        <f t="shared" si="11"/>
        <v>25</v>
      </c>
      <c r="G124" s="190">
        <f t="shared" ref="G124:H128" si="12">IF(G116=1,G110,0)</f>
        <v>0</v>
      </c>
      <c r="H124" s="186">
        <f t="shared" si="12"/>
        <v>0</v>
      </c>
      <c r="J124" s="190">
        <f t="shared" ref="J124:K128" si="13">IF(J116=1,J110,0)</f>
        <v>25</v>
      </c>
      <c r="K124" s="186">
        <f t="shared" si="13"/>
        <v>25</v>
      </c>
      <c r="M124" s="190">
        <f t="shared" ref="M124:N128" si="14">IF(M116=1,M110,0)</f>
        <v>0</v>
      </c>
      <c r="N124" s="186">
        <f t="shared" si="14"/>
        <v>27</v>
      </c>
      <c r="P124" s="190">
        <f t="shared" ref="P124:Q128" si="15">IF(P116=1,P110,0)</f>
        <v>0</v>
      </c>
      <c r="Q124" s="186">
        <f t="shared" si="15"/>
        <v>0</v>
      </c>
      <c r="S124" s="190">
        <f t="shared" ref="S124:T128" si="16">IF(S116=1,S110,0)</f>
        <v>25</v>
      </c>
      <c r="T124" s="186">
        <f t="shared" si="16"/>
        <v>25</v>
      </c>
      <c r="V124" s="190">
        <f t="shared" ref="V124:W128" si="17">IF(V116=1,V110,0)</f>
        <v>0</v>
      </c>
      <c r="W124" s="186">
        <f t="shared" si="17"/>
        <v>25</v>
      </c>
      <c r="Y124" s="190">
        <f t="shared" ref="Y124:Z128" si="18">IF(Y116=1,Y110,0)</f>
        <v>0</v>
      </c>
      <c r="Z124" s="186">
        <f t="shared" si="18"/>
        <v>25</v>
      </c>
      <c r="AB124" s="190">
        <f t="shared" ref="AB124:AC128" si="19">IF(AB116=1,AB110,0)</f>
        <v>0</v>
      </c>
      <c r="AC124" s="186">
        <f t="shared" si="19"/>
        <v>26</v>
      </c>
      <c r="AE124" s="190">
        <f>IF(AE116=1,AE110,0)</f>
        <v>0</v>
      </c>
      <c r="AW124" s="274"/>
    </row>
    <row r="125" spans="1:49" s="186" customFormat="1" ht="12.75" hidden="1" customHeight="1" x14ac:dyDescent="0.2">
      <c r="A125" s="186" t="s">
        <v>87</v>
      </c>
      <c r="B125" s="186">
        <f>IF(B117=1,B111,0)</f>
        <v>25</v>
      </c>
      <c r="D125" s="190">
        <f t="shared" si="11"/>
        <v>0</v>
      </c>
      <c r="E125" s="186">
        <f t="shared" si="11"/>
        <v>25</v>
      </c>
      <c r="G125" s="190">
        <f t="shared" si="12"/>
        <v>0</v>
      </c>
      <c r="H125" s="186">
        <f t="shared" si="12"/>
        <v>0</v>
      </c>
      <c r="J125" s="190">
        <f t="shared" si="13"/>
        <v>25</v>
      </c>
      <c r="K125" s="186">
        <f t="shared" si="13"/>
        <v>25</v>
      </c>
      <c r="M125" s="190">
        <f t="shared" si="14"/>
        <v>0</v>
      </c>
      <c r="N125" s="186">
        <f t="shared" si="14"/>
        <v>25</v>
      </c>
      <c r="P125" s="190">
        <f t="shared" si="15"/>
        <v>0</v>
      </c>
      <c r="Q125" s="186">
        <f t="shared" si="15"/>
        <v>0</v>
      </c>
      <c r="S125" s="190">
        <f t="shared" si="16"/>
        <v>25</v>
      </c>
      <c r="T125" s="186">
        <f t="shared" si="16"/>
        <v>0</v>
      </c>
      <c r="V125" s="190">
        <f t="shared" si="17"/>
        <v>25</v>
      </c>
      <c r="W125" s="186">
        <f t="shared" si="17"/>
        <v>25</v>
      </c>
      <c r="Y125" s="190">
        <f t="shared" si="18"/>
        <v>0</v>
      </c>
      <c r="Z125" s="186">
        <f t="shared" si="18"/>
        <v>25</v>
      </c>
      <c r="AB125" s="190">
        <f t="shared" si="19"/>
        <v>0</v>
      </c>
      <c r="AC125" s="186">
        <f t="shared" si="19"/>
        <v>0</v>
      </c>
      <c r="AE125" s="190">
        <f>IF(AE117=1,AE111,0)</f>
        <v>25</v>
      </c>
      <c r="AW125" s="274"/>
    </row>
    <row r="126" spans="1:49" s="186" customFormat="1" ht="12.75" hidden="1" customHeight="1" x14ac:dyDescent="0.2">
      <c r="A126" s="186" t="s">
        <v>88</v>
      </c>
      <c r="B126" s="186">
        <f>IF(B118=1,B112,0)</f>
        <v>0</v>
      </c>
      <c r="D126" s="190">
        <f t="shared" si="11"/>
        <v>0</v>
      </c>
      <c r="E126" s="186">
        <f t="shared" si="11"/>
        <v>0</v>
      </c>
      <c r="G126" s="190">
        <f t="shared" si="12"/>
        <v>0</v>
      </c>
      <c r="H126" s="186">
        <f t="shared" si="12"/>
        <v>0</v>
      </c>
      <c r="J126" s="190">
        <f t="shared" si="13"/>
        <v>0</v>
      </c>
      <c r="K126" s="186">
        <f t="shared" si="13"/>
        <v>0</v>
      </c>
      <c r="M126" s="190">
        <f t="shared" si="14"/>
        <v>0</v>
      </c>
      <c r="N126" s="186">
        <f t="shared" si="14"/>
        <v>0</v>
      </c>
      <c r="P126" s="190">
        <f t="shared" si="15"/>
        <v>0</v>
      </c>
      <c r="Q126" s="186">
        <f t="shared" si="15"/>
        <v>0</v>
      </c>
      <c r="S126" s="190">
        <f t="shared" si="16"/>
        <v>0</v>
      </c>
      <c r="T126" s="186">
        <f t="shared" si="16"/>
        <v>0</v>
      </c>
      <c r="V126" s="190">
        <f t="shared" si="17"/>
        <v>0</v>
      </c>
      <c r="W126" s="186">
        <f t="shared" si="17"/>
        <v>0</v>
      </c>
      <c r="Y126" s="190">
        <f t="shared" si="18"/>
        <v>0</v>
      </c>
      <c r="Z126" s="186">
        <f t="shared" si="18"/>
        <v>0</v>
      </c>
      <c r="AB126" s="190">
        <f t="shared" si="19"/>
        <v>0</v>
      </c>
      <c r="AC126" s="186">
        <f t="shared" si="19"/>
        <v>0</v>
      </c>
      <c r="AE126" s="190">
        <f>IF(AE118=1,AE112,0)</f>
        <v>0</v>
      </c>
      <c r="AW126" s="274"/>
    </row>
    <row r="127" spans="1:49" s="186" customFormat="1" ht="12.75" hidden="1" customHeight="1" x14ac:dyDescent="0.2">
      <c r="A127" s="186" t="s">
        <v>89</v>
      </c>
      <c r="B127" s="186">
        <f>IF(B119=1,B113,0)</f>
        <v>0</v>
      </c>
      <c r="D127" s="190">
        <f t="shared" si="11"/>
        <v>0</v>
      </c>
      <c r="E127" s="186">
        <f t="shared" si="11"/>
        <v>0</v>
      </c>
      <c r="G127" s="190">
        <f t="shared" si="12"/>
        <v>0</v>
      </c>
      <c r="H127" s="186">
        <f t="shared" si="12"/>
        <v>0</v>
      </c>
      <c r="J127" s="190">
        <f t="shared" si="13"/>
        <v>0</v>
      </c>
      <c r="K127" s="186">
        <f t="shared" si="13"/>
        <v>0</v>
      </c>
      <c r="M127" s="190">
        <f t="shared" si="14"/>
        <v>0</v>
      </c>
      <c r="N127" s="186">
        <f t="shared" si="14"/>
        <v>0</v>
      </c>
      <c r="P127" s="190">
        <f t="shared" si="15"/>
        <v>0</v>
      </c>
      <c r="Q127" s="186">
        <f t="shared" si="15"/>
        <v>0</v>
      </c>
      <c r="S127" s="190">
        <f t="shared" si="16"/>
        <v>0</v>
      </c>
      <c r="T127" s="186">
        <f t="shared" si="16"/>
        <v>0</v>
      </c>
      <c r="V127" s="190">
        <f t="shared" si="17"/>
        <v>0</v>
      </c>
      <c r="W127" s="186">
        <f t="shared" si="17"/>
        <v>0</v>
      </c>
      <c r="Y127" s="190">
        <f t="shared" si="18"/>
        <v>0</v>
      </c>
      <c r="Z127" s="186">
        <f t="shared" si="18"/>
        <v>0</v>
      </c>
      <c r="AB127" s="190">
        <f t="shared" si="19"/>
        <v>0</v>
      </c>
      <c r="AC127" s="186">
        <f t="shared" si="19"/>
        <v>0</v>
      </c>
      <c r="AE127" s="190">
        <f>IF(AE119=1,AE113,0)</f>
        <v>0</v>
      </c>
      <c r="AW127" s="274"/>
    </row>
    <row r="128" spans="1:49" s="186" customFormat="1" ht="12.75" hidden="1" customHeight="1" x14ac:dyDescent="0.2">
      <c r="A128" s="186" t="s">
        <v>90</v>
      </c>
      <c r="B128" s="186">
        <f>IF(B120=1,B114,0)</f>
        <v>0</v>
      </c>
      <c r="D128" s="190">
        <f t="shared" si="11"/>
        <v>0</v>
      </c>
      <c r="E128" s="186">
        <f t="shared" si="11"/>
        <v>0</v>
      </c>
      <c r="G128" s="190">
        <f t="shared" si="12"/>
        <v>0</v>
      </c>
      <c r="H128" s="186">
        <f t="shared" si="12"/>
        <v>0</v>
      </c>
      <c r="J128" s="190">
        <f t="shared" si="13"/>
        <v>0</v>
      </c>
      <c r="K128" s="186">
        <f t="shared" si="13"/>
        <v>0</v>
      </c>
      <c r="M128" s="190">
        <f t="shared" si="14"/>
        <v>0</v>
      </c>
      <c r="N128" s="186">
        <f t="shared" si="14"/>
        <v>0</v>
      </c>
      <c r="P128" s="190">
        <f t="shared" si="15"/>
        <v>0</v>
      </c>
      <c r="Q128" s="186">
        <f t="shared" si="15"/>
        <v>0</v>
      </c>
      <c r="S128" s="190">
        <f t="shared" si="16"/>
        <v>0</v>
      </c>
      <c r="T128" s="186">
        <f t="shared" si="16"/>
        <v>0</v>
      </c>
      <c r="V128" s="190">
        <f t="shared" si="17"/>
        <v>0</v>
      </c>
      <c r="W128" s="186">
        <f t="shared" si="17"/>
        <v>0</v>
      </c>
      <c r="Y128" s="190">
        <f t="shared" si="18"/>
        <v>0</v>
      </c>
      <c r="Z128" s="186">
        <f t="shared" si="18"/>
        <v>0</v>
      </c>
      <c r="AB128" s="190">
        <f t="shared" si="19"/>
        <v>0</v>
      </c>
      <c r="AC128" s="186">
        <f t="shared" si="19"/>
        <v>0</v>
      </c>
      <c r="AE128" s="190">
        <f>IF(AE120=1,AE114,0)</f>
        <v>0</v>
      </c>
      <c r="AW128" s="274"/>
    </row>
    <row r="129" spans="1:49" s="186" customFormat="1" ht="38.25" hidden="1" customHeight="1" x14ac:dyDescent="0.2">
      <c r="A129" s="189" t="s">
        <v>91</v>
      </c>
      <c r="B129" s="186">
        <f>SUM(B124:D128)</f>
        <v>50</v>
      </c>
      <c r="D129" s="190"/>
      <c r="E129" s="186">
        <f>SUM(E124:G128)</f>
        <v>50</v>
      </c>
      <c r="G129" s="190"/>
      <c r="H129" s="186">
        <f>SUM(H124:J128)</f>
        <v>50</v>
      </c>
      <c r="J129" s="190"/>
      <c r="K129" s="186">
        <f>SUM(K124:M128)</f>
        <v>50</v>
      </c>
      <c r="M129" s="190"/>
      <c r="N129" s="186">
        <f>SUM(N124:P128)</f>
        <v>52</v>
      </c>
      <c r="P129" s="190"/>
      <c r="Q129" s="186">
        <f>SUM(Q124:S128)</f>
        <v>50</v>
      </c>
      <c r="S129" s="190"/>
      <c r="T129" s="186">
        <f>SUM(T124:V128)</f>
        <v>50</v>
      </c>
      <c r="V129" s="190"/>
      <c r="W129" s="186">
        <f>SUM(W124:Y128)</f>
        <v>50</v>
      </c>
      <c r="Y129" s="190"/>
      <c r="Z129" s="186">
        <f>SUM(Z124:AB128)</f>
        <v>50</v>
      </c>
      <c r="AB129" s="190"/>
      <c r="AC129" s="186">
        <f>SUM(AC124:AE128)</f>
        <v>51</v>
      </c>
      <c r="AE129" s="190"/>
      <c r="AW129" s="274"/>
    </row>
    <row r="130" spans="1:49" s="186" customFormat="1" ht="38.25" hidden="1" customHeight="1" x14ac:dyDescent="0.2">
      <c r="A130" s="186" t="s">
        <v>92</v>
      </c>
      <c r="D130" s="190"/>
      <c r="G130" s="190"/>
      <c r="J130" s="190"/>
      <c r="M130" s="190"/>
      <c r="P130" s="190"/>
      <c r="S130" s="190"/>
      <c r="V130" s="190"/>
      <c r="Y130" s="190"/>
      <c r="AB130" s="190"/>
      <c r="AE130" s="190"/>
      <c r="AF130" s="189" t="s">
        <v>93</v>
      </c>
      <c r="AG130" s="186" t="s">
        <v>94</v>
      </c>
      <c r="AW130" s="274"/>
    </row>
    <row r="131" spans="1:49" s="186" customFormat="1" ht="12.75" hidden="1" customHeight="1" x14ac:dyDescent="0.2">
      <c r="A131" s="186" t="s">
        <v>95</v>
      </c>
      <c r="B131" s="186">
        <f>IF(B109=1,IF(B122=1,1,0),0)</f>
        <v>0</v>
      </c>
      <c r="D131" s="190">
        <f>IF(D109=1,IF(D122=1,1,0),0)</f>
        <v>0</v>
      </c>
      <c r="E131" s="186">
        <f>IF(E109=1,IF(E122=1,1,0),0)</f>
        <v>1</v>
      </c>
      <c r="G131" s="190">
        <f>IF(G109=1,IF(G122=1,1,0),0)</f>
        <v>0</v>
      </c>
      <c r="H131" s="186">
        <f>IF(H109=1,IF(H122=1,1,0),0)</f>
        <v>0</v>
      </c>
      <c r="J131" s="190">
        <f>IF(J109=1,IF(J122=1,1,0),0)</f>
        <v>0</v>
      </c>
      <c r="K131" s="186">
        <f>IF(K109=1,IF(K122=1,1,0),0)</f>
        <v>0</v>
      </c>
      <c r="M131" s="190">
        <f>IF(M109=1,IF(M122=1,1,0),0)</f>
        <v>0</v>
      </c>
      <c r="N131" s="186">
        <f>IF(N109=1,IF(N122=1,1,0),0)</f>
        <v>1</v>
      </c>
      <c r="P131" s="190">
        <f>IF(P109=1,IF(P122=1,1,0),0)</f>
        <v>0</v>
      </c>
      <c r="Q131" s="186">
        <f>IF(Q109=1,IF(Q122=1,1,0),0)</f>
        <v>0</v>
      </c>
      <c r="S131" s="190">
        <f>IF(S109=1,IF(S122=1,1,0),0)</f>
        <v>0</v>
      </c>
      <c r="T131" s="186">
        <f>IF(T109=1,IF(T122=1,1,0),0)</f>
        <v>0</v>
      </c>
      <c r="V131" s="190">
        <f>IF(V109=1,IF(V122=1,1,0),0)</f>
        <v>0</v>
      </c>
      <c r="W131" s="186">
        <f>IF(W109=1,IF(W122=1,1,0),0)</f>
        <v>1</v>
      </c>
      <c r="Y131" s="190">
        <f>IF(Y109=1,IF(Y122=1,1,0),0)</f>
        <v>0</v>
      </c>
      <c r="Z131" s="186">
        <f>IF(Z109=1,IF(Z122=1,1,0),0)</f>
        <v>0</v>
      </c>
      <c r="AB131" s="190">
        <f>IF(AB109=1,IF(AB122=1,1,0),0)</f>
        <v>0</v>
      </c>
      <c r="AC131" s="186">
        <f>IF(AC109=1,IF(AC122=1,1,0),0)</f>
        <v>0</v>
      </c>
      <c r="AE131" s="190">
        <f>IF(AE109=1,IF(AE122=1,1,0),0)</f>
        <v>0</v>
      </c>
      <c r="AF131" s="186">
        <f>SUM(B131:AE131)</f>
        <v>3</v>
      </c>
      <c r="AG131" s="186">
        <f>AF137-AF131</f>
        <v>0</v>
      </c>
      <c r="AW131" s="274"/>
    </row>
    <row r="132" spans="1:49" s="186" customFormat="1" ht="12.75" hidden="1" customHeight="1" x14ac:dyDescent="0.2">
      <c r="A132" s="186" t="s">
        <v>96</v>
      </c>
      <c r="B132" s="186">
        <f>IF(B109=2,IF(B122=1,1,0),0)</f>
        <v>1</v>
      </c>
      <c r="D132" s="190">
        <f>IF(D109=2,IF(D122=1,1,0),0)</f>
        <v>0</v>
      </c>
      <c r="E132" s="186">
        <f>IF(E109=2,IF(E122=1,1,0),0)</f>
        <v>0</v>
      </c>
      <c r="G132" s="190">
        <f>IF(G109=2,IF(G122=1,1,0),0)</f>
        <v>0</v>
      </c>
      <c r="H132" s="186">
        <f>IF(H109=2,IF(H122=1,1,0),0)</f>
        <v>0</v>
      </c>
      <c r="J132" s="190">
        <f>IF(J109=2,IF(J122=1,1,0),0)</f>
        <v>0</v>
      </c>
      <c r="K132" s="186">
        <f>IF(K109=2,IF(K122=1,1,0),0)</f>
        <v>1</v>
      </c>
      <c r="M132" s="190">
        <f>IF(M109=2,IF(M122=1,1,0),0)</f>
        <v>0</v>
      </c>
      <c r="N132" s="186">
        <f>IF(N109=2,IF(N122=1,1,0),0)</f>
        <v>0</v>
      </c>
      <c r="P132" s="190">
        <f>IF(P109=2,IF(P122=1,1,0),0)</f>
        <v>0</v>
      </c>
      <c r="Q132" s="186">
        <f>IF(Q109=2,IF(Q122=1,1,0),0)</f>
        <v>0</v>
      </c>
      <c r="S132" s="190">
        <f>IF(S109=2,IF(S122=1,1,0),0)</f>
        <v>0</v>
      </c>
      <c r="T132" s="186">
        <f>IF(T109=2,IF(T122=1,1,0),0)</f>
        <v>0</v>
      </c>
      <c r="V132" s="190">
        <f>IF(V109=2,IF(V122=1,1,0),0)</f>
        <v>0</v>
      </c>
      <c r="W132" s="186">
        <f>IF(W109=2,IF(W122=1,1,0),0)</f>
        <v>0</v>
      </c>
      <c r="Y132" s="190">
        <f>IF(Y109=2,IF(Y122=1,1,0),0)</f>
        <v>0</v>
      </c>
      <c r="Z132" s="186">
        <f>IF(Z109=2,IF(Z122=1,1,0),0)</f>
        <v>0</v>
      </c>
      <c r="AB132" s="190">
        <f>IF(AB109=2,IF(AB122=1,1,0),0)</f>
        <v>0</v>
      </c>
      <c r="AC132" s="186">
        <f>IF(AC109=2,IF(AC122=1,1,0),0)</f>
        <v>0</v>
      </c>
      <c r="AE132" s="190">
        <f>IF(AE109=2,IF(AE122=1,1,0),0)</f>
        <v>0</v>
      </c>
      <c r="AF132" s="186">
        <f>SUM(B132:AE132)</f>
        <v>2</v>
      </c>
      <c r="AG132" s="186">
        <f>AF138-AF132</f>
        <v>0</v>
      </c>
      <c r="AW132" s="274"/>
    </row>
    <row r="133" spans="1:49" s="186" customFormat="1" ht="12.75" hidden="1" customHeight="1" x14ac:dyDescent="0.2">
      <c r="A133" s="186" t="s">
        <v>97</v>
      </c>
      <c r="B133" s="186">
        <f>IF(B109=3,IF(B122=1,1,0),0)</f>
        <v>0</v>
      </c>
      <c r="D133" s="190">
        <f>IF(D109=3,IF(D122=1,1,0),0)</f>
        <v>0</v>
      </c>
      <c r="E133" s="186">
        <f>IF(E109=3,IF(E122=1,1,0),0)</f>
        <v>0</v>
      </c>
      <c r="G133" s="190">
        <f>IF(G109=3,IF(G122=1,1,0),0)</f>
        <v>0</v>
      </c>
      <c r="H133" s="186">
        <f>IF(H109=3,IF(H122=1,1,0),0)</f>
        <v>0</v>
      </c>
      <c r="J133" s="190">
        <f>IF(J109=3,IF(J122=1,1,0),0)</f>
        <v>0</v>
      </c>
      <c r="K133" s="186">
        <f>IF(K109=3,IF(K122=1,1,0),0)</f>
        <v>0</v>
      </c>
      <c r="M133" s="190">
        <f>IF(M109=3,IF(M122=1,1,0),0)</f>
        <v>0</v>
      </c>
      <c r="N133" s="186">
        <f>IF(N109=3,IF(N122=1,1,0),0)</f>
        <v>0</v>
      </c>
      <c r="P133" s="190">
        <f>IF(P109=3,IF(P122=1,1,0),0)</f>
        <v>0</v>
      </c>
      <c r="Q133" s="186">
        <f>IF(Q109=3,IF(Q122=1,1,0),0)</f>
        <v>0</v>
      </c>
      <c r="S133" s="190">
        <f>IF(S109=3,IF(S122=1,1,0),0)</f>
        <v>0</v>
      </c>
      <c r="T133" s="186">
        <f>IF(T109=3,IF(T122=1,1,0),0)</f>
        <v>0</v>
      </c>
      <c r="V133" s="190">
        <f>IF(V109=3,IF(V122=1,1,0),0)</f>
        <v>0</v>
      </c>
      <c r="W133" s="186">
        <f>IF(W109=3,IF(W122=1,1,0),0)</f>
        <v>0</v>
      </c>
      <c r="Y133" s="190">
        <f>IF(Y109=3,IF(Y122=1,1,0),0)</f>
        <v>0</v>
      </c>
      <c r="Z133" s="186">
        <f>IF(Z109=3,IF(Z122=1,1,0),0)</f>
        <v>1</v>
      </c>
      <c r="AB133" s="190">
        <f>IF(AB109=3,IF(AB122=1,1,0),0)</f>
        <v>0</v>
      </c>
      <c r="AC133" s="186">
        <f>IF(AC109=3,IF(AC122=1,1,0),0)</f>
        <v>0</v>
      </c>
      <c r="AE133" s="190">
        <f>IF(AE109=3,IF(AE122=1,1,0),0)</f>
        <v>0</v>
      </c>
      <c r="AF133" s="186">
        <f>SUM(B133:AE133)</f>
        <v>1</v>
      </c>
      <c r="AG133" s="186">
        <f>AF139-AF133</f>
        <v>2</v>
      </c>
      <c r="AW133" s="274"/>
    </row>
    <row r="134" spans="1:49" s="186" customFormat="1" ht="12.75" hidden="1" customHeight="1" x14ac:dyDescent="0.2">
      <c r="A134" s="186" t="s">
        <v>98</v>
      </c>
      <c r="B134" s="186">
        <f>IF(B109=4,IF(B122=1,1,0),0)</f>
        <v>0</v>
      </c>
      <c r="D134" s="190">
        <f>IF(D109=4,IF(D122=1,1,0),0)</f>
        <v>0</v>
      </c>
      <c r="E134" s="186">
        <f>IF(E109=4,IF(E122=1,1,0),0)</f>
        <v>0</v>
      </c>
      <c r="G134" s="190">
        <f>IF(G109=4,IF(G122=1,1,0),0)</f>
        <v>0</v>
      </c>
      <c r="H134" s="186">
        <f>IF(H109=4,IF(H122=1,1,0),0)</f>
        <v>0</v>
      </c>
      <c r="J134" s="190">
        <f>IF(J109=4,IF(J122=1,1,0),0)</f>
        <v>0</v>
      </c>
      <c r="K134" s="186">
        <f>IF(K109=4,IF(K122=1,1,0),0)</f>
        <v>0</v>
      </c>
      <c r="M134" s="190">
        <f>IF(M109=4,IF(M122=1,1,0),0)</f>
        <v>0</v>
      </c>
      <c r="N134" s="186">
        <f>IF(N109=4,IF(N122=1,1,0),0)</f>
        <v>0</v>
      </c>
      <c r="P134" s="190">
        <f>IF(P109=4,IF(P122=1,1,0),0)</f>
        <v>0</v>
      </c>
      <c r="Q134" s="186">
        <f>IF(Q109=4,IF(Q122=1,1,0),0)</f>
        <v>0</v>
      </c>
      <c r="S134" s="190">
        <f>IF(S109=4,IF(S122=1,1,0),0)</f>
        <v>0</v>
      </c>
      <c r="T134" s="186">
        <f>IF(T109=4,IF(T122=1,1,0),0)</f>
        <v>0</v>
      </c>
      <c r="V134" s="190">
        <f>IF(V109=4,IF(V122=1,1,0),0)</f>
        <v>0</v>
      </c>
      <c r="W134" s="186">
        <f>IF(W109=4,IF(W122=1,1,0),0)</f>
        <v>0</v>
      </c>
      <c r="Y134" s="190">
        <f>IF(Y109=4,IF(Y122=1,1,0),0)</f>
        <v>0</v>
      </c>
      <c r="Z134" s="186">
        <f>IF(Z109=4,IF(Z122=1,1,0),0)</f>
        <v>0</v>
      </c>
      <c r="AB134" s="190">
        <f>IF(AB109=4,IF(AB122=1,1,0),0)</f>
        <v>0</v>
      </c>
      <c r="AC134" s="186">
        <f>IF(AC109=4,IF(AC122=1,1,0),0)</f>
        <v>0</v>
      </c>
      <c r="AE134" s="190">
        <f>IF(AE109=4,IF(AE122=1,1,0),0)</f>
        <v>0</v>
      </c>
      <c r="AF134" s="186">
        <f>SUM(B134:AE134)</f>
        <v>0</v>
      </c>
      <c r="AG134" s="186">
        <f>AF140-AF134</f>
        <v>4</v>
      </c>
      <c r="AW134" s="274"/>
    </row>
    <row r="135" spans="1:49" s="186" customFormat="1" ht="12.75" hidden="1" customHeight="1" x14ac:dyDescent="0.2">
      <c r="A135" s="186" t="s">
        <v>99</v>
      </c>
      <c r="B135" s="186">
        <f>IF(B109=5,IF(B122=1,1,0),0)</f>
        <v>0</v>
      </c>
      <c r="D135" s="190">
        <f>IF(D109=5,IF(D122=1,1,0),0)</f>
        <v>0</v>
      </c>
      <c r="E135" s="186">
        <f>IF(E109=5,IF(E122=1,1,0),0)</f>
        <v>0</v>
      </c>
      <c r="G135" s="190">
        <f>IF(G109=5,IF(G122=1,1,0),0)</f>
        <v>0</v>
      </c>
      <c r="H135" s="186">
        <f>IF(H109=5,IF(H122=1,1,0),0)</f>
        <v>0</v>
      </c>
      <c r="J135" s="190">
        <f>IF(J109=5,IF(J122=1,1,0),0)</f>
        <v>1</v>
      </c>
      <c r="K135" s="186">
        <f>IF(K109=5,IF(K122=1,1,0),0)</f>
        <v>0</v>
      </c>
      <c r="M135" s="190">
        <f>IF(M109=5,IF(M122=1,1,0),0)</f>
        <v>0</v>
      </c>
      <c r="N135" s="186">
        <f>IF(N109=5,IF(N122=1,1,0),0)</f>
        <v>0</v>
      </c>
      <c r="P135" s="190">
        <f>IF(P109=5,IF(P122=1,1,0),0)</f>
        <v>0</v>
      </c>
      <c r="Q135" s="186">
        <f>IF(Q109=5,IF(Q122=1,1,0),0)</f>
        <v>0</v>
      </c>
      <c r="S135" s="190">
        <f>IF(S109=5,IF(S122=1,1,0),0)</f>
        <v>1</v>
      </c>
      <c r="T135" s="186">
        <f>IF(T109=5,IF(T122=1,1,0),0)</f>
        <v>0</v>
      </c>
      <c r="V135" s="190">
        <f>IF(V109=5,IF(V122=1,1,0),0)</f>
        <v>0</v>
      </c>
      <c r="W135" s="186">
        <f>IF(W109=5,IF(W122=1,1,0),0)</f>
        <v>0</v>
      </c>
      <c r="Y135" s="190">
        <f>IF(Y109=5,IF(Y122=1,1,0),0)</f>
        <v>0</v>
      </c>
      <c r="Z135" s="186">
        <f>IF(Z109=5,IF(Z122=1,1,0),0)</f>
        <v>0</v>
      </c>
      <c r="AB135" s="190">
        <f>IF(AB109=5,IF(AB122=1,1,0),0)</f>
        <v>0</v>
      </c>
      <c r="AC135" s="186">
        <f>IF(AC109=5,IF(AC122=1,1,0),0)</f>
        <v>0</v>
      </c>
      <c r="AE135" s="190">
        <f>IF(AE109=5,IF(AE122=1,1,0),0)</f>
        <v>0</v>
      </c>
      <c r="AF135" s="186">
        <f>SUM(B135:AE135)</f>
        <v>2</v>
      </c>
      <c r="AG135" s="186">
        <f>AF141-AF135</f>
        <v>2</v>
      </c>
      <c r="AW135" s="274"/>
    </row>
    <row r="136" spans="1:49" s="186" customFormat="1" ht="38.25" hidden="1" customHeight="1" x14ac:dyDescent="0.2">
      <c r="A136" s="189"/>
      <c r="D136" s="190"/>
      <c r="G136" s="190"/>
      <c r="J136" s="190"/>
      <c r="M136" s="190"/>
      <c r="P136" s="190"/>
      <c r="S136" s="190"/>
      <c r="V136" s="190"/>
      <c r="Y136" s="190"/>
      <c r="AB136" s="190"/>
      <c r="AE136" s="190"/>
      <c r="AF136" s="189" t="s">
        <v>100</v>
      </c>
      <c r="AW136" s="274"/>
    </row>
    <row r="137" spans="1:49" s="186" customFormat="1" ht="12.75" hidden="1" customHeight="1" x14ac:dyDescent="0.2">
      <c r="A137" s="186" t="s">
        <v>101</v>
      </c>
      <c r="B137" s="186">
        <f>IF(B109=1,IF(C122=1,1,0),0)</f>
        <v>0</v>
      </c>
      <c r="D137" s="190">
        <f>IF(D109=1,IF(C122=1,1,0),0)</f>
        <v>0</v>
      </c>
      <c r="E137" s="186">
        <f>IF(E109=1,IF(F122=1,1,0),0)</f>
        <v>1</v>
      </c>
      <c r="G137" s="190">
        <f>IF(G109=1,IF(F122=1,1,0),0)</f>
        <v>0</v>
      </c>
      <c r="H137" s="186">
        <f>IF(H109=1,IF(I122=1,1,0),0)</f>
        <v>0</v>
      </c>
      <c r="J137" s="190">
        <f>IF(J109=1,IF(I122=1,1,0),0)</f>
        <v>0</v>
      </c>
      <c r="K137" s="186">
        <f>IF(K109=1,IF(L122=1,1,0),0)</f>
        <v>0</v>
      </c>
      <c r="M137" s="190">
        <f>IF(M109=1,IF(L122=1,1,0),0)</f>
        <v>0</v>
      </c>
      <c r="N137" s="186">
        <f>IF(N109=1,IF(O122=1,1,0),0)</f>
        <v>1</v>
      </c>
      <c r="P137" s="190">
        <f>IF(P109=1,IF(O122=1,1,0),0)</f>
        <v>0</v>
      </c>
      <c r="Q137" s="186">
        <f>IF(Q109=1,IF(R122=1,1,0),0)</f>
        <v>0</v>
      </c>
      <c r="S137" s="190">
        <f>IF(S109=1,IF(R122=1,1,0),0)</f>
        <v>0</v>
      </c>
      <c r="T137" s="186">
        <f>IF(T109=1,IF(U122=1,1,0),0)</f>
        <v>0</v>
      </c>
      <c r="V137" s="190">
        <f>IF(V109=1,IF(U122=1,1,0),0)</f>
        <v>0</v>
      </c>
      <c r="W137" s="186">
        <f>IF(W109=1,IF(X122=1,1,0),0)</f>
        <v>1</v>
      </c>
      <c r="Y137" s="190">
        <f>IF(Y109=1,IF(X122=1,1,0),0)</f>
        <v>0</v>
      </c>
      <c r="Z137" s="186">
        <f>IF(Z109=1,IF(AA122=1,1,0),0)</f>
        <v>0</v>
      </c>
      <c r="AB137" s="190">
        <f>IF(AB109=1,IF(AA122=1,1,0),0)</f>
        <v>0</v>
      </c>
      <c r="AC137" s="186">
        <f>IF(AC109=1,IF(AD122=1,1,0),0)</f>
        <v>0</v>
      </c>
      <c r="AE137" s="190">
        <f>IF(AE109=1,IF(AD122=1,1,0),0)</f>
        <v>0</v>
      </c>
      <c r="AF137" s="186">
        <f>SUM(B137:AE137)</f>
        <v>3</v>
      </c>
      <c r="AW137" s="274"/>
    </row>
    <row r="138" spans="1:49" s="186" customFormat="1" ht="12.75" hidden="1" customHeight="1" x14ac:dyDescent="0.2">
      <c r="A138" s="186" t="s">
        <v>102</v>
      </c>
      <c r="B138" s="186">
        <f>IF(B109=2,IF(C122=1,1,0),0)</f>
        <v>1</v>
      </c>
      <c r="D138" s="190">
        <f>IF(D109=2,IF(C122=1,1,0),0)</f>
        <v>0</v>
      </c>
      <c r="E138" s="186">
        <f>IF(E109=2,IF(F122=1,1,0),0)</f>
        <v>0</v>
      </c>
      <c r="G138" s="190">
        <f>IF(G109=2,IF(F122=1,1,0),0)</f>
        <v>0</v>
      </c>
      <c r="H138" s="186">
        <f>IF(H109=2,IF(I122=1,1,0),0)</f>
        <v>0</v>
      </c>
      <c r="J138" s="190">
        <f>IF(J109=2,IF(I122=1,1,0),0)</f>
        <v>0</v>
      </c>
      <c r="K138" s="186">
        <f>IF(K109=2,IF(L122=1,1,0),0)</f>
        <v>1</v>
      </c>
      <c r="M138" s="190">
        <f>IF(M109=2,IF(L122=1,1,0),0)</f>
        <v>0</v>
      </c>
      <c r="N138" s="186">
        <f>IF(N109=2,IF(O122=1,1,0),0)</f>
        <v>0</v>
      </c>
      <c r="P138" s="190">
        <f>IF(P109=2,IF(O122=1,1,0),0)</f>
        <v>0</v>
      </c>
      <c r="Q138" s="186">
        <f>IF(Q109=2,IF(R122=1,1,0),0)</f>
        <v>0</v>
      </c>
      <c r="S138" s="190">
        <f>IF(S109=2,IF(R122=1,1,0),0)</f>
        <v>0</v>
      </c>
      <c r="T138" s="186">
        <f>IF(T109=2,IF(U122=1,1,0),0)</f>
        <v>0</v>
      </c>
      <c r="V138" s="190">
        <f>IF(V109=2,IF(U122=1,1,0),0)</f>
        <v>0</v>
      </c>
      <c r="W138" s="186">
        <f>IF(W109=2,IF(X122=1,1,0),0)</f>
        <v>0</v>
      </c>
      <c r="Y138" s="190">
        <f>IF(Y109=2,IF(X122=1,1,0),0)</f>
        <v>0</v>
      </c>
      <c r="Z138" s="186">
        <f>IF(Z109=2,IF(AA122=1,1,0),0)</f>
        <v>0</v>
      </c>
      <c r="AB138" s="190">
        <f>IF(AB109=2,IF(AA122=1,1,0),0)</f>
        <v>0</v>
      </c>
      <c r="AC138" s="186">
        <f>IF(AC109=2,IF(AD122=1,1,0),0)</f>
        <v>0</v>
      </c>
      <c r="AE138" s="190">
        <f>IF(AE109=2,IF(AD122=1,1,0),0)</f>
        <v>0</v>
      </c>
      <c r="AF138" s="186">
        <f>SUM(B138:AE138)</f>
        <v>2</v>
      </c>
      <c r="AW138" s="274"/>
    </row>
    <row r="139" spans="1:49" s="186" customFormat="1" ht="12.75" hidden="1" customHeight="1" x14ac:dyDescent="0.2">
      <c r="A139" s="186" t="s">
        <v>103</v>
      </c>
      <c r="B139" s="186">
        <f>IF(B109=3,IF(C122=1,1,0),0)</f>
        <v>0</v>
      </c>
      <c r="D139" s="190">
        <f>IF(D109=3,IF(C122=1,1,0),0)</f>
        <v>0</v>
      </c>
      <c r="E139" s="186">
        <f>IF(E109=3,IF(F122=1,1,0),0)</f>
        <v>0</v>
      </c>
      <c r="G139" s="190">
        <f>IF(G109=3,IF(F122=1,1,0),0)</f>
        <v>0</v>
      </c>
      <c r="H139" s="186">
        <f>IF(H109=3,IF(I122=1,1,0),0)</f>
        <v>1</v>
      </c>
      <c r="J139" s="190">
        <f>IF(J109=3,IF(I122=1,1,0),0)</f>
        <v>0</v>
      </c>
      <c r="K139" s="186">
        <f>IF(K109=3,IF(L122=1,1,0),0)</f>
        <v>0</v>
      </c>
      <c r="M139" s="190">
        <f>IF(M109=3,IF(L122=1,1,0),0)</f>
        <v>0</v>
      </c>
      <c r="N139" s="186">
        <f>IF(N109=3,IF(O122=1,1,0),0)</f>
        <v>0</v>
      </c>
      <c r="P139" s="190">
        <f>IF(P109=3,IF(O122=1,1,0),0)</f>
        <v>1</v>
      </c>
      <c r="Q139" s="186">
        <f>IF(Q109=3,IF(R122=1,1,0),0)</f>
        <v>0</v>
      </c>
      <c r="S139" s="190">
        <f>IF(S109=3,IF(R122=1,1,0),0)</f>
        <v>0</v>
      </c>
      <c r="T139" s="186">
        <f>IF(T109=3,IF(U122=1,1,0),0)</f>
        <v>0</v>
      </c>
      <c r="V139" s="190">
        <f>IF(V109=3,IF(U122=1,1,0),0)</f>
        <v>0</v>
      </c>
      <c r="W139" s="186">
        <f>IF(W109=3,IF(X122=1,1,0),0)</f>
        <v>0</v>
      </c>
      <c r="Y139" s="190">
        <f>IF(Y109=3,IF(X122=1,1,0),0)</f>
        <v>0</v>
      </c>
      <c r="Z139" s="186">
        <f>IF(Z109=3,IF(AA122=1,1,0),0)</f>
        <v>1</v>
      </c>
      <c r="AB139" s="190">
        <f>IF(AB109=3,IF(AA122=1,1,0),0)</f>
        <v>0</v>
      </c>
      <c r="AC139" s="186">
        <f>IF(AC109=3,IF(AD122=1,1,0),0)</f>
        <v>0</v>
      </c>
      <c r="AE139" s="190">
        <f>IF(AE109=3,IF(AD122=1,1,0),0)</f>
        <v>0</v>
      </c>
      <c r="AF139" s="186">
        <f>SUM(B139:AE139)</f>
        <v>3</v>
      </c>
      <c r="AW139" s="274"/>
    </row>
    <row r="140" spans="1:49" s="186" customFormat="1" ht="12.75" hidden="1" customHeight="1" x14ac:dyDescent="0.2">
      <c r="A140" s="186" t="s">
        <v>104</v>
      </c>
      <c r="B140" s="186">
        <f>IF(B109=4,IF(C122=1,1,0),0)</f>
        <v>0</v>
      </c>
      <c r="D140" s="190">
        <f>IF(D109=4,IF(C122=1,1,0),0)</f>
        <v>0</v>
      </c>
      <c r="E140" s="186">
        <f>IF(E109=4,IF(F122=1,1,0),0)</f>
        <v>0</v>
      </c>
      <c r="G140" s="190">
        <f>IF(G109=4,IF(F122=1,1,0),0)</f>
        <v>1</v>
      </c>
      <c r="H140" s="186">
        <f>IF(H109=4,IF(I122=1,1,0),0)</f>
        <v>0</v>
      </c>
      <c r="J140" s="190">
        <f>IF(J109=4,IF(I122=1,1,0),0)</f>
        <v>0</v>
      </c>
      <c r="K140" s="186">
        <f>IF(K109=4,IF(L122=1,1,0),0)</f>
        <v>0</v>
      </c>
      <c r="M140" s="190">
        <f>IF(M109=4,IF(L122=1,1,0),0)</f>
        <v>1</v>
      </c>
      <c r="N140" s="186">
        <f>IF(N109=4,IF(O122=1,1,0),0)</f>
        <v>0</v>
      </c>
      <c r="P140" s="190">
        <f>IF(P109=4,IF(O122=1,1,0),0)</f>
        <v>0</v>
      </c>
      <c r="Q140" s="186">
        <f>IF(Q109=4,IF(R122=1,1,0),0)</f>
        <v>1</v>
      </c>
      <c r="S140" s="190">
        <f>IF(S109=4,IF(R122=1,1,0),0)</f>
        <v>0</v>
      </c>
      <c r="T140" s="186">
        <f>IF(T109=4,IF(U122=1,1,0),0)</f>
        <v>0</v>
      </c>
      <c r="V140" s="190">
        <f>IF(V109=4,IF(U122=1,1,0),0)</f>
        <v>0</v>
      </c>
      <c r="W140" s="186">
        <f>IF(W109=4,IF(X122=1,1,0),0)</f>
        <v>0</v>
      </c>
      <c r="Y140" s="190">
        <f>IF(Y109=4,IF(X122=1,1,0),0)</f>
        <v>0</v>
      </c>
      <c r="Z140" s="186">
        <f>IF(Z109=4,IF(AA122=1,1,0),0)</f>
        <v>0</v>
      </c>
      <c r="AB140" s="190">
        <f>IF(AB109=4,IF(AA122=1,1,0),0)</f>
        <v>1</v>
      </c>
      <c r="AC140" s="186">
        <f>IF(AC109=4,IF(AD122=1,1,0),0)</f>
        <v>0</v>
      </c>
      <c r="AE140" s="190">
        <f>IF(AE109=4,IF(AD122=1,1,0),0)</f>
        <v>0</v>
      </c>
      <c r="AF140" s="186">
        <f>SUM(B140:AE140)</f>
        <v>4</v>
      </c>
      <c r="AW140" s="274"/>
    </row>
    <row r="141" spans="1:49" s="186" customFormat="1" ht="12.75" hidden="1" customHeight="1" x14ac:dyDescent="0.2">
      <c r="A141" s="186" t="s">
        <v>105</v>
      </c>
      <c r="B141" s="186">
        <f>IF(B109=5,IF(C122=1,1,0),0)</f>
        <v>0</v>
      </c>
      <c r="D141" s="190">
        <f>IF(D109=5,IF(C122=1,1,0),0)</f>
        <v>1</v>
      </c>
      <c r="E141" s="186">
        <f>IF(E109=5,IF(F122=1,1,0),0)</f>
        <v>0</v>
      </c>
      <c r="G141" s="190">
        <f>IF(G109=5,IF(F122=1,1,0),0)</f>
        <v>0</v>
      </c>
      <c r="H141" s="186">
        <f>IF(H109=5,IF(I122=1,1,0),0)</f>
        <v>0</v>
      </c>
      <c r="J141" s="190">
        <f>IF(J109=5,IF(I122=1,1,0),0)</f>
        <v>1</v>
      </c>
      <c r="K141" s="186">
        <f>IF(K109=5,IF(L122=1,1,0),0)</f>
        <v>0</v>
      </c>
      <c r="M141" s="190">
        <f>IF(M109=5,IF(L122=1,1,0),0)</f>
        <v>0</v>
      </c>
      <c r="N141" s="186">
        <f>IF(N109=5,IF(O122=1,1,0),0)</f>
        <v>0</v>
      </c>
      <c r="P141" s="190">
        <f>IF(P109=5,IF(O122=1,1,0),0)</f>
        <v>0</v>
      </c>
      <c r="Q141" s="186">
        <f>IF(Q109=5,IF(R122=1,1,0),0)</f>
        <v>0</v>
      </c>
      <c r="S141" s="190">
        <f>IF(S109=5,IF(R122=1,1,0),0)</f>
        <v>1</v>
      </c>
      <c r="T141" s="186">
        <f>IF(T109=5,IF(U122=1,1,0),0)</f>
        <v>0</v>
      </c>
      <c r="V141" s="190">
        <f>IF(V109=5,IF(U122=1,1,0),0)</f>
        <v>0</v>
      </c>
      <c r="W141" s="186">
        <f>IF(W109=5,IF(X122=1,1,0),0)</f>
        <v>0</v>
      </c>
      <c r="Y141" s="190">
        <f>IF(Y109=5,IF(X122=1,1,0),0)</f>
        <v>1</v>
      </c>
      <c r="Z141" s="186">
        <f>IF(Z109=5,IF(AA122=1,1,0),0)</f>
        <v>0</v>
      </c>
      <c r="AB141" s="190">
        <f>IF(AB109=5,IF(AA122=1,1,0),0)</f>
        <v>0</v>
      </c>
      <c r="AC141" s="186">
        <f>IF(AC109=5,IF(AD122=1,1,0),0)</f>
        <v>0</v>
      </c>
      <c r="AE141" s="190">
        <f>IF(AE109=5,IF(AD122=1,1,0),0)</f>
        <v>0</v>
      </c>
      <c r="AF141" s="186">
        <f>SUM(B141:AE141)</f>
        <v>4</v>
      </c>
      <c r="AW141" s="274"/>
    </row>
    <row r="142" spans="1:49" s="186" customFormat="1" ht="38.25" hidden="1" customHeight="1" x14ac:dyDescent="0.2">
      <c r="A142" s="189"/>
      <c r="D142" s="190"/>
      <c r="G142" s="190"/>
      <c r="J142" s="190"/>
      <c r="M142" s="190"/>
      <c r="P142" s="190"/>
      <c r="S142" s="190"/>
      <c r="V142" s="190"/>
      <c r="Y142" s="190"/>
      <c r="AB142" s="190"/>
      <c r="AE142" s="190"/>
      <c r="AF142" s="189" t="s">
        <v>106</v>
      </c>
      <c r="AG142" s="451"/>
      <c r="AH142" s="451"/>
      <c r="AI142" s="451"/>
      <c r="AJ142" s="451"/>
      <c r="AK142" s="451"/>
      <c r="AW142" s="274"/>
    </row>
    <row r="143" spans="1:49" s="186" customFormat="1" ht="12.75" hidden="1" customHeight="1" x14ac:dyDescent="0.2">
      <c r="A143" s="186" t="s">
        <v>101</v>
      </c>
      <c r="B143" s="186">
        <f>IF(B109=1,B129,0)</f>
        <v>0</v>
      </c>
      <c r="D143" s="190">
        <f>IF(D109=1,B129,0)</f>
        <v>0</v>
      </c>
      <c r="E143" s="186">
        <f>IF(E109=1,E129,0)</f>
        <v>50</v>
      </c>
      <c r="G143" s="190">
        <f>IF(G109=1,E129,0)</f>
        <v>0</v>
      </c>
      <c r="H143" s="186">
        <f>IF(H109=1,H129,0)</f>
        <v>0</v>
      </c>
      <c r="J143" s="190">
        <f>IF(J109=1,H129,0)</f>
        <v>0</v>
      </c>
      <c r="K143" s="186">
        <f>IF(K109=1,K129,0)</f>
        <v>0</v>
      </c>
      <c r="M143" s="190">
        <f>IF(M109=1,K129,0)</f>
        <v>0</v>
      </c>
      <c r="N143" s="186">
        <f>IF(N109=1,N129,0)</f>
        <v>52</v>
      </c>
      <c r="P143" s="190">
        <f>IF(P109=1,N129,0)</f>
        <v>0</v>
      </c>
      <c r="Q143" s="186">
        <f>IF(Q109=1,Q129,0)</f>
        <v>0</v>
      </c>
      <c r="S143" s="190">
        <f>IF(S109=1,Q129,0)</f>
        <v>0</v>
      </c>
      <c r="T143" s="186">
        <f>IF(T109=1,T129,0)</f>
        <v>0</v>
      </c>
      <c r="V143" s="190">
        <f>IF(V109=1,T129,0)</f>
        <v>0</v>
      </c>
      <c r="W143" s="186">
        <f>IF(W109=1,W129,0)</f>
        <v>50</v>
      </c>
      <c r="Y143" s="190">
        <f>IF(Y109=1,W129,0)</f>
        <v>0</v>
      </c>
      <c r="Z143" s="186">
        <f>IF(Z109=1,Z129,0)</f>
        <v>0</v>
      </c>
      <c r="AB143" s="190">
        <f>IF(AB109=1,Z129,0)</f>
        <v>0</v>
      </c>
      <c r="AC143" s="186">
        <f>IF(AC109=1,AC129,0)</f>
        <v>51</v>
      </c>
      <c r="AE143" s="190">
        <f>IF(AE109=1,AC129,0)</f>
        <v>0</v>
      </c>
      <c r="AF143" s="186">
        <f>SUM(B143:AE143)</f>
        <v>203</v>
      </c>
      <c r="AW143" s="274"/>
    </row>
    <row r="144" spans="1:49" s="186" customFormat="1" ht="12.75" hidden="1" customHeight="1" x14ac:dyDescent="0.2">
      <c r="A144" s="186" t="s">
        <v>102</v>
      </c>
      <c r="B144" s="186">
        <f>IF(B109=2,B129,0)</f>
        <v>50</v>
      </c>
      <c r="D144" s="190">
        <f>IF(D109=2,B129,0)</f>
        <v>0</v>
      </c>
      <c r="E144" s="186">
        <f>IF(E109=2,E129,0)</f>
        <v>0</v>
      </c>
      <c r="G144" s="190">
        <f>IF(G109=2,E129,0)</f>
        <v>0</v>
      </c>
      <c r="H144" s="186">
        <f>IF(H109=2,H129,0)</f>
        <v>0</v>
      </c>
      <c r="J144" s="190">
        <f>IF(J109=2,H129,0)</f>
        <v>0</v>
      </c>
      <c r="K144" s="186">
        <f>IF(K109=2,K129,0)</f>
        <v>50</v>
      </c>
      <c r="M144" s="190">
        <f>IF(M109=2,K129,0)</f>
        <v>0</v>
      </c>
      <c r="N144" s="186">
        <f>IF(N109=2,N129,0)</f>
        <v>0</v>
      </c>
      <c r="P144" s="190">
        <f>IF(P109=2,N129,0)</f>
        <v>0</v>
      </c>
      <c r="Q144" s="186">
        <f>IF(Q109=2,Q129,0)</f>
        <v>0</v>
      </c>
      <c r="S144" s="190">
        <f>IF(S109=2,Q129,0)</f>
        <v>0</v>
      </c>
      <c r="T144" s="186">
        <f>IF(T109=2,T129,0)</f>
        <v>50</v>
      </c>
      <c r="V144" s="190">
        <f>IF(V109=2,T129,0)</f>
        <v>0</v>
      </c>
      <c r="W144" s="186">
        <f>IF(W109=2,W129,0)</f>
        <v>0</v>
      </c>
      <c r="Y144" s="190">
        <f>IF(Y109=2,W129,0)</f>
        <v>0</v>
      </c>
      <c r="Z144" s="186">
        <f>IF(Z109=2,Z129,0)</f>
        <v>0</v>
      </c>
      <c r="AB144" s="190">
        <f>IF(AB109=2,Z129,0)</f>
        <v>0</v>
      </c>
      <c r="AC144" s="186">
        <f>IF(AC109=2,AC129,0)</f>
        <v>0</v>
      </c>
      <c r="AE144" s="190">
        <f>IF(AE109=2,AC129,0)</f>
        <v>51</v>
      </c>
      <c r="AF144" s="186">
        <f>SUM(B144:AE144)</f>
        <v>201</v>
      </c>
      <c r="AW144" s="274"/>
    </row>
    <row r="145" spans="1:49" s="186" customFormat="1" ht="12.75" hidden="1" customHeight="1" x14ac:dyDescent="0.2">
      <c r="A145" s="186" t="s">
        <v>103</v>
      </c>
      <c r="B145" s="186">
        <f>IF(B109=3,B129,0)</f>
        <v>0</v>
      </c>
      <c r="D145" s="190">
        <f>IF(D109=3,B129,0)</f>
        <v>0</v>
      </c>
      <c r="E145" s="186">
        <f>IF(E109=3,E129,0)</f>
        <v>0</v>
      </c>
      <c r="G145" s="190">
        <f>IF(G109=3,E129,0)</f>
        <v>0</v>
      </c>
      <c r="H145" s="186">
        <f>IF(H109=3,H129,0)</f>
        <v>50</v>
      </c>
      <c r="J145" s="190">
        <f>IF(J109=3,H129,0)</f>
        <v>0</v>
      </c>
      <c r="K145" s="186">
        <f>IF(K109=3,K129,0)</f>
        <v>0</v>
      </c>
      <c r="M145" s="190">
        <f>IF(M109=3,K129,0)</f>
        <v>0</v>
      </c>
      <c r="N145" s="186">
        <f>IF(N109=3,N129,0)</f>
        <v>0</v>
      </c>
      <c r="P145" s="190">
        <f>IF(P109=3,N129,0)</f>
        <v>52</v>
      </c>
      <c r="Q145" s="186">
        <f>IF(Q109=3,Q129,0)</f>
        <v>0</v>
      </c>
      <c r="S145" s="190">
        <f>IF(S109=3,Q129,0)</f>
        <v>0</v>
      </c>
      <c r="T145" s="186">
        <f>IF(T109=3,T129,0)</f>
        <v>0</v>
      </c>
      <c r="V145" s="190">
        <f>IF(V109=3,T129,0)</f>
        <v>50</v>
      </c>
      <c r="W145" s="186">
        <f>IF(W109=3,W129,0)</f>
        <v>0</v>
      </c>
      <c r="Y145" s="190">
        <f>IF(Y109=3,W129,0)</f>
        <v>0</v>
      </c>
      <c r="Z145" s="186">
        <f>IF(Z109=3,Z129,0)</f>
        <v>50</v>
      </c>
      <c r="AB145" s="190">
        <f>IF(AB109=3,Z129,0)</f>
        <v>0</v>
      </c>
      <c r="AC145" s="186">
        <f>IF(AC109=3,AC129,0)</f>
        <v>0</v>
      </c>
      <c r="AE145" s="190">
        <f>IF(AE109=3,AC129,0)</f>
        <v>0</v>
      </c>
      <c r="AF145" s="186">
        <f>SUM(B145:AE145)</f>
        <v>202</v>
      </c>
      <c r="AW145" s="274"/>
    </row>
    <row r="146" spans="1:49" s="186" customFormat="1" ht="12.75" hidden="1" customHeight="1" x14ac:dyDescent="0.2">
      <c r="A146" s="186" t="s">
        <v>104</v>
      </c>
      <c r="B146" s="186">
        <f>IF(B109=4,B129,0)</f>
        <v>0</v>
      </c>
      <c r="D146" s="190">
        <f>IF(D109=4,B129,0)</f>
        <v>0</v>
      </c>
      <c r="E146" s="186">
        <f>IF(E109=4,E129,0)</f>
        <v>0</v>
      </c>
      <c r="G146" s="190">
        <f>IF(G109=4,E129,0)</f>
        <v>50</v>
      </c>
      <c r="H146" s="186">
        <f>IF(H109=4,H129,0)</f>
        <v>0</v>
      </c>
      <c r="J146" s="190">
        <f>IF(J109=4,H129,0)</f>
        <v>0</v>
      </c>
      <c r="K146" s="186">
        <f>IF(K109=4,K129,0)</f>
        <v>0</v>
      </c>
      <c r="M146" s="190">
        <f>IF(M109=4,K129,0)</f>
        <v>50</v>
      </c>
      <c r="N146" s="186">
        <f>IF(N109=4,N129,0)</f>
        <v>0</v>
      </c>
      <c r="P146" s="190">
        <f>IF(P109=4,N129,0)</f>
        <v>0</v>
      </c>
      <c r="Q146" s="186">
        <f>IF(Q109=4,Q129,0)</f>
        <v>50</v>
      </c>
      <c r="S146" s="190">
        <f>IF(S109=4,Q129,0)</f>
        <v>0</v>
      </c>
      <c r="T146" s="186">
        <f>IF(T109=4,T129,0)</f>
        <v>0</v>
      </c>
      <c r="V146" s="190">
        <f>IF(V109=4,T129,0)</f>
        <v>0</v>
      </c>
      <c r="W146" s="186">
        <f>IF(W109=4,W129,0)</f>
        <v>0</v>
      </c>
      <c r="Y146" s="190">
        <f>IF(Y109=4,W129,0)</f>
        <v>0</v>
      </c>
      <c r="Z146" s="186">
        <f>IF(Z109=4,Z129,0)</f>
        <v>0</v>
      </c>
      <c r="AB146" s="190">
        <f>IF(AB109=4,Z129,0)</f>
        <v>50</v>
      </c>
      <c r="AC146" s="186">
        <f>IF(AC109=4,AC129,0)</f>
        <v>0</v>
      </c>
      <c r="AE146" s="190">
        <f>IF(AE109=4,AC129,0)</f>
        <v>0</v>
      </c>
      <c r="AF146" s="186">
        <f>SUM(B146:AE146)</f>
        <v>200</v>
      </c>
      <c r="AW146" s="274"/>
    </row>
    <row r="147" spans="1:49" s="186" customFormat="1" ht="12.75" hidden="1" customHeight="1" x14ac:dyDescent="0.2">
      <c r="A147" s="186" t="s">
        <v>105</v>
      </c>
      <c r="B147" s="186">
        <f>IF(B109=5,B129,0)</f>
        <v>0</v>
      </c>
      <c r="D147" s="190">
        <f>IF(D109=5,B129,0)</f>
        <v>50</v>
      </c>
      <c r="E147" s="186">
        <f>IF(E109=5,E129,0)</f>
        <v>0</v>
      </c>
      <c r="G147" s="190">
        <f>IF(G109=5,E129,0)</f>
        <v>0</v>
      </c>
      <c r="H147" s="186">
        <f>IF(H109=5,H129,0)</f>
        <v>0</v>
      </c>
      <c r="J147" s="190">
        <f>IF(J109=5,H129,0)</f>
        <v>50</v>
      </c>
      <c r="K147" s="186">
        <f>IF(K109=5,K129,0)</f>
        <v>0</v>
      </c>
      <c r="M147" s="190">
        <f>IF(M109=5,K129,0)</f>
        <v>0</v>
      </c>
      <c r="N147" s="186">
        <f>IF(N109=5,N129,0)</f>
        <v>0</v>
      </c>
      <c r="P147" s="190">
        <f>IF(P109=5,N129,0)</f>
        <v>0</v>
      </c>
      <c r="Q147" s="186">
        <f>IF(Q109=5,Q129,0)</f>
        <v>0</v>
      </c>
      <c r="S147" s="190">
        <f>IF(S109=5,Q129,0)</f>
        <v>50</v>
      </c>
      <c r="T147" s="186">
        <f>IF(T109=5,T129,0)</f>
        <v>0</v>
      </c>
      <c r="V147" s="190">
        <f>IF(V109=5,T129,0)</f>
        <v>0</v>
      </c>
      <c r="W147" s="186">
        <f>IF(W109=5,W129,0)</f>
        <v>0</v>
      </c>
      <c r="Y147" s="190">
        <f>IF(Y109=5,W129,0)</f>
        <v>50</v>
      </c>
      <c r="Z147" s="186">
        <f>IF(Z109=5,Z129,0)</f>
        <v>0</v>
      </c>
      <c r="AB147" s="190">
        <f>IF(AB109=5,Z129,0)</f>
        <v>0</v>
      </c>
      <c r="AC147" s="186">
        <f>IF(AC109=5,AC129,0)</f>
        <v>0</v>
      </c>
      <c r="AE147" s="190">
        <f>IF(AE109=5,AC129,0)</f>
        <v>0</v>
      </c>
      <c r="AF147" s="186">
        <f>SUM(B147:AE147)</f>
        <v>200</v>
      </c>
      <c r="AW147" s="274"/>
    </row>
    <row r="148" spans="1:49" s="186" customFormat="1" ht="38.25" hidden="1" customHeight="1" x14ac:dyDescent="0.2">
      <c r="A148" s="186" t="s">
        <v>107</v>
      </c>
      <c r="D148" s="190"/>
      <c r="G148" s="190"/>
      <c r="J148" s="190"/>
      <c r="M148" s="190"/>
      <c r="P148" s="190"/>
      <c r="S148" s="190"/>
      <c r="V148" s="190"/>
      <c r="Y148" s="190"/>
      <c r="AB148" s="190"/>
      <c r="AE148" s="190"/>
      <c r="AF148" s="189" t="s">
        <v>108</v>
      </c>
      <c r="AG148" s="186" t="s">
        <v>109</v>
      </c>
      <c r="AW148" s="274"/>
    </row>
    <row r="149" spans="1:49" s="186" customFormat="1" ht="12.75" hidden="1" customHeight="1" x14ac:dyDescent="0.2">
      <c r="A149" s="186" t="s">
        <v>95</v>
      </c>
      <c r="B149" s="186">
        <f>IF(B109=1,SUMIF(B116:B120,"&gt;0"),0)</f>
        <v>0</v>
      </c>
      <c r="D149" s="190">
        <f>IF(D109=1,SUMIF(D116:D120,"&gt;0"),0)</f>
        <v>0</v>
      </c>
      <c r="E149" s="186">
        <f>IF(E109=1,SUMIF(E116:E120,"&gt;0"),0)</f>
        <v>2</v>
      </c>
      <c r="G149" s="190">
        <f>IF(G109=1,SUMIF(G116:G120,"&gt;0"),0)</f>
        <v>0</v>
      </c>
      <c r="H149" s="186">
        <f>IF(H109=1,SUMIF(H116:H120,"&gt;0"),0)</f>
        <v>0</v>
      </c>
      <c r="J149" s="190">
        <f>IF(J109=1,SUMIF(J116:J120,"&gt;0"),0)</f>
        <v>0</v>
      </c>
      <c r="K149" s="186">
        <f>IF(K109=1,SUMIF(K116:K120,"&gt;0"),0)</f>
        <v>0</v>
      </c>
      <c r="M149" s="190">
        <f>IF(M109=1,SUMIF(M116:M120,"&gt;0"),0)</f>
        <v>0</v>
      </c>
      <c r="N149" s="186">
        <f>IF(N109=1,SUMIF(N116:N120,"&gt;0"),0)</f>
        <v>2</v>
      </c>
      <c r="P149" s="190">
        <f>IF(P109=1,SUMIF(P116:P120,"&gt;0"),0)</f>
        <v>0</v>
      </c>
      <c r="Q149" s="186">
        <f>IF(Q109=1,SUMIF(Q116:Q120,"&gt;0"),0)</f>
        <v>0</v>
      </c>
      <c r="S149" s="190">
        <f>IF(S109=1,SUMIF(S116:S120,"&gt;0"),0)</f>
        <v>0</v>
      </c>
      <c r="T149" s="186">
        <f>IF(T109=1,SUMIF(T116:T120,"&gt;0"),0)</f>
        <v>0</v>
      </c>
      <c r="V149" s="190">
        <f>IF(V109=1,SUMIF(V116:V120,"&gt;0"),0)</f>
        <v>0</v>
      </c>
      <c r="W149" s="186">
        <f>IF(W109=1,SUMIF(W116:W120,"&gt;0"),0)</f>
        <v>2</v>
      </c>
      <c r="Y149" s="190">
        <f>IF(Y109=1,SUMIF(Y116:Y120,"&gt;0"),0)</f>
        <v>0</v>
      </c>
      <c r="Z149" s="186">
        <f>IF(Z109=1,SUMIF(Z116:Z120,"&gt;0"),0)</f>
        <v>0</v>
      </c>
      <c r="AB149" s="190">
        <f>IF(AB109=1,SUMIF(AB116:AB120,"&gt;0"),0)</f>
        <v>0</v>
      </c>
      <c r="AC149" s="186">
        <f>IF(AC109=1,SUMIF(AC116:AC120,"&gt;0"),0)</f>
        <v>1</v>
      </c>
      <c r="AE149" s="190">
        <f>IF(AE109=1,SUMIF(AE116:AE120,"&gt;0"),0)</f>
        <v>0</v>
      </c>
      <c r="AF149" s="186">
        <f>SUM(B149:AE149)</f>
        <v>7</v>
      </c>
      <c r="AG149" s="186">
        <f>AF157-AF149</f>
        <v>1</v>
      </c>
      <c r="AW149" s="274"/>
    </row>
    <row r="150" spans="1:49" s="186" customFormat="1" ht="12.75" hidden="1" customHeight="1" x14ac:dyDescent="0.2">
      <c r="A150" s="186" t="s">
        <v>96</v>
      </c>
      <c r="B150" s="186">
        <f>IF(B109=2,SUMIF(B116:B120,"&gt;0"),0)</f>
        <v>2</v>
      </c>
      <c r="D150" s="190">
        <f>IF(D109=2,SUMIF(D116:D120,"&gt;0"),0)</f>
        <v>0</v>
      </c>
      <c r="E150" s="186">
        <f>IF(E109=2,SUMIF(E116:E120,"&gt;0"),0)</f>
        <v>0</v>
      </c>
      <c r="G150" s="190">
        <f>IF(G109=2,SUMIF(G116:G120,"&gt;0"),0)</f>
        <v>0</v>
      </c>
      <c r="H150" s="186">
        <f>IF(H109=2,SUMIF(H116:H120,"&gt;0"),0)</f>
        <v>0</v>
      </c>
      <c r="J150" s="190">
        <f>IF(J109=2,SUMIF(J116:J120,"&gt;0"),0)</f>
        <v>0</v>
      </c>
      <c r="K150" s="186">
        <f>IF(K109=2,SUMIF(K116:K120,"&gt;0"),0)</f>
        <v>2</v>
      </c>
      <c r="M150" s="190">
        <f>IF(M109=2,SUMIF(M116:M120,"&gt;0"),0)</f>
        <v>0</v>
      </c>
      <c r="N150" s="186">
        <f>IF(N109=2,SUMIF(N116:N120,"&gt;0"),0)</f>
        <v>0</v>
      </c>
      <c r="P150" s="190">
        <f>IF(P109=2,SUMIF(P116:P120,"&gt;0"),0)</f>
        <v>0</v>
      </c>
      <c r="Q150" s="186">
        <f>IF(Q109=2,SUMIF(Q116:Q120,"&gt;0"),0)</f>
        <v>0</v>
      </c>
      <c r="S150" s="190">
        <f>IF(S109=2,SUMIF(S116:S120,"&gt;0"),0)</f>
        <v>0</v>
      </c>
      <c r="T150" s="186">
        <f>IF(T109=2,SUMIF(T116:T120,"&gt;0"),0)</f>
        <v>1</v>
      </c>
      <c r="V150" s="190">
        <f>IF(V109=2,SUMIF(V116:V120,"&gt;0"),0)</f>
        <v>0</v>
      </c>
      <c r="W150" s="186">
        <f>IF(W109=2,SUMIF(W116:W120,"&gt;0"),0)</f>
        <v>0</v>
      </c>
      <c r="Y150" s="190">
        <f>IF(Y109=2,SUMIF(Y116:Y120,"&gt;0"),0)</f>
        <v>0</v>
      </c>
      <c r="Z150" s="186">
        <f>IF(Z109=2,SUMIF(Z116:Z120,"&gt;0"),0)</f>
        <v>0</v>
      </c>
      <c r="AB150" s="190">
        <f>IF(AB109=2,SUMIF(AB116:AB120,"&gt;0"),0)</f>
        <v>0</v>
      </c>
      <c r="AC150" s="186">
        <f>IF(AC109=2,SUMIF(AC116:AC120,"&gt;0"),0)</f>
        <v>0</v>
      </c>
      <c r="AE150" s="190">
        <f>IF(AE109=2,SUMIF(AE116:AE120,"&gt;0"),0)</f>
        <v>1</v>
      </c>
      <c r="AF150" s="186">
        <f>SUM(B150:AE150)</f>
        <v>6</v>
      </c>
      <c r="AG150" s="186">
        <f>AF158-AF150</f>
        <v>2</v>
      </c>
      <c r="AW150" s="274"/>
    </row>
    <row r="151" spans="1:49" s="186" customFormat="1" ht="12.75" hidden="1" customHeight="1" x14ac:dyDescent="0.2">
      <c r="A151" s="186" t="s">
        <v>97</v>
      </c>
      <c r="B151" s="186">
        <f>IF(B109=3,SUMIF(B116:B120,"&gt;0"),0)</f>
        <v>0</v>
      </c>
      <c r="D151" s="190">
        <f>IF(D109=3,SUMIF(D116:D120,"&gt;0"),0)</f>
        <v>0</v>
      </c>
      <c r="E151" s="186">
        <f>IF(E109=3,SUMIF(E116:E120,"&gt;0"),0)</f>
        <v>0</v>
      </c>
      <c r="G151" s="190">
        <f>IF(G109=3,SUMIF(G116:G120,"&gt;0"),0)</f>
        <v>0</v>
      </c>
      <c r="H151" s="186">
        <f>IF(H109=3,SUMIF(H116:H120,"&gt;0"),0)</f>
        <v>0</v>
      </c>
      <c r="J151" s="190">
        <f>IF(J109=3,SUMIF(J116:J120,"&gt;0"),0)</f>
        <v>0</v>
      </c>
      <c r="K151" s="186">
        <f>IF(K109=3,SUMIF(K116:K120,"&gt;0"),0)</f>
        <v>0</v>
      </c>
      <c r="M151" s="190">
        <f>IF(M109=3,SUMIF(M116:M120,"&gt;0"),0)</f>
        <v>0</v>
      </c>
      <c r="N151" s="186">
        <f>IF(N109=3,SUMIF(N116:N120,"&gt;0"),0)</f>
        <v>0</v>
      </c>
      <c r="P151" s="190">
        <f>IF(P109=3,SUMIF(P116:P120,"&gt;0"),0)</f>
        <v>0</v>
      </c>
      <c r="Q151" s="186">
        <f>IF(Q109=3,SUMIF(Q116:Q120,"&gt;0"),0)</f>
        <v>0</v>
      </c>
      <c r="S151" s="190">
        <f>IF(S109=3,SUMIF(S116:S120,"&gt;0"),0)</f>
        <v>0</v>
      </c>
      <c r="T151" s="186">
        <f>IF(T109=3,SUMIF(T116:T120,"&gt;0"),0)</f>
        <v>0</v>
      </c>
      <c r="V151" s="190">
        <f>IF(V109=3,SUMIF(V116:V120,"&gt;0"),0)</f>
        <v>1</v>
      </c>
      <c r="W151" s="186">
        <f>IF(W109=3,SUMIF(W116:W120,"&gt;0"),0)</f>
        <v>0</v>
      </c>
      <c r="Y151" s="190">
        <f>IF(Y109=3,SUMIF(Y116:Y120,"&gt;0"),0)</f>
        <v>0</v>
      </c>
      <c r="Z151" s="186">
        <f>IF(Z109=3,SUMIF(Z116:Z120,"&gt;0"),0)</f>
        <v>2</v>
      </c>
      <c r="AB151" s="190">
        <f>IF(AB109=3,SUMIF(AB116:AB120,"&gt;0"),0)</f>
        <v>0</v>
      </c>
      <c r="AC151" s="186">
        <f>IF(AC109=3,SUMIF(AC116:AC120,"&gt;0"),0)</f>
        <v>0</v>
      </c>
      <c r="AE151" s="190">
        <f>IF(AE109=3,SUMIF(AE116:AE120,"&gt;0"),0)</f>
        <v>0</v>
      </c>
      <c r="AF151" s="186">
        <f>SUM(B151:AE151)</f>
        <v>3</v>
      </c>
      <c r="AG151" s="186">
        <f>AF159-AF151</f>
        <v>5</v>
      </c>
      <c r="AW151" s="274"/>
    </row>
    <row r="152" spans="1:49" s="186" customFormat="1" ht="12.75" hidden="1" customHeight="1" x14ac:dyDescent="0.2">
      <c r="A152" s="186" t="s">
        <v>98</v>
      </c>
      <c r="B152" s="186">
        <f>IF(B109=4,SUMIF(B116:B120,"&gt;0"),0)</f>
        <v>0</v>
      </c>
      <c r="D152" s="190">
        <f>IF(D109=4,SUMIF(D116:D120,"&gt;0"),0)</f>
        <v>0</v>
      </c>
      <c r="E152" s="186">
        <f>IF(E109=4,SUMIF(E116:E120,"&gt;0"),0)</f>
        <v>0</v>
      </c>
      <c r="G152" s="190">
        <f>IF(G109=4,SUMIF(G116:G120,"&gt;0"),0)</f>
        <v>0</v>
      </c>
      <c r="H152" s="186">
        <f>IF(H109=4,SUMIF(H116:H120,"&gt;0"),0)</f>
        <v>0</v>
      </c>
      <c r="J152" s="190">
        <f>IF(J109=4,SUMIF(J116:J120,"&gt;0"),0)</f>
        <v>0</v>
      </c>
      <c r="K152" s="186">
        <f>IF(K109=4,SUMIF(K116:K120,"&gt;0"),0)</f>
        <v>0</v>
      </c>
      <c r="M152" s="190">
        <f>IF(M109=4,SUMIF(M116:M120,"&gt;0"),0)</f>
        <v>0</v>
      </c>
      <c r="N152" s="186">
        <f>IF(N109=4,SUMIF(N116:N120,"&gt;0"),0)</f>
        <v>0</v>
      </c>
      <c r="P152" s="190">
        <f>IF(P109=4,SUMIF(P116:P120,"&gt;0"),0)</f>
        <v>0</v>
      </c>
      <c r="Q152" s="186">
        <f>IF(Q109=4,SUMIF(Q116:Q120,"&gt;0"),0)</f>
        <v>0</v>
      </c>
      <c r="S152" s="190">
        <f>IF(S109=4,SUMIF(S116:S120,"&gt;0"),0)</f>
        <v>0</v>
      </c>
      <c r="T152" s="186">
        <f>IF(T109=4,SUMIF(T116:T120,"&gt;0"),0)</f>
        <v>0</v>
      </c>
      <c r="V152" s="190">
        <f>IF(V109=4,SUMIF(V116:V120,"&gt;0"),0)</f>
        <v>0</v>
      </c>
      <c r="W152" s="186">
        <f>IF(W109=4,SUMIF(W116:W120,"&gt;0"),0)</f>
        <v>0</v>
      </c>
      <c r="Y152" s="190">
        <f>IF(Y109=4,SUMIF(Y116:Y120,"&gt;0"),0)</f>
        <v>0</v>
      </c>
      <c r="Z152" s="186">
        <f>IF(Z109=4,SUMIF(Z116:Z120,"&gt;0"),0)</f>
        <v>0</v>
      </c>
      <c r="AB152" s="190">
        <f>IF(AB109=4,SUMIF(AB116:AB120,"&gt;0"),0)</f>
        <v>0</v>
      </c>
      <c r="AC152" s="186">
        <f>IF(AC109=4,SUMIF(AC116:AC120,"&gt;0"),0)</f>
        <v>0</v>
      </c>
      <c r="AE152" s="190">
        <f>IF(AE109=4,SUMIF(AE116:AE120,"&gt;0"),0)</f>
        <v>0</v>
      </c>
      <c r="AF152" s="186">
        <f>SUM(B152:AE152)</f>
        <v>0</v>
      </c>
      <c r="AG152" s="186">
        <f>AF160-AF152</f>
        <v>8</v>
      </c>
      <c r="AW152" s="274"/>
    </row>
    <row r="153" spans="1:49" s="186" customFormat="1" ht="12.75" hidden="1" customHeight="1" x14ac:dyDescent="0.2">
      <c r="A153" s="186" t="s">
        <v>99</v>
      </c>
      <c r="B153" s="186">
        <f>IF(B109=5,SUMIF(B116:B120,"&gt;0"),0)</f>
        <v>0</v>
      </c>
      <c r="D153" s="190">
        <f>IF(D109=5,SUMIF(D116:D120,"&gt;0"),0)</f>
        <v>0</v>
      </c>
      <c r="E153" s="186">
        <f>IF(E109=5,SUMIF(E116:E120,"&gt;0"),0)</f>
        <v>0</v>
      </c>
      <c r="G153" s="190">
        <f>IF(G109=5,SUMIF(G116:G120,"&gt;0"),0)</f>
        <v>0</v>
      </c>
      <c r="H153" s="186">
        <f>IF(H109=5,SUMIF(H116:H120,"&gt;0"),0)</f>
        <v>0</v>
      </c>
      <c r="J153" s="190">
        <f>IF(J109=5,SUMIF(J116:J120,"&gt;0"),0)</f>
        <v>2</v>
      </c>
      <c r="K153" s="186">
        <f>IF(K109=5,SUMIF(K116:K120,"&gt;0"),0)</f>
        <v>0</v>
      </c>
      <c r="M153" s="190">
        <f>IF(M109=5,SUMIF(M116:M120,"&gt;0"),0)</f>
        <v>0</v>
      </c>
      <c r="N153" s="186">
        <f>IF(N109=5,SUMIF(N116:N120,"&gt;0"),0)</f>
        <v>0</v>
      </c>
      <c r="P153" s="190">
        <f>IF(P109=5,SUMIF(P116:P120,"&gt;0"),0)</f>
        <v>0</v>
      </c>
      <c r="Q153" s="186">
        <f>IF(Q109=5,SUMIF(Q116:Q120,"&gt;0"),0)</f>
        <v>0</v>
      </c>
      <c r="S153" s="190">
        <f>IF(S109=5,SUMIF(S116:S120,"&gt;0"),0)</f>
        <v>2</v>
      </c>
      <c r="T153" s="186">
        <f>IF(T109=5,SUMIF(T116:T120,"&gt;0"),0)</f>
        <v>0</v>
      </c>
      <c r="V153" s="190">
        <f>IF(V109=5,SUMIF(V116:V120,"&gt;0"),0)</f>
        <v>0</v>
      </c>
      <c r="W153" s="186">
        <f>IF(W109=5,SUMIF(W116:W120,"&gt;0"),0)</f>
        <v>0</v>
      </c>
      <c r="Y153" s="190">
        <f>IF(Y109=5,SUMIF(Y116:Y120,"&gt;0"),0)</f>
        <v>0</v>
      </c>
      <c r="Z153" s="186">
        <f>IF(Z109=5,SUMIF(Z116:Z120,"&gt;0"),0)</f>
        <v>0</v>
      </c>
      <c r="AB153" s="190">
        <f>IF(AB109=5,SUMIF(AB116:AB120,"&gt;0"),0)</f>
        <v>0</v>
      </c>
      <c r="AC153" s="186">
        <f>IF(AC109=5,SUMIF(AC116:AC120,"&gt;0"),0)</f>
        <v>0</v>
      </c>
      <c r="AE153" s="190">
        <f>IF(AE109=5,SUMIF(AE116:AE120,"&gt;0"),0)</f>
        <v>0</v>
      </c>
      <c r="AF153" s="186">
        <f>SUM(B153:AE153)</f>
        <v>4</v>
      </c>
      <c r="AG153" s="186">
        <f>AF161-AF153</f>
        <v>4</v>
      </c>
      <c r="AW153" s="274"/>
    </row>
    <row r="154" spans="1:49" s="186" customFormat="1" ht="12.75" hidden="1" customHeight="1" x14ac:dyDescent="0.2">
      <c r="D154" s="190"/>
      <c r="G154" s="190"/>
      <c r="J154" s="190"/>
      <c r="M154" s="190"/>
      <c r="P154" s="190"/>
      <c r="S154" s="190"/>
      <c r="V154" s="190"/>
      <c r="Y154" s="190"/>
      <c r="AB154" s="190"/>
      <c r="AE154" s="190"/>
      <c r="AW154" s="274"/>
    </row>
    <row r="155" spans="1:49" s="186" customFormat="1" ht="12.75" hidden="1" customHeight="1" x14ac:dyDescent="0.2">
      <c r="D155" s="190"/>
      <c r="G155" s="190"/>
      <c r="J155" s="190"/>
      <c r="M155" s="190"/>
      <c r="P155" s="190"/>
      <c r="S155" s="190"/>
      <c r="V155" s="190"/>
      <c r="Y155" s="190"/>
      <c r="AB155" s="190"/>
      <c r="AE155" s="190"/>
      <c r="AW155" s="274"/>
    </row>
    <row r="156" spans="1:49" s="186" customFormat="1" ht="51" hidden="1" customHeight="1" x14ac:dyDescent="0.2">
      <c r="A156" s="189" t="s">
        <v>110</v>
      </c>
      <c r="C156" s="186">
        <f>SUMIF(B149:D153,"&gt;0")</f>
        <v>2</v>
      </c>
      <c r="D156" s="190"/>
      <c r="F156" s="186">
        <f>SUMIF(E149:G153,"&gt;0")</f>
        <v>2</v>
      </c>
      <c r="G156" s="190"/>
      <c r="I156" s="186">
        <f>SUMIF(H149:J153,"&gt;0")</f>
        <v>2</v>
      </c>
      <c r="J156" s="190"/>
      <c r="L156" s="186">
        <f>SUMIF(K149:M153,"&gt;0")</f>
        <v>2</v>
      </c>
      <c r="M156" s="190"/>
      <c r="O156" s="186">
        <f>SUMIF(N149:P153,"&gt;0")</f>
        <v>2</v>
      </c>
      <c r="P156" s="190"/>
      <c r="R156" s="186">
        <f>SUMIF(Q149:S153,"&gt;0")</f>
        <v>2</v>
      </c>
      <c r="S156" s="190"/>
      <c r="U156" s="186">
        <f>SUMIF(T149:V153,"&gt;0")</f>
        <v>2</v>
      </c>
      <c r="V156" s="190"/>
      <c r="X156" s="186">
        <f>SUMIF(W149:Y153,"&gt;0")</f>
        <v>2</v>
      </c>
      <c r="Y156" s="190"/>
      <c r="AA156" s="186">
        <f>SUMIF(Z149:AB153,"&gt;0")</f>
        <v>2</v>
      </c>
      <c r="AB156" s="190"/>
      <c r="AD156" s="186">
        <f>SUMIF(AC149:AE153,"&gt;0")</f>
        <v>2</v>
      </c>
      <c r="AE156" s="190"/>
      <c r="AF156" s="189" t="s">
        <v>111</v>
      </c>
      <c r="AW156" s="274"/>
    </row>
    <row r="157" spans="1:49" s="186" customFormat="1" ht="12.75" hidden="1" customHeight="1" x14ac:dyDescent="0.2">
      <c r="A157" s="186" t="s">
        <v>101</v>
      </c>
      <c r="B157" s="186">
        <f>IF(B109=1,C156,0)</f>
        <v>0</v>
      </c>
      <c r="D157" s="190">
        <f>IF(D109=1,C156,0)</f>
        <v>0</v>
      </c>
      <c r="E157" s="186">
        <f>IF(E109=1,F156,0)</f>
        <v>2</v>
      </c>
      <c r="G157" s="190">
        <f>IF(G109=1,F156,0)</f>
        <v>0</v>
      </c>
      <c r="H157" s="186">
        <f>IF(H109=1,I156,0)</f>
        <v>0</v>
      </c>
      <c r="J157" s="190">
        <f>IF(J109=1,I156,0)</f>
        <v>0</v>
      </c>
      <c r="K157" s="186">
        <f>IF(K109=1,L156,0)</f>
        <v>0</v>
      </c>
      <c r="M157" s="190">
        <f>IF(M109=1,L156,0)</f>
        <v>0</v>
      </c>
      <c r="N157" s="186">
        <f>IF(N109=1,O156,0)</f>
        <v>2</v>
      </c>
      <c r="P157" s="190">
        <f>IF(P109=1,O156,0)</f>
        <v>0</v>
      </c>
      <c r="Q157" s="186">
        <f>IF(Q109=1,R156,0)</f>
        <v>0</v>
      </c>
      <c r="S157" s="190">
        <f>IF(S109=1,R156,0)</f>
        <v>0</v>
      </c>
      <c r="T157" s="186">
        <f>IF(T109=1,U156,0)</f>
        <v>0</v>
      </c>
      <c r="V157" s="190">
        <f>IF(V109=1,U156,0)</f>
        <v>0</v>
      </c>
      <c r="W157" s="186">
        <f>IF(W109=1,X156,0)</f>
        <v>2</v>
      </c>
      <c r="Y157" s="190">
        <f>IF(Y109=1,X156,0)</f>
        <v>0</v>
      </c>
      <c r="Z157" s="186">
        <f>IF(Z109=1,AA156,0)</f>
        <v>0</v>
      </c>
      <c r="AB157" s="190">
        <f>IF(AB109=1,AA156,0)</f>
        <v>0</v>
      </c>
      <c r="AC157" s="186">
        <f>IF(AC109=1,AD156,0)</f>
        <v>2</v>
      </c>
      <c r="AE157" s="190">
        <f>IF(AE109=1,AD156,0)</f>
        <v>0</v>
      </c>
      <c r="AF157" s="186">
        <f>SUM(B157:AE157)</f>
        <v>8</v>
      </c>
      <c r="AW157" s="274"/>
    </row>
    <row r="158" spans="1:49" s="186" customFormat="1" ht="12.75" hidden="1" customHeight="1" x14ac:dyDescent="0.2">
      <c r="A158" s="186" t="s">
        <v>102</v>
      </c>
      <c r="B158" s="186">
        <f>IF(B109=2,C156,0)</f>
        <v>2</v>
      </c>
      <c r="D158" s="190">
        <f>IF(D109=2,C156,0)</f>
        <v>0</v>
      </c>
      <c r="E158" s="186">
        <f>IF(E109=2,F156,0)</f>
        <v>0</v>
      </c>
      <c r="G158" s="190">
        <f>IF(G109=2,F156,0)</f>
        <v>0</v>
      </c>
      <c r="H158" s="186">
        <f>IF(H109=2,I156,0)</f>
        <v>0</v>
      </c>
      <c r="J158" s="190">
        <f>IF(J109=2,I156,0)</f>
        <v>0</v>
      </c>
      <c r="K158" s="186">
        <f>IF(K109=2,L156,0)</f>
        <v>2</v>
      </c>
      <c r="M158" s="190">
        <f>IF(M109=2,L156,0)</f>
        <v>0</v>
      </c>
      <c r="N158" s="186">
        <f>IF(N109=2,O156,0)</f>
        <v>0</v>
      </c>
      <c r="P158" s="190">
        <f>IF(P109=2,O156,0)</f>
        <v>0</v>
      </c>
      <c r="Q158" s="186">
        <f>IF(Q109=2,R156,0)</f>
        <v>0</v>
      </c>
      <c r="S158" s="190">
        <f>IF(S109=2,R156,0)</f>
        <v>0</v>
      </c>
      <c r="T158" s="186">
        <f>IF(T109=2,U156,0)</f>
        <v>2</v>
      </c>
      <c r="V158" s="190">
        <f>IF(V109=2,U156,0)</f>
        <v>0</v>
      </c>
      <c r="W158" s="186">
        <f>IF(W109=2,X156,0)</f>
        <v>0</v>
      </c>
      <c r="Y158" s="190">
        <f>IF(Y109=2,X156,0)</f>
        <v>0</v>
      </c>
      <c r="Z158" s="186">
        <f>IF(Z109=2,AA156,0)</f>
        <v>0</v>
      </c>
      <c r="AB158" s="190">
        <f>IF(AB109=2,AA156,0)</f>
        <v>0</v>
      </c>
      <c r="AC158" s="186">
        <f>IF(AC109=2,AD156,0)</f>
        <v>0</v>
      </c>
      <c r="AE158" s="190">
        <f>IF(AE109=2,AD156,0)</f>
        <v>2</v>
      </c>
      <c r="AF158" s="186">
        <f>SUM(B158:AE158)</f>
        <v>8</v>
      </c>
      <c r="AW158" s="274"/>
    </row>
    <row r="159" spans="1:49" s="186" customFormat="1" ht="12.75" hidden="1" customHeight="1" x14ac:dyDescent="0.2">
      <c r="A159" s="186" t="s">
        <v>103</v>
      </c>
      <c r="B159" s="186">
        <f>IF(B109=3,C156,0)</f>
        <v>0</v>
      </c>
      <c r="D159" s="190">
        <f>IF(D109=3,C156,0)</f>
        <v>0</v>
      </c>
      <c r="E159" s="186">
        <f>IF(E109=3,F156,0)</f>
        <v>0</v>
      </c>
      <c r="G159" s="190">
        <f>IF(G109=3,F156,0)</f>
        <v>0</v>
      </c>
      <c r="H159" s="186">
        <f>IF(H109=3,I156,0)</f>
        <v>2</v>
      </c>
      <c r="J159" s="190">
        <f>IF(J109=3,I156,0)</f>
        <v>0</v>
      </c>
      <c r="K159" s="186">
        <f>IF(K109=3,L156,0)</f>
        <v>0</v>
      </c>
      <c r="M159" s="190">
        <f>IF(M109=3,L156,0)</f>
        <v>0</v>
      </c>
      <c r="N159" s="186">
        <f>IF(N109=3,O156,0)</f>
        <v>0</v>
      </c>
      <c r="P159" s="190">
        <f>IF(P109=3,O156,0)</f>
        <v>2</v>
      </c>
      <c r="Q159" s="186">
        <f>IF(Q109=3,R156,0)</f>
        <v>0</v>
      </c>
      <c r="S159" s="190">
        <f>IF(S109=3,R156,0)</f>
        <v>0</v>
      </c>
      <c r="T159" s="186">
        <f>IF(T109=3,U156,0)</f>
        <v>0</v>
      </c>
      <c r="V159" s="190">
        <f>IF(V109=3,U156,0)</f>
        <v>2</v>
      </c>
      <c r="W159" s="186">
        <f>IF(W109=3,X156,0)</f>
        <v>0</v>
      </c>
      <c r="Y159" s="190">
        <f>IF(Y109=3,X156,0)</f>
        <v>0</v>
      </c>
      <c r="Z159" s="186">
        <f>IF(Z109=3,AA156,0)</f>
        <v>2</v>
      </c>
      <c r="AB159" s="190">
        <f>IF(AB109=3,AA156,0)</f>
        <v>0</v>
      </c>
      <c r="AC159" s="186">
        <f>IF(AC109=3,AD156,0)</f>
        <v>0</v>
      </c>
      <c r="AE159" s="190">
        <f>IF(AE109=3,AD156,0)</f>
        <v>0</v>
      </c>
      <c r="AF159" s="186">
        <f>SUM(B159:AE159)</f>
        <v>8</v>
      </c>
      <c r="AW159" s="274"/>
    </row>
    <row r="160" spans="1:49" s="186" customFormat="1" ht="12.75" hidden="1" customHeight="1" x14ac:dyDescent="0.2">
      <c r="A160" s="186" t="s">
        <v>104</v>
      </c>
      <c r="B160" s="186">
        <f>IF(B109=4,C156,0)</f>
        <v>0</v>
      </c>
      <c r="D160" s="190">
        <f>IF(D109=4,C156,0)</f>
        <v>0</v>
      </c>
      <c r="E160" s="186">
        <f>IF(E109=4,F156,0)</f>
        <v>0</v>
      </c>
      <c r="G160" s="190">
        <f>IF(G109=4,F156,0)</f>
        <v>2</v>
      </c>
      <c r="H160" s="186">
        <f>IF(H109=4,I156,0)</f>
        <v>0</v>
      </c>
      <c r="J160" s="190">
        <f>IF(J109=4,I156,0)</f>
        <v>0</v>
      </c>
      <c r="K160" s="186">
        <f>IF(K109=4,L156,0)</f>
        <v>0</v>
      </c>
      <c r="M160" s="190">
        <f>IF(M109=4,L156,0)</f>
        <v>2</v>
      </c>
      <c r="N160" s="186">
        <f>IF(N109=4,O156,0)</f>
        <v>0</v>
      </c>
      <c r="P160" s="190">
        <f>IF(P109=4,O156,0)</f>
        <v>0</v>
      </c>
      <c r="Q160" s="186">
        <f>IF(Q109=4,R156,0)</f>
        <v>2</v>
      </c>
      <c r="S160" s="190">
        <f>IF(S109=4,R156,0)</f>
        <v>0</v>
      </c>
      <c r="T160" s="186">
        <f>IF(T109=4,U156,0)</f>
        <v>0</v>
      </c>
      <c r="V160" s="190">
        <f>IF(V109=4,U156,0)</f>
        <v>0</v>
      </c>
      <c r="W160" s="186">
        <f>IF(W109=4,X156,0)</f>
        <v>0</v>
      </c>
      <c r="Y160" s="190">
        <f>IF(Y109=4,X156,0)</f>
        <v>0</v>
      </c>
      <c r="Z160" s="186">
        <f>IF(Z109=4,AA156,0)</f>
        <v>0</v>
      </c>
      <c r="AB160" s="190">
        <f>IF(AB109=4,AA156,0)</f>
        <v>2</v>
      </c>
      <c r="AC160" s="186">
        <f>IF(AC109=4,AD156,0)</f>
        <v>0</v>
      </c>
      <c r="AE160" s="190">
        <f>IF(AE109=4,AD156,0)</f>
        <v>0</v>
      </c>
      <c r="AF160" s="186">
        <f>SUM(B160:AE160)</f>
        <v>8</v>
      </c>
      <c r="AW160" s="274"/>
    </row>
    <row r="161" spans="1:54" s="186" customFormat="1" ht="12.75" hidden="1" customHeight="1" x14ac:dyDescent="0.2">
      <c r="A161" s="186" t="s">
        <v>105</v>
      </c>
      <c r="B161" s="186">
        <f>IF(B109=5,C156,0)</f>
        <v>0</v>
      </c>
      <c r="D161" s="190">
        <f>IF(D109=5,C156,0)</f>
        <v>2</v>
      </c>
      <c r="E161" s="186">
        <f>IF(E109=5,F156,0)</f>
        <v>0</v>
      </c>
      <c r="G161" s="190">
        <f>IF(G109=5,F156,0)</f>
        <v>0</v>
      </c>
      <c r="H161" s="186">
        <f>IF(H109=5,I156,0)</f>
        <v>0</v>
      </c>
      <c r="J161" s="190">
        <f>IF(J109=5,I156,0)</f>
        <v>2</v>
      </c>
      <c r="K161" s="186">
        <f>IF(K109=5,L156,0)</f>
        <v>0</v>
      </c>
      <c r="M161" s="190">
        <f>IF(M109=5,L156,0)</f>
        <v>0</v>
      </c>
      <c r="N161" s="186">
        <f>IF(N109=5,O156,0)</f>
        <v>0</v>
      </c>
      <c r="P161" s="190">
        <f>IF(P109=5,O156,0)</f>
        <v>0</v>
      </c>
      <c r="Q161" s="186">
        <f>IF(Q109=5,R156,0)</f>
        <v>0</v>
      </c>
      <c r="S161" s="190">
        <f>IF(S109=5,R156,0)</f>
        <v>2</v>
      </c>
      <c r="T161" s="186">
        <f>IF(T109=5,U156,0)</f>
        <v>0</v>
      </c>
      <c r="V161" s="190">
        <f>IF(V109=5,U156,0)</f>
        <v>0</v>
      </c>
      <c r="W161" s="186">
        <f>IF(W109=5,X156,0)</f>
        <v>0</v>
      </c>
      <c r="Y161" s="190">
        <f>IF(Y109=5,X156,0)</f>
        <v>2</v>
      </c>
      <c r="Z161" s="186">
        <f>IF(Z109=5,AA156,0)</f>
        <v>0</v>
      </c>
      <c r="AB161" s="190">
        <f>IF(AB109=5,AA156,0)</f>
        <v>0</v>
      </c>
      <c r="AC161" s="186">
        <f>IF(AC109=5,AD156,0)</f>
        <v>0</v>
      </c>
      <c r="AE161" s="190">
        <f>IF(AE109=5,AD156,0)</f>
        <v>0</v>
      </c>
      <c r="AF161" s="186">
        <f>SUM(B161:AE161)</f>
        <v>8</v>
      </c>
      <c r="AW161" s="274"/>
    </row>
    <row r="162" spans="1:54" hidden="1" x14ac:dyDescent="0.2">
      <c r="A162" s="191"/>
      <c r="B162" s="191"/>
      <c r="C162" s="191"/>
      <c r="D162" s="191"/>
      <c r="E162" s="191"/>
      <c r="F162" s="191"/>
      <c r="G162" s="191"/>
      <c r="H162" s="191"/>
      <c r="I162" s="191"/>
      <c r="J162" s="191"/>
      <c r="K162" s="191"/>
      <c r="L162" s="191"/>
      <c r="M162" s="191"/>
      <c r="N162" s="191"/>
      <c r="O162" s="191"/>
      <c r="P162" s="191"/>
      <c r="Q162" s="191"/>
      <c r="R162" s="191"/>
      <c r="S162" s="191"/>
      <c r="T162" s="191"/>
      <c r="U162" s="191"/>
      <c r="V162" s="191"/>
      <c r="W162" s="191"/>
      <c r="X162" s="191"/>
      <c r="Y162" s="191"/>
      <c r="Z162" s="191"/>
      <c r="AA162" s="191"/>
      <c r="AB162" s="191"/>
      <c r="AC162" s="191"/>
      <c r="AD162" s="191"/>
      <c r="AE162" s="191"/>
      <c r="AF162" s="191"/>
      <c r="AG162" s="191"/>
      <c r="AH162" s="191"/>
      <c r="AI162" s="191"/>
      <c r="AJ162" s="191"/>
      <c r="AK162" s="191"/>
      <c r="AL162" s="191"/>
      <c r="AM162" s="191"/>
      <c r="AN162" s="192"/>
      <c r="AO162" s="192"/>
      <c r="AP162" s="192"/>
      <c r="AQ162" s="192"/>
      <c r="AR162" s="193"/>
      <c r="AS162" s="193"/>
      <c r="AT162" s="193"/>
      <c r="AU162" s="193"/>
      <c r="AV162" s="193"/>
      <c r="BB162" s="194"/>
    </row>
    <row r="163" spans="1:54" s="193" customFormat="1" hidden="1" x14ac:dyDescent="0.2">
      <c r="A163" s="195"/>
      <c r="B163" s="195"/>
      <c r="C163" s="195" t="s">
        <v>112</v>
      </c>
      <c r="D163" s="195">
        <v>1</v>
      </c>
      <c r="E163" s="195"/>
      <c r="F163" s="195"/>
      <c r="G163" s="195">
        <v>2</v>
      </c>
      <c r="H163" s="195"/>
      <c r="I163" s="195"/>
      <c r="J163" s="195">
        <v>3</v>
      </c>
      <c r="K163" s="195"/>
      <c r="L163" s="195"/>
      <c r="M163" s="195">
        <v>4</v>
      </c>
      <c r="N163" s="195"/>
      <c r="O163" s="195"/>
      <c r="P163" s="195">
        <v>5</v>
      </c>
      <c r="Q163" s="195"/>
      <c r="R163" s="195"/>
      <c r="S163" s="195">
        <v>6</v>
      </c>
      <c r="T163" s="195"/>
      <c r="U163" s="195"/>
      <c r="V163" s="195">
        <v>7</v>
      </c>
      <c r="W163" s="195"/>
      <c r="X163" s="195"/>
      <c r="Y163" s="195">
        <v>8</v>
      </c>
      <c r="Z163" s="195"/>
      <c r="AA163" s="195"/>
      <c r="AB163" s="195">
        <v>9</v>
      </c>
      <c r="AC163" s="195"/>
      <c r="AD163" s="195"/>
      <c r="AE163" s="195">
        <v>10</v>
      </c>
      <c r="AF163" s="134"/>
      <c r="AG163" s="195"/>
      <c r="AI163" s="196"/>
      <c r="AJ163" s="134"/>
      <c r="AK163" s="134"/>
      <c r="AL163" s="134"/>
      <c r="AM163" s="134"/>
      <c r="AN163" s="134"/>
      <c r="AO163" s="134"/>
      <c r="AT163" s="196" t="s">
        <v>113</v>
      </c>
      <c r="AW163" s="197"/>
      <c r="BB163" s="197"/>
    </row>
    <row r="164" spans="1:54" s="193" customFormat="1" hidden="1" x14ac:dyDescent="0.2">
      <c r="A164" s="198">
        <v>1</v>
      </c>
      <c r="B164" s="198" t="str">
        <f>E93</f>
        <v>Vision 13 Regional Ben</v>
      </c>
      <c r="C164" s="198">
        <f>VLOOKUP(B164,AU$3:AY$12,3,FALSE)</f>
        <v>1696.7395363532391</v>
      </c>
      <c r="D164" s="198">
        <f>IF(B157,B172,IF(D157,D172,C164))</f>
        <v>1696.7395363532391</v>
      </c>
      <c r="E164" s="198"/>
      <c r="F164" s="198"/>
      <c r="G164" s="198">
        <f>IF(E157,E172,IF(G157,G172,D164))</f>
        <v>1723.2606557495005</v>
      </c>
      <c r="H164" s="198"/>
      <c r="I164" s="198"/>
      <c r="J164" s="198">
        <f>IF(H157,H172,IF(J157,J172,G164))</f>
        <v>1723.2606557495005</v>
      </c>
      <c r="K164" s="198"/>
      <c r="L164" s="198"/>
      <c r="M164" s="198">
        <f>IF(K157,K172,IF(M157,M172,J164))</f>
        <v>1723.2606557495005</v>
      </c>
      <c r="N164" s="198"/>
      <c r="O164" s="198"/>
      <c r="P164" s="198">
        <f>IF(N157,N172,IF(P157,P172,M164))</f>
        <v>1746.8249213735212</v>
      </c>
      <c r="Q164" s="198"/>
      <c r="R164" s="198"/>
      <c r="S164" s="198">
        <f>IF(Q157,Q172,IF(S157,S172,P164))</f>
        <v>1746.8249213735212</v>
      </c>
      <c r="T164" s="198"/>
      <c r="U164" s="198"/>
      <c r="V164" s="198">
        <f>IF(T157,T172,IF(V157,V172,S164))</f>
        <v>1746.8249213735212</v>
      </c>
      <c r="W164" s="198"/>
      <c r="X164" s="198"/>
      <c r="Y164" s="198">
        <f>IF(W157,W172,IF(Y157,Y172,V164))</f>
        <v>1769.8210057754366</v>
      </c>
      <c r="Z164" s="198"/>
      <c r="AA164" s="198"/>
      <c r="AB164" s="198">
        <f>IF(Z157,Z172,IF(AB157,AB172,Y164))</f>
        <v>1769.8210057754366</v>
      </c>
      <c r="AC164" s="198"/>
      <c r="AD164" s="198"/>
      <c r="AE164" s="198">
        <f>IF(AC157,AC172,IF(AE157,AE172,AB164))</f>
        <v>1766.1664477901725</v>
      </c>
      <c r="AF164" s="134"/>
      <c r="AG164" s="134"/>
      <c r="AJ164" s="134"/>
      <c r="AK164" s="134"/>
      <c r="AL164" s="134"/>
      <c r="AM164" s="134"/>
      <c r="AN164" s="134"/>
      <c r="AO164" s="134"/>
      <c r="AT164" s="193" t="str">
        <f>B164</f>
        <v>Vision 13 Regional Ben</v>
      </c>
      <c r="AU164" s="193">
        <f>AE164</f>
        <v>1766.1664477901725</v>
      </c>
      <c r="AW164" s="197"/>
      <c r="BB164" s="197"/>
    </row>
    <row r="165" spans="1:54" s="193" customFormat="1" hidden="1" x14ac:dyDescent="0.2">
      <c r="A165" s="198">
        <v>2</v>
      </c>
      <c r="B165" s="198" t="str">
        <f>E95</f>
        <v>Lake Murray 13 Black</v>
      </c>
      <c r="C165" s="198">
        <f>VLOOKUP(B165,AU$3:AY$12,3,FALSE)</f>
        <v>1696.3067637980012</v>
      </c>
      <c r="D165" s="198">
        <f>IF(B158,B172,IF(D158,D172,C165))</f>
        <v>1719.6569944959215</v>
      </c>
      <c r="E165" s="198"/>
      <c r="F165" s="198"/>
      <c r="G165" s="198">
        <f>IF(E158,E172,IF(G158,G172,D165))</f>
        <v>1719.6569944959215</v>
      </c>
      <c r="H165" s="198"/>
      <c r="I165" s="198"/>
      <c r="J165" s="198">
        <f>IF(H158,H172,IF(J158,J172,G165))</f>
        <v>1719.6569944959215</v>
      </c>
      <c r="K165" s="198"/>
      <c r="L165" s="198"/>
      <c r="M165" s="198">
        <f>IF(K158,K172,IF(M158,M172,J165))</f>
        <v>1741.8914648609173</v>
      </c>
      <c r="N165" s="198"/>
      <c r="O165" s="198"/>
      <c r="P165" s="198">
        <f>IF(N158,N172,IF(P158,P172,M165))</f>
        <v>1741.8914648609173</v>
      </c>
      <c r="Q165" s="198"/>
      <c r="R165" s="198"/>
      <c r="S165" s="198">
        <f>IF(Q158,Q172,IF(S158,S172,P165))</f>
        <v>1741.8914648609173</v>
      </c>
      <c r="T165" s="198"/>
      <c r="U165" s="198"/>
      <c r="V165" s="198">
        <f>IF(T158,T172,IF(V158,V172,S165))</f>
        <v>1729.9682765353905</v>
      </c>
      <c r="W165" s="198"/>
      <c r="X165" s="198"/>
      <c r="Y165" s="198">
        <f>IF(W158,W172,IF(Y158,Y172,V165))</f>
        <v>1729.9682765353905</v>
      </c>
      <c r="Z165" s="198"/>
      <c r="AA165" s="198"/>
      <c r="AB165" s="198">
        <f>IF(Z158,Z172,IF(AB158,AB172,Y165))</f>
        <v>1729.9682765353905</v>
      </c>
      <c r="AC165" s="198"/>
      <c r="AD165" s="198"/>
      <c r="AE165" s="198">
        <f>IF(AC158,AC172,IF(AE158,AE172,AB165))</f>
        <v>1733.6228345206546</v>
      </c>
      <c r="AF165" s="134"/>
      <c r="AG165" s="134"/>
      <c r="AJ165" s="134"/>
      <c r="AL165" s="134"/>
      <c r="AM165" s="134"/>
      <c r="AN165" s="134"/>
      <c r="AO165" s="134"/>
      <c r="AT165" s="193" t="str">
        <f>B165</f>
        <v>Lake Murray 13 Black</v>
      </c>
      <c r="AU165" s="193">
        <f>AE165</f>
        <v>1733.6228345206546</v>
      </c>
      <c r="AW165" s="197"/>
      <c r="BB165" s="197"/>
    </row>
    <row r="166" spans="1:54" s="193" customFormat="1" hidden="1" x14ac:dyDescent="0.2">
      <c r="A166" s="198">
        <v>3</v>
      </c>
      <c r="B166" s="198" t="str">
        <f>E97</f>
        <v>Kershaw 13 Black</v>
      </c>
      <c r="C166" s="198">
        <f>VLOOKUP(B166,AU$3:AY$12,3,FALSE)</f>
        <v>1669.8390646286034</v>
      </c>
      <c r="D166" s="198">
        <f>IF(B159,B172,IF(D159,D172,C166))</f>
        <v>1669.8390646286034</v>
      </c>
      <c r="E166" s="198"/>
      <c r="F166" s="198"/>
      <c r="G166" s="198">
        <f>IF(E159,E172,IF(G159,G172,D166))</f>
        <v>1669.8390646286034</v>
      </c>
      <c r="H166" s="198"/>
      <c r="I166" s="198"/>
      <c r="J166" s="198">
        <f>IF(H159,H172,IF(J159,J172,G166))</f>
        <v>1629.4560855959805</v>
      </c>
      <c r="K166" s="198"/>
      <c r="L166" s="198"/>
      <c r="M166" s="198">
        <f>IF(K159,K172,IF(M159,M172,J166))</f>
        <v>1629.4560855959805</v>
      </c>
      <c r="N166" s="198"/>
      <c r="O166" s="198"/>
      <c r="P166" s="198">
        <f>IF(N159,N172,IF(P159,P172,M166))</f>
        <v>1605.8918199719599</v>
      </c>
      <c r="Q166" s="198"/>
      <c r="R166" s="198"/>
      <c r="S166" s="198">
        <f>IF(Q159,Q172,IF(S159,S172,P166))</f>
        <v>1605.8918199719599</v>
      </c>
      <c r="T166" s="198"/>
      <c r="U166" s="198"/>
      <c r="V166" s="198">
        <f>IF(T159,T172,IF(V159,V172,S166))</f>
        <v>1617.8150082974867</v>
      </c>
      <c r="W166" s="198"/>
      <c r="X166" s="198"/>
      <c r="Y166" s="198">
        <f>IF(W159,W172,IF(Y159,Y172,V166))</f>
        <v>1617.8150082974867</v>
      </c>
      <c r="Z166" s="198"/>
      <c r="AA166" s="198"/>
      <c r="AB166" s="198">
        <f>IF(Z159,Z172,IF(AB159,AB172,Y166))</f>
        <v>1644.4117353404943</v>
      </c>
      <c r="AC166" s="198"/>
      <c r="AD166" s="198"/>
      <c r="AE166" s="198">
        <f>IF(AC159,AC172,IF(AE159,AE172,AB166))</f>
        <v>1644.4117353404943</v>
      </c>
      <c r="AF166" s="134"/>
      <c r="AG166" s="134"/>
      <c r="AJ166" s="134"/>
      <c r="AL166" s="134"/>
      <c r="AM166" s="134"/>
      <c r="AN166" s="134"/>
      <c r="AO166" s="134"/>
      <c r="AT166" s="193" t="str">
        <f>B166</f>
        <v>Kershaw 13 Black</v>
      </c>
      <c r="AU166" s="193">
        <f>AE166</f>
        <v>1644.4117353404943</v>
      </c>
      <c r="AW166" s="197"/>
      <c r="BB166" s="197"/>
    </row>
    <row r="167" spans="1:54" s="193" customFormat="1" hidden="1" x14ac:dyDescent="0.2">
      <c r="A167" s="198">
        <v>4</v>
      </c>
      <c r="B167" s="198" t="str">
        <f>E99</f>
        <v>Vision 13 Regional</v>
      </c>
      <c r="C167" s="198">
        <f>VLOOKUP(B167,AU$3:AY$12,3,FALSE)</f>
        <v>1636.6616321677709</v>
      </c>
      <c r="D167" s="198">
        <f>IF(B160,B172,IF(D160,D172,C167))</f>
        <v>1636.6616321677709</v>
      </c>
      <c r="E167" s="198"/>
      <c r="F167" s="198"/>
      <c r="G167" s="198">
        <f>IF(E160,E172,IF(G160,G172,D167))</f>
        <v>1610.1405127715095</v>
      </c>
      <c r="H167" s="198"/>
      <c r="I167" s="198"/>
      <c r="J167" s="198">
        <f>IF(H160,H172,IF(J160,J172,G167))</f>
        <v>1610.1405127715095</v>
      </c>
      <c r="K167" s="198"/>
      <c r="L167" s="198"/>
      <c r="M167" s="198">
        <f>IF(K160,K172,IF(M160,M172,J167))</f>
        <v>1587.9060424065137</v>
      </c>
      <c r="N167" s="198"/>
      <c r="O167" s="198"/>
      <c r="P167" s="198">
        <f>IF(N160,N172,IF(P160,P172,M167))</f>
        <v>1587.9060424065137</v>
      </c>
      <c r="Q167" s="198"/>
      <c r="R167" s="198"/>
      <c r="S167" s="198">
        <f>IF(Q160,Q172,IF(S160,S172,P167))</f>
        <v>1558.5824441456923</v>
      </c>
      <c r="T167" s="198"/>
      <c r="U167" s="198"/>
      <c r="V167" s="198">
        <f>IF(T160,T172,IF(V160,V172,S167))</f>
        <v>1558.5824441456923</v>
      </c>
      <c r="W167" s="198"/>
      <c r="X167" s="198"/>
      <c r="Y167" s="198">
        <f>IF(W160,W172,IF(Y160,Y172,V167))</f>
        <v>1558.5824441456923</v>
      </c>
      <c r="Z167" s="198"/>
      <c r="AA167" s="198"/>
      <c r="AB167" s="198">
        <f>IF(Z160,Z172,IF(AB160,AB172,Y167))</f>
        <v>1531.9857171026847</v>
      </c>
      <c r="AC167" s="198"/>
      <c r="AD167" s="198"/>
      <c r="AE167" s="198">
        <f>IF(AC160,AC172,IF(AE160,AE172,AB167))</f>
        <v>1531.9857171026847</v>
      </c>
      <c r="AF167" s="134"/>
      <c r="AG167" s="134"/>
      <c r="AJ167" s="134"/>
      <c r="AL167" s="134"/>
      <c r="AM167" s="134"/>
      <c r="AN167" s="134"/>
      <c r="AO167" s="134"/>
      <c r="AT167" s="193" t="str">
        <f>B167</f>
        <v>Vision 13 Regional</v>
      </c>
      <c r="AU167" s="193">
        <f>AE167</f>
        <v>1531.9857171026847</v>
      </c>
      <c r="AW167" s="197"/>
      <c r="BB167" s="197"/>
    </row>
    <row r="168" spans="1:54" s="193" customFormat="1" hidden="1" x14ac:dyDescent="0.2">
      <c r="A168" s="198">
        <v>5</v>
      </c>
      <c r="B168" s="198" t="str">
        <f>E101</f>
        <v>Magnum Aiken 13 Yellow</v>
      </c>
      <c r="C168" s="198">
        <f>VLOOKUP(B168,AU$3:AY$12,3,FALSE)</f>
        <v>1600</v>
      </c>
      <c r="D168" s="198">
        <f>IF(B161,B172,IF(D161,D172,C168))</f>
        <v>1576.6497693020797</v>
      </c>
      <c r="E168" s="198"/>
      <c r="F168" s="198"/>
      <c r="G168" s="198">
        <f>IF(E161,E172,IF(G161,G172,D168))</f>
        <v>1576.6497693020797</v>
      </c>
      <c r="H168" s="198"/>
      <c r="I168" s="198"/>
      <c r="J168" s="198">
        <f>IF(H161,H172,IF(J161,J172,G168))</f>
        <v>1617.0327483347025</v>
      </c>
      <c r="K168" s="198"/>
      <c r="L168" s="198"/>
      <c r="M168" s="198">
        <f>IF(K161,K172,IF(M161,M172,J168))</f>
        <v>1617.0327483347025</v>
      </c>
      <c r="N168" s="198"/>
      <c r="O168" s="198"/>
      <c r="P168" s="198">
        <f>IF(N161,N172,IF(P161,P172,M168))</f>
        <v>1617.0327483347025</v>
      </c>
      <c r="Q168" s="198"/>
      <c r="R168" s="198"/>
      <c r="S168" s="198">
        <f>IF(Q161,Q172,IF(S161,S172,P168))</f>
        <v>1646.356346595524</v>
      </c>
      <c r="T168" s="198"/>
      <c r="U168" s="198"/>
      <c r="V168" s="198">
        <f>IF(T161,T172,IF(V161,V172,S168))</f>
        <v>1646.356346595524</v>
      </c>
      <c r="W168" s="198"/>
      <c r="X168" s="198"/>
      <c r="Y168" s="198">
        <f>IF(W161,W172,IF(Y161,Y172,V168))</f>
        <v>1623.3602621936086</v>
      </c>
      <c r="Z168" s="198"/>
      <c r="AA168" s="198"/>
      <c r="AB168" s="198">
        <f>IF(Z161,Z172,IF(AB161,AB172,Y168))</f>
        <v>1623.3602621936086</v>
      </c>
      <c r="AC168" s="198"/>
      <c r="AD168" s="198"/>
      <c r="AE168" s="198">
        <f>IF(AC161,AC172,IF(AE161,AE172,AB168))</f>
        <v>1623.3602621936086</v>
      </c>
      <c r="AF168" s="134"/>
      <c r="AG168" s="134"/>
      <c r="AJ168" s="134"/>
      <c r="AL168" s="134"/>
      <c r="AM168" s="134"/>
      <c r="AN168" s="134"/>
      <c r="AO168" s="134"/>
      <c r="AT168" s="193" t="str">
        <f>B168</f>
        <v>Magnum Aiken 13 Yellow</v>
      </c>
      <c r="AU168" s="193">
        <f>AE168</f>
        <v>1623.3602621936086</v>
      </c>
      <c r="AW168" s="197"/>
      <c r="BB168" s="197"/>
    </row>
    <row r="169" spans="1:54" s="193" customFormat="1" hidden="1" x14ac:dyDescent="0.2">
      <c r="A169" s="198"/>
      <c r="B169" s="198"/>
      <c r="C169" s="198"/>
      <c r="D169" s="198"/>
      <c r="E169" s="198"/>
      <c r="F169" s="198"/>
      <c r="G169" s="198"/>
      <c r="H169" s="198"/>
      <c r="I169" s="198"/>
      <c r="J169" s="198"/>
      <c r="K169" s="198"/>
      <c r="L169" s="198"/>
      <c r="M169" s="198"/>
      <c r="N169" s="198"/>
      <c r="O169" s="198"/>
      <c r="P169" s="198"/>
      <c r="Q169" s="198"/>
      <c r="R169" s="198"/>
      <c r="S169" s="198"/>
      <c r="T169" s="198"/>
      <c r="U169" s="198"/>
      <c r="V169" s="198"/>
      <c r="W169" s="198"/>
      <c r="X169" s="198"/>
      <c r="Y169" s="198"/>
      <c r="Z169" s="198"/>
      <c r="AA169" s="198"/>
      <c r="AB169" s="198"/>
      <c r="AC169" s="198"/>
      <c r="AD169" s="198"/>
      <c r="AE169" s="198"/>
      <c r="AF169" s="134"/>
      <c r="AG169" s="134"/>
      <c r="AJ169" s="134"/>
      <c r="AL169" s="134"/>
      <c r="AM169" s="134"/>
      <c r="AN169" s="134"/>
      <c r="AO169" s="134"/>
      <c r="AW169" s="197"/>
      <c r="BB169" s="197"/>
    </row>
    <row r="170" spans="1:54" s="193" customFormat="1" hidden="1" x14ac:dyDescent="0.2">
      <c r="A170" s="198" t="s">
        <v>114</v>
      </c>
      <c r="B170" s="198">
        <f>VLOOKUP(B109,$A164:$AE168,3,FALSE)</f>
        <v>1696.3067637980012</v>
      </c>
      <c r="C170" s="198">
        <v>1</v>
      </c>
      <c r="D170" s="198">
        <f>VLOOKUP(D109,$A164:$AE168,3,FALSE)</f>
        <v>1600</v>
      </c>
      <c r="E170" s="198">
        <f>VLOOKUP(E109,$A164:$AE168,4,FALSE)</f>
        <v>1696.7395363532391</v>
      </c>
      <c r="F170" s="198">
        <v>2</v>
      </c>
      <c r="G170" s="198">
        <f>VLOOKUP(G109,$A164:$AE168,4,FALSE)</f>
        <v>1636.6616321677709</v>
      </c>
      <c r="H170" s="198">
        <f>VLOOKUP(H109,$A164:$AE168,7,FALSE)</f>
        <v>1669.8390646286034</v>
      </c>
      <c r="I170" s="198">
        <v>3</v>
      </c>
      <c r="J170" s="198">
        <f>VLOOKUP(J109,$A164:$AE168,7,FALSE)</f>
        <v>1576.6497693020797</v>
      </c>
      <c r="K170" s="198">
        <f>VLOOKUP(K109,$A164:$AE168,10,FALSE)</f>
        <v>1719.6569944959215</v>
      </c>
      <c r="L170" s="198">
        <v>4</v>
      </c>
      <c r="M170" s="198">
        <f>VLOOKUP(M109,$A164:$AE168,10,FALSE)</f>
        <v>1610.1405127715095</v>
      </c>
      <c r="N170" s="198">
        <f>VLOOKUP(N109,$A164:$AE168,13,FALSE)</f>
        <v>1723.2606557495005</v>
      </c>
      <c r="O170" s="198">
        <v>5</v>
      </c>
      <c r="P170" s="198">
        <f>VLOOKUP(P109,$A164:$AE168,13,FALSE)</f>
        <v>1629.4560855959805</v>
      </c>
      <c r="Q170" s="198">
        <f>VLOOKUP(Q109,$A164:$AE168,16,FALSE)</f>
        <v>1587.9060424065137</v>
      </c>
      <c r="R170" s="198">
        <v>6</v>
      </c>
      <c r="S170" s="198">
        <f>VLOOKUP(S109,$A164:$AE168,16,FALSE)</f>
        <v>1617.0327483347025</v>
      </c>
      <c r="T170" s="198">
        <f>VLOOKUP(T109,$A164:$AE168,19,FALSE)</f>
        <v>1741.8914648609173</v>
      </c>
      <c r="U170" s="198">
        <v>7</v>
      </c>
      <c r="V170" s="198">
        <f>VLOOKUP(V109,$A164:$AE168,19,FALSE)</f>
        <v>1605.8918199719599</v>
      </c>
      <c r="W170" s="198">
        <f>VLOOKUP(W109,$A164:$AE168,22,FALSE)</f>
        <v>1746.8249213735212</v>
      </c>
      <c r="X170" s="198">
        <v>8</v>
      </c>
      <c r="Y170" s="198">
        <f>VLOOKUP(Y109,$A164:$AE168,22,FALSE)</f>
        <v>1646.356346595524</v>
      </c>
      <c r="Z170" s="198">
        <f>VLOOKUP(Z109,$A164:$AE168,25,FALSE)</f>
        <v>1617.8150082974867</v>
      </c>
      <c r="AA170" s="198">
        <v>9</v>
      </c>
      <c r="AB170" s="198">
        <f>VLOOKUP(AB109,$A164:$AE168,25,FALSE)</f>
        <v>1558.5824441456923</v>
      </c>
      <c r="AC170" s="198">
        <f>VLOOKUP(AC109,$A164:$AE168,28,FALSE)</f>
        <v>1769.8210057754366</v>
      </c>
      <c r="AD170" s="198">
        <v>10</v>
      </c>
      <c r="AE170" s="198">
        <f>VLOOKUP(AE109,$A164:$AE168,28,FALSE)</f>
        <v>1729.9682765353905</v>
      </c>
      <c r="AF170" s="134"/>
      <c r="AG170" s="191"/>
      <c r="AH170" s="191"/>
      <c r="AI170" s="191"/>
      <c r="AJ170" s="191"/>
      <c r="AK170" s="191"/>
      <c r="AL170" s="191"/>
      <c r="AM170" s="191"/>
      <c r="AN170" s="192"/>
      <c r="AO170" s="192"/>
      <c r="AP170" s="192"/>
      <c r="AQ170" s="192"/>
      <c r="AW170" s="197"/>
      <c r="BB170" s="197"/>
    </row>
    <row r="171" spans="1:54" s="203" customFormat="1" hidden="1" x14ac:dyDescent="0.2">
      <c r="A171" s="199" t="s">
        <v>115</v>
      </c>
      <c r="B171" s="199">
        <f>1/(1+(10^-((B170-D170)/400)))*(B121+D121)</f>
        <v>1.2703052906899919</v>
      </c>
      <c r="C171" s="199"/>
      <c r="D171" s="199">
        <f>1/(1+(10^-((D170-B170)/400)))*(B121+D121)</f>
        <v>0.72969470931000813</v>
      </c>
      <c r="E171" s="199">
        <f>1/(1+(10^-((E170-G170)/400)))*(E121+G121)</f>
        <v>1.1712150188668329</v>
      </c>
      <c r="F171" s="199"/>
      <c r="G171" s="199">
        <f>1/(1+(10^-((G170-E170)/400)))*(E121+G121)</f>
        <v>0.82878498113316712</v>
      </c>
      <c r="H171" s="199">
        <f>1/(1+(10^-((H170-J170)/400)))*(H121+J121)</f>
        <v>1.2619680947694634</v>
      </c>
      <c r="I171" s="199"/>
      <c r="J171" s="199">
        <f>1/(1+(10^-((J170-H170)/400)))*(H121+J121)</f>
        <v>0.73803190523053663</v>
      </c>
      <c r="K171" s="199">
        <f>1/(1+(10^-((K170-M170)/400)))*(K121+M121)</f>
        <v>1.3051728010938819</v>
      </c>
      <c r="L171" s="199"/>
      <c r="M171" s="199">
        <f>1/(1+(10^-((M170-K170)/400)))*(K121+M121)</f>
        <v>0.6948271989061181</v>
      </c>
      <c r="N171" s="199">
        <f>1/(1+(10^-((N170-P170)/400)))*(N121+P121)</f>
        <v>1.2636166992493567</v>
      </c>
      <c r="O171" s="199"/>
      <c r="P171" s="199">
        <f>1/(1+(10^-((P170-N170)/400)))*(N121+P121)</f>
        <v>0.73638330075064318</v>
      </c>
      <c r="Q171" s="199">
        <f>1/(1+(10^-((Q170-S170)/400)))*(Q121+S121)</f>
        <v>0.91636244565067015</v>
      </c>
      <c r="R171" s="199"/>
      <c r="S171" s="199">
        <f>1/(1+(10^-((S170-Q170)/400)))*(Q121+S121)</f>
        <v>1.0836375543493297</v>
      </c>
      <c r="T171" s="199">
        <f>1/(1+(10^-((T170-V170)/400)))*(T121+V121)</f>
        <v>1.3725996351727143</v>
      </c>
      <c r="U171" s="199"/>
      <c r="V171" s="199">
        <f>1/(1+(10^-((V170-T170)/400)))*(T121+V121)</f>
        <v>0.62740036482728578</v>
      </c>
      <c r="W171" s="199">
        <f>1/(1+(10^-((W170-Y170)/400)))*(W121+Y121)</f>
        <v>1.281372362440143</v>
      </c>
      <c r="X171" s="199"/>
      <c r="Y171" s="199">
        <f>1/(1+(10^-((Y170-W170)/400)))*(W121+Y121)</f>
        <v>0.71862763755985715</v>
      </c>
      <c r="Z171" s="199">
        <f>1/(1+(10^-((Z170-AB170)/400)))*(Z121+AB121)</f>
        <v>1.168852279906013</v>
      </c>
      <c r="AA171" s="199"/>
      <c r="AB171" s="199">
        <f>1/(1+(10^-((AB170-Z170)/400)))*(Z121+AB121)</f>
        <v>0.83114772009398696</v>
      </c>
      <c r="AC171" s="199">
        <f>1/(1+(10^-((AC170-AE170)/400)))*(AC121+AE121)</f>
        <v>1.1142049370395051</v>
      </c>
      <c r="AD171" s="199"/>
      <c r="AE171" s="199">
        <f>1/(1+(10^-((AE170-AC170)/400)))*(AC121+AE121)</f>
        <v>0.88579506296049493</v>
      </c>
      <c r="AF171" s="200"/>
      <c r="AG171" s="201"/>
      <c r="AH171" s="201"/>
      <c r="AI171" s="201"/>
      <c r="AJ171" s="201"/>
      <c r="AK171" s="201"/>
      <c r="AL171" s="201"/>
      <c r="AM171" s="201"/>
      <c r="AN171" s="202"/>
      <c r="AO171" s="202"/>
      <c r="AP171" s="202"/>
      <c r="AQ171" s="202"/>
      <c r="AW171" s="204"/>
      <c r="BB171" s="204"/>
    </row>
    <row r="172" spans="1:54" s="209" customFormat="1" hidden="1" x14ac:dyDescent="0.2">
      <c r="A172" s="205" t="s">
        <v>116</v>
      </c>
      <c r="B172" s="205">
        <f>B170+(B121-B171)*$BA$1</f>
        <v>1719.6569944959215</v>
      </c>
      <c r="C172" s="205"/>
      <c r="D172" s="205">
        <f>D170+(D121-D171)*$BA$1</f>
        <v>1576.6497693020797</v>
      </c>
      <c r="E172" s="205">
        <f>E170+(E121-E171)*$BA$1</f>
        <v>1723.2606557495005</v>
      </c>
      <c r="F172" s="205"/>
      <c r="G172" s="205">
        <f>G170+(G121-G171)*$BA$1</f>
        <v>1610.1405127715095</v>
      </c>
      <c r="H172" s="205">
        <f>H170+(H121-H171)*$BA$1</f>
        <v>1629.4560855959805</v>
      </c>
      <c r="I172" s="205"/>
      <c r="J172" s="205">
        <f>J170+(J121-J171)*$BA$1</f>
        <v>1617.0327483347025</v>
      </c>
      <c r="K172" s="205">
        <f>K170+(K121-K171)*$BA$1</f>
        <v>1741.8914648609173</v>
      </c>
      <c r="L172" s="205"/>
      <c r="M172" s="205">
        <f>M170+(M121-M171)*$BA$1</f>
        <v>1587.9060424065137</v>
      </c>
      <c r="N172" s="205">
        <f>N170+(N121-N171)*$BA$1</f>
        <v>1746.8249213735212</v>
      </c>
      <c r="O172" s="205"/>
      <c r="P172" s="205">
        <f>P170+(P121-P171)*$BA$1</f>
        <v>1605.8918199719599</v>
      </c>
      <c r="Q172" s="205">
        <f>Q170+(Q121-Q171)*$BA$1</f>
        <v>1558.5824441456923</v>
      </c>
      <c r="R172" s="205"/>
      <c r="S172" s="205">
        <f>S170+(S121-S171)*$BA$1</f>
        <v>1646.356346595524</v>
      </c>
      <c r="T172" s="205">
        <f>T170+(T121-T171)*$BA$1</f>
        <v>1729.9682765353905</v>
      </c>
      <c r="U172" s="205"/>
      <c r="V172" s="205">
        <f>V170+(V121-V171)*$BA$1</f>
        <v>1617.8150082974867</v>
      </c>
      <c r="W172" s="205">
        <f>W170+(W121-W171)*$BA$1</f>
        <v>1769.8210057754366</v>
      </c>
      <c r="X172" s="205"/>
      <c r="Y172" s="205">
        <f>Y170+(Y121-Y171)*$BA$1</f>
        <v>1623.3602621936086</v>
      </c>
      <c r="Z172" s="205">
        <f>Z170+(Z121-Z171)*$BA$1</f>
        <v>1644.4117353404943</v>
      </c>
      <c r="AA172" s="205"/>
      <c r="AB172" s="205">
        <f>AB170+(AB121-AB171)*$BA$1</f>
        <v>1531.9857171026847</v>
      </c>
      <c r="AC172" s="205">
        <f>AC170+(AC121-AC171)*$BA$1</f>
        <v>1766.1664477901725</v>
      </c>
      <c r="AD172" s="205"/>
      <c r="AE172" s="205">
        <f>AE170+(AE121-AE171)*$BA$1</f>
        <v>1733.6228345206546</v>
      </c>
      <c r="AF172" s="206"/>
      <c r="AG172" s="207"/>
      <c r="AH172" s="207"/>
      <c r="AI172" s="207"/>
      <c r="AJ172" s="207"/>
      <c r="AK172" s="207"/>
      <c r="AL172" s="207"/>
      <c r="AM172" s="207"/>
      <c r="AN172" s="208"/>
      <c r="AO172" s="208"/>
      <c r="AP172" s="208"/>
      <c r="AQ172" s="208"/>
      <c r="AW172" s="210"/>
      <c r="BB172" s="210"/>
    </row>
    <row r="173" spans="1:54" s="209" customFormat="1" hidden="1" x14ac:dyDescent="0.2">
      <c r="A173" s="205"/>
      <c r="B173" s="205"/>
      <c r="C173" s="205"/>
      <c r="D173" s="205"/>
      <c r="E173" s="205"/>
      <c r="F173" s="205"/>
      <c r="G173" s="205"/>
      <c r="H173" s="205"/>
      <c r="I173" s="205"/>
      <c r="J173" s="205"/>
      <c r="K173" s="205"/>
      <c r="L173" s="205"/>
      <c r="M173" s="205"/>
      <c r="N173" s="205"/>
      <c r="O173" s="205"/>
      <c r="P173" s="205"/>
      <c r="Q173" s="205"/>
      <c r="R173" s="205"/>
      <c r="S173" s="205"/>
      <c r="T173" s="205"/>
      <c r="U173" s="205"/>
      <c r="V173" s="205"/>
      <c r="W173" s="205"/>
      <c r="X173" s="205"/>
      <c r="Y173" s="205"/>
      <c r="Z173" s="205"/>
      <c r="AA173" s="205"/>
      <c r="AB173" s="205"/>
      <c r="AC173" s="205"/>
      <c r="AD173" s="205"/>
      <c r="AE173" s="205"/>
      <c r="AF173" s="206"/>
      <c r="AG173" s="207"/>
      <c r="AH173" s="207"/>
      <c r="AI173" s="207"/>
      <c r="AJ173" s="207"/>
      <c r="AK173" s="207"/>
      <c r="AL173" s="207"/>
      <c r="AM173" s="207"/>
      <c r="AN173" s="208"/>
      <c r="AO173" s="208"/>
      <c r="AP173" s="208"/>
      <c r="AQ173" s="208"/>
      <c r="AW173" s="210"/>
      <c r="BB173" s="210"/>
    </row>
    <row r="174" spans="1:54" s="193" customFormat="1" x14ac:dyDescent="0.2">
      <c r="A174" s="452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174" s="452"/>
      <c r="C174" s="452"/>
      <c r="D174" s="452"/>
      <c r="E174" s="452"/>
      <c r="F174" s="452"/>
      <c r="G174" s="452"/>
      <c r="H174" s="452"/>
      <c r="I174" s="452"/>
      <c r="J174" s="452"/>
      <c r="K174" s="452"/>
      <c r="L174" s="452"/>
      <c r="M174" s="452"/>
      <c r="N174" s="452"/>
      <c r="O174" s="452"/>
      <c r="P174" s="452"/>
      <c r="Q174" s="452"/>
      <c r="R174" s="452"/>
      <c r="S174" s="452"/>
      <c r="T174" s="452"/>
      <c r="U174" s="452"/>
      <c r="V174" s="452"/>
      <c r="W174" s="452"/>
      <c r="X174" s="452"/>
      <c r="Y174" s="452"/>
      <c r="Z174" s="452"/>
      <c r="AA174" s="452"/>
      <c r="AB174" s="452"/>
      <c r="AC174" s="452"/>
      <c r="AD174" s="452"/>
      <c r="AE174" s="452"/>
      <c r="AF174" s="452"/>
      <c r="AG174" s="452"/>
      <c r="AH174" s="452"/>
      <c r="AI174" s="452"/>
      <c r="AJ174" s="452"/>
      <c r="AK174" s="452"/>
      <c r="AL174" s="452"/>
      <c r="AM174" s="452"/>
      <c r="AN174" s="453"/>
      <c r="AO174" s="453"/>
      <c r="AP174" s="453"/>
      <c r="AQ174" s="453"/>
      <c r="AW174" s="197"/>
    </row>
    <row r="175" spans="1:54" s="193" customFormat="1" x14ac:dyDescent="0.2">
      <c r="A175" s="454"/>
      <c r="B175" s="454"/>
      <c r="C175" s="454"/>
      <c r="D175" s="454"/>
      <c r="E175" s="454"/>
      <c r="F175" s="454"/>
      <c r="G175" s="454"/>
      <c r="H175" s="454"/>
      <c r="I175" s="454"/>
      <c r="J175" s="454"/>
      <c r="K175" s="454"/>
      <c r="L175" s="454"/>
      <c r="M175" s="454"/>
      <c r="N175" s="454"/>
      <c r="O175" s="454"/>
      <c r="P175" s="454"/>
      <c r="Q175" s="454"/>
      <c r="R175" s="454"/>
      <c r="S175" s="454"/>
      <c r="T175" s="454"/>
      <c r="U175" s="454"/>
      <c r="V175" s="454"/>
      <c r="W175" s="454"/>
      <c r="X175" s="454"/>
      <c r="Y175" s="454"/>
      <c r="Z175" s="454"/>
      <c r="AA175" s="454"/>
      <c r="AB175" s="454"/>
      <c r="AC175" s="454"/>
      <c r="AD175" s="454"/>
      <c r="AE175" s="454"/>
      <c r="AF175" s="454"/>
      <c r="AG175" s="454"/>
      <c r="AH175" s="454"/>
      <c r="AI175" s="454"/>
      <c r="AJ175" s="454"/>
      <c r="AK175" s="454"/>
      <c r="AL175" s="454"/>
      <c r="AM175" s="454"/>
      <c r="AN175" s="454"/>
      <c r="AO175" s="454"/>
      <c r="AP175" s="454"/>
      <c r="AQ175" s="454"/>
      <c r="AW175" s="197"/>
    </row>
    <row r="176" spans="1:54" ht="21" thickBot="1" x14ac:dyDescent="0.35">
      <c r="A176" s="455" t="s">
        <v>118</v>
      </c>
      <c r="B176" s="455"/>
      <c r="C176" s="455"/>
      <c r="D176" s="455"/>
      <c r="E176" s="455"/>
      <c r="F176" s="455"/>
      <c r="G176" s="455"/>
      <c r="H176" s="455"/>
      <c r="I176" s="455"/>
      <c r="J176" s="455"/>
      <c r="K176" s="455"/>
      <c r="L176" s="455"/>
      <c r="M176" s="455"/>
      <c r="N176" s="455"/>
      <c r="O176" s="455"/>
      <c r="P176" s="455"/>
      <c r="Q176" s="455"/>
      <c r="R176" s="455"/>
      <c r="S176" s="455"/>
      <c r="T176" s="455"/>
      <c r="U176" s="455"/>
      <c r="V176" s="455"/>
      <c r="W176" s="455"/>
      <c r="X176" s="455"/>
      <c r="Y176" s="455"/>
      <c r="Z176" s="455"/>
      <c r="AA176" s="455"/>
      <c r="AB176" s="455"/>
      <c r="AC176" s="455"/>
      <c r="AD176" s="455"/>
      <c r="AE176" s="455"/>
      <c r="AF176" s="455"/>
      <c r="AG176" s="455"/>
      <c r="AH176" s="455"/>
      <c r="AI176" s="455"/>
      <c r="AJ176" s="455"/>
      <c r="AK176" s="455"/>
      <c r="AL176" s="455"/>
      <c r="AM176" s="455"/>
      <c r="AN176" s="455"/>
      <c r="AO176" s="455"/>
      <c r="AP176" s="455"/>
      <c r="AQ176" s="455"/>
    </row>
    <row r="177" spans="1:53" ht="13.5" thickBot="1" x14ac:dyDescent="0.25">
      <c r="A177" s="456" t="s">
        <v>119</v>
      </c>
      <c r="B177" s="458" t="s">
        <v>120</v>
      </c>
      <c r="C177" s="459"/>
      <c r="D177" s="459"/>
      <c r="E177" s="459"/>
      <c r="F177" s="459"/>
      <c r="G177" s="459"/>
      <c r="H177" s="459"/>
      <c r="I177" s="459"/>
      <c r="J177" s="459"/>
      <c r="K177" s="460"/>
      <c r="L177" s="458" t="s">
        <v>121</v>
      </c>
      <c r="M177" s="459"/>
      <c r="N177" s="459"/>
      <c r="O177" s="459"/>
      <c r="P177" s="459"/>
      <c r="Q177" s="459"/>
      <c r="R177" s="459"/>
      <c r="S177" s="459"/>
      <c r="T177" s="459"/>
      <c r="U177" s="460"/>
      <c r="V177" s="458" t="s">
        <v>122</v>
      </c>
      <c r="W177" s="459"/>
      <c r="X177" s="459"/>
      <c r="Y177" s="459"/>
      <c r="Z177" s="459"/>
      <c r="AA177" s="459"/>
      <c r="AB177" s="459"/>
      <c r="AC177" s="459"/>
      <c r="AD177" s="459"/>
      <c r="AE177" s="460"/>
      <c r="AF177" s="458" t="s">
        <v>123</v>
      </c>
      <c r="AG177" s="459"/>
      <c r="AH177" s="459"/>
      <c r="AI177" s="459"/>
      <c r="AJ177" s="459"/>
      <c r="AK177" s="459"/>
      <c r="AL177" s="459"/>
      <c r="AM177" s="459"/>
      <c r="AN177" s="459"/>
      <c r="AO177" s="460"/>
    </row>
    <row r="178" spans="1:53" ht="13.5" thickBot="1" x14ac:dyDescent="0.25">
      <c r="A178" s="457"/>
      <c r="B178" s="461" t="s">
        <v>10</v>
      </c>
      <c r="C178" s="462"/>
      <c r="D178" s="462"/>
      <c r="E178" s="462"/>
      <c r="F178" s="462"/>
      <c r="G178" s="463"/>
      <c r="H178" s="461" t="s">
        <v>124</v>
      </c>
      <c r="I178" s="462"/>
      <c r="J178" s="462"/>
      <c r="K178" s="463"/>
      <c r="L178" s="461" t="s">
        <v>10</v>
      </c>
      <c r="M178" s="462"/>
      <c r="N178" s="462"/>
      <c r="O178" s="462"/>
      <c r="P178" s="462"/>
      <c r="Q178" s="463"/>
      <c r="R178" s="461" t="s">
        <v>124</v>
      </c>
      <c r="S178" s="462"/>
      <c r="T178" s="462"/>
      <c r="U178" s="463"/>
      <c r="V178" s="461" t="s">
        <v>10</v>
      </c>
      <c r="W178" s="462"/>
      <c r="X178" s="462"/>
      <c r="Y178" s="462"/>
      <c r="Z178" s="462"/>
      <c r="AA178" s="463"/>
      <c r="AB178" s="461" t="s">
        <v>124</v>
      </c>
      <c r="AC178" s="462"/>
      <c r="AD178" s="462"/>
      <c r="AE178" s="463"/>
      <c r="AF178" s="461" t="s">
        <v>10</v>
      </c>
      <c r="AG178" s="462"/>
      <c r="AH178" s="462"/>
      <c r="AI178" s="462"/>
      <c r="AJ178" s="462"/>
      <c r="AK178" s="463"/>
      <c r="AL178" s="461" t="s">
        <v>124</v>
      </c>
      <c r="AM178" s="462"/>
      <c r="AN178" s="462"/>
      <c r="AO178" s="463"/>
    </row>
    <row r="179" spans="1:53" x14ac:dyDescent="0.2">
      <c r="A179" s="290" t="s">
        <v>125</v>
      </c>
      <c r="B179" s="464" t="str">
        <f>IF($AF$8=1,$E$8,IF($AF$10=1,$E$10,IF($AF$12=1,$E$12,IF($AF$14=1,$E$14,IF($AF$16=1,$E$16,"1st Place "&amp;$A179)))))</f>
        <v>PRV - 13U Bayley</v>
      </c>
      <c r="C179" s="465"/>
      <c r="D179" s="465"/>
      <c r="E179" s="465"/>
      <c r="F179" s="465"/>
      <c r="G179" s="465"/>
      <c r="H179" s="466" t="str">
        <f>IF($AF$8=1,$E$9,IF($AF$10=1,$E$11,IF($AF$12=1,$E$13,IF($AF$14=1,$E$15,IF($AF$16=1,$E$17,"1st Place "&amp;$A179)))))</f>
        <v>fj3prage1pm</v>
      </c>
      <c r="I179" s="466"/>
      <c r="J179" s="466"/>
      <c r="K179" s="467"/>
      <c r="L179" s="464" t="str">
        <f>IF($AF$8=2,$E$8,IF($AF$10=2,$E$10,IF($AF$12=2,$E$12,IF($AF$14=2,$E$14,IF($AF$16=2,$E$16,"2nd Place "&amp;$A179)))))</f>
        <v>Foothills 13 May</v>
      </c>
      <c r="M179" s="465"/>
      <c r="N179" s="465"/>
      <c r="O179" s="465"/>
      <c r="P179" s="465"/>
      <c r="Q179" s="465"/>
      <c r="R179" s="466" t="str">
        <f>IF($AF$8=2,$E$9,IF($AF$10=2,$E$11,IF($AF$12=2,$E$13,IF($AF$14=2,$E$15,IF($AF$16=2,$E$17,"2nd Place "&amp;$A179)))))</f>
        <v>fj3footh1pm</v>
      </c>
      <c r="S179" s="466"/>
      <c r="T179" s="466"/>
      <c r="U179" s="467"/>
      <c r="V179" s="464" t="str">
        <f>IF($AF$8=3,$E$8,IF($AF$10=3,$E$10,IF($AF$12=3,$E$12,IF($AF$14=3,$E$14,IF($AF$16=3,$E$16,"3rd Place "&amp;$A179)))))</f>
        <v>Branchville U14 Juniors</v>
      </c>
      <c r="W179" s="465"/>
      <c r="X179" s="465"/>
      <c r="Y179" s="465"/>
      <c r="Z179" s="465"/>
      <c r="AA179" s="465"/>
      <c r="AB179" s="466" t="str">
        <f>IF($AF$8=3,$E$9,IF($AF$10=3,$E$11,IF($AF$12=3,$E$13,IF($AF$14=3,$E$15,IF($AF$16=3,$E$17,"3rd Place "&amp;$A179)))))</f>
        <v>fj4branc3pm</v>
      </c>
      <c r="AC179" s="466"/>
      <c r="AD179" s="466"/>
      <c r="AE179" s="467"/>
      <c r="AF179" s="464" t="str">
        <f>IF($AF$8=4,$E$8,IF($AF$10=4,$E$10,IF($AF$12=4,$E$12,IF($AF$14=4,$E$14,IF($AF$16=4,$E$16,"4th Place "&amp;$A179)))))</f>
        <v>CSRA Heat 13 Black</v>
      </c>
      <c r="AG179" s="465"/>
      <c r="AH179" s="465"/>
      <c r="AI179" s="465"/>
      <c r="AJ179" s="465"/>
      <c r="AK179" s="465"/>
      <c r="AL179" s="466" t="str">
        <f>IF($AF$8=4,$E$9,IF($AF$10=4,$E$11,IF($AF$12=4,$E$13,IF($AF$14=4,$E$15,IF($AF$16=4,$E$17,"4th Place "&amp;$A179)))))</f>
        <v>fj3csrah2pm</v>
      </c>
      <c r="AM179" s="466"/>
      <c r="AN179" s="466"/>
      <c r="AO179" s="467"/>
    </row>
    <row r="180" spans="1:53" ht="13.5" thickBot="1" x14ac:dyDescent="0.25">
      <c r="A180" s="211" t="s">
        <v>126</v>
      </c>
      <c r="B180" s="468" t="str">
        <f>IF($AF$93=1,$E$93,IF($AF$95=1,$E$95,IF($AF$97=1,$E$97,IF($AF$99=1,$E$99,IF($AF$101=1,$E$101,"1st Place "&amp;$A180)))))</f>
        <v>Vision 13 Regional Ben</v>
      </c>
      <c r="C180" s="469"/>
      <c r="D180" s="469"/>
      <c r="E180" s="469"/>
      <c r="F180" s="469"/>
      <c r="G180" s="469"/>
      <c r="H180" s="470" t="str">
        <f>IF($AF$93=1,$E$94,IF($AF$95=1,$E$96,IF($AF$97=1,$E$98,IF($AF$99=1,$E$100,IF($AF$101=1,$E$102,"1st Place "&amp;$A180)))))</f>
        <v>fj3vison2pm</v>
      </c>
      <c r="I180" s="470"/>
      <c r="J180" s="470"/>
      <c r="K180" s="471"/>
      <c r="L180" s="468" t="str">
        <f>IF($AF$93=2,$E$93,IF($AF$95=2,$E$95,IF($AF$97=2,$E$97,IF($AF$99=2,$E$99,IF($AF$101=2,$E$101,"2nd Place "&amp;$A180)))))</f>
        <v>Lake Murray 13 Black</v>
      </c>
      <c r="M180" s="469"/>
      <c r="N180" s="469"/>
      <c r="O180" s="469"/>
      <c r="P180" s="469"/>
      <c r="Q180" s="469"/>
      <c r="R180" s="470" t="str">
        <f>IF($AF$93=2,$E$94,IF($AF$95=2,$E$96,IF($AF$97=2,$E$98,IF($AF$99=2,$E$100,IF($AF$101=2,$E$102,"2nd Place "&amp;$A180)))))</f>
        <v>fj3lakem2pm</v>
      </c>
      <c r="S180" s="470"/>
      <c r="T180" s="470"/>
      <c r="U180" s="471"/>
      <c r="V180" s="468" t="str">
        <f>IF($AF$93=3,$E$93,IF($AF$95=3,$E$95,IF($AF$97=3,$E$97,IF($AF$99=3,$E$99,IF($AF$101=3,$E$101,"3rd Place "&amp;$A180)))))</f>
        <v>Magnum Aiken 13 Yellow</v>
      </c>
      <c r="W180" s="469"/>
      <c r="X180" s="469"/>
      <c r="Y180" s="469"/>
      <c r="Z180" s="469"/>
      <c r="AA180" s="469"/>
      <c r="AB180" s="470" t="str">
        <f>IF($AF$93=3,$E$94,IF($AF$95=3,$E$96,IF($AF$97=3,$E$98,IF($AF$99=3,$E$100,IF($AF$101=3,$E$102,"3rd Place "&amp;$A180)))))</f>
        <v>fj3magnm6pm</v>
      </c>
      <c r="AC180" s="470"/>
      <c r="AD180" s="470"/>
      <c r="AE180" s="471"/>
      <c r="AF180" s="468" t="str">
        <f>IF($AF$93=4,$E$93,IF($AF$95=4,$E$95,IF($AF$97=4,$E$97,IF($AF$99=4,$E$99,IF($AF$101=4,$E$101,"4th Place "&amp;$A180)))))</f>
        <v>Kershaw 13 Black</v>
      </c>
      <c r="AG180" s="469"/>
      <c r="AH180" s="469"/>
      <c r="AI180" s="469"/>
      <c r="AJ180" s="469"/>
      <c r="AK180" s="469"/>
      <c r="AL180" s="470" t="str">
        <f>IF($AF$93=4,$E$94,IF($AF$95=4,$E$96,IF($AF$97=4,$E$98,IF($AF$99=4,$E$100,IF($AF$101=4,$E$102,"4th Place "&amp;$A180)))))</f>
        <v>fj3kersh1pm</v>
      </c>
      <c r="AM180" s="470"/>
      <c r="AN180" s="470"/>
      <c r="AO180" s="471"/>
    </row>
    <row r="181" spans="1:53" s="133" customFormat="1" x14ac:dyDescent="0.2">
      <c r="A181" s="212"/>
      <c r="B181" s="213"/>
      <c r="C181" s="213"/>
      <c r="D181" s="213"/>
      <c r="E181" s="213"/>
      <c r="F181" s="213"/>
      <c r="G181" s="213"/>
      <c r="H181" s="213"/>
      <c r="I181" s="213"/>
      <c r="J181" s="213"/>
      <c r="K181" s="213"/>
      <c r="L181" s="213"/>
      <c r="M181" s="213"/>
      <c r="N181" s="213"/>
      <c r="O181" s="213"/>
      <c r="P181" s="213"/>
      <c r="Q181" s="213"/>
      <c r="R181" s="213"/>
      <c r="S181" s="213"/>
      <c r="T181" s="213"/>
      <c r="U181" s="213"/>
      <c r="V181" s="213"/>
      <c r="W181" s="213"/>
      <c r="X181" s="213"/>
      <c r="Y181" s="213"/>
      <c r="Z181" s="213"/>
      <c r="AA181" s="213"/>
      <c r="AB181" s="213"/>
      <c r="AC181" s="213"/>
      <c r="AD181" s="213"/>
      <c r="AE181" s="213"/>
      <c r="AF181" s="213"/>
      <c r="AG181" s="213"/>
      <c r="AH181" s="213"/>
      <c r="AI181" s="213"/>
      <c r="AJ181" s="213"/>
      <c r="AK181" s="213"/>
      <c r="AL181" s="213"/>
      <c r="AM181" s="213"/>
      <c r="AN181" s="213"/>
      <c r="AO181" s="213"/>
      <c r="AW181" s="194"/>
      <c r="AX181" s="134"/>
      <c r="AY181" s="134"/>
      <c r="AZ181" s="134"/>
      <c r="BA181" s="134"/>
    </row>
    <row r="182" spans="1:53" ht="15.75" x14ac:dyDescent="0.25">
      <c r="A182" s="472" t="s">
        <v>127</v>
      </c>
      <c r="B182" s="472"/>
      <c r="C182" s="472"/>
      <c r="D182" s="472"/>
      <c r="E182" s="472"/>
      <c r="F182" s="472"/>
      <c r="G182" s="472"/>
      <c r="H182" s="472"/>
      <c r="I182" s="472"/>
      <c r="J182" s="472"/>
      <c r="K182" s="472"/>
      <c r="L182" s="472"/>
      <c r="M182" s="472"/>
      <c r="N182" s="472"/>
      <c r="O182" s="472"/>
      <c r="P182" s="472"/>
      <c r="Q182" s="472"/>
      <c r="R182" s="472"/>
      <c r="S182" s="472"/>
      <c r="T182" s="472"/>
      <c r="U182" s="472"/>
      <c r="V182" s="472"/>
      <c r="W182" s="472"/>
      <c r="X182" s="472"/>
      <c r="Y182" s="472"/>
      <c r="Z182" s="472"/>
      <c r="AA182" s="472"/>
      <c r="AB182" s="472"/>
      <c r="AC182" s="472"/>
      <c r="AD182" s="472"/>
      <c r="AE182" s="472"/>
      <c r="AF182" s="472"/>
      <c r="AG182" s="472"/>
      <c r="AH182" s="472"/>
      <c r="AI182" s="472"/>
      <c r="AJ182" s="472"/>
      <c r="AK182" s="472"/>
      <c r="AL182" s="472"/>
      <c r="AM182" s="472"/>
      <c r="AN182" s="472"/>
      <c r="AO182" s="472"/>
      <c r="AP182" s="472"/>
      <c r="AQ182" s="472"/>
      <c r="AT182" s="214"/>
      <c r="AU182" s="214"/>
      <c r="AV182" s="214"/>
    </row>
    <row r="183" spans="1:53" s="288" customFormat="1" ht="40.5" customHeight="1" x14ac:dyDescent="0.25">
      <c r="A183" s="473" t="s">
        <v>128</v>
      </c>
      <c r="B183" s="474"/>
      <c r="C183" s="474"/>
      <c r="D183" s="474"/>
      <c r="E183" s="474"/>
      <c r="F183" s="474"/>
      <c r="G183" s="474"/>
      <c r="H183" s="474"/>
      <c r="I183" s="474"/>
      <c r="J183" s="474"/>
      <c r="K183" s="474"/>
      <c r="L183" s="474"/>
      <c r="M183" s="474"/>
      <c r="N183" s="474"/>
      <c r="O183" s="474"/>
      <c r="P183" s="474"/>
      <c r="Q183" s="474"/>
      <c r="R183" s="474"/>
      <c r="S183" s="474"/>
      <c r="T183" s="474"/>
      <c r="U183" s="474"/>
      <c r="V183" s="474"/>
      <c r="W183" s="474"/>
      <c r="X183" s="474"/>
      <c r="Y183" s="474"/>
      <c r="Z183" s="474"/>
      <c r="AA183" s="474"/>
      <c r="AB183" s="474"/>
      <c r="AC183" s="474"/>
      <c r="AD183" s="474"/>
      <c r="AE183" s="474"/>
      <c r="AF183" s="474"/>
      <c r="AG183" s="474"/>
      <c r="AH183" s="474"/>
      <c r="AI183" s="474"/>
      <c r="AJ183" s="474"/>
      <c r="AK183" s="474"/>
      <c r="AL183" s="474"/>
      <c r="AM183" s="474"/>
      <c r="AN183" s="474"/>
      <c r="AO183" s="474"/>
      <c r="AP183" s="474"/>
      <c r="AQ183" s="474"/>
      <c r="AW183" s="289"/>
    </row>
    <row r="184" spans="1:53" x14ac:dyDescent="0.2">
      <c r="A184" s="475" t="s">
        <v>129</v>
      </c>
      <c r="B184" s="475"/>
      <c r="C184" s="475"/>
      <c r="D184" s="475"/>
      <c r="E184" s="475"/>
      <c r="F184" s="475"/>
      <c r="G184" s="475"/>
      <c r="H184" s="475"/>
      <c r="I184" s="475"/>
      <c r="J184" s="475"/>
      <c r="K184" s="475"/>
      <c r="L184" s="475"/>
      <c r="M184" s="475"/>
      <c r="N184" s="475"/>
      <c r="O184" s="475"/>
      <c r="P184" s="475"/>
      <c r="Q184" s="475"/>
      <c r="R184" s="475"/>
      <c r="S184" s="475"/>
      <c r="T184" s="475"/>
      <c r="U184" s="475"/>
      <c r="V184" s="475"/>
      <c r="W184" s="475"/>
      <c r="X184" s="475"/>
      <c r="Y184" s="475"/>
      <c r="Z184" s="475"/>
      <c r="AA184" s="475"/>
      <c r="AB184" s="475"/>
      <c r="AC184" s="475"/>
      <c r="AD184" s="475"/>
      <c r="AE184" s="475"/>
      <c r="AF184" s="475"/>
      <c r="AG184" s="475"/>
      <c r="AH184" s="475"/>
      <c r="AI184" s="475"/>
      <c r="AJ184" s="475"/>
      <c r="AK184" s="475"/>
      <c r="AL184" s="475"/>
      <c r="AM184" s="475"/>
      <c r="AN184" s="475"/>
      <c r="AO184" s="475"/>
      <c r="AP184" s="475"/>
      <c r="AQ184" s="475"/>
    </row>
    <row r="185" spans="1:53" x14ac:dyDescent="0.2">
      <c r="A185" s="475"/>
      <c r="B185" s="475"/>
      <c r="C185" s="475"/>
      <c r="D185" s="475"/>
      <c r="E185" s="475"/>
      <c r="F185" s="475"/>
      <c r="G185" s="475"/>
      <c r="H185" s="475"/>
      <c r="I185" s="475"/>
      <c r="J185" s="475"/>
      <c r="K185" s="475"/>
      <c r="L185" s="475"/>
      <c r="M185" s="475"/>
      <c r="N185" s="475"/>
      <c r="O185" s="475"/>
      <c r="P185" s="475"/>
      <c r="Q185" s="475"/>
      <c r="R185" s="475"/>
      <c r="S185" s="475"/>
      <c r="T185" s="475"/>
      <c r="U185" s="475"/>
      <c r="V185" s="475"/>
      <c r="W185" s="475"/>
      <c r="X185" s="475"/>
      <c r="Y185" s="475"/>
      <c r="Z185" s="475"/>
      <c r="AA185" s="475"/>
      <c r="AB185" s="475"/>
      <c r="AC185" s="475"/>
      <c r="AD185" s="475"/>
      <c r="AE185" s="475"/>
      <c r="AF185" s="475"/>
      <c r="AG185" s="475"/>
      <c r="AH185" s="475"/>
      <c r="AI185" s="475"/>
      <c r="AJ185" s="475"/>
      <c r="AK185" s="475"/>
      <c r="AL185" s="475"/>
      <c r="AM185" s="475"/>
      <c r="AN185" s="475"/>
      <c r="AO185" s="475"/>
      <c r="AP185" s="475"/>
      <c r="AQ185" s="475"/>
    </row>
    <row r="186" spans="1:53" x14ac:dyDescent="0.2">
      <c r="A186" s="476" t="s">
        <v>130</v>
      </c>
      <c r="B186" s="476"/>
      <c r="C186" s="476"/>
      <c r="D186" s="476"/>
      <c r="E186" s="476"/>
      <c r="F186" s="476"/>
      <c r="G186" s="476"/>
      <c r="H186" s="476"/>
      <c r="I186" s="476"/>
      <c r="J186" s="476"/>
      <c r="K186" s="476"/>
      <c r="L186" s="215"/>
    </row>
    <row r="187" spans="1:53" x14ac:dyDescent="0.2">
      <c r="C187" s="133"/>
      <c r="D187" s="133"/>
      <c r="E187" s="133"/>
      <c r="L187" s="215"/>
    </row>
    <row r="188" spans="1:53" x14ac:dyDescent="0.2">
      <c r="A188" s="453" t="s">
        <v>131</v>
      </c>
      <c r="B188" s="453"/>
      <c r="C188" s="453"/>
      <c r="D188" s="453"/>
      <c r="E188" s="453"/>
      <c r="F188" s="453"/>
      <c r="G188" s="453"/>
      <c r="H188" s="453"/>
      <c r="I188" s="453"/>
      <c r="J188" s="453"/>
      <c r="K188" s="453"/>
      <c r="L188" s="453"/>
      <c r="M188" s="453"/>
      <c r="N188" s="453"/>
      <c r="O188" s="453"/>
      <c r="P188" s="194"/>
      <c r="R188" s="453" t="s">
        <v>132</v>
      </c>
      <c r="S188" s="453"/>
      <c r="T188" s="453"/>
      <c r="U188" s="453"/>
      <c r="V188" s="453"/>
      <c r="W188" s="453"/>
      <c r="X188" s="453"/>
      <c r="Y188" s="453"/>
      <c r="Z188" s="453"/>
      <c r="AA188" s="453"/>
      <c r="AB188" s="453"/>
      <c r="AC188" s="453"/>
      <c r="AD188" s="453"/>
      <c r="AE188" s="453"/>
      <c r="AF188" s="453"/>
    </row>
    <row r="190" spans="1:53" ht="13.5" thickBot="1" x14ac:dyDescent="0.25">
      <c r="A190" s="477" t="str">
        <f>IF(B218=1,B210,IF(B218=2,B211,IF(B218=3,B212,IF(B218=4,B213,IF(OR(B218="B",B218="b"),"BYE","invalid")))))</f>
        <v>PRV - 13U Bayley</v>
      </c>
      <c r="B190" s="477"/>
      <c r="C190" s="477"/>
      <c r="D190" s="477"/>
      <c r="E190" s="477"/>
      <c r="F190" s="219"/>
      <c r="G190" s="219"/>
      <c r="H190" s="219"/>
      <c r="I190" s="219"/>
      <c r="J190" s="219"/>
      <c r="K190" s="219"/>
      <c r="L190" s="219"/>
      <c r="M190" s="219"/>
      <c r="N190" s="219"/>
      <c r="S190" s="220"/>
      <c r="T190" s="220"/>
      <c r="U190" s="477" t="str">
        <f>IF(W218=1,X210,IF(W218=2,X211,IF(W218=3,X212,IF(W218=4,X213,IF(OR(W218="B",W218="b"),"BYE","invalid")))))</f>
        <v>Branchville U14 Juniors</v>
      </c>
      <c r="V190" s="477"/>
      <c r="W190" s="477"/>
      <c r="X190" s="477"/>
      <c r="Y190" s="477"/>
      <c r="Z190" s="477"/>
      <c r="AA190" s="477"/>
      <c r="AB190" s="219"/>
      <c r="AC190" s="219"/>
      <c r="AD190" s="219"/>
      <c r="AE190" s="219"/>
    </row>
    <row r="191" spans="1:53" x14ac:dyDescent="0.2">
      <c r="A191" s="478" t="s">
        <v>133</v>
      </c>
      <c r="B191" s="478"/>
      <c r="C191" s="478"/>
      <c r="D191" s="478"/>
      <c r="E191" s="478"/>
      <c r="F191" s="222"/>
      <c r="G191" s="219"/>
      <c r="H191" s="219"/>
      <c r="I191" s="219"/>
      <c r="J191" s="219"/>
      <c r="K191" s="219"/>
      <c r="L191" s="219"/>
      <c r="M191" s="219"/>
      <c r="N191" s="219"/>
      <c r="S191" s="223"/>
      <c r="T191" s="223"/>
      <c r="U191" s="479" t="s">
        <v>134</v>
      </c>
      <c r="V191" s="479"/>
      <c r="W191" s="479"/>
      <c r="X191" s="479"/>
      <c r="Y191" s="479"/>
      <c r="Z191" s="479"/>
      <c r="AA191" s="480"/>
      <c r="AB191" s="219"/>
      <c r="AC191" s="219"/>
      <c r="AD191" s="219"/>
      <c r="AE191" s="219"/>
    </row>
    <row r="192" spans="1:53" x14ac:dyDescent="0.2">
      <c r="A192" s="219"/>
      <c r="B192" s="219"/>
      <c r="C192" s="219"/>
      <c r="D192" s="219"/>
      <c r="E192" s="219"/>
      <c r="F192" s="222"/>
      <c r="G192" s="219"/>
      <c r="H192" s="219"/>
      <c r="I192" s="219"/>
      <c r="J192" s="219"/>
      <c r="K192" s="219"/>
      <c r="L192" s="219"/>
      <c r="M192" s="219"/>
      <c r="N192" s="219"/>
      <c r="R192" s="219"/>
      <c r="S192" s="219"/>
      <c r="T192" s="219"/>
      <c r="U192" s="219"/>
      <c r="V192" s="219"/>
      <c r="W192" s="219"/>
      <c r="X192" s="219"/>
      <c r="Y192" s="219"/>
      <c r="Z192" s="219"/>
      <c r="AA192" s="286"/>
      <c r="AB192" s="219"/>
      <c r="AC192" s="219"/>
      <c r="AD192" s="219"/>
      <c r="AE192" s="219"/>
    </row>
    <row r="193" spans="1:53" ht="13.5" thickBot="1" x14ac:dyDescent="0.25">
      <c r="A193" s="479" t="str">
        <f>B212&amp;" ref"</f>
        <v>Foothills 13 May ref</v>
      </c>
      <c r="B193" s="479"/>
      <c r="C193" s="479"/>
      <c r="D193" s="479"/>
      <c r="E193" s="480"/>
      <c r="F193" s="481" t="str">
        <f>IF(H218=1,B210,IF(H218=2,B211,IF(H218=3,B212,IF(H218=4,B213,"Winner Match 1"))))</f>
        <v>PRV - 13U Bayley</v>
      </c>
      <c r="G193" s="482"/>
      <c r="H193" s="482"/>
      <c r="I193" s="482"/>
      <c r="J193" s="482"/>
      <c r="K193" s="482"/>
      <c r="L193" s="482"/>
      <c r="M193" s="482"/>
      <c r="N193" s="219"/>
      <c r="P193" s="227"/>
      <c r="Q193" s="227"/>
      <c r="R193" s="227"/>
      <c r="S193" s="227"/>
      <c r="T193" s="479" t="str">
        <f>X212&amp;" ref"</f>
        <v>CSRA Heat 13 Black ref</v>
      </c>
      <c r="U193" s="479"/>
      <c r="V193" s="479"/>
      <c r="W193" s="479"/>
      <c r="X193" s="479"/>
      <c r="Y193" s="479"/>
      <c r="Z193" s="479"/>
      <c r="AA193" s="480"/>
      <c r="AB193" s="481" t="str">
        <f>IF(AC218=1,X210,IF(AC218=2,X211,IF(AC218=3,X212,IF(AC218=4,X213,"Winner Match 1"))))</f>
        <v>Kershaw 13 Black</v>
      </c>
      <c r="AC193" s="482"/>
      <c r="AD193" s="482"/>
      <c r="AE193" s="482"/>
      <c r="AF193" s="482"/>
      <c r="AG193" s="482"/>
      <c r="AH193" s="482"/>
    </row>
    <row r="194" spans="1:53" x14ac:dyDescent="0.2">
      <c r="A194" s="483" t="s">
        <v>135</v>
      </c>
      <c r="B194" s="483"/>
      <c r="C194" s="483"/>
      <c r="D194" s="483"/>
      <c r="E194" s="483"/>
      <c r="F194" s="484"/>
      <c r="G194" s="485"/>
      <c r="H194" s="485"/>
      <c r="I194" s="486"/>
      <c r="J194" s="487"/>
      <c r="K194" s="488"/>
      <c r="L194" s="488"/>
      <c r="M194" s="488"/>
      <c r="N194" s="219"/>
      <c r="O194" s="219"/>
      <c r="P194" s="226"/>
      <c r="Q194" s="137"/>
      <c r="R194" s="228"/>
      <c r="S194" s="228"/>
      <c r="T194" s="489" t="s">
        <v>136</v>
      </c>
      <c r="U194" s="489"/>
      <c r="V194" s="489"/>
      <c r="W194" s="489"/>
      <c r="X194" s="489"/>
      <c r="Y194" s="489"/>
      <c r="Z194" s="489"/>
      <c r="AA194" s="286"/>
      <c r="AB194" s="484"/>
      <c r="AC194" s="485"/>
      <c r="AD194" s="485"/>
      <c r="AE194" s="486"/>
      <c r="AF194" s="487"/>
      <c r="AG194" s="488"/>
      <c r="AH194" s="488"/>
    </row>
    <row r="195" spans="1:53" ht="13.5" thickBot="1" x14ac:dyDescent="0.25">
      <c r="A195" s="477" t="str">
        <f>IF(D218=1,B210,IF(D218=2,B211,IF(D218=3,B212,IF(D218=4,B213,IF(OR(D218="B",D218="b"),"BYE","invalid")))))</f>
        <v>Lake Murray 13 Black</v>
      </c>
      <c r="B195" s="477"/>
      <c r="C195" s="477"/>
      <c r="D195" s="477"/>
      <c r="E195" s="490"/>
      <c r="F195" s="222"/>
      <c r="G195" s="219"/>
      <c r="H195" s="219"/>
      <c r="I195" s="219"/>
      <c r="J195" s="222"/>
      <c r="K195" s="219"/>
      <c r="L195" s="219"/>
      <c r="M195" s="219"/>
      <c r="N195" s="219"/>
      <c r="O195" s="219"/>
      <c r="P195" s="219"/>
      <c r="T195" s="219"/>
      <c r="U195" s="477" t="str">
        <f>IF(Y218=1,X210,IF(Y218=2,X211,IF(Y218=3,X212,IF(Y218=4,X213,IF(OR(Y218="B",Y218="b"),"BYE","invalid")))))</f>
        <v>Kershaw 13 Black</v>
      </c>
      <c r="V195" s="477"/>
      <c r="W195" s="477"/>
      <c r="X195" s="477"/>
      <c r="Y195" s="477"/>
      <c r="Z195" s="477"/>
      <c r="AA195" s="490"/>
      <c r="AB195" s="219"/>
      <c r="AC195" s="219"/>
      <c r="AD195" s="219"/>
      <c r="AE195" s="286"/>
      <c r="AF195" s="219"/>
      <c r="AG195" s="219"/>
    </row>
    <row r="196" spans="1:53" x14ac:dyDescent="0.2">
      <c r="A196" s="478" t="s">
        <v>137</v>
      </c>
      <c r="B196" s="478"/>
      <c r="C196" s="478"/>
      <c r="D196" s="478"/>
      <c r="E196" s="478"/>
      <c r="F196" s="219"/>
      <c r="G196" s="219"/>
      <c r="H196" s="219"/>
      <c r="I196" s="219"/>
      <c r="J196" s="222"/>
      <c r="K196" s="219"/>
      <c r="L196" s="219"/>
      <c r="M196" s="219"/>
      <c r="N196" s="219"/>
      <c r="O196" s="219"/>
      <c r="P196" s="219"/>
      <c r="U196" s="491" t="s">
        <v>138</v>
      </c>
      <c r="V196" s="491"/>
      <c r="W196" s="491"/>
      <c r="X196" s="491"/>
      <c r="Y196" s="491"/>
      <c r="Z196" s="491"/>
      <c r="AA196" s="491"/>
      <c r="AB196" s="219"/>
      <c r="AC196" s="219"/>
      <c r="AD196" s="219"/>
      <c r="AE196" s="286"/>
      <c r="AF196" s="219"/>
      <c r="AG196" s="219"/>
      <c r="AQ196" s="230"/>
      <c r="AR196" s="230"/>
      <c r="AS196" s="230"/>
    </row>
    <row r="197" spans="1:53" x14ac:dyDescent="0.2">
      <c r="A197" s="219"/>
      <c r="B197" s="219"/>
      <c r="C197" s="219"/>
      <c r="D197" s="219"/>
      <c r="E197" s="219"/>
      <c r="F197" s="492" t="s">
        <v>139</v>
      </c>
      <c r="G197" s="492"/>
      <c r="H197" s="492"/>
      <c r="I197" s="493"/>
      <c r="J197" s="222"/>
      <c r="K197" s="219"/>
      <c r="L197" s="219"/>
      <c r="M197" s="219"/>
      <c r="N197" s="219"/>
      <c r="O197" s="219"/>
      <c r="P197" s="219"/>
      <c r="R197" s="219"/>
      <c r="S197" s="219"/>
      <c r="T197" s="219"/>
      <c r="U197" s="219"/>
      <c r="V197" s="219"/>
      <c r="W197" s="227"/>
      <c r="X197" s="227"/>
      <c r="Y197" s="227"/>
      <c r="AA197" s="227"/>
      <c r="AB197" s="492" t="s">
        <v>139</v>
      </c>
      <c r="AC197" s="492"/>
      <c r="AD197" s="492"/>
      <c r="AE197" s="493"/>
      <c r="AF197" s="219"/>
      <c r="AG197" s="219"/>
    </row>
    <row r="198" spans="1:53" ht="13.5" thickBot="1" x14ac:dyDescent="0.25">
      <c r="A198" s="219"/>
      <c r="B198" s="219"/>
      <c r="C198" s="219"/>
      <c r="D198" s="219"/>
      <c r="E198" s="219"/>
      <c r="F198" s="219"/>
      <c r="G198" s="219"/>
      <c r="H198" s="219"/>
      <c r="I198" s="219"/>
      <c r="J198" s="494" t="str">
        <f>IF(K223=1,B210,IF(K223=2,B211,IF(K223=3,B212,IF(K223=4,B213,"Division Winner"))))</f>
        <v>Foothills 13 May</v>
      </c>
      <c r="K198" s="495"/>
      <c r="L198" s="495"/>
      <c r="M198" s="495"/>
      <c r="N198" s="495"/>
      <c r="O198" s="495"/>
      <c r="P198" s="495"/>
      <c r="Q198" s="220"/>
      <c r="R198" s="219"/>
      <c r="S198" s="219"/>
      <c r="T198" s="219"/>
      <c r="U198" s="219"/>
      <c r="V198" s="219"/>
      <c r="W198" s="219"/>
      <c r="X198" s="219"/>
      <c r="Y198" s="219"/>
      <c r="Z198" s="219"/>
      <c r="AA198" s="232"/>
      <c r="AB198" s="232"/>
      <c r="AC198" s="232"/>
      <c r="AD198" s="232"/>
      <c r="AE198" s="287"/>
      <c r="AF198" s="495" t="str">
        <f>IF(AF223=1,X210,IF(AF223=2,X211,IF(AF223=3,X212,IF(AF223=4,X213,"Division Winner"))))</f>
        <v>Kershaw 13 Black</v>
      </c>
      <c r="AG198" s="495"/>
      <c r="AH198" s="495"/>
      <c r="AI198" s="495"/>
      <c r="AJ198" s="495"/>
      <c r="AK198" s="232"/>
    </row>
    <row r="199" spans="1:53" ht="13.5" thickBot="1" x14ac:dyDescent="0.25">
      <c r="A199" s="477" t="str">
        <f>IF(E218=1,B210,IF(E218=2,B211,IF(E218=3,B212,IF(E218=4,B213,IF(OR(E218="B",E218="b"),"BYE","invalid")))))</f>
        <v>Vision 13 Regional Ben</v>
      </c>
      <c r="B199" s="477"/>
      <c r="C199" s="477"/>
      <c r="D199" s="477"/>
      <c r="E199" s="477"/>
      <c r="F199" s="483" t="s">
        <v>140</v>
      </c>
      <c r="G199" s="483"/>
      <c r="H199" s="483"/>
      <c r="I199" s="483"/>
      <c r="J199" s="496" t="s">
        <v>141</v>
      </c>
      <c r="K199" s="492"/>
      <c r="L199" s="492"/>
      <c r="M199" s="492"/>
      <c r="N199" s="492"/>
      <c r="O199" s="492"/>
      <c r="P199" s="492"/>
      <c r="R199" s="232"/>
      <c r="S199" s="232"/>
      <c r="T199" s="232"/>
      <c r="U199" s="477" t="str">
        <f>IF(Z218=1,X210,IF(Z218=2,X211,IF(Z218=3,X212,IF(Z218=4,X213,IF(OR(Z218="B",Z218="b"),"BYE","invalid")))))</f>
        <v>Magnum Aiken 13 Yellow</v>
      </c>
      <c r="V199" s="477"/>
      <c r="W199" s="477"/>
      <c r="X199" s="477"/>
      <c r="Y199" s="477"/>
      <c r="Z199" s="477"/>
      <c r="AA199" s="477"/>
      <c r="AB199" s="483" t="s">
        <v>142</v>
      </c>
      <c r="AC199" s="483"/>
      <c r="AD199" s="483"/>
      <c r="AE199" s="497"/>
      <c r="AF199" s="498" t="s">
        <v>143</v>
      </c>
      <c r="AG199" s="499"/>
      <c r="AH199" s="499"/>
      <c r="AI199" s="499"/>
      <c r="AJ199" s="499"/>
    </row>
    <row r="200" spans="1:53" x14ac:dyDescent="0.2">
      <c r="A200" s="478" t="s">
        <v>144</v>
      </c>
      <c r="B200" s="478"/>
      <c r="C200" s="478"/>
      <c r="D200" s="478"/>
      <c r="E200" s="478"/>
      <c r="F200" s="222"/>
      <c r="G200" s="219"/>
      <c r="H200" s="219"/>
      <c r="I200" s="219"/>
      <c r="J200" s="496"/>
      <c r="K200" s="492"/>
      <c r="L200" s="492"/>
      <c r="M200" s="492"/>
      <c r="N200" s="492"/>
      <c r="O200" s="492"/>
      <c r="P200" s="492"/>
      <c r="Q200" s="219"/>
      <c r="R200" s="230"/>
      <c r="S200" s="230"/>
      <c r="T200" s="230"/>
      <c r="U200" s="479" t="s">
        <v>145</v>
      </c>
      <c r="V200" s="479"/>
      <c r="W200" s="479"/>
      <c r="X200" s="479"/>
      <c r="Y200" s="479"/>
      <c r="Z200" s="479"/>
      <c r="AA200" s="480"/>
      <c r="AB200" s="219"/>
      <c r="AC200" s="219"/>
      <c r="AD200" s="219"/>
      <c r="AE200" s="286"/>
      <c r="AF200" s="219"/>
      <c r="AG200" s="219"/>
    </row>
    <row r="201" spans="1:53" x14ac:dyDescent="0.2">
      <c r="A201" s="219"/>
      <c r="B201" s="219"/>
      <c r="C201" s="219"/>
      <c r="D201" s="219"/>
      <c r="E201" s="219"/>
      <c r="F201" s="222"/>
      <c r="G201" s="219"/>
      <c r="H201" s="219"/>
      <c r="I201" s="219"/>
      <c r="J201" s="222"/>
      <c r="K201" s="219"/>
      <c r="L201" s="219"/>
      <c r="M201" s="219"/>
      <c r="N201" s="219"/>
      <c r="P201" s="219"/>
      <c r="Q201" s="219"/>
      <c r="R201" s="219"/>
      <c r="S201" s="219"/>
      <c r="T201" s="219"/>
      <c r="U201" s="219"/>
      <c r="V201" s="219"/>
      <c r="W201" s="219"/>
      <c r="X201" s="219"/>
      <c r="Y201" s="219"/>
      <c r="Z201" s="219"/>
      <c r="AA201" s="286"/>
      <c r="AB201" s="222"/>
      <c r="AC201" s="219"/>
      <c r="AD201" s="219"/>
      <c r="AE201" s="286"/>
      <c r="AF201" s="219"/>
      <c r="AG201" s="219"/>
      <c r="AW201" s="274"/>
      <c r="AX201" s="186"/>
      <c r="AY201" s="186"/>
      <c r="AZ201" s="186"/>
      <c r="BA201" s="186"/>
    </row>
    <row r="202" spans="1:53" ht="13.5" thickBot="1" x14ac:dyDescent="0.25">
      <c r="A202" s="492" t="s">
        <v>146</v>
      </c>
      <c r="B202" s="492"/>
      <c r="C202" s="492"/>
      <c r="D202" s="492"/>
      <c r="E202" s="226"/>
      <c r="F202" s="500"/>
      <c r="G202" s="501"/>
      <c r="H202" s="501"/>
      <c r="I202" s="502"/>
      <c r="J202" s="487"/>
      <c r="K202" s="488"/>
      <c r="L202" s="488"/>
      <c r="M202" s="488"/>
      <c r="N202" s="219"/>
      <c r="Q202" s="227"/>
      <c r="R202" s="227"/>
      <c r="S202" s="227"/>
      <c r="T202" s="492" t="s">
        <v>146</v>
      </c>
      <c r="U202" s="492"/>
      <c r="V202" s="492"/>
      <c r="W202" s="492"/>
      <c r="X202" s="492"/>
      <c r="Y202" s="492"/>
      <c r="Z202" s="492"/>
      <c r="AA202" s="219"/>
      <c r="AB202" s="500"/>
      <c r="AC202" s="501"/>
      <c r="AD202" s="501"/>
      <c r="AE202" s="502"/>
      <c r="AF202" s="487"/>
      <c r="AG202" s="488"/>
      <c r="AH202" s="488"/>
      <c r="AW202" s="274"/>
      <c r="AX202" s="186"/>
      <c r="AY202" s="186"/>
      <c r="AZ202" s="186"/>
      <c r="BA202" s="186"/>
    </row>
    <row r="203" spans="1:53" x14ac:dyDescent="0.2">
      <c r="A203" s="483" t="s">
        <v>135</v>
      </c>
      <c r="B203" s="483"/>
      <c r="C203" s="483"/>
      <c r="D203" s="483"/>
      <c r="E203" s="497"/>
      <c r="F203" s="481" t="str">
        <f>IF(J218=1,B210,IF(J218=2,B211,IF(J218=3,B212,IF(J218=4,B213,"Winner Match 2"))))</f>
        <v>Foothills 13 May</v>
      </c>
      <c r="G203" s="482"/>
      <c r="H203" s="482"/>
      <c r="I203" s="482"/>
      <c r="J203" s="482"/>
      <c r="K203" s="482"/>
      <c r="L203" s="482"/>
      <c r="M203" s="482"/>
      <c r="N203" s="219"/>
      <c r="P203" s="226"/>
      <c r="Q203" s="226"/>
      <c r="S203" s="228"/>
      <c r="T203" s="483" t="s">
        <v>136</v>
      </c>
      <c r="U203" s="483"/>
      <c r="V203" s="483"/>
      <c r="W203" s="483"/>
      <c r="X203" s="483"/>
      <c r="Y203" s="483"/>
      <c r="Z203" s="483"/>
      <c r="AA203" s="286"/>
      <c r="AB203" s="481" t="str">
        <f>IF(AE218=1,X210,IF(AE218=2,X211,IF(AE218=3,X212,IF(AE218=4,X213,"Winner Match 2"))))</f>
        <v>CSRA Heat 13 Black</v>
      </c>
      <c r="AC203" s="482"/>
      <c r="AD203" s="482"/>
      <c r="AE203" s="482"/>
      <c r="AF203" s="482"/>
      <c r="AG203" s="482"/>
      <c r="AH203" s="482"/>
      <c r="AW203" s="274"/>
      <c r="AX203" s="186"/>
      <c r="AY203" s="186"/>
      <c r="AZ203" s="186"/>
      <c r="BA203" s="186"/>
    </row>
    <row r="204" spans="1:53" ht="13.5" thickBot="1" x14ac:dyDescent="0.25">
      <c r="A204" s="477" t="str">
        <f>IF(G218=1,B210,IF(G218=2,B211,IF(G218=3,B212,IF(G218=4,B213,IF(OR(G218="B",G218="b"),"BYE","invalid")))))</f>
        <v>Foothills 13 May</v>
      </c>
      <c r="B204" s="477"/>
      <c r="C204" s="477"/>
      <c r="D204" s="477"/>
      <c r="E204" s="490"/>
      <c r="F204" s="222"/>
      <c r="G204" s="219"/>
      <c r="H204" s="219"/>
      <c r="I204" s="219"/>
      <c r="J204" s="219"/>
      <c r="K204" s="219"/>
      <c r="L204" s="219"/>
      <c r="M204" s="219"/>
      <c r="N204" s="219"/>
      <c r="P204" s="219"/>
      <c r="Q204" s="219"/>
      <c r="R204" s="219"/>
      <c r="S204" s="232"/>
      <c r="T204" s="232"/>
      <c r="U204" s="477" t="str">
        <f>IF(AB218=1,X210,IF(AB218=2,X211,IF(AB218=3,X212,IF(AB218=4,X213,IF(OR(AB218="B",AB218="b"),"BYE","invalid")))))</f>
        <v>CSRA Heat 13 Black</v>
      </c>
      <c r="V204" s="477"/>
      <c r="W204" s="477"/>
      <c r="X204" s="477"/>
      <c r="Y204" s="477"/>
      <c r="Z204" s="477"/>
      <c r="AA204" s="490"/>
      <c r="AB204" s="219"/>
      <c r="AC204" s="219"/>
      <c r="AD204" s="219"/>
      <c r="AE204" s="219"/>
      <c r="AW204" s="274"/>
      <c r="AX204" s="186"/>
      <c r="AY204" s="186"/>
      <c r="AZ204" s="186"/>
      <c r="BA204" s="186"/>
    </row>
    <row r="205" spans="1:53" x14ac:dyDescent="0.2">
      <c r="A205" s="478" t="s">
        <v>147</v>
      </c>
      <c r="B205" s="478"/>
      <c r="C205" s="478"/>
      <c r="D205" s="478"/>
      <c r="E205" s="478"/>
      <c r="S205" s="230"/>
      <c r="T205" s="230"/>
      <c r="U205" s="479" t="s">
        <v>148</v>
      </c>
      <c r="V205" s="479"/>
      <c r="W205" s="479"/>
      <c r="X205" s="479"/>
      <c r="Y205" s="479"/>
      <c r="Z205" s="479"/>
      <c r="AA205" s="479"/>
      <c r="AW205" s="274"/>
      <c r="AX205" s="186"/>
      <c r="AY205" s="186"/>
      <c r="AZ205" s="186"/>
      <c r="BA205" s="186"/>
    </row>
    <row r="206" spans="1:53" x14ac:dyDescent="0.2">
      <c r="AT206" s="186"/>
      <c r="AU206" s="186"/>
      <c r="AV206" s="186"/>
      <c r="AW206" s="274"/>
      <c r="AX206" s="186"/>
      <c r="AY206" s="186"/>
      <c r="AZ206" s="186"/>
      <c r="BA206" s="186"/>
    </row>
    <row r="207" spans="1:53" x14ac:dyDescent="0.2">
      <c r="AT207" s="186"/>
      <c r="AU207" s="186"/>
      <c r="AV207" s="186"/>
      <c r="AW207" s="274"/>
      <c r="AX207" s="186"/>
      <c r="AY207" s="186"/>
      <c r="AZ207" s="186"/>
      <c r="BA207" s="186"/>
    </row>
    <row r="208" spans="1:53" ht="16.5" thickBot="1" x14ac:dyDescent="0.3">
      <c r="A208" s="503" t="s">
        <v>149</v>
      </c>
      <c r="B208" s="503"/>
      <c r="C208" s="503"/>
      <c r="D208" s="503"/>
      <c r="E208" s="503"/>
      <c r="F208" s="503"/>
      <c r="G208" s="503"/>
      <c r="H208" s="503"/>
      <c r="I208" s="503"/>
      <c r="J208" s="503"/>
      <c r="Q208" s="234"/>
      <c r="R208" s="234"/>
      <c r="S208" s="234"/>
      <c r="U208" s="503" t="s">
        <v>150</v>
      </c>
      <c r="V208" s="503"/>
      <c r="W208" s="503"/>
      <c r="X208" s="503"/>
      <c r="Y208" s="503"/>
      <c r="Z208" s="503"/>
      <c r="AA208" s="503"/>
      <c r="AB208" s="503"/>
      <c r="AC208" s="503"/>
      <c r="AD208" s="503"/>
      <c r="AE208" s="503"/>
      <c r="AF208" s="503"/>
      <c r="AT208" s="186"/>
      <c r="AU208" s="186"/>
      <c r="AV208" s="186"/>
      <c r="AW208" s="274"/>
      <c r="AX208" s="186"/>
      <c r="AY208" s="186"/>
      <c r="AZ208" s="186"/>
      <c r="BA208" s="186"/>
    </row>
    <row r="209" spans="1:53" ht="13.5" thickBot="1" x14ac:dyDescent="0.25">
      <c r="A209" s="236" t="s">
        <v>151</v>
      </c>
      <c r="B209" s="504" t="s">
        <v>152</v>
      </c>
      <c r="C209" s="505"/>
      <c r="D209" s="505"/>
      <c r="E209" s="505"/>
      <c r="F209" s="505"/>
      <c r="G209" s="505"/>
      <c r="H209" s="505"/>
      <c r="I209" s="505"/>
      <c r="J209" s="506"/>
      <c r="K209" s="507" t="s">
        <v>153</v>
      </c>
      <c r="L209" s="508"/>
      <c r="M209" s="508"/>
      <c r="N209" s="508"/>
      <c r="O209" s="508"/>
      <c r="P209" s="508"/>
      <c r="Q209" s="509"/>
      <c r="U209" s="510" t="s">
        <v>151</v>
      </c>
      <c r="V209" s="511"/>
      <c r="W209" s="512"/>
      <c r="X209" s="504" t="s">
        <v>152</v>
      </c>
      <c r="Y209" s="505"/>
      <c r="Z209" s="505"/>
      <c r="AA209" s="505"/>
      <c r="AB209" s="505"/>
      <c r="AC209" s="505"/>
      <c r="AD209" s="505"/>
      <c r="AE209" s="505"/>
      <c r="AF209" s="506"/>
      <c r="AG209" s="507" t="s">
        <v>153</v>
      </c>
      <c r="AH209" s="508"/>
      <c r="AI209" s="508"/>
      <c r="AJ209" s="508"/>
      <c r="AK209" s="508"/>
      <c r="AL209" s="508"/>
      <c r="AM209" s="509"/>
      <c r="AT209" s="186"/>
      <c r="AU209" s="186"/>
      <c r="AV209" s="186"/>
      <c r="AW209" s="274"/>
      <c r="AX209" s="186"/>
      <c r="AY209" s="186"/>
      <c r="AZ209" s="186"/>
      <c r="BA209" s="186"/>
    </row>
    <row r="210" spans="1:53" ht="13.5" thickBot="1" x14ac:dyDescent="0.25">
      <c r="A210" s="236">
        <v>1</v>
      </c>
      <c r="B210" s="513" t="str">
        <f>B179</f>
        <v>PRV - 13U Bayley</v>
      </c>
      <c r="C210" s="514"/>
      <c r="D210" s="514"/>
      <c r="E210" s="514"/>
      <c r="F210" s="514"/>
      <c r="G210" s="514"/>
      <c r="H210" s="514"/>
      <c r="I210" s="514"/>
      <c r="J210" s="515"/>
      <c r="K210" s="516" t="str">
        <f>H179</f>
        <v>fj3prage1pm</v>
      </c>
      <c r="L210" s="517"/>
      <c r="M210" s="517"/>
      <c r="N210" s="517"/>
      <c r="O210" s="517"/>
      <c r="P210" s="517"/>
      <c r="Q210" s="518"/>
      <c r="U210" s="510">
        <v>1</v>
      </c>
      <c r="V210" s="511"/>
      <c r="W210" s="512"/>
      <c r="X210" s="513" t="str">
        <f>V179</f>
        <v>Branchville U14 Juniors</v>
      </c>
      <c r="Y210" s="514"/>
      <c r="Z210" s="514"/>
      <c r="AA210" s="514"/>
      <c r="AB210" s="514"/>
      <c r="AC210" s="514"/>
      <c r="AD210" s="514"/>
      <c r="AE210" s="514"/>
      <c r="AF210" s="515"/>
      <c r="AG210" s="516" t="str">
        <f>AB179</f>
        <v>fj4branc3pm</v>
      </c>
      <c r="AH210" s="517"/>
      <c r="AI210" s="517"/>
      <c r="AJ210" s="517"/>
      <c r="AK210" s="517"/>
      <c r="AL210" s="517"/>
      <c r="AM210" s="518"/>
      <c r="AT210" s="186"/>
      <c r="AU210" s="186"/>
      <c r="AV210" s="186"/>
      <c r="AW210" s="274"/>
      <c r="AX210" s="186"/>
      <c r="AY210" s="186"/>
      <c r="AZ210" s="186"/>
      <c r="BA210" s="186"/>
    </row>
    <row r="211" spans="1:53" ht="13.5" thickBot="1" x14ac:dyDescent="0.25">
      <c r="A211" s="236">
        <v>2</v>
      </c>
      <c r="B211" s="513" t="str">
        <f>B180</f>
        <v>Vision 13 Regional Ben</v>
      </c>
      <c r="C211" s="514"/>
      <c r="D211" s="514"/>
      <c r="E211" s="514"/>
      <c r="F211" s="514"/>
      <c r="G211" s="514"/>
      <c r="H211" s="514"/>
      <c r="I211" s="514"/>
      <c r="J211" s="515"/>
      <c r="K211" s="516" t="str">
        <f>H180</f>
        <v>fj3vison2pm</v>
      </c>
      <c r="L211" s="517"/>
      <c r="M211" s="517"/>
      <c r="N211" s="517"/>
      <c r="O211" s="517"/>
      <c r="P211" s="517"/>
      <c r="Q211" s="518"/>
      <c r="U211" s="510">
        <v>2</v>
      </c>
      <c r="V211" s="511"/>
      <c r="W211" s="512"/>
      <c r="X211" s="513" t="str">
        <f>V180</f>
        <v>Magnum Aiken 13 Yellow</v>
      </c>
      <c r="Y211" s="514"/>
      <c r="Z211" s="514"/>
      <c r="AA211" s="514"/>
      <c r="AB211" s="514"/>
      <c r="AC211" s="514"/>
      <c r="AD211" s="514"/>
      <c r="AE211" s="514"/>
      <c r="AF211" s="515"/>
      <c r="AG211" s="516" t="str">
        <f>AB180</f>
        <v>fj3magnm6pm</v>
      </c>
      <c r="AH211" s="517"/>
      <c r="AI211" s="517"/>
      <c r="AJ211" s="517"/>
      <c r="AK211" s="517"/>
      <c r="AL211" s="517"/>
      <c r="AM211" s="518"/>
      <c r="AT211" s="186"/>
      <c r="AU211" s="186"/>
      <c r="AV211" s="186"/>
      <c r="AW211" s="274"/>
      <c r="AX211" s="186"/>
      <c r="AY211" s="186"/>
      <c r="AZ211" s="186"/>
      <c r="BA211" s="186"/>
    </row>
    <row r="212" spans="1:53" ht="13.5" thickBot="1" x14ac:dyDescent="0.25">
      <c r="A212" s="236">
        <v>3</v>
      </c>
      <c r="B212" s="513" t="str">
        <f>L179</f>
        <v>Foothills 13 May</v>
      </c>
      <c r="C212" s="514"/>
      <c r="D212" s="514"/>
      <c r="E212" s="514"/>
      <c r="F212" s="514"/>
      <c r="G212" s="514"/>
      <c r="H212" s="514"/>
      <c r="I212" s="514"/>
      <c r="J212" s="515"/>
      <c r="K212" s="516" t="str">
        <f>R179</f>
        <v>fj3footh1pm</v>
      </c>
      <c r="L212" s="517"/>
      <c r="M212" s="517"/>
      <c r="N212" s="517"/>
      <c r="O212" s="517"/>
      <c r="P212" s="517"/>
      <c r="Q212" s="518"/>
      <c r="U212" s="510">
        <v>3</v>
      </c>
      <c r="V212" s="511"/>
      <c r="W212" s="512"/>
      <c r="X212" s="513" t="str">
        <f>AF179</f>
        <v>CSRA Heat 13 Black</v>
      </c>
      <c r="Y212" s="514"/>
      <c r="Z212" s="514"/>
      <c r="AA212" s="514"/>
      <c r="AB212" s="514"/>
      <c r="AC212" s="514"/>
      <c r="AD212" s="514"/>
      <c r="AE212" s="514"/>
      <c r="AF212" s="515"/>
      <c r="AG212" s="516" t="str">
        <f>AL179</f>
        <v>fj3csrah2pm</v>
      </c>
      <c r="AH212" s="517"/>
      <c r="AI212" s="517"/>
      <c r="AJ212" s="517"/>
      <c r="AK212" s="517"/>
      <c r="AL212" s="517"/>
      <c r="AM212" s="518"/>
      <c r="AT212" s="186"/>
      <c r="AU212" s="186"/>
      <c r="AV212" s="186"/>
      <c r="AW212" s="274"/>
      <c r="AX212" s="186"/>
      <c r="AY212" s="186"/>
      <c r="AZ212" s="186"/>
      <c r="BA212" s="186"/>
    </row>
    <row r="213" spans="1:53" ht="13.5" thickBot="1" x14ac:dyDescent="0.25">
      <c r="A213" s="236">
        <v>4</v>
      </c>
      <c r="B213" s="513" t="str">
        <f>L180</f>
        <v>Lake Murray 13 Black</v>
      </c>
      <c r="C213" s="514"/>
      <c r="D213" s="514"/>
      <c r="E213" s="514"/>
      <c r="F213" s="514"/>
      <c r="G213" s="514"/>
      <c r="H213" s="514"/>
      <c r="I213" s="514"/>
      <c r="J213" s="515"/>
      <c r="K213" s="516" t="str">
        <f>R180</f>
        <v>fj3lakem2pm</v>
      </c>
      <c r="L213" s="517"/>
      <c r="M213" s="517"/>
      <c r="N213" s="517"/>
      <c r="O213" s="517"/>
      <c r="P213" s="517"/>
      <c r="Q213" s="518"/>
      <c r="U213" s="510">
        <v>4</v>
      </c>
      <c r="V213" s="511"/>
      <c r="W213" s="512"/>
      <c r="X213" s="513" t="str">
        <f>AF180</f>
        <v>Kershaw 13 Black</v>
      </c>
      <c r="Y213" s="514"/>
      <c r="Z213" s="514"/>
      <c r="AA213" s="514"/>
      <c r="AB213" s="514"/>
      <c r="AC213" s="514"/>
      <c r="AD213" s="514"/>
      <c r="AE213" s="514"/>
      <c r="AF213" s="515"/>
      <c r="AG213" s="516" t="str">
        <f>AL180</f>
        <v>fj3kersh1pm</v>
      </c>
      <c r="AH213" s="517"/>
      <c r="AI213" s="517"/>
      <c r="AJ213" s="517"/>
      <c r="AK213" s="517"/>
      <c r="AL213" s="517"/>
      <c r="AM213" s="518"/>
      <c r="AT213" s="186"/>
      <c r="AU213" s="186"/>
      <c r="AV213" s="186"/>
      <c r="AW213" s="274"/>
      <c r="AX213" s="186"/>
      <c r="AY213" s="186"/>
      <c r="AZ213" s="186"/>
      <c r="BA213" s="186"/>
    </row>
    <row r="214" spans="1:53" ht="13.5" thickBot="1" x14ac:dyDescent="0.25">
      <c r="AT214" s="186"/>
      <c r="AU214" s="186"/>
      <c r="AV214" s="186"/>
      <c r="AW214" s="274"/>
      <c r="AX214" s="186"/>
      <c r="AY214" s="186"/>
      <c r="AZ214" s="186"/>
      <c r="BA214" s="186"/>
    </row>
    <row r="215" spans="1:53" x14ac:dyDescent="0.2">
      <c r="B215" s="519" t="s">
        <v>154</v>
      </c>
      <c r="C215" s="520"/>
      <c r="D215" s="521"/>
      <c r="E215" s="522" t="s">
        <v>154</v>
      </c>
      <c r="F215" s="520"/>
      <c r="G215" s="521"/>
      <c r="H215" s="522" t="s">
        <v>14</v>
      </c>
      <c r="I215" s="520"/>
      <c r="J215" s="523"/>
      <c r="K215" s="524" t="s">
        <v>155</v>
      </c>
      <c r="L215" s="525"/>
      <c r="M215" s="525"/>
      <c r="N215" s="525"/>
      <c r="O215" s="525"/>
      <c r="P215" s="525"/>
      <c r="Q215" s="526"/>
      <c r="R215" s="216"/>
      <c r="S215" s="216"/>
      <c r="T215" s="216"/>
      <c r="U215" s="216"/>
      <c r="W215" s="519" t="s">
        <v>154</v>
      </c>
      <c r="X215" s="520"/>
      <c r="Y215" s="521"/>
      <c r="Z215" s="522" t="s">
        <v>154</v>
      </c>
      <c r="AA215" s="520"/>
      <c r="AB215" s="521"/>
      <c r="AC215" s="522" t="s">
        <v>14</v>
      </c>
      <c r="AD215" s="520"/>
      <c r="AE215" s="523"/>
      <c r="AF215" s="524" t="s">
        <v>155</v>
      </c>
      <c r="AG215" s="533"/>
      <c r="AH215" s="533"/>
      <c r="AI215" s="533"/>
      <c r="AJ215" s="534"/>
      <c r="AW215" s="274"/>
      <c r="AX215" s="186"/>
      <c r="AY215" s="186"/>
      <c r="AZ215" s="186"/>
      <c r="BA215" s="186"/>
    </row>
    <row r="216" spans="1:53" x14ac:dyDescent="0.2">
      <c r="A216" s="173" t="s">
        <v>156</v>
      </c>
      <c r="B216" s="541">
        <v>3</v>
      </c>
      <c r="C216" s="542"/>
      <c r="D216" s="543"/>
      <c r="E216" s="544" t="s">
        <v>157</v>
      </c>
      <c r="F216" s="542"/>
      <c r="G216" s="543"/>
      <c r="H216" s="544" t="s">
        <v>158</v>
      </c>
      <c r="I216" s="542"/>
      <c r="J216" s="545"/>
      <c r="K216" s="527"/>
      <c r="L216" s="528"/>
      <c r="M216" s="528"/>
      <c r="N216" s="528"/>
      <c r="O216" s="528"/>
      <c r="P216" s="528"/>
      <c r="Q216" s="529"/>
      <c r="R216" s="216"/>
      <c r="S216" s="216"/>
      <c r="T216" s="546" t="s">
        <v>156</v>
      </c>
      <c r="U216" s="546"/>
      <c r="V216" s="547"/>
      <c r="W216" s="541">
        <v>3</v>
      </c>
      <c r="X216" s="542"/>
      <c r="Y216" s="543"/>
      <c r="Z216" s="544" t="s">
        <v>157</v>
      </c>
      <c r="AA216" s="542"/>
      <c r="AB216" s="543"/>
      <c r="AC216" s="544" t="s">
        <v>158</v>
      </c>
      <c r="AD216" s="542"/>
      <c r="AE216" s="545"/>
      <c r="AF216" s="535"/>
      <c r="AG216" s="536"/>
      <c r="AH216" s="536"/>
      <c r="AI216" s="536"/>
      <c r="AJ216" s="537"/>
      <c r="AW216" s="274"/>
      <c r="AX216" s="186"/>
      <c r="AY216" s="186"/>
      <c r="AZ216" s="186"/>
      <c r="BA216" s="186"/>
    </row>
    <row r="217" spans="1:53" ht="13.5" thickBot="1" x14ac:dyDescent="0.25">
      <c r="A217" s="138"/>
      <c r="B217" s="548" t="s">
        <v>68</v>
      </c>
      <c r="C217" s="446"/>
      <c r="D217" s="447"/>
      <c r="E217" s="445" t="s">
        <v>159</v>
      </c>
      <c r="F217" s="446"/>
      <c r="G217" s="447"/>
      <c r="H217" s="445" t="s">
        <v>160</v>
      </c>
      <c r="I217" s="446"/>
      <c r="J217" s="549"/>
      <c r="K217" s="530"/>
      <c r="L217" s="531"/>
      <c r="M217" s="531"/>
      <c r="N217" s="531"/>
      <c r="O217" s="531"/>
      <c r="P217" s="531"/>
      <c r="Q217" s="532"/>
      <c r="R217" s="216"/>
      <c r="S217" s="216"/>
      <c r="T217" s="550"/>
      <c r="U217" s="550"/>
      <c r="V217" s="551"/>
      <c r="W217" s="548" t="s">
        <v>68</v>
      </c>
      <c r="X217" s="446"/>
      <c r="Y217" s="447"/>
      <c r="Z217" s="445" t="s">
        <v>159</v>
      </c>
      <c r="AA217" s="446"/>
      <c r="AB217" s="447"/>
      <c r="AC217" s="445" t="s">
        <v>160</v>
      </c>
      <c r="AD217" s="446"/>
      <c r="AE217" s="549"/>
      <c r="AF217" s="538"/>
      <c r="AG217" s="539"/>
      <c r="AH217" s="539"/>
      <c r="AI217" s="539"/>
      <c r="AJ217" s="540"/>
      <c r="AW217" s="274"/>
      <c r="AX217" s="186"/>
      <c r="AY217" s="186"/>
      <c r="AZ217" s="186"/>
      <c r="BA217" s="186"/>
    </row>
    <row r="218" spans="1:53" ht="13.5" thickBot="1" x14ac:dyDescent="0.25">
      <c r="A218" s="138"/>
      <c r="B218" s="241">
        <v>1</v>
      </c>
      <c r="C218" s="242" t="s">
        <v>76</v>
      </c>
      <c r="D218" s="243">
        <v>4</v>
      </c>
      <c r="E218" s="244">
        <v>2</v>
      </c>
      <c r="F218" s="242" t="s">
        <v>76</v>
      </c>
      <c r="G218" s="243">
        <v>3</v>
      </c>
      <c r="H218" s="245">
        <f>IF(OR(AND(OR(B222&gt;0,D222&gt;0),B222&gt;D222),OR(D218="b",D218="B")),B218,IF(OR(AND(OR(B222&gt;0,D222&gt;0),D222&gt;B222),OR(B218="b",B218="B")),D218,"W1"))</f>
        <v>1</v>
      </c>
      <c r="I218" s="246" t="s">
        <v>76</v>
      </c>
      <c r="J218" s="247">
        <f>IF(OR(AND(OR(E222&gt;0,G222&gt;0),E222&gt;G222),OR(G218="b",G218="B")),E218,IF(OR(AND(OR(E222&gt;0,G222&gt;0),G222&gt;E222),OR(E218="b",E218="B")),G218,"W2"))</f>
        <v>3</v>
      </c>
      <c r="K218" s="552" t="s">
        <v>161</v>
      </c>
      <c r="L218" s="553"/>
      <c r="M218" s="553"/>
      <c r="N218" s="554"/>
      <c r="R218" s="216"/>
      <c r="S218" s="216"/>
      <c r="T218" s="550"/>
      <c r="U218" s="550"/>
      <c r="V218" s="551"/>
      <c r="W218" s="241">
        <v>1</v>
      </c>
      <c r="X218" s="242" t="s">
        <v>76</v>
      </c>
      <c r="Y218" s="243">
        <v>4</v>
      </c>
      <c r="Z218" s="244">
        <v>2</v>
      </c>
      <c r="AA218" s="242" t="s">
        <v>76</v>
      </c>
      <c r="AB218" s="243">
        <v>3</v>
      </c>
      <c r="AC218" s="245">
        <f>IF(OR(AND(OR(W222&gt;0,Y222&gt;0),W222&gt;Y222),OR(Y218="b",Y218="B")),W218,IF(OR(AND(OR(W222&gt;0,Y222&gt;0),Y222&gt;W222),OR(W218="b",W218="B")),Y218,"W1"))</f>
        <v>4</v>
      </c>
      <c r="AD218" s="246" t="s">
        <v>76</v>
      </c>
      <c r="AE218" s="247">
        <f>IF(OR(AND(OR(Z222&gt;0,AB222&gt;0),Z222&gt;AB222),OR(AB222="b",AB222="B")),Z218,IF(OR(AND(OR(Z222&gt;0,AB222&gt;0),AB222&gt;Z222),OR(Z222="b",Z222="B")),AB218,"W2"))</f>
        <v>3</v>
      </c>
      <c r="AF218" s="552" t="s">
        <v>161</v>
      </c>
      <c r="AG218" s="554"/>
      <c r="AH218" s="216"/>
      <c r="AI218" s="216"/>
      <c r="AJ218" s="216"/>
      <c r="AW218" s="274"/>
      <c r="AX218" s="186"/>
      <c r="AY218" s="186"/>
      <c r="AZ218" s="186"/>
      <c r="BA218" s="186"/>
    </row>
    <row r="219" spans="1:53" ht="13.5" hidden="1" customHeight="1" x14ac:dyDescent="0.2">
      <c r="A219" s="138"/>
      <c r="B219" s="255">
        <f>IF(B223&gt;D223,1,0)</f>
        <v>1</v>
      </c>
      <c r="C219" s="256"/>
      <c r="D219" s="257">
        <f>IF(D223&gt;B223,1,0)</f>
        <v>0</v>
      </c>
      <c r="E219" s="255">
        <f>IF(E223&gt;G223,1,0)</f>
        <v>1</v>
      </c>
      <c r="F219" s="256"/>
      <c r="G219" s="257">
        <f>IF(G223&gt;E223,1,0)</f>
        <v>0</v>
      </c>
      <c r="H219" s="255">
        <f>IF(H223&gt;J223,1,0)</f>
        <v>0</v>
      </c>
      <c r="I219" s="256"/>
      <c r="J219" s="257">
        <f>IF(J223&gt;H223,1,0)</f>
        <v>1</v>
      </c>
      <c r="K219" s="258"/>
      <c r="L219" s="259"/>
      <c r="M219" s="259"/>
      <c r="N219" s="260"/>
      <c r="R219" s="216"/>
      <c r="S219" s="216"/>
      <c r="T219" s="550"/>
      <c r="U219" s="550"/>
      <c r="V219" s="551"/>
      <c r="W219" s="255">
        <f>IF(W223&gt;Y223,1,0)</f>
        <v>0</v>
      </c>
      <c r="X219" s="256"/>
      <c r="Y219" s="257">
        <f>IF(Y223&gt;W223,1,0)</f>
        <v>1</v>
      </c>
      <c r="Z219" s="255">
        <f>IF(Z223&gt;AB223,1,0)</f>
        <v>0</v>
      </c>
      <c r="AA219" s="256"/>
      <c r="AB219" s="257">
        <f>IF(AB223&gt;Z223,1,0)</f>
        <v>1</v>
      </c>
      <c r="AC219" s="255">
        <f>IF(AC223&gt;AE223,1,0)</f>
        <v>1</v>
      </c>
      <c r="AD219" s="256"/>
      <c r="AE219" s="257">
        <f>IF(AE223&gt;AC223,1,0)</f>
        <v>0</v>
      </c>
      <c r="AF219" s="285"/>
      <c r="AG219" s="284"/>
      <c r="AH219" s="216"/>
      <c r="AI219" s="216"/>
      <c r="AJ219" s="216"/>
      <c r="AW219" s="274"/>
      <c r="AX219" s="186"/>
      <c r="AY219" s="186"/>
      <c r="AZ219" s="186"/>
      <c r="BA219" s="186"/>
    </row>
    <row r="220" spans="1:53" ht="13.5" hidden="1" customHeight="1" x14ac:dyDescent="0.2">
      <c r="A220" s="138"/>
      <c r="B220" s="255">
        <f>IF(B224&gt;D224,1,0)</f>
        <v>1</v>
      </c>
      <c r="C220" s="256"/>
      <c r="D220" s="257">
        <f>IF(D224&gt;B224,1,0)</f>
        <v>0</v>
      </c>
      <c r="E220" s="255">
        <f>IF(E224&gt;G224,1,0)</f>
        <v>0</v>
      </c>
      <c r="F220" s="256"/>
      <c r="G220" s="257">
        <f>IF(G224&gt;E224,1,0)</f>
        <v>1</v>
      </c>
      <c r="H220" s="255">
        <f>IF(H224&gt;J224,1,0)</f>
        <v>0</v>
      </c>
      <c r="I220" s="256"/>
      <c r="J220" s="257">
        <f>IF(J224&gt;H224,1,0)</f>
        <v>1</v>
      </c>
      <c r="K220" s="258"/>
      <c r="L220" s="259"/>
      <c r="M220" s="259"/>
      <c r="N220" s="260"/>
      <c r="R220" s="216"/>
      <c r="S220" s="216"/>
      <c r="T220" s="550"/>
      <c r="U220" s="550"/>
      <c r="V220" s="551"/>
      <c r="W220" s="255">
        <f>IF(W224&gt;Y224,1,0)</f>
        <v>0</v>
      </c>
      <c r="X220" s="256"/>
      <c r="Y220" s="257">
        <f>IF(Y224&gt;W224,1,0)</f>
        <v>1</v>
      </c>
      <c r="Z220" s="255">
        <f>IF(Z224&gt;AB224,1,0)</f>
        <v>1</v>
      </c>
      <c r="AA220" s="256"/>
      <c r="AB220" s="257">
        <f>IF(AB224&gt;Z224,1,0)</f>
        <v>0</v>
      </c>
      <c r="AC220" s="255">
        <f>IF(AC224&gt;AE224,1,0)</f>
        <v>1</v>
      </c>
      <c r="AD220" s="256"/>
      <c r="AE220" s="257">
        <f>IF(AE224&gt;AC224,1,0)</f>
        <v>0</v>
      </c>
      <c r="AF220" s="285"/>
      <c r="AG220" s="284"/>
      <c r="AH220" s="216"/>
      <c r="AI220" s="216"/>
      <c r="AJ220" s="216"/>
      <c r="AW220" s="274"/>
      <c r="AX220" s="186"/>
      <c r="AY220" s="186"/>
      <c r="AZ220" s="186"/>
      <c r="BA220" s="186"/>
    </row>
    <row r="221" spans="1:53" ht="13.5" hidden="1" customHeight="1" thickBot="1" x14ac:dyDescent="0.25">
      <c r="A221" s="138"/>
      <c r="B221" s="255">
        <f>IF(B225&gt;D225,1,0)</f>
        <v>0</v>
      </c>
      <c r="C221" s="256"/>
      <c r="D221" s="257">
        <f>IF(D225&gt;B225,1,0)</f>
        <v>0</v>
      </c>
      <c r="E221" s="255">
        <f>IF(E225&gt;G225,1,0)</f>
        <v>0</v>
      </c>
      <c r="F221" s="256"/>
      <c r="G221" s="257">
        <f>IF(G225&gt;E225,1,0)</f>
        <v>1</v>
      </c>
      <c r="H221" s="255">
        <f>IF(H225&gt;J225,1,0)</f>
        <v>0</v>
      </c>
      <c r="I221" s="256"/>
      <c r="J221" s="257">
        <f>IF(J225&gt;H225,1,0)</f>
        <v>0</v>
      </c>
      <c r="K221" s="258"/>
      <c r="L221" s="259"/>
      <c r="M221" s="259"/>
      <c r="N221" s="260"/>
      <c r="R221" s="216"/>
      <c r="S221" s="216"/>
      <c r="T221" s="550"/>
      <c r="U221" s="550"/>
      <c r="V221" s="551"/>
      <c r="W221" s="255">
        <f>IF(W225&gt;Y225,1,0)</f>
        <v>0</v>
      </c>
      <c r="X221" s="256"/>
      <c r="Y221" s="257">
        <f>IF(Y225&gt;W225,1,0)</f>
        <v>0</v>
      </c>
      <c r="Z221" s="255">
        <f>IF(Z225&gt;AB225,1,0)</f>
        <v>0</v>
      </c>
      <c r="AA221" s="256"/>
      <c r="AB221" s="257">
        <f>IF(AB225&gt;Z225,1,0)</f>
        <v>1</v>
      </c>
      <c r="AC221" s="255">
        <f>IF(AC225&gt;AE225,1,0)</f>
        <v>0</v>
      </c>
      <c r="AD221" s="256"/>
      <c r="AE221" s="257">
        <f>IF(AE225&gt;AC225,1,0)</f>
        <v>0</v>
      </c>
      <c r="AF221" s="285"/>
      <c r="AG221" s="284"/>
      <c r="AH221" s="216"/>
      <c r="AI221" s="216"/>
      <c r="AJ221" s="216"/>
      <c r="AW221" s="274"/>
      <c r="AX221" s="186"/>
      <c r="AY221" s="186"/>
      <c r="AZ221" s="186"/>
      <c r="BA221" s="186"/>
    </row>
    <row r="222" spans="1:53" ht="13.5" hidden="1" customHeight="1" x14ac:dyDescent="0.2">
      <c r="A222" s="138"/>
      <c r="B222" s="255">
        <f>SUM(B219:B221)</f>
        <v>2</v>
      </c>
      <c r="C222" s="256"/>
      <c r="D222" s="255">
        <f>SUM(D219:D221)</f>
        <v>0</v>
      </c>
      <c r="E222" s="255">
        <f>SUM(E219:E221)</f>
        <v>1</v>
      </c>
      <c r="F222" s="256"/>
      <c r="G222" s="255">
        <f>SUM(G219:G221)</f>
        <v>2</v>
      </c>
      <c r="H222" s="255">
        <f>SUM(H219:H221)</f>
        <v>0</v>
      </c>
      <c r="I222" s="256"/>
      <c r="J222" s="255">
        <f>SUM(J219:J221)</f>
        <v>2</v>
      </c>
      <c r="K222" s="258"/>
      <c r="L222" s="259"/>
      <c r="M222" s="259"/>
      <c r="N222" s="260"/>
      <c r="R222" s="216"/>
      <c r="S222" s="216"/>
      <c r="T222" s="550"/>
      <c r="U222" s="550"/>
      <c r="V222" s="551"/>
      <c r="W222" s="255">
        <f>SUM(W219:W221)</f>
        <v>0</v>
      </c>
      <c r="X222" s="256"/>
      <c r="Y222" s="255">
        <f>SUM(Y219:Y221)</f>
        <v>2</v>
      </c>
      <c r="Z222" s="255">
        <f>SUM(Z219:Z221)</f>
        <v>1</v>
      </c>
      <c r="AA222" s="256"/>
      <c r="AB222" s="255">
        <f>SUM(AB219:AB221)</f>
        <v>2</v>
      </c>
      <c r="AC222" s="255">
        <f>SUM(AC219:AC221)</f>
        <v>2</v>
      </c>
      <c r="AD222" s="256"/>
      <c r="AE222" s="255">
        <f>SUM(AE219:AE221)</f>
        <v>0</v>
      </c>
      <c r="AF222" s="285"/>
      <c r="AG222" s="284"/>
      <c r="AH222" s="216"/>
      <c r="AI222" s="216"/>
      <c r="AJ222" s="216"/>
      <c r="AW222" s="274"/>
      <c r="AX222" s="186"/>
      <c r="AY222" s="186"/>
      <c r="AZ222" s="186"/>
      <c r="BA222" s="186"/>
    </row>
    <row r="223" spans="1:53" ht="12.75" customHeight="1" x14ac:dyDescent="0.2">
      <c r="A223" s="136" t="s">
        <v>77</v>
      </c>
      <c r="B223" s="261">
        <v>25</v>
      </c>
      <c r="C223" s="182" t="s">
        <v>78</v>
      </c>
      <c r="D223" s="262">
        <v>14</v>
      </c>
      <c r="E223" s="263">
        <v>25</v>
      </c>
      <c r="F223" s="182" t="s">
        <v>78</v>
      </c>
      <c r="G223" s="262">
        <v>10</v>
      </c>
      <c r="H223" s="263">
        <v>18</v>
      </c>
      <c r="I223" s="182" t="s">
        <v>78</v>
      </c>
      <c r="J223" s="264">
        <v>25</v>
      </c>
      <c r="K223" s="557">
        <f>IF(AND(OR(H222&gt;0,J222&gt;0),AND(1&lt;=H218,H218&lt;=4),AND(1&lt;=J218,J218&lt;=4)),IF(H222&gt;J222,H218,IF(J222&gt;H222,J218,"")),"")</f>
        <v>3</v>
      </c>
      <c r="L223" s="558"/>
      <c r="M223" s="558"/>
      <c r="N223" s="559"/>
      <c r="R223" s="216"/>
      <c r="S223" s="216"/>
      <c r="T223" s="217"/>
      <c r="U223" s="217"/>
      <c r="V223" s="136" t="s">
        <v>77</v>
      </c>
      <c r="W223" s="261">
        <v>22</v>
      </c>
      <c r="X223" s="182" t="s">
        <v>78</v>
      </c>
      <c r="Y223" s="262">
        <v>25</v>
      </c>
      <c r="Z223" s="263">
        <v>18</v>
      </c>
      <c r="AA223" s="182" t="s">
        <v>78</v>
      </c>
      <c r="AB223" s="262">
        <v>25</v>
      </c>
      <c r="AC223" s="263">
        <v>25</v>
      </c>
      <c r="AD223" s="182" t="s">
        <v>78</v>
      </c>
      <c r="AE223" s="264">
        <v>23</v>
      </c>
      <c r="AF223" s="557">
        <f>IF(AND(OR(AC222&gt;0,AE222&gt;0),AND(1&lt;=AC218,AC218&lt;=4),AND(1&lt;=AE218,AE218&lt;=4)),IF(AC222&gt;AE222,AC218,IF(AE222&gt;AC222,AE218,"")),"")</f>
        <v>4</v>
      </c>
      <c r="AG223" s="559"/>
      <c r="AH223" s="216"/>
      <c r="AI223" s="216"/>
      <c r="AJ223" s="216"/>
      <c r="AW223" s="274"/>
      <c r="AX223" s="186"/>
      <c r="AY223" s="186"/>
      <c r="AZ223" s="186"/>
      <c r="BA223" s="186"/>
    </row>
    <row r="224" spans="1:53" ht="12.75" customHeight="1" x14ac:dyDescent="0.2">
      <c r="A224" s="136" t="s">
        <v>162</v>
      </c>
      <c r="B224" s="261">
        <v>25</v>
      </c>
      <c r="C224" s="182" t="s">
        <v>78</v>
      </c>
      <c r="D224" s="262">
        <v>22</v>
      </c>
      <c r="E224" s="263">
        <v>22</v>
      </c>
      <c r="F224" s="182" t="s">
        <v>78</v>
      </c>
      <c r="G224" s="262">
        <v>25</v>
      </c>
      <c r="H224" s="263">
        <v>21</v>
      </c>
      <c r="I224" s="182" t="s">
        <v>78</v>
      </c>
      <c r="J224" s="264">
        <v>25</v>
      </c>
      <c r="K224" s="560"/>
      <c r="L224" s="561"/>
      <c r="M224" s="561"/>
      <c r="N224" s="562"/>
      <c r="R224" s="216"/>
      <c r="S224" s="216"/>
      <c r="T224" s="217"/>
      <c r="U224" s="217"/>
      <c r="V224" s="136" t="s">
        <v>162</v>
      </c>
      <c r="W224" s="261">
        <v>17</v>
      </c>
      <c r="X224" s="182" t="s">
        <v>78</v>
      </c>
      <c r="Y224" s="262">
        <v>25</v>
      </c>
      <c r="Z224" s="263">
        <v>25</v>
      </c>
      <c r="AA224" s="182" t="s">
        <v>78</v>
      </c>
      <c r="AB224" s="262">
        <v>15</v>
      </c>
      <c r="AC224" s="263">
        <v>25</v>
      </c>
      <c r="AD224" s="182" t="s">
        <v>78</v>
      </c>
      <c r="AE224" s="264">
        <v>20</v>
      </c>
      <c r="AF224" s="560"/>
      <c r="AG224" s="562"/>
      <c r="AH224" s="216"/>
      <c r="AI224" s="216"/>
      <c r="AJ224" s="216"/>
      <c r="AW224" s="274"/>
      <c r="AX224" s="186"/>
      <c r="AY224" s="186"/>
      <c r="AZ224" s="186"/>
      <c r="BA224" s="186"/>
    </row>
    <row r="225" spans="1:77" ht="13.5" customHeight="1" thickBot="1" x14ac:dyDescent="0.25">
      <c r="A225" s="136" t="s">
        <v>163</v>
      </c>
      <c r="B225" s="269"/>
      <c r="C225" s="270" t="s">
        <v>78</v>
      </c>
      <c r="D225" s="271"/>
      <c r="E225" s="272">
        <v>7</v>
      </c>
      <c r="F225" s="270" t="s">
        <v>78</v>
      </c>
      <c r="G225" s="271">
        <v>15</v>
      </c>
      <c r="H225" s="272"/>
      <c r="I225" s="270" t="s">
        <v>78</v>
      </c>
      <c r="J225" s="273"/>
      <c r="K225" s="563"/>
      <c r="L225" s="564"/>
      <c r="M225" s="564"/>
      <c r="N225" s="565"/>
      <c r="R225" s="216"/>
      <c r="S225" s="216"/>
      <c r="T225" s="217"/>
      <c r="U225" s="217"/>
      <c r="V225" s="136" t="s">
        <v>163</v>
      </c>
      <c r="W225" s="269"/>
      <c r="X225" s="270" t="s">
        <v>78</v>
      </c>
      <c r="Y225" s="271"/>
      <c r="Z225" s="272">
        <v>14</v>
      </c>
      <c r="AA225" s="270" t="s">
        <v>78</v>
      </c>
      <c r="AB225" s="271">
        <v>16</v>
      </c>
      <c r="AC225" s="272"/>
      <c r="AD225" s="270" t="s">
        <v>78</v>
      </c>
      <c r="AE225" s="273"/>
      <c r="AF225" s="563"/>
      <c r="AG225" s="565"/>
      <c r="AH225" s="216"/>
      <c r="AI225" s="216"/>
      <c r="AJ225" s="216"/>
      <c r="AW225" s="274"/>
      <c r="AX225" s="186"/>
      <c r="AY225" s="186"/>
      <c r="AZ225" s="186"/>
      <c r="BA225" s="186"/>
    </row>
    <row r="226" spans="1:77" hidden="1" x14ac:dyDescent="0.2">
      <c r="B226" s="133"/>
      <c r="C226" s="221" t="s">
        <v>112</v>
      </c>
      <c r="D226" s="133" t="s">
        <v>164</v>
      </c>
      <c r="E226" s="133"/>
      <c r="F226" s="221"/>
      <c r="G226" s="134" t="s">
        <v>165</v>
      </c>
      <c r="J226" s="134" t="s">
        <v>166</v>
      </c>
      <c r="W226" s="133"/>
      <c r="X226" s="221" t="s">
        <v>112</v>
      </c>
      <c r="Y226" s="133" t="s">
        <v>164</v>
      </c>
      <c r="Z226" s="133"/>
      <c r="AA226" s="221"/>
      <c r="AB226" s="134" t="s">
        <v>165</v>
      </c>
      <c r="AE226" s="134" t="s">
        <v>166</v>
      </c>
      <c r="AT226" s="134" t="str">
        <f>B227</f>
        <v>PRV - 13U Bayley</v>
      </c>
      <c r="AU226" s="134">
        <f>J227</f>
        <v>1868.4106312164884</v>
      </c>
      <c r="AW226" s="274"/>
      <c r="AX226" s="186"/>
      <c r="AY226" s="186"/>
      <c r="AZ226" s="186"/>
      <c r="BA226" s="186"/>
      <c r="BB226" s="274"/>
      <c r="BC226" s="186"/>
      <c r="BD226" s="186"/>
      <c r="BE226" s="274"/>
      <c r="BF226" s="186"/>
      <c r="BG226" s="186"/>
      <c r="BH226" s="274"/>
      <c r="BI226" s="186"/>
      <c r="BJ226" s="186"/>
      <c r="BK226" s="274"/>
      <c r="BL226" s="186"/>
      <c r="BM226" s="186"/>
      <c r="BN226" s="274"/>
      <c r="BO226" s="186"/>
      <c r="BP226" s="186"/>
      <c r="BQ226" s="274"/>
      <c r="BR226" s="186"/>
      <c r="BS226" s="186"/>
      <c r="BT226" s="274"/>
      <c r="BU226" s="186"/>
      <c r="BV226" s="186"/>
      <c r="BW226" s="274"/>
      <c r="BX226" s="186"/>
      <c r="BY226" s="186"/>
    </row>
    <row r="227" spans="1:77" hidden="1" x14ac:dyDescent="0.2">
      <c r="A227" s="134">
        <v>1</v>
      </c>
      <c r="B227" s="134" t="str">
        <f>B210</f>
        <v>PRV - 13U Bayley</v>
      </c>
      <c r="C227" s="134">
        <f>VLOOKUP(B227,AU$2:AY$22,4,FALSE)</f>
        <v>1881.7631020478532</v>
      </c>
      <c r="D227" s="134">
        <f>IF(A227=B218,B233,IF(A227=D218,D233,C227))</f>
        <v>1891.3264102687406</v>
      </c>
      <c r="G227" s="134">
        <f>IF(A227=E218,E233,IF(A227=G218,G233,D227))</f>
        <v>1891.3264102687406</v>
      </c>
      <c r="J227" s="134">
        <f>IF(A227=H218,H233,IF(A227=J218,J233,G227))</f>
        <v>1868.4106312164884</v>
      </c>
      <c r="U227" s="283"/>
      <c r="V227" s="283">
        <v>1</v>
      </c>
      <c r="W227" s="134" t="str">
        <f>X210</f>
        <v>Branchville U14 Juniors</v>
      </c>
      <c r="X227" s="134">
        <f>VLOOKUP(W227,AU$2:AY$22,4,FALSE)</f>
        <v>1661.7005174858473</v>
      </c>
      <c r="Y227" s="134">
        <f>IF(V227=W218,W233,IF(V227=Y218,Y233,X227))</f>
        <v>1644.9049961515773</v>
      </c>
      <c r="AB227" s="134">
        <f>IF(V227=Z218,Z233,IF(V227=AB218,AB233,Y227))</f>
        <v>1644.9049961515773</v>
      </c>
      <c r="AE227" s="134">
        <f>IF(V227=AC218,AC233,IF(V227=AE218,AE233,AB227))</f>
        <v>1644.9049961515773</v>
      </c>
      <c r="AT227" s="134" t="str">
        <f>B228</f>
        <v>Vision 13 Regional Ben</v>
      </c>
      <c r="AU227" s="134">
        <f>J228</f>
        <v>1754.9535955038507</v>
      </c>
      <c r="AW227" s="274"/>
      <c r="AX227" s="186"/>
      <c r="AY227" s="186"/>
      <c r="AZ227" s="186"/>
      <c r="BA227" s="186"/>
      <c r="BB227" s="274"/>
      <c r="BC227" s="186"/>
      <c r="BD227" s="186"/>
      <c r="BE227" s="274"/>
      <c r="BF227" s="186"/>
      <c r="BG227" s="186"/>
      <c r="BH227" s="274"/>
      <c r="BI227" s="186"/>
      <c r="BJ227" s="186"/>
      <c r="BK227" s="274"/>
      <c r="BL227" s="186"/>
      <c r="BM227" s="186"/>
      <c r="BN227" s="274"/>
      <c r="BO227" s="186"/>
      <c r="BP227" s="186"/>
      <c r="BQ227" s="274"/>
      <c r="BR227" s="186"/>
      <c r="BS227" s="186"/>
      <c r="BT227" s="274"/>
      <c r="BU227" s="186"/>
      <c r="BV227" s="186"/>
      <c r="BW227" s="274"/>
      <c r="BX227" s="186"/>
      <c r="BY227" s="186"/>
    </row>
    <row r="228" spans="1:77" hidden="1" x14ac:dyDescent="0.2">
      <c r="A228" s="134">
        <v>2</v>
      </c>
      <c r="B228" s="134" t="str">
        <f>B211</f>
        <v>Vision 13 Regional Ben</v>
      </c>
      <c r="C228" s="134">
        <f>VLOOKUP(B228,AU$2:AY$22,4,FALSE)</f>
        <v>1766.1664477901725</v>
      </c>
      <c r="D228" s="134">
        <f>IF(A228=B218,B233,IF(A228=D218,D233,C228))</f>
        <v>1766.1664477901725</v>
      </c>
      <c r="G228" s="134">
        <f>IF(A228=E218,E233,IF(A228=G218,G233,D228))</f>
        <v>1754.9535955038507</v>
      </c>
      <c r="J228" s="134">
        <f>IF(A228=H218,H233,IF(A228=J218,J233,G228))</f>
        <v>1754.9535955038507</v>
      </c>
      <c r="U228" s="283"/>
      <c r="V228" s="283">
        <v>2</v>
      </c>
      <c r="W228" s="134" t="str">
        <f>X211</f>
        <v>Magnum Aiken 13 Yellow</v>
      </c>
      <c r="X228" s="134">
        <f>VLOOKUP(W228,AU$2:AY$22,4,FALSE)</f>
        <v>1623.3602621936086</v>
      </c>
      <c r="Y228" s="134">
        <f>IF(V228=W218,W233,IF(V228=Y218,Y233,X228))</f>
        <v>1623.3602621936086</v>
      </c>
      <c r="AB228" s="134">
        <f>IF(V228=Z218,Z233,IF(V228=AB218,AB233,Y228))</f>
        <v>1617.872536849952</v>
      </c>
      <c r="AE228" s="134">
        <f>IF(V228=AC218,AC233,IF(V228=AE218,AE233,AB228))</f>
        <v>1617.872536849952</v>
      </c>
      <c r="AT228" s="134" t="str">
        <f>B229</f>
        <v>Foothills 13 May</v>
      </c>
      <c r="AU228" s="134">
        <f>J229</f>
        <v>1753.5034142818647</v>
      </c>
      <c r="AW228" s="274"/>
      <c r="AX228" s="186"/>
      <c r="AY228" s="186"/>
      <c r="AZ228" s="186"/>
      <c r="BA228" s="186"/>
      <c r="BB228" s="274"/>
      <c r="BC228" s="186"/>
      <c r="BD228" s="186"/>
      <c r="BE228" s="274"/>
      <c r="BF228" s="186"/>
      <c r="BG228" s="186"/>
      <c r="BH228" s="274"/>
      <c r="BI228" s="186"/>
      <c r="BJ228" s="186"/>
      <c r="BK228" s="274"/>
      <c r="BL228" s="186"/>
      <c r="BM228" s="186"/>
      <c r="BN228" s="274"/>
      <c r="BO228" s="186"/>
      <c r="BP228" s="186"/>
      <c r="BQ228" s="274"/>
      <c r="BR228" s="186"/>
      <c r="BS228" s="186"/>
      <c r="BT228" s="274"/>
      <c r="BU228" s="186"/>
      <c r="BV228" s="186"/>
      <c r="BW228" s="274"/>
      <c r="BX228" s="186"/>
      <c r="BY228" s="186"/>
    </row>
    <row r="229" spans="1:77" hidden="1" x14ac:dyDescent="0.2">
      <c r="A229" s="134">
        <v>3</v>
      </c>
      <c r="B229" s="134" t="str">
        <f>B212</f>
        <v>Foothills 13 May</v>
      </c>
      <c r="C229" s="134">
        <f>VLOOKUP(B229,AU$2:AY$22,4,FALSE)</f>
        <v>1719.3747829432907</v>
      </c>
      <c r="D229" s="134">
        <f>IF(A229=B218,B233,IF(A229=D218,D233,C229))</f>
        <v>1719.3747829432907</v>
      </c>
      <c r="G229" s="134">
        <f>IF(A229=E218,E233,IF(A229=G218,G233,D229))</f>
        <v>1730.5876352296125</v>
      </c>
      <c r="J229" s="134">
        <f>IF(A229=H218,H233,IF(A229=J218,J233,G229))</f>
        <v>1753.5034142818647</v>
      </c>
      <c r="U229" s="283"/>
      <c r="V229" s="283">
        <v>3</v>
      </c>
      <c r="W229" s="134" t="str">
        <f>X212</f>
        <v>CSRA Heat 13 Black</v>
      </c>
      <c r="X229" s="134">
        <f>VLOOKUP(W229,AU$2:AY$22,4,FALSE)</f>
        <v>1659.8628805971612</v>
      </c>
      <c r="Y229" s="134">
        <f>IF(V229=W218,W233,IF(V229=Y218,Y233,X229))</f>
        <v>1659.8628805971612</v>
      </c>
      <c r="AB229" s="134">
        <f>IF(V229=Z218,Z233,IF(V229=AB218,AB233,Y229))</f>
        <v>1665.3506059408178</v>
      </c>
      <c r="AE229" s="134">
        <f>IF(V229=AC218,AC233,IF(V229=AE218,AE233,AB229))</f>
        <v>1649.1598067006576</v>
      </c>
      <c r="AT229" s="134" t="str">
        <f>B230</f>
        <v>Lake Murray 13 Black</v>
      </c>
      <c r="AU229" s="134">
        <f>J230</f>
        <v>1724.0595262997672</v>
      </c>
      <c r="AW229" s="274"/>
      <c r="AX229" s="186"/>
      <c r="AY229" s="186"/>
      <c r="AZ229" s="186"/>
      <c r="BA229" s="186"/>
      <c r="BB229" s="274"/>
      <c r="BC229" s="186"/>
      <c r="BD229" s="186"/>
      <c r="BE229" s="274"/>
      <c r="BF229" s="186"/>
      <c r="BG229" s="186"/>
      <c r="BH229" s="274"/>
      <c r="BI229" s="186"/>
      <c r="BJ229" s="186"/>
      <c r="BK229" s="274"/>
      <c r="BL229" s="186"/>
      <c r="BM229" s="186"/>
      <c r="BN229" s="274"/>
      <c r="BO229" s="186"/>
      <c r="BP229" s="186"/>
      <c r="BQ229" s="274"/>
      <c r="BR229" s="186"/>
      <c r="BS229" s="186"/>
      <c r="BT229" s="274"/>
      <c r="BU229" s="186"/>
      <c r="BV229" s="186"/>
      <c r="BW229" s="274"/>
      <c r="BX229" s="186"/>
      <c r="BY229" s="186"/>
    </row>
    <row r="230" spans="1:77" hidden="1" x14ac:dyDescent="0.2">
      <c r="A230" s="134">
        <v>4</v>
      </c>
      <c r="B230" s="134" t="str">
        <f>B213</f>
        <v>Lake Murray 13 Black</v>
      </c>
      <c r="C230" s="134">
        <f>VLOOKUP(B230,AU$2:AY$22,4,FALSE)</f>
        <v>1733.6228345206546</v>
      </c>
      <c r="D230" s="134">
        <f>IF(A230=B218,B233,IF(A230=D218,D233,C230))</f>
        <v>1724.0595262997672</v>
      </c>
      <c r="G230" s="134">
        <f>IF(A230=E218,E233,IF(A230=G218,G233,D230))</f>
        <v>1724.0595262997672</v>
      </c>
      <c r="J230" s="134">
        <f>IF(A230=H218,H233,IF(A230=J218,J233,G230))</f>
        <v>1724.0595262997672</v>
      </c>
      <c r="U230" s="283"/>
      <c r="V230" s="283">
        <v>4</v>
      </c>
      <c r="W230" s="134" t="str">
        <f>X213</f>
        <v>Kershaw 13 Black</v>
      </c>
      <c r="X230" s="134">
        <f>VLOOKUP(W230,AU$2:AY$22,4,FALSE)</f>
        <v>1644.4117353404943</v>
      </c>
      <c r="Y230" s="134">
        <f>IF(V230=W218,W233,IF(V230=Y218,Y233,X230))</f>
        <v>1661.2072566747643</v>
      </c>
      <c r="AB230" s="134">
        <f>IF(V230=Z218,Z233,IF(V230=AB218,AB233,Y230))</f>
        <v>1661.2072566747643</v>
      </c>
      <c r="AE230" s="134">
        <f>IF(V230=AC218,AC233,IF(V230=AE218,AE233,AB230))</f>
        <v>1677.3980559149245</v>
      </c>
      <c r="AT230" s="134" t="str">
        <f>W227</f>
        <v>Branchville U14 Juniors</v>
      </c>
      <c r="AU230" s="134">
        <f>AE227</f>
        <v>1644.9049961515773</v>
      </c>
      <c r="AW230" s="274"/>
      <c r="AX230" s="186"/>
      <c r="AY230" s="186"/>
      <c r="AZ230" s="186"/>
      <c r="BA230" s="186"/>
      <c r="BB230" s="274"/>
      <c r="BC230" s="186"/>
      <c r="BD230" s="186"/>
      <c r="BE230" s="274"/>
      <c r="BF230" s="186"/>
      <c r="BG230" s="186"/>
      <c r="BH230" s="274"/>
      <c r="BI230" s="186"/>
      <c r="BJ230" s="186"/>
      <c r="BK230" s="274"/>
      <c r="BL230" s="186"/>
      <c r="BM230" s="186"/>
      <c r="BN230" s="274"/>
      <c r="BO230" s="186"/>
      <c r="BP230" s="186"/>
      <c r="BQ230" s="274"/>
      <c r="BR230" s="186"/>
      <c r="BS230" s="186"/>
      <c r="BT230" s="274"/>
      <c r="BU230" s="186"/>
      <c r="BV230" s="186"/>
      <c r="BW230" s="274"/>
      <c r="BX230" s="186"/>
      <c r="BY230" s="186"/>
    </row>
    <row r="231" spans="1:77" hidden="1" x14ac:dyDescent="0.2">
      <c r="A231" s="134" t="s">
        <v>114</v>
      </c>
      <c r="B231" s="134">
        <f>VLOOKUP(B218,$A227:$J230,3,FALSE)</f>
        <v>1881.7631020478532</v>
      </c>
      <c r="D231" s="134">
        <f>VLOOKUP(D218,$A227:$J230,3,FALSE)</f>
        <v>1733.6228345206546</v>
      </c>
      <c r="E231" s="134">
        <f>VLOOKUP(E218,$A227:$J230,4,FALSE)</f>
        <v>1766.1664477901725</v>
      </c>
      <c r="G231" s="134">
        <f>VLOOKUP(G218,$A227:$J230,4,FALSE)</f>
        <v>1719.3747829432907</v>
      </c>
      <c r="H231" s="134">
        <f>VLOOKUP(H218,$A227:$J230,7,FALSE)</f>
        <v>1891.3264102687406</v>
      </c>
      <c r="J231" s="134">
        <f>VLOOKUP(J218,$A227:$J230,7,FALSE)</f>
        <v>1730.5876352296125</v>
      </c>
      <c r="T231" s="566" t="s">
        <v>114</v>
      </c>
      <c r="U231" s="566"/>
      <c r="V231" s="566"/>
      <c r="W231" s="134">
        <f>VLOOKUP(W218,$V227:$AE230,3,FALSE)</f>
        <v>1661.7005174858473</v>
      </c>
      <c r="Y231" s="134">
        <f>VLOOKUP(Y218,$V227:$AE230,3,FALSE)</f>
        <v>1644.4117353404943</v>
      </c>
      <c r="Z231" s="134">
        <f>VLOOKUP(Z218,$V227:$AE230,4,FALSE)</f>
        <v>1623.3602621936086</v>
      </c>
      <c r="AB231" s="134">
        <f>VLOOKUP(AB218,$V227:$AE230,4,FALSE)</f>
        <v>1659.8628805971612</v>
      </c>
      <c r="AC231" s="134">
        <f>VLOOKUP(AC218,$V227:$AE230,7,FALSE)</f>
        <v>1661.2072566747643</v>
      </c>
      <c r="AE231" s="134">
        <f>VLOOKUP(AE218,$V227:$AE230,7,FALSE)</f>
        <v>1665.3506059408178</v>
      </c>
      <c r="AT231" s="134" t="str">
        <f>W228</f>
        <v>Magnum Aiken 13 Yellow</v>
      </c>
      <c r="AU231" s="134">
        <f>AE228</f>
        <v>1617.872536849952</v>
      </c>
      <c r="AW231" s="274"/>
      <c r="AX231" s="186"/>
      <c r="AY231" s="186"/>
      <c r="AZ231" s="186"/>
      <c r="BA231" s="186"/>
      <c r="BB231" s="274"/>
      <c r="BC231" s="186"/>
      <c r="BD231" s="186"/>
      <c r="BE231" s="274"/>
      <c r="BF231" s="186"/>
      <c r="BG231" s="186"/>
      <c r="BH231" s="274"/>
      <c r="BI231" s="186"/>
      <c r="BJ231" s="186"/>
      <c r="BK231" s="274"/>
      <c r="BL231" s="186"/>
      <c r="BM231" s="186"/>
      <c r="BN231" s="274"/>
      <c r="BO231" s="186"/>
      <c r="BP231" s="186"/>
      <c r="BQ231" s="274"/>
      <c r="BR231" s="186"/>
      <c r="BS231" s="186"/>
      <c r="BT231" s="274"/>
      <c r="BU231" s="186"/>
      <c r="BV231" s="186"/>
      <c r="BW231" s="274"/>
      <c r="BX231" s="186"/>
      <c r="BY231" s="186"/>
    </row>
    <row r="232" spans="1:77" hidden="1" x14ac:dyDescent="0.2">
      <c r="A232" s="200" t="s">
        <v>115</v>
      </c>
      <c r="B232" s="200">
        <f>1/(1+(10^-((B231-D231)/400)))*(B222+D222)</f>
        <v>1.4022932361945413</v>
      </c>
      <c r="C232" s="200"/>
      <c r="D232" s="200">
        <f>1/(1+(10^-((D231-B231)/400)))*(B222+D222)</f>
        <v>0.59770676380545873</v>
      </c>
      <c r="E232" s="200">
        <f>1/(1+(10^-((E231-G231)/400)))*(E222+G222)</f>
        <v>1.7008032678951157</v>
      </c>
      <c r="G232" s="200">
        <f>1/(1+(10^-((G231-E231)/400)))*(E222+G222)</f>
        <v>1.2991967321048843</v>
      </c>
      <c r="H232" s="200">
        <f>1/(1+(10^-((H231-J231)/400)))*(H222+J222)</f>
        <v>1.4322361907657657</v>
      </c>
      <c r="J232" s="200">
        <f>1/(1+(10^-((J231-H231)/400)))*(H222+J222)</f>
        <v>0.56776380923423431</v>
      </c>
      <c r="T232" s="567" t="s">
        <v>115</v>
      </c>
      <c r="U232" s="567"/>
      <c r="V232" s="567"/>
      <c r="W232" s="200">
        <f>1/(1+(10^-((W231-Y231)/400)))*(W222+Y222)</f>
        <v>1.0497200833918754</v>
      </c>
      <c r="X232" s="200"/>
      <c r="Y232" s="200">
        <f>1/(1+(10^-((Y231-W231)/400)))*(W222+Y222)</f>
        <v>0.95027991660812472</v>
      </c>
      <c r="Z232" s="200">
        <f>1/(1+(10^-((Z231-AB231)/400)))*(Z222+AB222)</f>
        <v>1.3429828339785455</v>
      </c>
      <c r="AB232" s="200">
        <f>1/(1+(10^-((AB231-Z231)/400)))*(Z222+AB222)</f>
        <v>1.6570171660214545</v>
      </c>
      <c r="AC232" s="200">
        <f>1/(1+(10^-((AC231-AE231)/400)))*(AC222+AE222)</f>
        <v>0.9880750474899872</v>
      </c>
      <c r="AE232" s="200">
        <f>1/(1+(10^-((AE231-AC231)/400)))*(AC222+AE222)</f>
        <v>1.0119249525100127</v>
      </c>
      <c r="AT232" s="134" t="str">
        <f>W229</f>
        <v>CSRA Heat 13 Black</v>
      </c>
      <c r="AU232" s="134">
        <f>AE229</f>
        <v>1649.1598067006576</v>
      </c>
      <c r="AW232" s="274"/>
      <c r="AX232" s="186"/>
      <c r="AY232" s="186"/>
      <c r="AZ232" s="186"/>
      <c r="BA232" s="186"/>
      <c r="BB232" s="274"/>
      <c r="BC232" s="186"/>
      <c r="BD232" s="186"/>
      <c r="BE232" s="274"/>
      <c r="BF232" s="186"/>
      <c r="BG232" s="186"/>
      <c r="BH232" s="274"/>
      <c r="BI232" s="186"/>
      <c r="BJ232" s="186"/>
      <c r="BK232" s="274"/>
      <c r="BL232" s="186"/>
      <c r="BM232" s="186"/>
      <c r="BN232" s="274"/>
      <c r="BO232" s="186"/>
      <c r="BP232" s="186"/>
      <c r="BQ232" s="274"/>
      <c r="BR232" s="186"/>
      <c r="BS232" s="186"/>
      <c r="BT232" s="274"/>
      <c r="BU232" s="186"/>
      <c r="BV232" s="186"/>
      <c r="BW232" s="274"/>
      <c r="BX232" s="186"/>
      <c r="BY232" s="186"/>
    </row>
    <row r="233" spans="1:77" hidden="1" x14ac:dyDescent="0.2">
      <c r="A233" s="206" t="s">
        <v>116</v>
      </c>
      <c r="B233" s="206">
        <f>B231+(B222-B232)*$BA$2</f>
        <v>1891.3264102687406</v>
      </c>
      <c r="C233" s="206"/>
      <c r="D233" s="206">
        <f>D231+(D222-D232)*$BA$2</f>
        <v>1724.0595262997672</v>
      </c>
      <c r="E233" s="206">
        <f>E231+(E222-E232)*$BA$2</f>
        <v>1754.9535955038507</v>
      </c>
      <c r="G233" s="206">
        <f>G231+(G222-G232)*$BA$2</f>
        <v>1730.5876352296125</v>
      </c>
      <c r="H233" s="206">
        <f>H231+(H222-H232)*$BA$2</f>
        <v>1868.4106312164884</v>
      </c>
      <c r="J233" s="206">
        <f>J231+(J222-J232)*$BA$2</f>
        <v>1753.5034142818647</v>
      </c>
      <c r="T233" s="555" t="s">
        <v>116</v>
      </c>
      <c r="U233" s="555"/>
      <c r="V233" s="555"/>
      <c r="W233" s="206">
        <f>W231+(W222-W232)*$BA$2</f>
        <v>1644.9049961515773</v>
      </c>
      <c r="X233" s="206"/>
      <c r="Y233" s="206">
        <f>Y231+(Y222-Y232)*$BA$2</f>
        <v>1661.2072566747643</v>
      </c>
      <c r="Z233" s="206">
        <f>Z231+(Z222-Z232)*$BA$2</f>
        <v>1617.872536849952</v>
      </c>
      <c r="AB233" s="206">
        <f>AB231+(AB222-AB232)*$BA$2</f>
        <v>1665.3506059408178</v>
      </c>
      <c r="AC233" s="206">
        <f>AC231+(AC222-AC232)*$BA$2</f>
        <v>1677.3980559149245</v>
      </c>
      <c r="AE233" s="206">
        <f>AE231+(AE222-AE232)*$BA$2</f>
        <v>1649.1598067006576</v>
      </c>
      <c r="AT233" s="134" t="str">
        <f>W230</f>
        <v>Kershaw 13 Black</v>
      </c>
      <c r="AU233" s="134">
        <f>AE230</f>
        <v>1677.3980559149245</v>
      </c>
      <c r="AW233" s="274"/>
      <c r="AX233" s="186"/>
      <c r="AY233" s="186"/>
      <c r="AZ233" s="186"/>
      <c r="BA233" s="186"/>
      <c r="BB233" s="274"/>
      <c r="BC233" s="186"/>
      <c r="BD233" s="186"/>
      <c r="BE233" s="274"/>
      <c r="BF233" s="186"/>
      <c r="BG233" s="186"/>
      <c r="BH233" s="274"/>
      <c r="BI233" s="186"/>
      <c r="BJ233" s="186"/>
      <c r="BK233" s="274"/>
      <c r="BL233" s="186"/>
      <c r="BM233" s="186"/>
      <c r="BN233" s="274"/>
      <c r="BO233" s="186"/>
      <c r="BP233" s="186"/>
      <c r="BQ233" s="274"/>
      <c r="BR233" s="186"/>
      <c r="BS233" s="186"/>
      <c r="BT233" s="274"/>
      <c r="BU233" s="186"/>
      <c r="BV233" s="186"/>
      <c r="BW233" s="274"/>
      <c r="BX233" s="186"/>
      <c r="BY233" s="186"/>
    </row>
    <row r="234" spans="1:77" x14ac:dyDescent="0.2">
      <c r="A234" s="556" t="s">
        <v>167</v>
      </c>
      <c r="B234" s="556"/>
      <c r="C234" s="556"/>
      <c r="D234" s="556"/>
      <c r="E234" s="556"/>
      <c r="F234" s="556"/>
      <c r="G234" s="556"/>
      <c r="H234" s="556"/>
      <c r="I234" s="556"/>
      <c r="J234" s="556"/>
      <c r="K234" s="556"/>
      <c r="L234" s="556"/>
      <c r="M234" s="556"/>
      <c r="R234" s="216"/>
      <c r="S234" s="216"/>
      <c r="T234" s="217"/>
      <c r="U234" s="217"/>
      <c r="V234" s="556" t="s">
        <v>167</v>
      </c>
      <c r="W234" s="556"/>
      <c r="X234" s="556"/>
      <c r="Y234" s="556"/>
      <c r="Z234" s="556"/>
      <c r="AA234" s="556"/>
      <c r="AB234" s="556"/>
      <c r="AC234" s="556"/>
      <c r="AD234" s="556"/>
      <c r="AE234" s="556"/>
      <c r="AF234" s="556"/>
      <c r="AG234" s="556"/>
      <c r="AH234" s="216"/>
      <c r="AI234" s="216"/>
      <c r="AJ234" s="216"/>
      <c r="AW234" s="274"/>
      <c r="AX234" s="186"/>
      <c r="AY234" s="186"/>
      <c r="AZ234" s="186"/>
      <c r="BA234" s="186"/>
    </row>
    <row r="235" spans="1:77" x14ac:dyDescent="0.2">
      <c r="AT235" s="186"/>
      <c r="AU235" s="186"/>
      <c r="AV235" s="186"/>
      <c r="AW235" s="274"/>
      <c r="AX235" s="186"/>
      <c r="AY235" s="186"/>
      <c r="AZ235" s="186"/>
      <c r="BA235" s="186"/>
    </row>
    <row r="236" spans="1:77" x14ac:dyDescent="0.2">
      <c r="AT236" s="186"/>
      <c r="AU236" s="186"/>
      <c r="AV236" s="186"/>
      <c r="AW236" s="274"/>
      <c r="AX236" s="186"/>
      <c r="AY236" s="186"/>
      <c r="AZ236" s="186"/>
      <c r="BA236" s="186"/>
    </row>
    <row r="237" spans="1:77" x14ac:dyDescent="0.2">
      <c r="AT237" s="186"/>
      <c r="AU237" s="186"/>
      <c r="AV237" s="186"/>
      <c r="AW237" s="274"/>
      <c r="AX237" s="186"/>
      <c r="AY237" s="186"/>
      <c r="AZ237" s="186"/>
      <c r="BA237" s="186"/>
    </row>
    <row r="238" spans="1:77" x14ac:dyDescent="0.2">
      <c r="AT238" s="186"/>
      <c r="AU238" s="186"/>
      <c r="AV238" s="186"/>
      <c r="AW238" s="274"/>
      <c r="AX238" s="186"/>
      <c r="AY238" s="186"/>
      <c r="AZ238" s="186"/>
      <c r="BA238" s="186"/>
    </row>
    <row r="239" spans="1:77" x14ac:dyDescent="0.2">
      <c r="AT239" s="186"/>
      <c r="AU239" s="186"/>
      <c r="AV239" s="186"/>
      <c r="AW239" s="274"/>
      <c r="AX239" s="186"/>
      <c r="AY239" s="186"/>
      <c r="AZ239" s="186"/>
      <c r="BA239" s="186"/>
    </row>
    <row r="240" spans="1:77" x14ac:dyDescent="0.2">
      <c r="AT240" s="186"/>
      <c r="AU240" s="186"/>
      <c r="AV240" s="186"/>
      <c r="AW240" s="274"/>
      <c r="AX240" s="186"/>
      <c r="AY240" s="186"/>
      <c r="AZ240" s="186"/>
      <c r="BA240" s="186"/>
    </row>
    <row r="241" spans="46:53" x14ac:dyDescent="0.2">
      <c r="AT241" s="186"/>
      <c r="AU241" s="186"/>
      <c r="AV241" s="186"/>
      <c r="AW241" s="274"/>
      <c r="AX241" s="186"/>
      <c r="AY241" s="186"/>
      <c r="AZ241" s="186"/>
      <c r="BA241" s="186"/>
    </row>
    <row r="242" spans="46:53" x14ac:dyDescent="0.2">
      <c r="AT242" s="186"/>
      <c r="AU242" s="186"/>
      <c r="AV242" s="186"/>
      <c r="AW242" s="274"/>
      <c r="AX242" s="186"/>
      <c r="AY242" s="186"/>
      <c r="AZ242" s="186"/>
      <c r="BA242" s="186"/>
    </row>
    <row r="243" spans="46:53" x14ac:dyDescent="0.2">
      <c r="AT243" s="186"/>
      <c r="AU243" s="186"/>
      <c r="AV243" s="186"/>
      <c r="AW243" s="274"/>
      <c r="AX243" s="186"/>
      <c r="AY243" s="186"/>
      <c r="AZ243" s="186"/>
      <c r="BA243" s="186"/>
    </row>
    <row r="244" spans="46:53" x14ac:dyDescent="0.2">
      <c r="AT244" s="186"/>
      <c r="AU244" s="186"/>
      <c r="AV244" s="186"/>
      <c r="AW244" s="274"/>
      <c r="AX244" s="186"/>
      <c r="AY244" s="186"/>
      <c r="AZ244" s="186"/>
      <c r="BA244" s="186"/>
    </row>
    <row r="245" spans="46:53" x14ac:dyDescent="0.2">
      <c r="AT245" s="186"/>
      <c r="AU245" s="186"/>
      <c r="AV245" s="186"/>
      <c r="AW245" s="274"/>
      <c r="AX245" s="186"/>
      <c r="AY245" s="186"/>
      <c r="AZ245" s="186"/>
      <c r="BA245" s="186"/>
    </row>
    <row r="246" spans="46:53" x14ac:dyDescent="0.2">
      <c r="AT246" s="186"/>
      <c r="AU246" s="186"/>
      <c r="AV246" s="186"/>
      <c r="AW246" s="274"/>
      <c r="AX246" s="186"/>
      <c r="AY246" s="186"/>
      <c r="AZ246" s="186"/>
      <c r="BA246" s="186"/>
    </row>
    <row r="247" spans="46:53" x14ac:dyDescent="0.2">
      <c r="AT247" s="186"/>
      <c r="AU247" s="186"/>
      <c r="AV247" s="186"/>
    </row>
    <row r="248" spans="46:53" x14ac:dyDescent="0.2">
      <c r="AT248" s="186"/>
      <c r="AU248" s="186"/>
      <c r="AV248" s="186"/>
      <c r="AW248" s="197"/>
      <c r="AX248" s="193"/>
      <c r="AY248" s="193"/>
      <c r="AZ248" s="193"/>
      <c r="BA248" s="193"/>
    </row>
    <row r="249" spans="46:53" x14ac:dyDescent="0.2">
      <c r="AT249" s="186"/>
      <c r="AU249" s="186"/>
      <c r="AV249" s="186"/>
      <c r="AW249" s="197"/>
      <c r="AX249" s="193"/>
      <c r="AY249" s="193"/>
      <c r="AZ249" s="193"/>
      <c r="BA249" s="193"/>
    </row>
    <row r="250" spans="46:53" x14ac:dyDescent="0.2">
      <c r="AT250" s="186"/>
      <c r="AU250" s="186"/>
      <c r="AV250" s="186"/>
      <c r="AW250" s="197"/>
      <c r="AX250" s="193"/>
      <c r="AY250" s="193"/>
      <c r="AZ250" s="193"/>
      <c r="BA250" s="193"/>
    </row>
    <row r="251" spans="46:53" x14ac:dyDescent="0.2">
      <c r="AT251" s="186"/>
      <c r="AU251" s="186"/>
      <c r="AV251" s="186"/>
      <c r="AW251" s="197"/>
      <c r="AX251" s="193"/>
      <c r="AY251" s="193"/>
      <c r="AZ251" s="193"/>
      <c r="BA251" s="193"/>
    </row>
    <row r="252" spans="46:53" x14ac:dyDescent="0.2">
      <c r="AT252" s="186"/>
      <c r="AU252" s="186"/>
      <c r="AV252" s="186"/>
      <c r="AW252" s="197"/>
      <c r="AX252" s="193"/>
      <c r="AY252" s="193"/>
      <c r="AZ252" s="193"/>
      <c r="BA252" s="193"/>
    </row>
    <row r="253" spans="46:53" x14ac:dyDescent="0.2">
      <c r="AT253" s="186"/>
      <c r="AU253" s="186"/>
      <c r="AV253" s="186"/>
      <c r="AW253" s="197"/>
      <c r="AX253" s="193"/>
      <c r="AY253" s="193"/>
      <c r="AZ253" s="193"/>
      <c r="BA253" s="193"/>
    </row>
    <row r="254" spans="46:53" x14ac:dyDescent="0.2">
      <c r="AT254" s="186"/>
      <c r="AU254" s="186"/>
      <c r="AV254" s="186"/>
      <c r="AW254" s="197"/>
      <c r="AX254" s="193"/>
      <c r="AY254" s="193"/>
      <c r="AZ254" s="193"/>
      <c r="BA254" s="193"/>
    </row>
    <row r="255" spans="46:53" x14ac:dyDescent="0.2">
      <c r="AT255" s="186"/>
      <c r="AU255" s="186"/>
      <c r="AV255" s="186"/>
      <c r="AW255" s="197"/>
      <c r="AX255" s="193"/>
      <c r="AY255" s="193"/>
      <c r="AZ255" s="193"/>
      <c r="BA255" s="193"/>
    </row>
    <row r="256" spans="46:53" x14ac:dyDescent="0.2">
      <c r="AT256" s="186"/>
      <c r="AU256" s="186"/>
      <c r="AV256" s="186"/>
      <c r="AW256" s="204"/>
      <c r="AX256" s="203"/>
      <c r="AY256" s="203"/>
      <c r="AZ256" s="203"/>
      <c r="BA256" s="203"/>
    </row>
    <row r="257" spans="46:53" x14ac:dyDescent="0.2">
      <c r="AT257" s="186"/>
      <c r="AU257" s="186"/>
      <c r="AV257" s="186"/>
      <c r="AW257" s="210"/>
      <c r="AX257" s="209"/>
      <c r="AY257" s="209"/>
      <c r="AZ257" s="209"/>
      <c r="BA257" s="209"/>
    </row>
    <row r="258" spans="46:53" x14ac:dyDescent="0.2">
      <c r="AT258" s="186"/>
      <c r="AU258" s="186"/>
      <c r="AV258" s="186"/>
      <c r="AW258" s="210"/>
      <c r="AX258" s="209"/>
      <c r="AY258" s="209"/>
      <c r="AZ258" s="209"/>
      <c r="BA258" s="209"/>
    </row>
    <row r="259" spans="46:53" x14ac:dyDescent="0.2">
      <c r="AT259" s="186"/>
      <c r="AU259" s="186"/>
      <c r="AV259" s="186"/>
      <c r="AW259" s="197"/>
      <c r="AX259" s="193"/>
      <c r="AY259" s="193"/>
      <c r="AZ259" s="193"/>
      <c r="BA259" s="193"/>
    </row>
    <row r="260" spans="46:53" x14ac:dyDescent="0.2">
      <c r="AT260" s="193"/>
      <c r="AU260" s="193"/>
      <c r="AV260" s="193"/>
      <c r="AW260" s="197"/>
      <c r="AX260" s="193"/>
      <c r="AY260" s="193"/>
      <c r="AZ260" s="193"/>
      <c r="BA260" s="193"/>
    </row>
    <row r="261" spans="46:53" x14ac:dyDescent="0.2">
      <c r="AT261" s="193"/>
      <c r="AU261" s="193"/>
      <c r="AV261" s="193"/>
    </row>
    <row r="286" spans="46:53" x14ac:dyDescent="0.2">
      <c r="AT286" s="186"/>
      <c r="AU286" s="186"/>
      <c r="AV286" s="186"/>
      <c r="AW286" s="274"/>
      <c r="AX286" s="186"/>
      <c r="AY286" s="186"/>
      <c r="AZ286" s="186"/>
      <c r="BA286" s="186"/>
    </row>
    <row r="287" spans="46:53" x14ac:dyDescent="0.2">
      <c r="AT287" s="186"/>
      <c r="AU287" s="186"/>
      <c r="AV287" s="186"/>
      <c r="AW287" s="274"/>
      <c r="AX287" s="186"/>
      <c r="AY287" s="186"/>
      <c r="AZ287" s="186"/>
      <c r="BA287" s="186"/>
    </row>
    <row r="288" spans="46:53" x14ac:dyDescent="0.2">
      <c r="AT288" s="186"/>
      <c r="AU288" s="186"/>
      <c r="AV288" s="186"/>
      <c r="AW288" s="274"/>
      <c r="AX288" s="186"/>
      <c r="AY288" s="186"/>
      <c r="AZ288" s="186"/>
      <c r="BA288" s="186"/>
    </row>
    <row r="289" spans="46:53" x14ac:dyDescent="0.2">
      <c r="AT289" s="186"/>
      <c r="AU289" s="186"/>
      <c r="AV289" s="186"/>
      <c r="AW289" s="274"/>
      <c r="AX289" s="186"/>
      <c r="AY289" s="186"/>
      <c r="AZ289" s="186"/>
      <c r="BA289" s="186"/>
    </row>
    <row r="290" spans="46:53" x14ac:dyDescent="0.2">
      <c r="AT290" s="186"/>
      <c r="AU290" s="186"/>
      <c r="AV290" s="186"/>
      <c r="AW290" s="274"/>
      <c r="AX290" s="186"/>
      <c r="AY290" s="186"/>
      <c r="AZ290" s="186"/>
      <c r="BA290" s="186"/>
    </row>
    <row r="291" spans="46:53" x14ac:dyDescent="0.2">
      <c r="AT291" s="186"/>
      <c r="AU291" s="186"/>
      <c r="AV291" s="186"/>
      <c r="AW291" s="274"/>
      <c r="AX291" s="186"/>
      <c r="AY291" s="186"/>
      <c r="AZ291" s="186"/>
      <c r="BA291" s="186"/>
    </row>
    <row r="292" spans="46:53" x14ac:dyDescent="0.2">
      <c r="AT292" s="186"/>
      <c r="AU292" s="186"/>
      <c r="AV292" s="186"/>
      <c r="AW292" s="274"/>
      <c r="AX292" s="186"/>
      <c r="AY292" s="186"/>
      <c r="AZ292" s="186"/>
      <c r="BA292" s="186"/>
    </row>
    <row r="293" spans="46:53" x14ac:dyDescent="0.2">
      <c r="AT293" s="186"/>
      <c r="AU293" s="186"/>
      <c r="AV293" s="186"/>
      <c r="AW293" s="274"/>
      <c r="AX293" s="186"/>
      <c r="AY293" s="186"/>
      <c r="AZ293" s="186"/>
      <c r="BA293" s="186"/>
    </row>
    <row r="294" spans="46:53" x14ac:dyDescent="0.2">
      <c r="AT294" s="186"/>
      <c r="AU294" s="186"/>
      <c r="AV294" s="186"/>
      <c r="AW294" s="274"/>
      <c r="AX294" s="186"/>
      <c r="AY294" s="186"/>
      <c r="AZ294" s="186"/>
      <c r="BA294" s="186"/>
    </row>
    <row r="295" spans="46:53" x14ac:dyDescent="0.2">
      <c r="AT295" s="186"/>
      <c r="AU295" s="186"/>
      <c r="AV295" s="186"/>
      <c r="AW295" s="274"/>
      <c r="AX295" s="186"/>
      <c r="AY295" s="186"/>
      <c r="AZ295" s="186"/>
      <c r="BA295" s="186"/>
    </row>
    <row r="296" spans="46:53" x14ac:dyDescent="0.2">
      <c r="AT296" s="186"/>
      <c r="AU296" s="186"/>
      <c r="AV296" s="186"/>
      <c r="AW296" s="274"/>
      <c r="AX296" s="186"/>
      <c r="AY296" s="186"/>
      <c r="AZ296" s="186"/>
      <c r="BA296" s="186"/>
    </row>
    <row r="297" spans="46:53" x14ac:dyDescent="0.2">
      <c r="AT297" s="186"/>
      <c r="AU297" s="186"/>
      <c r="AV297" s="186"/>
      <c r="AW297" s="274"/>
      <c r="AX297" s="186"/>
      <c r="AY297" s="186"/>
      <c r="AZ297" s="186"/>
      <c r="BA297" s="186"/>
    </row>
    <row r="298" spans="46:53" x14ac:dyDescent="0.2">
      <c r="AT298" s="186"/>
      <c r="AU298" s="186"/>
      <c r="AV298" s="186"/>
      <c r="AW298" s="274"/>
      <c r="AX298" s="186"/>
      <c r="AY298" s="186"/>
      <c r="AZ298" s="186"/>
      <c r="BA298" s="186"/>
    </row>
    <row r="299" spans="46:53" x14ac:dyDescent="0.2">
      <c r="AT299" s="186"/>
      <c r="AU299" s="186"/>
      <c r="AV299" s="186"/>
      <c r="AW299" s="274"/>
      <c r="AX299" s="186"/>
      <c r="AY299" s="186"/>
      <c r="AZ299" s="186"/>
      <c r="BA299" s="186"/>
    </row>
    <row r="300" spans="46:53" x14ac:dyDescent="0.2">
      <c r="AT300" s="186"/>
      <c r="AU300" s="186"/>
      <c r="AV300" s="186"/>
      <c r="AW300" s="274"/>
      <c r="AX300" s="186"/>
      <c r="AY300" s="186"/>
      <c r="AZ300" s="186"/>
      <c r="BA300" s="186"/>
    </row>
    <row r="301" spans="46:53" x14ac:dyDescent="0.2">
      <c r="AT301" s="186"/>
      <c r="AU301" s="186"/>
      <c r="AV301" s="186"/>
      <c r="AW301" s="274"/>
      <c r="AX301" s="186"/>
      <c r="AY301" s="186"/>
      <c r="AZ301" s="186"/>
      <c r="BA301" s="186"/>
    </row>
    <row r="302" spans="46:53" x14ac:dyDescent="0.2">
      <c r="AT302" s="186"/>
      <c r="AU302" s="186"/>
      <c r="AV302" s="186"/>
      <c r="AW302" s="274"/>
      <c r="AX302" s="186"/>
      <c r="AY302" s="186"/>
      <c r="AZ302" s="186"/>
      <c r="BA302" s="186"/>
    </row>
    <row r="303" spans="46:53" x14ac:dyDescent="0.2">
      <c r="AT303" s="186"/>
      <c r="AU303" s="186"/>
      <c r="AV303" s="186"/>
      <c r="AW303" s="274"/>
      <c r="AX303" s="186"/>
      <c r="AY303" s="186"/>
      <c r="AZ303" s="186"/>
      <c r="BA303" s="186"/>
    </row>
    <row r="304" spans="46:53" x14ac:dyDescent="0.2">
      <c r="AT304" s="186"/>
      <c r="AU304" s="186"/>
      <c r="AV304" s="186"/>
      <c r="AW304" s="274"/>
      <c r="AX304" s="186"/>
      <c r="AY304" s="186"/>
      <c r="AZ304" s="186"/>
      <c r="BA304" s="186"/>
    </row>
    <row r="305" spans="46:53" x14ac:dyDescent="0.2">
      <c r="AT305" s="186"/>
      <c r="AU305" s="186"/>
      <c r="AV305" s="186"/>
      <c r="AW305" s="274"/>
      <c r="AX305" s="186"/>
      <c r="AY305" s="186"/>
      <c r="AZ305" s="186"/>
      <c r="BA305" s="186"/>
    </row>
    <row r="306" spans="46:53" x14ac:dyDescent="0.2">
      <c r="AT306" s="186"/>
      <c r="AU306" s="186"/>
      <c r="AV306" s="186"/>
      <c r="AW306" s="274"/>
      <c r="AX306" s="186"/>
      <c r="AY306" s="186"/>
      <c r="AZ306" s="186"/>
      <c r="BA306" s="186"/>
    </row>
    <row r="307" spans="46:53" x14ac:dyDescent="0.2">
      <c r="AT307" s="186"/>
      <c r="AU307" s="186"/>
      <c r="AV307" s="186"/>
      <c r="AW307" s="274"/>
      <c r="AX307" s="186"/>
      <c r="AY307" s="186"/>
      <c r="AZ307" s="186"/>
      <c r="BA307" s="186"/>
    </row>
    <row r="308" spans="46:53" x14ac:dyDescent="0.2">
      <c r="AT308" s="186"/>
      <c r="AU308" s="186"/>
      <c r="AV308" s="186"/>
      <c r="AW308" s="274"/>
      <c r="AX308" s="186"/>
      <c r="AY308" s="186"/>
      <c r="AZ308" s="186"/>
      <c r="BA308" s="186"/>
    </row>
    <row r="309" spans="46:53" x14ac:dyDescent="0.2">
      <c r="AT309" s="186"/>
      <c r="AU309" s="186"/>
      <c r="AV309" s="186"/>
      <c r="AW309" s="274"/>
      <c r="AX309" s="186"/>
      <c r="AY309" s="186"/>
      <c r="AZ309" s="186"/>
      <c r="BA309" s="186"/>
    </row>
    <row r="310" spans="46:53" x14ac:dyDescent="0.2">
      <c r="AT310" s="186"/>
      <c r="AU310" s="186"/>
      <c r="AV310" s="186"/>
      <c r="AW310" s="274"/>
      <c r="AX310" s="186"/>
      <c r="AY310" s="186"/>
      <c r="AZ310" s="186"/>
      <c r="BA310" s="186"/>
    </row>
    <row r="311" spans="46:53" x14ac:dyDescent="0.2">
      <c r="AT311" s="186"/>
      <c r="AU311" s="186"/>
      <c r="AV311" s="186"/>
      <c r="AW311" s="274"/>
      <c r="AX311" s="186"/>
      <c r="AY311" s="186"/>
      <c r="AZ311" s="186"/>
      <c r="BA311" s="186"/>
    </row>
    <row r="312" spans="46:53" x14ac:dyDescent="0.2">
      <c r="AT312" s="186"/>
      <c r="AU312" s="186"/>
      <c r="AV312" s="186"/>
      <c r="AW312" s="274"/>
      <c r="AX312" s="186"/>
      <c r="AY312" s="186"/>
      <c r="AZ312" s="186"/>
      <c r="BA312" s="186"/>
    </row>
    <row r="313" spans="46:53" x14ac:dyDescent="0.2">
      <c r="AT313" s="186"/>
      <c r="AU313" s="186"/>
      <c r="AV313" s="186"/>
      <c r="AW313" s="274"/>
      <c r="AX313" s="186"/>
      <c r="AY313" s="186"/>
      <c r="AZ313" s="186"/>
      <c r="BA313" s="186"/>
    </row>
    <row r="314" spans="46:53" x14ac:dyDescent="0.2">
      <c r="AT314" s="186"/>
      <c r="AU314" s="186"/>
      <c r="AV314" s="186"/>
      <c r="AW314" s="274"/>
      <c r="AX314" s="186"/>
      <c r="AY314" s="186"/>
      <c r="AZ314" s="186"/>
      <c r="BA314" s="186"/>
    </row>
    <row r="315" spans="46:53" x14ac:dyDescent="0.2">
      <c r="AT315" s="186"/>
      <c r="AU315" s="186"/>
      <c r="AV315" s="186"/>
      <c r="AW315" s="274"/>
      <c r="AX315" s="186"/>
      <c r="AY315" s="186"/>
      <c r="AZ315" s="186"/>
      <c r="BA315" s="186"/>
    </row>
    <row r="316" spans="46:53" x14ac:dyDescent="0.2">
      <c r="AT316" s="186"/>
      <c r="AU316" s="186"/>
      <c r="AV316" s="186"/>
      <c r="AW316" s="274"/>
      <c r="AX316" s="186"/>
      <c r="AY316" s="186"/>
      <c r="AZ316" s="186"/>
      <c r="BA316" s="186"/>
    </row>
    <row r="317" spans="46:53" x14ac:dyDescent="0.2">
      <c r="AT317" s="186"/>
      <c r="AU317" s="186"/>
      <c r="AV317" s="186"/>
      <c r="AW317" s="274"/>
      <c r="AX317" s="186"/>
      <c r="AY317" s="186"/>
      <c r="AZ317" s="186"/>
      <c r="BA317" s="186"/>
    </row>
    <row r="318" spans="46:53" x14ac:dyDescent="0.2">
      <c r="AT318" s="186"/>
      <c r="AU318" s="186"/>
      <c r="AV318" s="186"/>
      <c r="AW318" s="274"/>
      <c r="AX318" s="186"/>
      <c r="AY318" s="186"/>
      <c r="AZ318" s="186"/>
      <c r="BA318" s="186"/>
    </row>
    <row r="319" spans="46:53" x14ac:dyDescent="0.2">
      <c r="AT319" s="186"/>
      <c r="AU319" s="186"/>
      <c r="AV319" s="186"/>
      <c r="AW319" s="274"/>
      <c r="AX319" s="186"/>
      <c r="AY319" s="186"/>
      <c r="AZ319" s="186"/>
      <c r="BA319" s="186"/>
    </row>
    <row r="320" spans="46:53" x14ac:dyDescent="0.2">
      <c r="AT320" s="186"/>
      <c r="AU320" s="186"/>
      <c r="AV320" s="186"/>
      <c r="AW320" s="274"/>
      <c r="AX320" s="186"/>
      <c r="AY320" s="186"/>
      <c r="AZ320" s="186"/>
      <c r="BA320" s="186"/>
    </row>
    <row r="321" spans="46:53" x14ac:dyDescent="0.2">
      <c r="AT321" s="186"/>
      <c r="AU321" s="186"/>
      <c r="AV321" s="186"/>
      <c r="AW321" s="274"/>
      <c r="AX321" s="186"/>
      <c r="AY321" s="186"/>
      <c r="AZ321" s="186"/>
      <c r="BA321" s="186"/>
    </row>
    <row r="322" spans="46:53" x14ac:dyDescent="0.2">
      <c r="AT322" s="186"/>
      <c r="AU322" s="186"/>
      <c r="AV322" s="186"/>
      <c r="AW322" s="274"/>
      <c r="AX322" s="186"/>
      <c r="AY322" s="186"/>
      <c r="AZ322" s="186"/>
      <c r="BA322" s="186"/>
    </row>
    <row r="323" spans="46:53" x14ac:dyDescent="0.2">
      <c r="AT323" s="186"/>
      <c r="AU323" s="186"/>
      <c r="AV323" s="186"/>
      <c r="AW323" s="274"/>
      <c r="AX323" s="186"/>
      <c r="AY323" s="186"/>
      <c r="AZ323" s="186"/>
      <c r="BA323" s="186"/>
    </row>
    <row r="324" spans="46:53" x14ac:dyDescent="0.2">
      <c r="AT324" s="186"/>
      <c r="AU324" s="186"/>
      <c r="AV324" s="186"/>
      <c r="AW324" s="274"/>
      <c r="AX324" s="186"/>
      <c r="AY324" s="186"/>
      <c r="AZ324" s="186"/>
      <c r="BA324" s="186"/>
    </row>
    <row r="325" spans="46:53" x14ac:dyDescent="0.2">
      <c r="AT325" s="186"/>
      <c r="AU325" s="186"/>
      <c r="AV325" s="186"/>
      <c r="AW325" s="274"/>
      <c r="AX325" s="186"/>
      <c r="AY325" s="186"/>
      <c r="AZ325" s="186"/>
      <c r="BA325" s="186"/>
    </row>
    <row r="326" spans="46:53" x14ac:dyDescent="0.2">
      <c r="AT326" s="186"/>
      <c r="AU326" s="186"/>
      <c r="AV326" s="186"/>
      <c r="AW326" s="274"/>
      <c r="AX326" s="186"/>
      <c r="AY326" s="186"/>
      <c r="AZ326" s="186"/>
      <c r="BA326" s="186"/>
    </row>
    <row r="327" spans="46:53" x14ac:dyDescent="0.2">
      <c r="AT327" s="186"/>
      <c r="AU327" s="186"/>
      <c r="AV327" s="186"/>
      <c r="AW327" s="274"/>
      <c r="AX327" s="186"/>
      <c r="AY327" s="186"/>
      <c r="AZ327" s="186"/>
      <c r="BA327" s="186"/>
    </row>
    <row r="328" spans="46:53" x14ac:dyDescent="0.2">
      <c r="AT328" s="186"/>
      <c r="AU328" s="186"/>
      <c r="AV328" s="186"/>
      <c r="AW328" s="274"/>
      <c r="AX328" s="186"/>
      <c r="AY328" s="186"/>
      <c r="AZ328" s="186"/>
      <c r="BA328" s="186"/>
    </row>
    <row r="329" spans="46:53" x14ac:dyDescent="0.2">
      <c r="AT329" s="186"/>
      <c r="AU329" s="186"/>
      <c r="AV329" s="186"/>
      <c r="AW329" s="274"/>
      <c r="AX329" s="186"/>
      <c r="AY329" s="186"/>
      <c r="AZ329" s="186"/>
      <c r="BA329" s="186"/>
    </row>
    <row r="330" spans="46:53" x14ac:dyDescent="0.2">
      <c r="AT330" s="186"/>
      <c r="AU330" s="186"/>
      <c r="AV330" s="186"/>
      <c r="AW330" s="274"/>
      <c r="AX330" s="186"/>
      <c r="AY330" s="186"/>
      <c r="AZ330" s="186"/>
      <c r="BA330" s="186"/>
    </row>
    <row r="331" spans="46:53" x14ac:dyDescent="0.2">
      <c r="AT331" s="186"/>
      <c r="AU331" s="186"/>
      <c r="AV331" s="186"/>
      <c r="AW331" s="274"/>
      <c r="AX331" s="186"/>
      <c r="AY331" s="186"/>
      <c r="AZ331" s="186"/>
      <c r="BA331" s="186"/>
    </row>
    <row r="332" spans="46:53" x14ac:dyDescent="0.2">
      <c r="AT332" s="193"/>
      <c r="AU332" s="193"/>
      <c r="AV332" s="193"/>
    </row>
    <row r="333" spans="46:53" x14ac:dyDescent="0.2">
      <c r="AT333" s="193"/>
      <c r="AU333" s="193"/>
      <c r="AV333" s="193"/>
      <c r="AW333" s="197"/>
      <c r="AX333" s="193"/>
      <c r="AY333" s="193"/>
      <c r="AZ333" s="193"/>
      <c r="BA333" s="193"/>
    </row>
    <row r="334" spans="46:53" x14ac:dyDescent="0.2">
      <c r="AW334" s="197"/>
      <c r="AX334" s="193"/>
      <c r="AY334" s="193"/>
      <c r="AZ334" s="193"/>
      <c r="BA334" s="193"/>
    </row>
    <row r="335" spans="46:53" x14ac:dyDescent="0.2">
      <c r="AW335" s="197"/>
      <c r="AX335" s="193"/>
      <c r="AY335" s="193"/>
      <c r="AZ335" s="193"/>
      <c r="BA335" s="193"/>
    </row>
    <row r="336" spans="46:53" x14ac:dyDescent="0.2">
      <c r="AW336" s="197"/>
      <c r="AX336" s="193"/>
      <c r="AY336" s="193"/>
      <c r="AZ336" s="193"/>
      <c r="BA336" s="193"/>
    </row>
    <row r="337" spans="46:53" x14ac:dyDescent="0.2">
      <c r="AW337" s="197"/>
      <c r="AX337" s="193"/>
      <c r="AY337" s="193"/>
      <c r="AZ337" s="193"/>
      <c r="BA337" s="193"/>
    </row>
    <row r="338" spans="46:53" x14ac:dyDescent="0.2">
      <c r="AW338" s="197"/>
      <c r="AX338" s="193"/>
      <c r="AY338" s="193"/>
      <c r="AZ338" s="193"/>
      <c r="BA338" s="193"/>
    </row>
    <row r="339" spans="46:53" x14ac:dyDescent="0.2">
      <c r="AW339" s="197"/>
      <c r="AX339" s="193"/>
      <c r="AY339" s="193"/>
      <c r="AZ339" s="193"/>
      <c r="BA339" s="193"/>
    </row>
    <row r="340" spans="46:53" x14ac:dyDescent="0.2">
      <c r="AW340" s="197"/>
      <c r="AX340" s="193"/>
      <c r="AY340" s="193"/>
      <c r="AZ340" s="193"/>
      <c r="BA340" s="193"/>
    </row>
    <row r="341" spans="46:53" x14ac:dyDescent="0.2">
      <c r="AW341" s="204"/>
      <c r="AX341" s="203"/>
      <c r="AY341" s="203"/>
      <c r="AZ341" s="203"/>
      <c r="BA341" s="203"/>
    </row>
    <row r="342" spans="46:53" x14ac:dyDescent="0.2">
      <c r="AW342" s="210"/>
      <c r="AX342" s="209"/>
      <c r="AY342" s="209"/>
      <c r="AZ342" s="209"/>
      <c r="BA342" s="209"/>
    </row>
    <row r="343" spans="46:53" x14ac:dyDescent="0.2">
      <c r="AW343" s="210"/>
      <c r="AX343" s="209"/>
      <c r="AY343" s="209"/>
      <c r="AZ343" s="209"/>
      <c r="BA343" s="209"/>
    </row>
    <row r="344" spans="46:53" x14ac:dyDescent="0.2">
      <c r="AW344" s="197"/>
      <c r="AX344" s="193"/>
      <c r="AY344" s="193"/>
      <c r="AZ344" s="193"/>
      <c r="BA344" s="193"/>
    </row>
    <row r="345" spans="46:53" x14ac:dyDescent="0.2">
      <c r="AW345" s="197"/>
      <c r="AX345" s="193"/>
      <c r="AY345" s="193"/>
      <c r="AZ345" s="193"/>
      <c r="BA345" s="193"/>
    </row>
    <row r="348" spans="46:53" x14ac:dyDescent="0.2">
      <c r="AT348" s="230"/>
      <c r="AU348" s="230"/>
    </row>
    <row r="371" spans="46:53" x14ac:dyDescent="0.2">
      <c r="AW371" s="274"/>
      <c r="AX371" s="186"/>
      <c r="AY371" s="186"/>
      <c r="AZ371" s="186"/>
      <c r="BA371" s="186"/>
    </row>
    <row r="372" spans="46:53" x14ac:dyDescent="0.2">
      <c r="AW372" s="274"/>
      <c r="AX372" s="186"/>
      <c r="AY372" s="186"/>
      <c r="AZ372" s="186"/>
      <c r="BA372" s="186"/>
    </row>
    <row r="373" spans="46:53" x14ac:dyDescent="0.2">
      <c r="AW373" s="274"/>
      <c r="AX373" s="186"/>
      <c r="AY373" s="186"/>
      <c r="AZ373" s="186"/>
      <c r="BA373" s="186"/>
    </row>
    <row r="374" spans="46:53" x14ac:dyDescent="0.2">
      <c r="AW374" s="274"/>
      <c r="AX374" s="186"/>
      <c r="AY374" s="186"/>
      <c r="AZ374" s="186"/>
      <c r="BA374" s="186"/>
    </row>
    <row r="375" spans="46:53" x14ac:dyDescent="0.2">
      <c r="AW375" s="274"/>
      <c r="AX375" s="186"/>
      <c r="AY375" s="186"/>
      <c r="AZ375" s="186"/>
      <c r="BA375" s="186"/>
    </row>
    <row r="376" spans="46:53" x14ac:dyDescent="0.2">
      <c r="AW376" s="274"/>
      <c r="AX376" s="186"/>
      <c r="AY376" s="186"/>
      <c r="AZ376" s="186"/>
      <c r="BA376" s="186"/>
    </row>
    <row r="377" spans="46:53" x14ac:dyDescent="0.2">
      <c r="AW377" s="274"/>
      <c r="AX377" s="186"/>
      <c r="AY377" s="186"/>
      <c r="AZ377" s="186"/>
      <c r="BA377" s="186"/>
    </row>
    <row r="378" spans="46:53" x14ac:dyDescent="0.2">
      <c r="AW378" s="274"/>
      <c r="AX378" s="186"/>
      <c r="AY378" s="186"/>
      <c r="AZ378" s="186"/>
      <c r="BA378" s="186"/>
    </row>
    <row r="379" spans="46:53" x14ac:dyDescent="0.2">
      <c r="AW379" s="274"/>
      <c r="AX379" s="186"/>
      <c r="AY379" s="186"/>
      <c r="AZ379" s="186"/>
      <c r="BA379" s="186"/>
    </row>
    <row r="380" spans="46:53" x14ac:dyDescent="0.2">
      <c r="AW380" s="274"/>
      <c r="AX380" s="186"/>
      <c r="AY380" s="186"/>
      <c r="AZ380" s="186"/>
      <c r="BA380" s="186"/>
    </row>
    <row r="381" spans="46:53" x14ac:dyDescent="0.2">
      <c r="AW381" s="274"/>
      <c r="AX381" s="186"/>
      <c r="AY381" s="186"/>
      <c r="AZ381" s="186"/>
      <c r="BA381" s="186"/>
    </row>
    <row r="382" spans="46:53" x14ac:dyDescent="0.2">
      <c r="AW382" s="274"/>
      <c r="AX382" s="186"/>
      <c r="AY382" s="186"/>
      <c r="AZ382" s="186"/>
      <c r="BA382" s="186"/>
    </row>
    <row r="383" spans="46:53" x14ac:dyDescent="0.2">
      <c r="AW383" s="274"/>
      <c r="AX383" s="186"/>
      <c r="AY383" s="186"/>
      <c r="AZ383" s="186"/>
      <c r="BA383" s="186"/>
    </row>
    <row r="384" spans="46:53" x14ac:dyDescent="0.2">
      <c r="AT384" s="230"/>
      <c r="AU384" s="230"/>
      <c r="AW384" s="274"/>
      <c r="AX384" s="186"/>
      <c r="AY384" s="186"/>
      <c r="AZ384" s="186"/>
      <c r="BA384" s="186"/>
    </row>
    <row r="385" spans="49:53" x14ac:dyDescent="0.2">
      <c r="AW385" s="274"/>
      <c r="AX385" s="186"/>
      <c r="AY385" s="186"/>
      <c r="AZ385" s="186"/>
      <c r="BA385" s="186"/>
    </row>
    <row r="386" spans="49:53" x14ac:dyDescent="0.2">
      <c r="AW386" s="274"/>
      <c r="AX386" s="186"/>
      <c r="AY386" s="186"/>
      <c r="AZ386" s="186"/>
      <c r="BA386" s="186"/>
    </row>
    <row r="387" spans="49:53" x14ac:dyDescent="0.2">
      <c r="AW387" s="274"/>
      <c r="AX387" s="186"/>
      <c r="AY387" s="186"/>
      <c r="AZ387" s="186"/>
      <c r="BA387" s="186"/>
    </row>
    <row r="388" spans="49:53" x14ac:dyDescent="0.2">
      <c r="AW388" s="274"/>
      <c r="AX388" s="186"/>
      <c r="AY388" s="186"/>
      <c r="AZ388" s="186"/>
      <c r="BA388" s="186"/>
    </row>
    <row r="389" spans="49:53" x14ac:dyDescent="0.2">
      <c r="AW389" s="274"/>
      <c r="AX389" s="186"/>
      <c r="AY389" s="186"/>
      <c r="AZ389" s="186"/>
      <c r="BA389" s="186"/>
    </row>
    <row r="390" spans="49:53" x14ac:dyDescent="0.2">
      <c r="AW390" s="274"/>
      <c r="AX390" s="186"/>
      <c r="AY390" s="186"/>
      <c r="AZ390" s="186"/>
      <c r="BA390" s="186"/>
    </row>
    <row r="391" spans="49:53" x14ac:dyDescent="0.2">
      <c r="AW391" s="274"/>
      <c r="AX391" s="186"/>
      <c r="AY391" s="186"/>
      <c r="AZ391" s="186"/>
      <c r="BA391" s="186"/>
    </row>
    <row r="392" spans="49:53" x14ac:dyDescent="0.2">
      <c r="AW392" s="274"/>
      <c r="AX392" s="186"/>
      <c r="AY392" s="186"/>
      <c r="AZ392" s="186"/>
      <c r="BA392" s="186"/>
    </row>
    <row r="393" spans="49:53" x14ac:dyDescent="0.2">
      <c r="AW393" s="274"/>
      <c r="AX393" s="186"/>
      <c r="AY393" s="186"/>
      <c r="AZ393" s="186"/>
      <c r="BA393" s="186"/>
    </row>
    <row r="394" spans="49:53" x14ac:dyDescent="0.2">
      <c r="AW394" s="274"/>
      <c r="AX394" s="186"/>
      <c r="AY394" s="186"/>
      <c r="AZ394" s="186"/>
      <c r="BA394" s="186"/>
    </row>
    <row r="395" spans="49:53" x14ac:dyDescent="0.2">
      <c r="AW395" s="274"/>
      <c r="AX395" s="186"/>
      <c r="AY395" s="186"/>
      <c r="AZ395" s="186"/>
      <c r="BA395" s="186"/>
    </row>
    <row r="396" spans="49:53" x14ac:dyDescent="0.2">
      <c r="AW396" s="274"/>
      <c r="AX396" s="186"/>
      <c r="AY396" s="186"/>
      <c r="AZ396" s="186"/>
      <c r="BA396" s="186"/>
    </row>
    <row r="397" spans="49:53" x14ac:dyDescent="0.2">
      <c r="AW397" s="274"/>
      <c r="AX397" s="186"/>
      <c r="AY397" s="186"/>
      <c r="AZ397" s="186"/>
      <c r="BA397" s="186"/>
    </row>
    <row r="398" spans="49:53" x14ac:dyDescent="0.2">
      <c r="AW398" s="274"/>
      <c r="AX398" s="186"/>
      <c r="AY398" s="186"/>
      <c r="AZ398" s="186"/>
      <c r="BA398" s="186"/>
    </row>
    <row r="399" spans="49:53" x14ac:dyDescent="0.2">
      <c r="AW399" s="274"/>
      <c r="AX399" s="186"/>
      <c r="AY399" s="186"/>
      <c r="AZ399" s="186"/>
      <c r="BA399" s="186"/>
    </row>
    <row r="400" spans="49:53" x14ac:dyDescent="0.2">
      <c r="AW400" s="274"/>
      <c r="AX400" s="186"/>
      <c r="AY400" s="186"/>
      <c r="AZ400" s="186"/>
      <c r="BA400" s="186"/>
    </row>
    <row r="401" spans="49:53" x14ac:dyDescent="0.2">
      <c r="AW401" s="274"/>
      <c r="AX401" s="186"/>
      <c r="AY401" s="186"/>
      <c r="AZ401" s="186"/>
      <c r="BA401" s="186"/>
    </row>
    <row r="402" spans="49:53" x14ac:dyDescent="0.2">
      <c r="AW402" s="274"/>
      <c r="AX402" s="186"/>
      <c r="AY402" s="186"/>
      <c r="AZ402" s="186"/>
      <c r="BA402" s="186"/>
    </row>
    <row r="403" spans="49:53" x14ac:dyDescent="0.2">
      <c r="AW403" s="274"/>
      <c r="AX403" s="186"/>
      <c r="AY403" s="186"/>
      <c r="AZ403" s="186"/>
      <c r="BA403" s="186"/>
    </row>
    <row r="404" spans="49:53" x14ac:dyDescent="0.2">
      <c r="AW404" s="274"/>
      <c r="AX404" s="186"/>
      <c r="AY404" s="186"/>
      <c r="AZ404" s="186"/>
      <c r="BA404" s="186"/>
    </row>
    <row r="405" spans="49:53" x14ac:dyDescent="0.2">
      <c r="AW405" s="274"/>
      <c r="AX405" s="186"/>
      <c r="AY405" s="186"/>
      <c r="AZ405" s="186"/>
      <c r="BA405" s="186"/>
    </row>
    <row r="406" spans="49:53" x14ac:dyDescent="0.2">
      <c r="AW406" s="274"/>
      <c r="AX406" s="186"/>
      <c r="AY406" s="186"/>
      <c r="AZ406" s="186"/>
      <c r="BA406" s="186"/>
    </row>
    <row r="407" spans="49:53" x14ac:dyDescent="0.2">
      <c r="AW407" s="274"/>
      <c r="AX407" s="186"/>
      <c r="AY407" s="186"/>
      <c r="AZ407" s="186"/>
      <c r="BA407" s="186"/>
    </row>
    <row r="408" spans="49:53" x14ac:dyDescent="0.2">
      <c r="AW408" s="274"/>
      <c r="AX408" s="186"/>
      <c r="AY408" s="186"/>
      <c r="AZ408" s="186"/>
      <c r="BA408" s="186"/>
    </row>
    <row r="409" spans="49:53" x14ac:dyDescent="0.2">
      <c r="AW409" s="274"/>
      <c r="AX409" s="186"/>
      <c r="AY409" s="186"/>
      <c r="AZ409" s="186"/>
      <c r="BA409" s="186"/>
    </row>
    <row r="410" spans="49:53" x14ac:dyDescent="0.2">
      <c r="AW410" s="274"/>
      <c r="AX410" s="186"/>
      <c r="AY410" s="186"/>
      <c r="AZ410" s="186"/>
      <c r="BA410" s="186"/>
    </row>
    <row r="411" spans="49:53" x14ac:dyDescent="0.2">
      <c r="AW411" s="274"/>
      <c r="AX411" s="186"/>
      <c r="AY411" s="186"/>
      <c r="AZ411" s="186"/>
      <c r="BA411" s="186"/>
    </row>
    <row r="412" spans="49:53" x14ac:dyDescent="0.2">
      <c r="AW412" s="274"/>
      <c r="AX412" s="186"/>
      <c r="AY412" s="186"/>
      <c r="AZ412" s="186"/>
      <c r="BA412" s="186"/>
    </row>
    <row r="413" spans="49:53" x14ac:dyDescent="0.2">
      <c r="AW413" s="274"/>
      <c r="AX413" s="186"/>
      <c r="AY413" s="186"/>
      <c r="AZ413" s="186"/>
      <c r="BA413" s="186"/>
    </row>
    <row r="414" spans="49:53" x14ac:dyDescent="0.2">
      <c r="AW414" s="274"/>
      <c r="AX414" s="186"/>
      <c r="AY414" s="186"/>
      <c r="AZ414" s="186"/>
      <c r="BA414" s="186"/>
    </row>
    <row r="415" spans="49:53" x14ac:dyDescent="0.2">
      <c r="AW415" s="274"/>
      <c r="AX415" s="186"/>
      <c r="AY415" s="186"/>
      <c r="AZ415" s="186"/>
      <c r="BA415" s="186"/>
    </row>
    <row r="416" spans="49:53" x14ac:dyDescent="0.2">
      <c r="AW416" s="274"/>
      <c r="AX416" s="186"/>
      <c r="AY416" s="186"/>
      <c r="AZ416" s="186"/>
      <c r="BA416" s="186"/>
    </row>
    <row r="418" spans="49:53" x14ac:dyDescent="0.2">
      <c r="AW418" s="197"/>
      <c r="AX418" s="193"/>
      <c r="AY418" s="193"/>
      <c r="AZ418" s="193"/>
      <c r="BA418" s="193"/>
    </row>
    <row r="419" spans="49:53" x14ac:dyDescent="0.2">
      <c r="AW419" s="197"/>
      <c r="AX419" s="193"/>
      <c r="AY419" s="193"/>
      <c r="AZ419" s="193"/>
      <c r="BA419" s="193"/>
    </row>
    <row r="420" spans="49:53" x14ac:dyDescent="0.2">
      <c r="AW420" s="197"/>
      <c r="AX420" s="193"/>
      <c r="AY420" s="193"/>
      <c r="AZ420" s="193"/>
      <c r="BA420" s="193"/>
    </row>
    <row r="421" spans="49:53" x14ac:dyDescent="0.2">
      <c r="AW421" s="197"/>
      <c r="AX421" s="193"/>
      <c r="AY421" s="193"/>
      <c r="AZ421" s="193"/>
      <c r="BA421" s="193"/>
    </row>
    <row r="422" spans="49:53" x14ac:dyDescent="0.2">
      <c r="AW422" s="197"/>
      <c r="AX422" s="193"/>
      <c r="AY422" s="193"/>
      <c r="AZ422" s="193"/>
      <c r="BA422" s="193"/>
    </row>
    <row r="423" spans="49:53" x14ac:dyDescent="0.2">
      <c r="AW423" s="197"/>
      <c r="AX423" s="193"/>
      <c r="AY423" s="193"/>
      <c r="AZ423" s="193"/>
      <c r="BA423" s="193"/>
    </row>
    <row r="424" spans="49:53" x14ac:dyDescent="0.2">
      <c r="AW424" s="197"/>
      <c r="AX424" s="193"/>
      <c r="AY424" s="193"/>
      <c r="AZ424" s="193"/>
      <c r="BA424" s="193"/>
    </row>
    <row r="425" spans="49:53" x14ac:dyDescent="0.2">
      <c r="AW425" s="197"/>
      <c r="AX425" s="193"/>
      <c r="AY425" s="193"/>
      <c r="AZ425" s="193"/>
      <c r="BA425" s="193"/>
    </row>
    <row r="426" spans="49:53" x14ac:dyDescent="0.2">
      <c r="AW426" s="204"/>
      <c r="AX426" s="203"/>
      <c r="AY426" s="203"/>
      <c r="AZ426" s="203"/>
      <c r="BA426" s="203"/>
    </row>
    <row r="427" spans="49:53" x14ac:dyDescent="0.2">
      <c r="AW427" s="210"/>
      <c r="AX427" s="209"/>
      <c r="AY427" s="209"/>
      <c r="AZ427" s="209"/>
      <c r="BA427" s="209"/>
    </row>
    <row r="428" spans="49:53" x14ac:dyDescent="0.2">
      <c r="AW428" s="210"/>
      <c r="AX428" s="209"/>
      <c r="AY428" s="209"/>
      <c r="AZ428" s="209"/>
      <c r="BA428" s="209"/>
    </row>
    <row r="429" spans="49:53" x14ac:dyDescent="0.2">
      <c r="AW429" s="197"/>
      <c r="AX429" s="193"/>
      <c r="AY429" s="193"/>
      <c r="AZ429" s="193"/>
      <c r="BA429" s="193"/>
    </row>
    <row r="430" spans="49:53" x14ac:dyDescent="0.2">
      <c r="AW430" s="197"/>
      <c r="AX430" s="193"/>
      <c r="AY430" s="193"/>
      <c r="AZ430" s="193"/>
      <c r="BA430" s="193"/>
    </row>
    <row r="488" spans="49:49" x14ac:dyDescent="0.2">
      <c r="AW488" s="134"/>
    </row>
    <row r="489" spans="49:49" x14ac:dyDescent="0.2">
      <c r="AW489" s="134"/>
    </row>
    <row r="490" spans="49:49" x14ac:dyDescent="0.2">
      <c r="AW490" s="134"/>
    </row>
    <row r="491" spans="49:49" x14ac:dyDescent="0.2">
      <c r="AW491" s="134"/>
    </row>
    <row r="492" spans="49:49" x14ac:dyDescent="0.2">
      <c r="AW492" s="134"/>
    </row>
    <row r="493" spans="49:49" x14ac:dyDescent="0.2">
      <c r="AW493" s="134"/>
    </row>
    <row r="494" spans="49:49" x14ac:dyDescent="0.2">
      <c r="AW494" s="134"/>
    </row>
    <row r="495" spans="49:49" x14ac:dyDescent="0.2">
      <c r="AW495" s="134"/>
    </row>
    <row r="496" spans="49:49" x14ac:dyDescent="0.2">
      <c r="AW496" s="134"/>
    </row>
    <row r="542" spans="49:49" x14ac:dyDescent="0.2">
      <c r="AW542" s="134"/>
    </row>
    <row r="543" spans="49:49" x14ac:dyDescent="0.2">
      <c r="AW543" s="134"/>
    </row>
    <row r="544" spans="49:49" x14ac:dyDescent="0.2">
      <c r="AW544" s="134"/>
    </row>
    <row r="545" spans="49:49" x14ac:dyDescent="0.2">
      <c r="AW545" s="134"/>
    </row>
    <row r="546" spans="49:49" x14ac:dyDescent="0.2">
      <c r="AW546" s="134"/>
    </row>
    <row r="547" spans="49:49" x14ac:dyDescent="0.2">
      <c r="AW547" s="134"/>
    </row>
    <row r="548" spans="49:49" x14ac:dyDescent="0.2">
      <c r="AW548" s="134"/>
    </row>
    <row r="549" spans="49:49" x14ac:dyDescent="0.2">
      <c r="AW549" s="134"/>
    </row>
    <row r="550" spans="49:49" x14ac:dyDescent="0.2">
      <c r="AW550" s="134"/>
    </row>
    <row r="596" spans="49:49" x14ac:dyDescent="0.2">
      <c r="AW596" s="134"/>
    </row>
    <row r="597" spans="49:49" x14ac:dyDescent="0.2">
      <c r="AW597" s="134"/>
    </row>
    <row r="598" spans="49:49" x14ac:dyDescent="0.2">
      <c r="AW598" s="134"/>
    </row>
    <row r="599" spans="49:49" x14ac:dyDescent="0.2">
      <c r="AW599" s="134"/>
    </row>
    <row r="600" spans="49:49" x14ac:dyDescent="0.2">
      <c r="AW600" s="134"/>
    </row>
    <row r="601" spans="49:49" x14ac:dyDescent="0.2">
      <c r="AW601" s="134"/>
    </row>
    <row r="602" spans="49:49" x14ac:dyDescent="0.2">
      <c r="AW602" s="134"/>
    </row>
    <row r="603" spans="49:49" x14ac:dyDescent="0.2">
      <c r="AW603" s="134"/>
    </row>
    <row r="604" spans="49:49" x14ac:dyDescent="0.2">
      <c r="AW604" s="134"/>
    </row>
    <row r="650" spans="49:49" x14ac:dyDescent="0.2">
      <c r="AW650" s="134"/>
    </row>
    <row r="651" spans="49:49" x14ac:dyDescent="0.2">
      <c r="AW651" s="134"/>
    </row>
    <row r="652" spans="49:49" x14ac:dyDescent="0.2">
      <c r="AW652" s="134"/>
    </row>
    <row r="653" spans="49:49" x14ac:dyDescent="0.2">
      <c r="AW653" s="134"/>
    </row>
    <row r="654" spans="49:49" x14ac:dyDescent="0.2">
      <c r="AW654" s="134"/>
    </row>
    <row r="655" spans="49:49" x14ac:dyDescent="0.2">
      <c r="AW655" s="134"/>
    </row>
    <row r="656" spans="49:49" x14ac:dyDescent="0.2">
      <c r="AW656" s="134"/>
    </row>
    <row r="657" spans="49:49" x14ac:dyDescent="0.2">
      <c r="AW657" s="134"/>
    </row>
    <row r="658" spans="49:49" x14ac:dyDescent="0.2">
      <c r="AW658" s="134"/>
    </row>
  </sheetData>
  <sheetProtection sheet="1" objects="1" scenarios="1" formatCells="0" selectLockedCells="1"/>
  <mergeCells count="431">
    <mergeCell ref="A1:AI1"/>
    <mergeCell ref="AT1:AW1"/>
    <mergeCell ref="AX1:AY1"/>
    <mergeCell ref="A2:I2"/>
    <mergeCell ref="J2:X2"/>
    <mergeCell ref="Y2:AC2"/>
    <mergeCell ref="AD2:AI2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  <mergeCell ref="A8:A9"/>
    <mergeCell ref="B8:D8"/>
    <mergeCell ref="E8:K8"/>
    <mergeCell ref="L8:P9"/>
    <mergeCell ref="R8:V9"/>
    <mergeCell ref="W8:Y9"/>
    <mergeCell ref="Z8:AB9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AC8:AE9"/>
    <mergeCell ref="AF8:AF9"/>
    <mergeCell ref="AG8:AG9"/>
    <mergeCell ref="AH8:AI9"/>
    <mergeCell ref="B9:D9"/>
    <mergeCell ref="E9:K9"/>
    <mergeCell ref="Z7:AB7"/>
    <mergeCell ref="AC7:AE7"/>
    <mergeCell ref="AH7:AI7"/>
    <mergeCell ref="AH10:AI11"/>
    <mergeCell ref="B11:D11"/>
    <mergeCell ref="E11:K11"/>
    <mergeCell ref="A10:A11"/>
    <mergeCell ref="B10:D10"/>
    <mergeCell ref="E10:K10"/>
    <mergeCell ref="L10:P11"/>
    <mergeCell ref="R10:V11"/>
    <mergeCell ref="W10:Y11"/>
    <mergeCell ref="B12:D12"/>
    <mergeCell ref="E12:K12"/>
    <mergeCell ref="L12:P13"/>
    <mergeCell ref="R12:V13"/>
    <mergeCell ref="W12:Y13"/>
    <mergeCell ref="Z10:AB11"/>
    <mergeCell ref="AC10:AE11"/>
    <mergeCell ref="AF10:AF11"/>
    <mergeCell ref="AG10:AG11"/>
    <mergeCell ref="A16:A17"/>
    <mergeCell ref="B16:D16"/>
    <mergeCell ref="E16:K16"/>
    <mergeCell ref="L16:P17"/>
    <mergeCell ref="R16:V17"/>
    <mergeCell ref="W16:Y17"/>
    <mergeCell ref="AT13:AY14"/>
    <mergeCell ref="A14:A15"/>
    <mergeCell ref="B14:D14"/>
    <mergeCell ref="E14:K14"/>
    <mergeCell ref="L14:P15"/>
    <mergeCell ref="R14:V15"/>
    <mergeCell ref="W14:Y15"/>
    <mergeCell ref="Z14:AB15"/>
    <mergeCell ref="AC14:AE15"/>
    <mergeCell ref="AF14:AF15"/>
    <mergeCell ref="Z12:AB13"/>
    <mergeCell ref="AC12:AE13"/>
    <mergeCell ref="AF12:AF13"/>
    <mergeCell ref="AG12:AG13"/>
    <mergeCell ref="AH12:AI13"/>
    <mergeCell ref="B13:D13"/>
    <mergeCell ref="E13:K13"/>
    <mergeCell ref="A12:A13"/>
    <mergeCell ref="Z16:AB17"/>
    <mergeCell ref="AC16:AE17"/>
    <mergeCell ref="AF16:AF17"/>
    <mergeCell ref="AG16:AG17"/>
    <mergeCell ref="AH16:AI17"/>
    <mergeCell ref="B17:D17"/>
    <mergeCell ref="E17:K17"/>
    <mergeCell ref="AG14:AG15"/>
    <mergeCell ref="AH14:AI15"/>
    <mergeCell ref="B15:D15"/>
    <mergeCell ref="E15:K15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Z23:AB23"/>
    <mergeCell ref="AC23:AE23"/>
    <mergeCell ref="AG57:AK57"/>
    <mergeCell ref="A89:AM89"/>
    <mergeCell ref="AN89:AQ89"/>
    <mergeCell ref="A90:AQ90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C91:H91"/>
    <mergeCell ref="I91:J91"/>
    <mergeCell ref="K91:AI91"/>
    <mergeCell ref="B92:K92"/>
    <mergeCell ref="L92:P92"/>
    <mergeCell ref="Q92:Q102"/>
    <mergeCell ref="R92:V92"/>
    <mergeCell ref="W92:Y92"/>
    <mergeCell ref="Z92:AB92"/>
    <mergeCell ref="AC92:AE92"/>
    <mergeCell ref="A95:A96"/>
    <mergeCell ref="B95:D95"/>
    <mergeCell ref="E95:K95"/>
    <mergeCell ref="L95:P96"/>
    <mergeCell ref="R95:V96"/>
    <mergeCell ref="W95:Y96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F93:AF94"/>
    <mergeCell ref="Z95:AB96"/>
    <mergeCell ref="AC95:AE96"/>
    <mergeCell ref="AF95:AF96"/>
    <mergeCell ref="AG95:AG96"/>
    <mergeCell ref="AH95:AI96"/>
    <mergeCell ref="B96:D96"/>
    <mergeCell ref="E96:K96"/>
    <mergeCell ref="AG93:AG94"/>
    <mergeCell ref="AH93:AI94"/>
    <mergeCell ref="B94:D94"/>
    <mergeCell ref="E94:K94"/>
    <mergeCell ref="Z97:AB98"/>
    <mergeCell ref="AC97:AE98"/>
    <mergeCell ref="AF97:AF98"/>
    <mergeCell ref="AG97:AG98"/>
    <mergeCell ref="AH97:AI98"/>
    <mergeCell ref="B98:D98"/>
    <mergeCell ref="E98:K98"/>
    <mergeCell ref="A97:A98"/>
    <mergeCell ref="B97:D97"/>
    <mergeCell ref="E97:K97"/>
    <mergeCell ref="L97:P98"/>
    <mergeCell ref="R97:V98"/>
    <mergeCell ref="W97:Y98"/>
    <mergeCell ref="Z99:AB100"/>
    <mergeCell ref="AC99:AE100"/>
    <mergeCell ref="AF99:AF100"/>
    <mergeCell ref="AG99:AG100"/>
    <mergeCell ref="AH99:AI100"/>
    <mergeCell ref="B100:D100"/>
    <mergeCell ref="E100:K100"/>
    <mergeCell ref="A99:A100"/>
    <mergeCell ref="B99:D99"/>
    <mergeCell ref="E99:K99"/>
    <mergeCell ref="L99:P100"/>
    <mergeCell ref="R99:V100"/>
    <mergeCell ref="W99:Y100"/>
    <mergeCell ref="Z101:AB102"/>
    <mergeCell ref="AC101:AE102"/>
    <mergeCell ref="AF101:AF102"/>
    <mergeCell ref="AG101:AG102"/>
    <mergeCell ref="AH101:AI102"/>
    <mergeCell ref="B102:D102"/>
    <mergeCell ref="E102:K102"/>
    <mergeCell ref="A101:A102"/>
    <mergeCell ref="B101:D101"/>
    <mergeCell ref="E101:K101"/>
    <mergeCell ref="L101:P102"/>
    <mergeCell ref="R101:V102"/>
    <mergeCell ref="W101:Y102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W104:Y104"/>
    <mergeCell ref="Z104:AB104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Z105:AB105"/>
    <mergeCell ref="AC105:AE105"/>
    <mergeCell ref="B106:D106"/>
    <mergeCell ref="E106:G106"/>
    <mergeCell ref="H106:J106"/>
    <mergeCell ref="K106:M106"/>
    <mergeCell ref="N106:P106"/>
    <mergeCell ref="Q106:S106"/>
    <mergeCell ref="T106:V106"/>
    <mergeCell ref="W106:Y106"/>
    <mergeCell ref="Z106:AB106"/>
    <mergeCell ref="AC106:AE106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Z108:AB108"/>
    <mergeCell ref="AC108:AE108"/>
    <mergeCell ref="AG142:AK142"/>
    <mergeCell ref="A174:AM174"/>
    <mergeCell ref="AN174:AQ174"/>
    <mergeCell ref="A175:AQ175"/>
    <mergeCell ref="Z107:AB107"/>
    <mergeCell ref="AC107:AE107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A176:AQ176"/>
    <mergeCell ref="A177:A178"/>
    <mergeCell ref="B177:K177"/>
    <mergeCell ref="L177:U177"/>
    <mergeCell ref="V177:AE177"/>
    <mergeCell ref="AF177:AO177"/>
    <mergeCell ref="B178:G178"/>
    <mergeCell ref="H178:K178"/>
    <mergeCell ref="L178:Q178"/>
    <mergeCell ref="R178:U178"/>
    <mergeCell ref="V178:AA178"/>
    <mergeCell ref="AB178:AE178"/>
    <mergeCell ref="AF178:AK178"/>
    <mergeCell ref="AL178:AO178"/>
    <mergeCell ref="B179:G179"/>
    <mergeCell ref="H179:K179"/>
    <mergeCell ref="L179:Q179"/>
    <mergeCell ref="R179:U179"/>
    <mergeCell ref="V179:AA179"/>
    <mergeCell ref="AB179:AE179"/>
    <mergeCell ref="AF179:AK179"/>
    <mergeCell ref="AL179:AO179"/>
    <mergeCell ref="B180:G180"/>
    <mergeCell ref="H180:K180"/>
    <mergeCell ref="L180:Q180"/>
    <mergeCell ref="R180:U180"/>
    <mergeCell ref="V180:AA180"/>
    <mergeCell ref="AB180:AE180"/>
    <mergeCell ref="AF180:AK180"/>
    <mergeCell ref="AL180:AO180"/>
    <mergeCell ref="A190:E190"/>
    <mergeCell ref="U190:AA190"/>
    <mergeCell ref="A191:E191"/>
    <mergeCell ref="U191:AA191"/>
    <mergeCell ref="A193:E193"/>
    <mergeCell ref="F193:M193"/>
    <mergeCell ref="T193:AA193"/>
    <mergeCell ref="A182:AQ182"/>
    <mergeCell ref="A183:AQ183"/>
    <mergeCell ref="A184:AQ184"/>
    <mergeCell ref="A185:AQ185"/>
    <mergeCell ref="A186:K186"/>
    <mergeCell ref="A188:O188"/>
    <mergeCell ref="R188:AF188"/>
    <mergeCell ref="A195:E195"/>
    <mergeCell ref="U195:AA195"/>
    <mergeCell ref="A196:E196"/>
    <mergeCell ref="U196:AA196"/>
    <mergeCell ref="F197:I197"/>
    <mergeCell ref="AB197:AE197"/>
    <mergeCell ref="AB193:AH193"/>
    <mergeCell ref="A194:E194"/>
    <mergeCell ref="F194:I194"/>
    <mergeCell ref="J194:M194"/>
    <mergeCell ref="T194:Z194"/>
    <mergeCell ref="AB194:AE194"/>
    <mergeCell ref="AF194:AH194"/>
    <mergeCell ref="A200:E200"/>
    <mergeCell ref="J200:P200"/>
    <mergeCell ref="U200:AA200"/>
    <mergeCell ref="A202:D202"/>
    <mergeCell ref="F202:I202"/>
    <mergeCell ref="J202:M202"/>
    <mergeCell ref="T202:Z202"/>
    <mergeCell ref="J198:P198"/>
    <mergeCell ref="AF198:AJ198"/>
    <mergeCell ref="A199:E199"/>
    <mergeCell ref="F199:I199"/>
    <mergeCell ref="J199:P199"/>
    <mergeCell ref="U199:AA199"/>
    <mergeCell ref="AB199:AE199"/>
    <mergeCell ref="AF199:AJ199"/>
    <mergeCell ref="A204:E204"/>
    <mergeCell ref="U204:AA204"/>
    <mergeCell ref="A205:E205"/>
    <mergeCell ref="U205:AA205"/>
    <mergeCell ref="A208:J208"/>
    <mergeCell ref="U208:AF208"/>
    <mergeCell ref="AB202:AE202"/>
    <mergeCell ref="AF202:AH202"/>
    <mergeCell ref="A203:E203"/>
    <mergeCell ref="F203:M203"/>
    <mergeCell ref="T203:Z203"/>
    <mergeCell ref="AB203:AH203"/>
    <mergeCell ref="B209:J209"/>
    <mergeCell ref="K209:Q209"/>
    <mergeCell ref="U209:W209"/>
    <mergeCell ref="X209:AF209"/>
    <mergeCell ref="AG209:AM209"/>
    <mergeCell ref="B210:J210"/>
    <mergeCell ref="K210:Q210"/>
    <mergeCell ref="U210:W210"/>
    <mergeCell ref="X210:AF210"/>
    <mergeCell ref="AG210:AM210"/>
    <mergeCell ref="B211:J211"/>
    <mergeCell ref="K211:Q211"/>
    <mergeCell ref="U211:W211"/>
    <mergeCell ref="X211:AF211"/>
    <mergeCell ref="AG211:AM211"/>
    <mergeCell ref="B212:J212"/>
    <mergeCell ref="K212:Q212"/>
    <mergeCell ref="U212:W212"/>
    <mergeCell ref="X212:AF212"/>
    <mergeCell ref="AG212:AM212"/>
    <mergeCell ref="B213:J213"/>
    <mergeCell ref="K213:Q213"/>
    <mergeCell ref="U213:W213"/>
    <mergeCell ref="X213:AF213"/>
    <mergeCell ref="AG213:AM213"/>
    <mergeCell ref="B215:D215"/>
    <mergeCell ref="E215:G215"/>
    <mergeCell ref="H215:J215"/>
    <mergeCell ref="K215:Q217"/>
    <mergeCell ref="W215:Y215"/>
    <mergeCell ref="Z215:AB215"/>
    <mergeCell ref="AC215:AE215"/>
    <mergeCell ref="AF215:AJ217"/>
    <mergeCell ref="B216:D216"/>
    <mergeCell ref="E216:G216"/>
    <mergeCell ref="H216:J216"/>
    <mergeCell ref="T216:V216"/>
    <mergeCell ref="W216:Y216"/>
    <mergeCell ref="Z216:AB216"/>
    <mergeCell ref="AC216:AE216"/>
    <mergeCell ref="AC217:AE217"/>
    <mergeCell ref="K218:N218"/>
    <mergeCell ref="T218:V218"/>
    <mergeCell ref="AF218:AG218"/>
    <mergeCell ref="T219:V219"/>
    <mergeCell ref="T220:V220"/>
    <mergeCell ref="B217:D217"/>
    <mergeCell ref="E217:G217"/>
    <mergeCell ref="H217:J217"/>
    <mergeCell ref="T217:V217"/>
    <mergeCell ref="W217:Y217"/>
    <mergeCell ref="Z217:AB217"/>
    <mergeCell ref="T233:V233"/>
    <mergeCell ref="A234:M234"/>
    <mergeCell ref="V234:AG234"/>
    <mergeCell ref="T221:V221"/>
    <mergeCell ref="T222:V222"/>
    <mergeCell ref="K223:N225"/>
    <mergeCell ref="AF223:AG225"/>
    <mergeCell ref="T231:V231"/>
    <mergeCell ref="T232:V232"/>
  </mergeCells>
  <conditionalFormatting sqref="A8 A93">
    <cfRule type="expression" dxfId="2553" priority="6" stopIfTrue="1">
      <formula>IF(AK9&gt;0,0,1)</formula>
    </cfRule>
  </conditionalFormatting>
  <conditionalFormatting sqref="A10:A11 A95:A96">
    <cfRule type="expression" dxfId="2552" priority="7" stopIfTrue="1">
      <formula>IF(AK9&gt;1,0,1)</formula>
    </cfRule>
  </conditionalFormatting>
  <conditionalFormatting sqref="A12:A13 A97:A98">
    <cfRule type="expression" dxfId="2551" priority="8" stopIfTrue="1">
      <formula>IF(AK9&gt;2,0,1)</formula>
    </cfRule>
  </conditionalFormatting>
  <conditionalFormatting sqref="A14:A15 A99:A100">
    <cfRule type="expression" dxfId="2550" priority="9" stopIfTrue="1">
      <formula>IF(AK9&gt;3,0,1)</formula>
    </cfRule>
  </conditionalFormatting>
  <conditionalFormatting sqref="A16:A17 A101:A102">
    <cfRule type="expression" dxfId="2549" priority="10" stopIfTrue="1">
      <formula>IF(AK9&gt;4,0,1)</formula>
    </cfRule>
  </conditionalFormatting>
  <conditionalFormatting sqref="B8 B93">
    <cfRule type="expression" dxfId="2548" priority="11" stopIfTrue="1">
      <formula>IF(AK9&gt;0,0,1)</formula>
    </cfRule>
  </conditionalFormatting>
  <conditionalFormatting sqref="B9 B94">
    <cfRule type="expression" dxfId="2547" priority="12" stopIfTrue="1">
      <formula>IF(AK9&gt;0,0,1)</formula>
    </cfRule>
  </conditionalFormatting>
  <conditionalFormatting sqref="B10 B95">
    <cfRule type="expression" dxfId="2546" priority="13" stopIfTrue="1">
      <formula>IF(AK9&gt;1,0,1)</formula>
    </cfRule>
  </conditionalFormatting>
  <conditionalFormatting sqref="B11:D11 B96:D96">
    <cfRule type="expression" dxfId="2545" priority="14" stopIfTrue="1">
      <formula>IF(AK9&gt;1,0,1)</formula>
    </cfRule>
  </conditionalFormatting>
  <conditionalFormatting sqref="B12:D12 B97:D97">
    <cfRule type="expression" dxfId="2544" priority="15" stopIfTrue="1">
      <formula>IF(AK9&gt;2,0,1)</formula>
    </cfRule>
  </conditionalFormatting>
  <conditionalFormatting sqref="B13:D13 B98:D98">
    <cfRule type="expression" dxfId="2543" priority="16" stopIfTrue="1">
      <formula>IF(AK9&gt;2,0,1)</formula>
    </cfRule>
  </conditionalFormatting>
  <conditionalFormatting sqref="B14:D14 B99:D99">
    <cfRule type="expression" dxfId="2542" priority="17" stopIfTrue="1">
      <formula>IF(AK9&gt;3,0,1)</formula>
    </cfRule>
  </conditionalFormatting>
  <conditionalFormatting sqref="B15:D15 B100:D100">
    <cfRule type="expression" dxfId="2541" priority="18" stopIfTrue="1">
      <formula>IF(AK9&gt;3,0,1)</formula>
    </cfRule>
  </conditionalFormatting>
  <conditionalFormatting sqref="B16:D16 B101:D101">
    <cfRule type="expression" dxfId="2540" priority="19" stopIfTrue="1">
      <formula>IF(AK9&gt;4,0,1)</formula>
    </cfRule>
  </conditionalFormatting>
  <conditionalFormatting sqref="B17:D17 B102:D102">
    <cfRule type="expression" dxfId="2539" priority="20" stopIfTrue="1">
      <formula>IF(AK9&gt;4,0,1)</formula>
    </cfRule>
  </conditionalFormatting>
  <conditionalFormatting sqref="E8 E93">
    <cfRule type="expression" dxfId="2538" priority="21" stopIfTrue="1">
      <formula>IF(AK9&gt;0,0,1)</formula>
    </cfRule>
  </conditionalFormatting>
  <conditionalFormatting sqref="E9 E94">
    <cfRule type="expression" dxfId="2537" priority="22" stopIfTrue="1">
      <formula>IF(AK9&gt;0,0,1)</formula>
    </cfRule>
  </conditionalFormatting>
  <conditionalFormatting sqref="E10 E95">
    <cfRule type="expression" dxfId="2536" priority="23" stopIfTrue="1">
      <formula>IF(AK9&gt;1,0,1)</formula>
    </cfRule>
  </conditionalFormatting>
  <conditionalFormatting sqref="E11 E96">
    <cfRule type="expression" dxfId="2535" priority="24" stopIfTrue="1">
      <formula>IF(AK9&gt;1,0,1)</formula>
    </cfRule>
  </conditionalFormatting>
  <conditionalFormatting sqref="E12 E97">
    <cfRule type="expression" dxfId="2534" priority="25" stopIfTrue="1">
      <formula>IF(AK9&gt;2,0,1)</formula>
    </cfRule>
  </conditionalFormatting>
  <conditionalFormatting sqref="E13 E98">
    <cfRule type="expression" dxfId="2533" priority="26" stopIfTrue="1">
      <formula>IF(AK9&gt;2,0,1)</formula>
    </cfRule>
  </conditionalFormatting>
  <conditionalFormatting sqref="E14 E99">
    <cfRule type="expression" dxfId="2532" priority="27" stopIfTrue="1">
      <formula>IF(AK9&gt;3,0,1)</formula>
    </cfRule>
  </conditionalFormatting>
  <conditionalFormatting sqref="E15 E100">
    <cfRule type="expression" dxfId="2531" priority="28" stopIfTrue="1">
      <formula>IF(AK9&gt;3,0,1)</formula>
    </cfRule>
  </conditionalFormatting>
  <conditionalFormatting sqref="E16 E101">
    <cfRule type="expression" dxfId="2530" priority="29" stopIfTrue="1">
      <formula>IF(AK9&gt;4,0,1)</formula>
    </cfRule>
  </conditionalFormatting>
  <conditionalFormatting sqref="E17 E102">
    <cfRule type="expression" dxfId="2529" priority="30" stopIfTrue="1">
      <formula>IF(AK9&gt;4,0,1)</formula>
    </cfRule>
  </conditionalFormatting>
  <conditionalFormatting sqref="AC8 AC93">
    <cfRule type="expression" dxfId="2528" priority="31" stopIfTrue="1">
      <formula>IF(AK11=1,IF(AK9&gt;0,0,1),1)</formula>
    </cfRule>
  </conditionalFormatting>
  <conditionalFormatting sqref="AC10:AE11 AC95:AE96">
    <cfRule type="expression" dxfId="2527" priority="32" stopIfTrue="1">
      <formula>IF(AK11=1,IF(AK9&gt;1,0,1),1)</formula>
    </cfRule>
  </conditionalFormatting>
  <conditionalFormatting sqref="AC12:AE13 AC97:AE98">
    <cfRule type="expression" dxfId="2526" priority="33" stopIfTrue="1">
      <formula>IF(AK11=1,IF(AK9&gt;2,0,1),1)</formula>
    </cfRule>
  </conditionalFormatting>
  <conditionalFormatting sqref="AC14:AE15 AC99:AE100">
    <cfRule type="expression" dxfId="2525" priority="34" stopIfTrue="1">
      <formula>IF(AK11=1,IF(AK9&gt;3,0,1),1)</formula>
    </cfRule>
  </conditionalFormatting>
  <conditionalFormatting sqref="AC16:AE17 AC101:AE102">
    <cfRule type="expression" dxfId="2524" priority="35" stopIfTrue="1">
      <formula>IF(AK11=1,IF(AK9&gt;4,0,1),1)</formula>
    </cfRule>
  </conditionalFormatting>
  <conditionalFormatting sqref="AH8 AH93">
    <cfRule type="expression" dxfId="2523" priority="36" stopIfTrue="1">
      <formula>IF(AK9&gt;0,0,1)</formula>
    </cfRule>
  </conditionalFormatting>
  <conditionalFormatting sqref="AH10:AI11 AH95:AI96">
    <cfRule type="expression" dxfId="2522" priority="37" stopIfTrue="1">
      <formula>IF(AK9&gt;1,0,1)</formula>
    </cfRule>
  </conditionalFormatting>
  <conditionalFormatting sqref="AH12:AI13 AH97:AI98">
    <cfRule type="expression" dxfId="2521" priority="38" stopIfTrue="1">
      <formula>IF(AK9&gt;2,0,1)</formula>
    </cfRule>
  </conditionalFormatting>
  <conditionalFormatting sqref="AH14:AI15 AH99:AI100">
    <cfRule type="expression" dxfId="2520" priority="39" stopIfTrue="1">
      <formula>IF(AK9&gt;3,0,1)</formula>
    </cfRule>
  </conditionalFormatting>
  <conditionalFormatting sqref="AH16:AI17 AH101:AI102">
    <cfRule type="expression" dxfId="2519" priority="40" stopIfTrue="1">
      <formula>IF(AK9&gt;4,0,1)</formula>
    </cfRule>
  </conditionalFormatting>
  <conditionalFormatting sqref="B19:D19 B104:D104">
    <cfRule type="expression" dxfId="2518" priority="41" stopIfTrue="1">
      <formula>IF(AK8&gt;0,0,1)</formula>
    </cfRule>
  </conditionalFormatting>
  <conditionalFormatting sqref="E19:G19 E104:G104">
    <cfRule type="expression" dxfId="2517" priority="42" stopIfTrue="1">
      <formula>IF(AK8&gt;1,0,1)</formula>
    </cfRule>
  </conditionalFormatting>
  <conditionalFormatting sqref="H19:J19 H104:J104">
    <cfRule type="expression" dxfId="2516" priority="43" stopIfTrue="1">
      <formula>IF(AK8&gt;2,0,1)</formula>
    </cfRule>
  </conditionalFormatting>
  <conditionalFormatting sqref="K19:M19 K104:M104">
    <cfRule type="expression" dxfId="2515" priority="44" stopIfTrue="1">
      <formula>IF(AK8&gt;3,0,1)</formula>
    </cfRule>
  </conditionalFormatting>
  <conditionalFormatting sqref="N19:P19 N104:P104">
    <cfRule type="expression" dxfId="2514" priority="45" stopIfTrue="1">
      <formula>IF(AK8&gt;4,0,1)</formula>
    </cfRule>
  </conditionalFormatting>
  <conditionalFormatting sqref="Q19:S19 Q104:S104">
    <cfRule type="expression" dxfId="2513" priority="46" stopIfTrue="1">
      <formula>IF(AK8&gt;5,0,1)</formula>
    </cfRule>
  </conditionalFormatting>
  <conditionalFormatting sqref="T19:V19 T104:V104">
    <cfRule type="expression" dxfId="2512" priority="47" stopIfTrue="1">
      <formula>IF(AK8&gt;6,0,1)</formula>
    </cfRule>
  </conditionalFormatting>
  <conditionalFormatting sqref="W19:Y19 W104:Y104">
    <cfRule type="expression" dxfId="2511" priority="48" stopIfTrue="1">
      <formula>IF(AK8&gt;7,0,1)</formula>
    </cfRule>
  </conditionalFormatting>
  <conditionalFormatting sqref="Z19:AB19 Z104:AB104">
    <cfRule type="expression" dxfId="2510" priority="49" stopIfTrue="1">
      <formula>IF(AK8&gt;8,0,1)</formula>
    </cfRule>
  </conditionalFormatting>
  <conditionalFormatting sqref="AC19:AE19 AC104:AE104">
    <cfRule type="expression" dxfId="2509" priority="50" stopIfTrue="1">
      <formula>IF(AK8&gt;9,0,1)</formula>
    </cfRule>
  </conditionalFormatting>
  <conditionalFormatting sqref="B20:D20 B105:D105">
    <cfRule type="expression" dxfId="2508" priority="51" stopIfTrue="1">
      <formula>IF(AK8&gt;0,0,1)</formula>
    </cfRule>
  </conditionalFormatting>
  <conditionalFormatting sqref="E20:G20 E105:G105">
    <cfRule type="expression" dxfId="2507" priority="52" stopIfTrue="1">
      <formula>IF(AK8&gt;1,0,1)</formula>
    </cfRule>
  </conditionalFormatting>
  <conditionalFormatting sqref="H20:J20 H105:J105">
    <cfRule type="expression" dxfId="2506" priority="53" stopIfTrue="1">
      <formula>IF(AK8&gt;2,0,1)</formula>
    </cfRule>
  </conditionalFormatting>
  <conditionalFormatting sqref="K20:M20 K105:M105">
    <cfRule type="expression" dxfId="2505" priority="54" stopIfTrue="1">
      <formula>IF(AK8&gt;3,0,1)</formula>
    </cfRule>
  </conditionalFormatting>
  <conditionalFormatting sqref="N20:P20 N105:P105">
    <cfRule type="expression" dxfId="2504" priority="55" stopIfTrue="1">
      <formula>IF(AK8&gt;4,0,1)</formula>
    </cfRule>
  </conditionalFormatting>
  <conditionalFormatting sqref="Q20:S20 Q105:S105">
    <cfRule type="expression" dxfId="2503" priority="56" stopIfTrue="1">
      <formula>IF(AK8&gt;5,0,1)</formula>
    </cfRule>
  </conditionalFormatting>
  <conditionalFormatting sqref="T20:V20 T105:V105">
    <cfRule type="expression" dxfId="2502" priority="57" stopIfTrue="1">
      <formula>IF(AK8&gt;6,0,1)</formula>
    </cfRule>
  </conditionalFormatting>
  <conditionalFormatting sqref="W20:Y20 W105:Y105">
    <cfRule type="expression" dxfId="2501" priority="58" stopIfTrue="1">
      <formula>IF(AK8&gt;7,0,1)</formula>
    </cfRule>
  </conditionalFormatting>
  <conditionalFormatting sqref="Z20:AB20 Z105:AB105">
    <cfRule type="expression" dxfId="2500" priority="59" stopIfTrue="1">
      <formula>IF(AK8&gt;8,0,1)</formula>
    </cfRule>
  </conditionalFormatting>
  <conditionalFormatting sqref="AC20:AE20 AC105:AE105">
    <cfRule type="expression" dxfId="2499" priority="60" stopIfTrue="1">
      <formula>IF(AK8&gt;9,0,1)</formula>
    </cfRule>
  </conditionalFormatting>
  <conditionalFormatting sqref="E22:G22 E107:G107">
    <cfRule type="expression" dxfId="2498" priority="61" stopIfTrue="1">
      <formula>IF(AK8&gt;1,0,1)</formula>
    </cfRule>
  </conditionalFormatting>
  <conditionalFormatting sqref="H22:J22 H107:J107">
    <cfRule type="expression" dxfId="2497" priority="62" stopIfTrue="1">
      <formula>IF(AK8&gt;2,0,1)</formula>
    </cfRule>
  </conditionalFormatting>
  <conditionalFormatting sqref="K22:M22 K107:M107">
    <cfRule type="expression" dxfId="2496" priority="63" stopIfTrue="1">
      <formula>IF(AK8&gt;3,0,1)</formula>
    </cfRule>
  </conditionalFormatting>
  <conditionalFormatting sqref="N22:P22 N107:P107">
    <cfRule type="expression" dxfId="2495" priority="64" stopIfTrue="1">
      <formula>IF(AK8&gt;4,0,1)</formula>
    </cfRule>
  </conditionalFormatting>
  <conditionalFormatting sqref="Q22:S22 Q107:S107">
    <cfRule type="expression" dxfId="2494" priority="65" stopIfTrue="1">
      <formula>IF(AK8&gt;5,0,1)</formula>
    </cfRule>
  </conditionalFormatting>
  <conditionalFormatting sqref="T22:V22 T107:V107">
    <cfRule type="expression" dxfId="2493" priority="66" stopIfTrue="1">
      <formula>IF(AK8&gt;6,0,1)</formula>
    </cfRule>
  </conditionalFormatting>
  <conditionalFormatting sqref="W22:Y22 W107:Y107">
    <cfRule type="expression" dxfId="2492" priority="67" stopIfTrue="1">
      <formula>IF(AK8&gt;7,0,1)</formula>
    </cfRule>
  </conditionalFormatting>
  <conditionalFormatting sqref="Z22:AB22 Z107:AB107">
    <cfRule type="expression" dxfId="2491" priority="68" stopIfTrue="1">
      <formula>IF(AK8&gt;8,0,1)</formula>
    </cfRule>
  </conditionalFormatting>
  <conditionalFormatting sqref="AC22:AE22 AC107:AE107">
    <cfRule type="expression" dxfId="2490" priority="69" stopIfTrue="1">
      <formula>IF(AK8&gt;9,0,1)</formula>
    </cfRule>
  </conditionalFormatting>
  <conditionalFormatting sqref="B24 B109">
    <cfRule type="expression" dxfId="2489" priority="70" stopIfTrue="1">
      <formula>IF(AK8&gt;0,0,1)</formula>
    </cfRule>
  </conditionalFormatting>
  <conditionalFormatting sqref="C24 C109">
    <cfRule type="expression" dxfId="2488" priority="71" stopIfTrue="1">
      <formula>IF(AK8&gt;0,0,1)</formula>
    </cfRule>
  </conditionalFormatting>
  <conditionalFormatting sqref="D24 D109">
    <cfRule type="expression" dxfId="2487" priority="72" stopIfTrue="1">
      <formula>IF(AK8&gt;0,0,1)</formula>
    </cfRule>
  </conditionalFormatting>
  <conditionalFormatting sqref="E23:G23 E108:G108">
    <cfRule type="expression" dxfId="2486" priority="73" stopIfTrue="1">
      <formula>IF(AK8&gt;1,0,1)</formula>
    </cfRule>
  </conditionalFormatting>
  <conditionalFormatting sqref="F24 F109">
    <cfRule type="expression" dxfId="2485" priority="74" stopIfTrue="1">
      <formula>IF(AK8&gt;1,0,1)</formula>
    </cfRule>
  </conditionalFormatting>
  <conditionalFormatting sqref="G24 G109">
    <cfRule type="expression" dxfId="2484" priority="75" stopIfTrue="1">
      <formula>IF(AK8&gt;1,0,1)</formula>
    </cfRule>
  </conditionalFormatting>
  <conditionalFormatting sqref="H23:J23 H108:J108">
    <cfRule type="expression" dxfId="2483" priority="76" stopIfTrue="1">
      <formula>IF(AK8&gt;2,0,1)</formula>
    </cfRule>
  </conditionalFormatting>
  <conditionalFormatting sqref="I24 I109">
    <cfRule type="expression" dxfId="2482" priority="77" stopIfTrue="1">
      <formula>IF(AK8&gt;2,0,1)</formula>
    </cfRule>
  </conditionalFormatting>
  <conditionalFormatting sqref="J24 J109">
    <cfRule type="expression" dxfId="2481" priority="78" stopIfTrue="1">
      <formula>IF(AK8&gt;2,0,1)</formula>
    </cfRule>
  </conditionalFormatting>
  <conditionalFormatting sqref="K23:M23 K108:M108">
    <cfRule type="expression" dxfId="2480" priority="79" stopIfTrue="1">
      <formula>IF(AK8&gt;3,0,1)</formula>
    </cfRule>
  </conditionalFormatting>
  <conditionalFormatting sqref="L24 L109">
    <cfRule type="expression" dxfId="2479" priority="80" stopIfTrue="1">
      <formula>IF(AK8&gt;3,0,1)</formula>
    </cfRule>
  </conditionalFormatting>
  <conditionalFormatting sqref="M24 M109">
    <cfRule type="expression" dxfId="2478" priority="81" stopIfTrue="1">
      <formula>IF(AK8&gt;3,0,1)</formula>
    </cfRule>
  </conditionalFormatting>
  <conditionalFormatting sqref="N23:P23 N108:P108">
    <cfRule type="expression" dxfId="2477" priority="82" stopIfTrue="1">
      <formula>IF(AK8&gt;4,0,1)</formula>
    </cfRule>
  </conditionalFormatting>
  <conditionalFormatting sqref="O24 O109">
    <cfRule type="expression" dxfId="2476" priority="83" stopIfTrue="1">
      <formula>IF(AK8&gt;4,0,1)</formula>
    </cfRule>
  </conditionalFormatting>
  <conditionalFormatting sqref="P24 P109">
    <cfRule type="expression" dxfId="2475" priority="84" stopIfTrue="1">
      <formula>IF(AK8&gt;4,0,1)</formula>
    </cfRule>
  </conditionalFormatting>
  <conditionalFormatting sqref="Q23:S23 Q108:S108">
    <cfRule type="expression" dxfId="2474" priority="85" stopIfTrue="1">
      <formula>IF(AK8&gt;5,0,1)</formula>
    </cfRule>
  </conditionalFormatting>
  <conditionalFormatting sqref="R24 R109">
    <cfRule type="expression" dxfId="2473" priority="86" stopIfTrue="1">
      <formula>IF(AK8&gt;5,0,1)</formula>
    </cfRule>
  </conditionalFormatting>
  <conditionalFormatting sqref="S24 S109">
    <cfRule type="expression" dxfId="2472" priority="87" stopIfTrue="1">
      <formula>IF(AK8&gt;5,0,1)</formula>
    </cfRule>
  </conditionalFormatting>
  <conditionalFormatting sqref="T23:V23 T108:V108">
    <cfRule type="expression" dxfId="2471" priority="88" stopIfTrue="1">
      <formula>IF(AK8&gt;6,0,1)</formula>
    </cfRule>
  </conditionalFormatting>
  <conditionalFormatting sqref="U24 U109">
    <cfRule type="expression" dxfId="2470" priority="89" stopIfTrue="1">
      <formula>IF(AK8&gt;6,0,1)</formula>
    </cfRule>
  </conditionalFormatting>
  <conditionalFormatting sqref="V24 V109">
    <cfRule type="expression" dxfId="2469" priority="90" stopIfTrue="1">
      <formula>IF(AK8&gt;6,0,1)</formula>
    </cfRule>
  </conditionalFormatting>
  <conditionalFormatting sqref="W23:Y23 W108:Y108">
    <cfRule type="expression" dxfId="2468" priority="91" stopIfTrue="1">
      <formula>IF(AK8&gt;7,0,1)</formula>
    </cfRule>
  </conditionalFormatting>
  <conditionalFormatting sqref="X24 X109">
    <cfRule type="expression" dxfId="2467" priority="92" stopIfTrue="1">
      <formula>IF(AK8&gt;7,0,1)</formula>
    </cfRule>
  </conditionalFormatting>
  <conditionalFormatting sqref="Y24 Y109">
    <cfRule type="expression" dxfId="2466" priority="93" stopIfTrue="1">
      <formula>IF(AK8&gt;7,0,1)</formula>
    </cfRule>
  </conditionalFormatting>
  <conditionalFormatting sqref="Z23:AB23 Z108:AB108">
    <cfRule type="expression" dxfId="2465" priority="94" stopIfTrue="1">
      <formula>IF(AK8&gt;8,0,1)</formula>
    </cfRule>
  </conditionalFormatting>
  <conditionalFormatting sqref="AA24 AA109">
    <cfRule type="expression" dxfId="2464" priority="95" stopIfTrue="1">
      <formula>IF(AK8&gt;8,0,1)</formula>
    </cfRule>
  </conditionalFormatting>
  <conditionalFormatting sqref="AB24 AB109">
    <cfRule type="expression" dxfId="2463" priority="96" stopIfTrue="1">
      <formula>IF(AK8&gt;8,0,1)</formula>
    </cfRule>
  </conditionalFormatting>
  <conditionalFormatting sqref="AC23:AE23 AC108:AE108">
    <cfRule type="expression" dxfId="2462" priority="97" stopIfTrue="1">
      <formula>IF(AK8&gt;9,0,1)</formula>
    </cfRule>
  </conditionalFormatting>
  <conditionalFormatting sqref="AD24 AD109">
    <cfRule type="expression" dxfId="2461" priority="98" stopIfTrue="1">
      <formula>IF(AK8&gt;9,0,1)</formula>
    </cfRule>
  </conditionalFormatting>
  <conditionalFormatting sqref="AE24 AE109">
    <cfRule type="expression" dxfId="2460" priority="99" stopIfTrue="1">
      <formula>IF(AK8&gt;9,0,1)</formula>
    </cfRule>
  </conditionalFormatting>
  <conditionalFormatting sqref="A26 A111">
    <cfRule type="expression" dxfId="2459" priority="100" stopIfTrue="1">
      <formula>IF(AK7&gt;1,0,1)</formula>
    </cfRule>
  </conditionalFormatting>
  <conditionalFormatting sqref="A27 A112">
    <cfRule type="expression" dxfId="2458" priority="101" stopIfTrue="1">
      <formula>IF(AK7&gt;2,0,1)</formula>
    </cfRule>
  </conditionalFormatting>
  <conditionalFormatting sqref="A28 A113">
    <cfRule type="expression" dxfId="2457" priority="102" stopIfTrue="1">
      <formula>IF(AK7&gt;3,0,1)</formula>
    </cfRule>
  </conditionalFormatting>
  <conditionalFormatting sqref="A29 A114">
    <cfRule type="expression" dxfId="2456" priority="103" stopIfTrue="1">
      <formula>IF(AK7&gt;4,0,1)</formula>
    </cfRule>
  </conditionalFormatting>
  <conditionalFormatting sqref="B25:D25 B110:D110">
    <cfRule type="expression" dxfId="2455" priority="104" stopIfTrue="1">
      <formula>IF($AK8&gt;0,0,1)</formula>
    </cfRule>
  </conditionalFormatting>
  <conditionalFormatting sqref="B26:D26 B111:D111">
    <cfRule type="expression" dxfId="2454" priority="105" stopIfTrue="1">
      <formula>IF($AK8&lt;1,1,IF($AK7&lt;2,1,0))</formula>
    </cfRule>
  </conditionalFormatting>
  <conditionalFormatting sqref="B27:D27 B112:D112">
    <cfRule type="expression" dxfId="2453" priority="106" stopIfTrue="1">
      <formula>IF($AK8&lt;1,1,IF($AK7&lt;3,1,0))</formula>
    </cfRule>
  </conditionalFormatting>
  <conditionalFormatting sqref="B28:D28 B113:D113">
    <cfRule type="expression" dxfId="2452" priority="107" stopIfTrue="1">
      <formula>IF($AK8&lt;1,1,IF($AK7&lt;4,1,0))</formula>
    </cfRule>
  </conditionalFormatting>
  <conditionalFormatting sqref="B29:D29 B114:D114">
    <cfRule type="expression" dxfId="2451" priority="108" stopIfTrue="1">
      <formula>IF($AK8&lt;1,1,IF($AK7&lt;5,1,0))</formula>
    </cfRule>
  </conditionalFormatting>
  <conditionalFormatting sqref="AF26 AF111">
    <cfRule type="expression" dxfId="2450" priority="109" stopIfTrue="1">
      <formula>IF($AK9&gt;2,0,1)</formula>
    </cfRule>
  </conditionalFormatting>
  <conditionalFormatting sqref="AF25 AF110">
    <cfRule type="expression" dxfId="2449" priority="110" stopIfTrue="1">
      <formula>IF($AK9&gt;1,0,1)</formula>
    </cfRule>
  </conditionalFormatting>
  <conditionalFormatting sqref="AF24 AF109">
    <cfRule type="expression" dxfId="2448" priority="111" stopIfTrue="1">
      <formula>IF($AK9&gt;0,0,1)</formula>
    </cfRule>
  </conditionalFormatting>
  <conditionalFormatting sqref="AF27 AF112">
    <cfRule type="expression" dxfId="2447" priority="112" stopIfTrue="1">
      <formula>IF($AK9&gt;3,0,1)</formula>
    </cfRule>
  </conditionalFormatting>
  <conditionalFormatting sqref="AF28 AF113">
    <cfRule type="expression" dxfId="2446" priority="113" stopIfTrue="1">
      <formula>IF($AK9&gt;4,0,1)</formula>
    </cfRule>
  </conditionalFormatting>
  <conditionalFormatting sqref="AG23 AG108">
    <cfRule type="expression" dxfId="2445" priority="114" stopIfTrue="1">
      <formula>IF($AK8&lt;1,1,0)</formula>
    </cfRule>
  </conditionalFormatting>
  <conditionalFormatting sqref="AH23 AH108">
    <cfRule type="expression" dxfId="2444" priority="115" stopIfTrue="1">
      <formula>IF($AK8&lt;2,1,0)</formula>
    </cfRule>
  </conditionalFormatting>
  <conditionalFormatting sqref="AI23 AI108">
    <cfRule type="expression" dxfId="2443" priority="116" stopIfTrue="1">
      <formula>IF($AK8&lt;3,1,0)</formula>
    </cfRule>
  </conditionalFormatting>
  <conditionalFormatting sqref="AJ23 AJ108">
    <cfRule type="expression" dxfId="2442" priority="117" stopIfTrue="1">
      <formula>IF($AK8&lt;4,1,0)</formula>
    </cfRule>
  </conditionalFormatting>
  <conditionalFormatting sqref="AK23 AK108">
    <cfRule type="expression" dxfId="2441" priority="118" stopIfTrue="1">
      <formula>IF($AK8&lt;5,1,0)</formula>
    </cfRule>
  </conditionalFormatting>
  <conditionalFormatting sqref="AL23 AL108">
    <cfRule type="expression" dxfId="2440" priority="119" stopIfTrue="1">
      <formula>IF($AK8&lt;6,1,0)</formula>
    </cfRule>
  </conditionalFormatting>
  <conditionalFormatting sqref="AM23 AM108">
    <cfRule type="expression" dxfId="2439" priority="120" stopIfTrue="1">
      <formula>IF($AK8&lt;7,1,0)</formula>
    </cfRule>
  </conditionalFormatting>
  <conditionalFormatting sqref="AN23 AN108">
    <cfRule type="expression" dxfId="2438" priority="121" stopIfTrue="1">
      <formula>IF($AK8&lt;8,1,0)</formula>
    </cfRule>
  </conditionalFormatting>
  <conditionalFormatting sqref="AO23 AO108">
    <cfRule type="expression" dxfId="2437" priority="122" stopIfTrue="1">
      <formula>IF($AK8&lt;9,1,0)</formula>
    </cfRule>
  </conditionalFormatting>
  <conditionalFormatting sqref="AP23 AP108">
    <cfRule type="expression" dxfId="2436" priority="123" stopIfTrue="1">
      <formula>IF($AK8&lt;10,1,0)</formula>
    </cfRule>
  </conditionalFormatting>
  <conditionalFormatting sqref="AQ24 AQ109">
    <cfRule type="expression" dxfId="2435" priority="124" stopIfTrue="1">
      <formula>IF($AK9&gt;0,0,1)</formula>
    </cfRule>
  </conditionalFormatting>
  <conditionalFormatting sqref="AQ25 AQ110">
    <cfRule type="expression" dxfId="2434" priority="125" stopIfTrue="1">
      <formula>IF($AK9&gt;1,0,1)</formula>
    </cfRule>
  </conditionalFormatting>
  <conditionalFormatting sqref="AQ26 H25:J25 AQ111 H110:J110">
    <cfRule type="expression" dxfId="2433" priority="126" stopIfTrue="1">
      <formula>IF($AK8&gt;2,0,1)</formula>
    </cfRule>
  </conditionalFormatting>
  <conditionalFormatting sqref="K25:M25 K110:M110">
    <cfRule type="expression" dxfId="2432" priority="127" stopIfTrue="1">
      <formula>IF($AK8&gt;3,0,1)</formula>
    </cfRule>
  </conditionalFormatting>
  <conditionalFormatting sqref="AQ28 AQ113">
    <cfRule type="expression" dxfId="2431" priority="128" stopIfTrue="1">
      <formula>IF($AK9&gt;4,0,1)</formula>
    </cfRule>
  </conditionalFormatting>
  <conditionalFormatting sqref="E26:G26 E111:G111">
    <cfRule type="expression" dxfId="2430" priority="129" stopIfTrue="1">
      <formula>IF($AK8&lt;2,1,IF($AK7&lt;2,1,0))</formula>
    </cfRule>
  </conditionalFormatting>
  <conditionalFormatting sqref="E27:G27 E112:G112">
    <cfRule type="expression" dxfId="2429" priority="130" stopIfTrue="1">
      <formula>IF($AK8&lt;2,1,IF($AK7&lt;3,1,0))</formula>
    </cfRule>
  </conditionalFormatting>
  <conditionalFormatting sqref="E28:G28 E113:G113">
    <cfRule type="expression" dxfId="2428" priority="131" stopIfTrue="1">
      <formula>IF($AK8&lt;2,1,IF($AK7&lt;4,1,0))</formula>
    </cfRule>
  </conditionalFormatting>
  <conditionalFormatting sqref="E29:G29 E114:G114">
    <cfRule type="expression" dxfId="2427" priority="132" stopIfTrue="1">
      <formula>IF($AK8&lt;2,1,IF($AK7&lt;5,1,0))</formula>
    </cfRule>
  </conditionalFormatting>
  <conditionalFormatting sqref="N25:P25 N110:P110">
    <cfRule type="expression" dxfId="2426" priority="133" stopIfTrue="1">
      <formula>IF($AK8&gt;4,0,1)</formula>
    </cfRule>
  </conditionalFormatting>
  <conditionalFormatting sqref="Q25:S25 Q110:S110">
    <cfRule type="expression" dxfId="2425" priority="134" stopIfTrue="1">
      <formula>IF($AK8&gt;5,0,1)</formula>
    </cfRule>
  </conditionalFormatting>
  <conditionalFormatting sqref="T25:V25 T110:V110">
    <cfRule type="expression" dxfId="2424" priority="135" stopIfTrue="1">
      <formula>IF($AK8&gt;6,0,1)</formula>
    </cfRule>
  </conditionalFormatting>
  <conditionalFormatting sqref="W25:Y25 W110:Y110">
    <cfRule type="expression" dxfId="2423" priority="136" stopIfTrue="1">
      <formula>IF($AK8&gt;7,0,1)</formula>
    </cfRule>
  </conditionalFormatting>
  <conditionalFormatting sqref="Z25:AB25 Z110:AB110">
    <cfRule type="expression" dxfId="2422" priority="137" stopIfTrue="1">
      <formula>IF($AK8&gt;8,0,1)</formula>
    </cfRule>
  </conditionalFormatting>
  <conditionalFormatting sqref="AC25:AE25 AC110:AE110">
    <cfRule type="expression" dxfId="2421" priority="138" stopIfTrue="1">
      <formula>IF($AK8&gt;9,0,1)</formula>
    </cfRule>
  </conditionalFormatting>
  <conditionalFormatting sqref="H26:J26 H111:J111">
    <cfRule type="expression" dxfId="2420" priority="139" stopIfTrue="1">
      <formula>IF($AK8&lt;3,1,IF($AK7&lt;2,1,0))</formula>
    </cfRule>
  </conditionalFormatting>
  <conditionalFormatting sqref="K26:M26 K111:M111">
    <cfRule type="expression" dxfId="2419" priority="140" stopIfTrue="1">
      <formula>IF($AK8&lt;4,1,IF($AK7&lt;2,1,0))</formula>
    </cfRule>
  </conditionalFormatting>
  <conditionalFormatting sqref="N26:P26 N111:P111">
    <cfRule type="expression" dxfId="2418" priority="141" stopIfTrue="1">
      <formula>IF($AK8&lt;5,1,IF($AK7&lt;2,1,0))</formula>
    </cfRule>
  </conditionalFormatting>
  <conditionalFormatting sqref="Q26:S26 Q111:S111">
    <cfRule type="expression" dxfId="2417" priority="142" stopIfTrue="1">
      <formula>IF($AK8&lt;6,1,IF($AK7&lt;2,1,0))</formula>
    </cfRule>
  </conditionalFormatting>
  <conditionalFormatting sqref="T26:V26 T111:V111">
    <cfRule type="expression" dxfId="2416" priority="143" stopIfTrue="1">
      <formula>IF($AK8&lt;7,1,IF($AK7&lt;2,1,0))</formula>
    </cfRule>
  </conditionalFormatting>
  <conditionalFormatting sqref="W26:Y26 W111:Y111">
    <cfRule type="expression" dxfId="2415" priority="144" stopIfTrue="1">
      <formula>IF($AK8&lt;8,1,IF($AK7&lt;2,1,0))</formula>
    </cfRule>
  </conditionalFormatting>
  <conditionalFormatting sqref="Z26:AB26 Z111:AB111">
    <cfRule type="expression" dxfId="2414" priority="145" stopIfTrue="1">
      <formula>IF($AK8&lt;9,1,IF($AK7&lt;2,1,0))</formula>
    </cfRule>
  </conditionalFormatting>
  <conditionalFormatting sqref="AC26:AE26 AC111:AE111">
    <cfRule type="expression" dxfId="2413" priority="146" stopIfTrue="1">
      <formula>IF($AK8&lt;10,1,IF($AK7&lt;2,1,0))</formula>
    </cfRule>
  </conditionalFormatting>
  <conditionalFormatting sqref="H27:J27 H112:J112">
    <cfRule type="expression" dxfId="2412" priority="147" stopIfTrue="1">
      <formula>IF($AK8&lt;3,1,IF($AK7&lt;3,1,0))</formula>
    </cfRule>
  </conditionalFormatting>
  <conditionalFormatting sqref="K27:M27 K112:M112">
    <cfRule type="expression" dxfId="2411" priority="148" stopIfTrue="1">
      <formula>IF($AK8&lt;4,1,IF($AK7&lt;3,1,0))</formula>
    </cfRule>
  </conditionalFormatting>
  <conditionalFormatting sqref="N27:P27 N112:P112">
    <cfRule type="expression" dxfId="2410" priority="149" stopIfTrue="1">
      <formula>IF($AK8&lt;5,1,IF($AK7&lt;3,1,0))</formula>
    </cfRule>
  </conditionalFormatting>
  <conditionalFormatting sqref="Q27:S27 Q112:S112">
    <cfRule type="expression" dxfId="2409" priority="150" stopIfTrue="1">
      <formula>IF($AK8&lt;6,1,IF($AK7&lt;3,1,0))</formula>
    </cfRule>
  </conditionalFormatting>
  <conditionalFormatting sqref="T27:V27 T112:V112">
    <cfRule type="expression" dxfId="2408" priority="151" stopIfTrue="1">
      <formula>IF($AK8&lt;7,1,IF($AK7&lt;3,1,0))</formula>
    </cfRule>
  </conditionalFormatting>
  <conditionalFormatting sqref="W27:Y27 W112:Y112">
    <cfRule type="expression" dxfId="2407" priority="152" stopIfTrue="1">
      <formula>IF($AK8&lt;8,1,IF($AK7&lt;3,1,0))</formula>
    </cfRule>
  </conditionalFormatting>
  <conditionalFormatting sqref="Z27:AB27 Z112:AB112">
    <cfRule type="expression" dxfId="2406" priority="153" stopIfTrue="1">
      <formula>IF($AK8&lt;9,1,IF($AK7&lt;3,1,0))</formula>
    </cfRule>
  </conditionalFormatting>
  <conditionalFormatting sqref="AC27:AE27 AC112:AE112">
    <cfRule type="expression" dxfId="2405" priority="154" stopIfTrue="1">
      <formula>IF($AK8&lt;10,1,IF($AK7&lt;3,1,0))</formula>
    </cfRule>
  </conditionalFormatting>
  <conditionalFormatting sqref="H28:J28 H113:J113">
    <cfRule type="expression" dxfId="2404" priority="155" stopIfTrue="1">
      <formula>IF($AK8&lt;3,1,IF($AK7&lt;4,1,0))</formula>
    </cfRule>
  </conditionalFormatting>
  <conditionalFormatting sqref="K28:M28 K113:M113">
    <cfRule type="expression" dxfId="2403" priority="156" stopIfTrue="1">
      <formula>IF($AK8&lt;4,1,IF($AK7&lt;4,1,0))</formula>
    </cfRule>
  </conditionalFormatting>
  <conditionalFormatting sqref="N28:P28 N113:P113">
    <cfRule type="expression" dxfId="2402" priority="157" stopIfTrue="1">
      <formula>IF($AK8&lt;5,1,IF($AK7&lt;4,1,0))</formula>
    </cfRule>
  </conditionalFormatting>
  <conditionalFormatting sqref="Q28:S28 Q113:S113">
    <cfRule type="expression" dxfId="2401" priority="158" stopIfTrue="1">
      <formula>IF($AK8&lt;6,1,IF($AK7&lt;4,1,0))</formula>
    </cfRule>
  </conditionalFormatting>
  <conditionalFormatting sqref="T28:V28 T113:V113">
    <cfRule type="expression" dxfId="2400" priority="159" stopIfTrue="1">
      <formula>IF($AK8&lt;7,1,IF($AK7&lt;4,1,0))</formula>
    </cfRule>
  </conditionalFormatting>
  <conditionalFormatting sqref="W28:Y28 W113:Y113">
    <cfRule type="expression" dxfId="2399" priority="160" stopIfTrue="1">
      <formula>IF($AK8&lt;8,1,IF($AK7&lt;4,1,0))</formula>
    </cfRule>
  </conditionalFormatting>
  <conditionalFormatting sqref="Z28:AB28 Z113:AB113">
    <cfRule type="expression" dxfId="2398" priority="161" stopIfTrue="1">
      <formula>IF($AK8&lt;9,1,IF($AK7&lt;4,1,0))</formula>
    </cfRule>
  </conditionalFormatting>
  <conditionalFormatting sqref="AC28:AE28 AC113:AE113">
    <cfRule type="expression" dxfId="2397" priority="162" stopIfTrue="1">
      <formula>IF($AK8&lt;10,1,IF($AK7&lt;4,1,0))</formula>
    </cfRule>
  </conditionalFormatting>
  <conditionalFormatting sqref="H29:J29 H114:J114">
    <cfRule type="expression" dxfId="2396" priority="163" stopIfTrue="1">
      <formula>IF($AK8&lt;3,1,IF($AK7&lt;5,1,0))</formula>
    </cfRule>
  </conditionalFormatting>
  <conditionalFormatting sqref="K29:M29 K114:M114">
    <cfRule type="expression" dxfId="2395" priority="164" stopIfTrue="1">
      <formula>IF($AK8&lt;4,1,IF($AK7&lt;5,1,0))</formula>
    </cfRule>
  </conditionalFormatting>
  <conditionalFormatting sqref="N29:P29 N114:P114">
    <cfRule type="expression" dxfId="2394" priority="165" stopIfTrue="1">
      <formula>IF($AK8&lt;5,1,IF($AK7&lt;5,1,0))</formula>
    </cfRule>
  </conditionalFormatting>
  <conditionalFormatting sqref="Q29:S29 Q114:S114">
    <cfRule type="expression" dxfId="2393" priority="166" stopIfTrue="1">
      <formula>IF($AK8&lt;6,1,IF($AK7&lt;5,1,0))</formula>
    </cfRule>
  </conditionalFormatting>
  <conditionalFormatting sqref="T29:V29 T114:V114">
    <cfRule type="expression" dxfId="2392" priority="167" stopIfTrue="1">
      <formula>IF($AK8&lt;7,1,IF($AK7&lt;5,1,0))</formula>
    </cfRule>
  </conditionalFormatting>
  <conditionalFormatting sqref="W29:Y29 W114:Y114">
    <cfRule type="expression" dxfId="2391" priority="168" stopIfTrue="1">
      <formula>IF($AK8&lt;8,1,IF($AK7&lt;5,1,0))</formula>
    </cfRule>
  </conditionalFormatting>
  <conditionalFormatting sqref="Z29:AB29 Z114:AB114">
    <cfRule type="expression" dxfId="2390" priority="169" stopIfTrue="1">
      <formula>IF($AK8&lt;9,1,IF($AK7&lt;5,1,0))</formula>
    </cfRule>
  </conditionalFormatting>
  <conditionalFormatting sqref="AC29:AE29 AC114:AE114">
    <cfRule type="expression" dxfId="2389" priority="170" stopIfTrue="1">
      <formula>IF($AK8&lt;10,1,IF($AK7&lt;5,1,0))</formula>
    </cfRule>
  </conditionalFormatting>
  <conditionalFormatting sqref="R14:AB15 AF14:AF15 L14:P15 R99:AB100 AF99:AF100 L99:P100 AG14 AG99">
    <cfRule type="expression" dxfId="2388" priority="171" stopIfTrue="1">
      <formula>IF($AK9&gt;3,0,1)</formula>
    </cfRule>
  </conditionalFormatting>
  <conditionalFormatting sqref="R16:AB17 AF16:AF17 L16:P17 R101:AB102 AF101:AF102 L101:P102 AG16 AG101">
    <cfRule type="expression" dxfId="2387" priority="172" stopIfTrue="1">
      <formula>IF($AK9&gt;4,0,1)</formula>
    </cfRule>
  </conditionalFormatting>
  <conditionalFormatting sqref="R8:AB9 AF8:AF9 L8:P9 R93:AB94 AF93:AF94 L93:P94 AG8 AG93">
    <cfRule type="expression" dxfId="2386" priority="173" stopIfTrue="1">
      <formula>IF($AK9&gt;0,0,1)</formula>
    </cfRule>
  </conditionalFormatting>
  <conditionalFormatting sqref="R10:AB11 AF10:AF11 L10:P11 R95:AB96 AF95:AF96 L95:P96 AG10 AG95">
    <cfRule type="expression" dxfId="2385" priority="174" stopIfTrue="1">
      <formula>IF($AK9&gt;1,0,1)</formula>
    </cfRule>
  </conditionalFormatting>
  <conditionalFormatting sqref="R12:AB13 AF12:AF13 L12:P13 R97:AB98 AF97:AF98 L97:P98 AG12 AG97">
    <cfRule type="expression" dxfId="2384" priority="175" stopIfTrue="1">
      <formula>IF($AK9&gt;2,0,1)</formula>
    </cfRule>
  </conditionalFormatting>
  <conditionalFormatting sqref="E24 E109">
    <cfRule type="expression" dxfId="2383" priority="176" stopIfTrue="1">
      <formula>IF(AK8&gt;1,0,1)</formula>
    </cfRule>
  </conditionalFormatting>
  <conditionalFormatting sqref="H24 H109">
    <cfRule type="expression" dxfId="2382" priority="177" stopIfTrue="1">
      <formula>IF(AK8&gt;2,0,1)</formula>
    </cfRule>
  </conditionalFormatting>
  <conditionalFormatting sqref="K24 K109">
    <cfRule type="expression" dxfId="2381" priority="178" stopIfTrue="1">
      <formula>IF(AK8&gt;3,0,1)</formula>
    </cfRule>
  </conditionalFormatting>
  <conditionalFormatting sqref="N24 N109">
    <cfRule type="expression" dxfId="2380" priority="179" stopIfTrue="1">
      <formula>IF(AK8&gt;4,0,1)</formula>
    </cfRule>
  </conditionalFormatting>
  <conditionalFormatting sqref="Q24 Q109">
    <cfRule type="expression" dxfId="2379" priority="180" stopIfTrue="1">
      <formula>IF(AK8&gt;5,0,1)</formula>
    </cfRule>
  </conditionalFormatting>
  <conditionalFormatting sqref="T24 T109">
    <cfRule type="expression" dxfId="2378" priority="181" stopIfTrue="1">
      <formula>IF(AK8&gt;6,0,1)</formula>
    </cfRule>
  </conditionalFormatting>
  <conditionalFormatting sqref="W24 W109">
    <cfRule type="expression" dxfId="2377" priority="182" stopIfTrue="1">
      <formula>IF(AK8&gt;7,0,1)</formula>
    </cfRule>
  </conditionalFormatting>
  <conditionalFormatting sqref="Z24 Z109">
    <cfRule type="expression" dxfId="2376" priority="183" stopIfTrue="1">
      <formula>IF(AK8&gt;8,0,1)</formula>
    </cfRule>
  </conditionalFormatting>
  <conditionalFormatting sqref="AC24 AC109">
    <cfRule type="expression" dxfId="2375" priority="184" stopIfTrue="1">
      <formula>IF(AK8&gt;9,0,1)</formula>
    </cfRule>
  </conditionalFormatting>
  <conditionalFormatting sqref="AQ27 AQ112">
    <cfRule type="expression" dxfId="2374" priority="185" stopIfTrue="1">
      <formula>IF($AK9&gt;3,0,1)</formula>
    </cfRule>
  </conditionalFormatting>
  <conditionalFormatting sqref="E25:G25 E110:G110">
    <cfRule type="expression" dxfId="2373" priority="186" stopIfTrue="1">
      <formula>IF($AK8&gt;1,0,1)</formula>
    </cfRule>
  </conditionalFormatting>
  <conditionalFormatting sqref="B21:D21 B106:D106">
    <cfRule type="expression" dxfId="2372" priority="187" stopIfTrue="1">
      <formula>IF(AK8&gt;0,0,1)</formula>
    </cfRule>
  </conditionalFormatting>
  <conditionalFormatting sqref="E21:G21 E106:G106">
    <cfRule type="expression" dxfId="2371" priority="188" stopIfTrue="1">
      <formula>IF(AK8&gt;1,0,1)</formula>
    </cfRule>
  </conditionalFormatting>
  <conditionalFormatting sqref="H21:J21 H106:J106">
    <cfRule type="expression" dxfId="2370" priority="189" stopIfTrue="1">
      <formula>IF(AK8&gt;2,0,1)</formula>
    </cfRule>
  </conditionalFormatting>
  <conditionalFormatting sqref="K21:M21 K106:M106">
    <cfRule type="expression" dxfId="2369" priority="190" stopIfTrue="1">
      <formula>IF(AK8&gt;3,0,1)</formula>
    </cfRule>
  </conditionalFormatting>
  <conditionalFormatting sqref="N21:P21 N106:P106">
    <cfRule type="expression" dxfId="2368" priority="191" stopIfTrue="1">
      <formula>IF(AK8&gt;4,0,1)</formula>
    </cfRule>
  </conditionalFormatting>
  <conditionalFormatting sqref="Q21:S21 Q106:S106">
    <cfRule type="expression" dxfId="2367" priority="192" stopIfTrue="1">
      <formula>IF(AK8&gt;5,0,1)</formula>
    </cfRule>
  </conditionalFormatting>
  <conditionalFormatting sqref="T21:V21 T106:V106">
    <cfRule type="expression" dxfId="2366" priority="193" stopIfTrue="1">
      <formula>IF(AK8&gt;6,0,1)</formula>
    </cfRule>
  </conditionalFormatting>
  <conditionalFormatting sqref="W21:Y21 W106:Y106">
    <cfRule type="expression" dxfId="2365" priority="194" stopIfTrue="1">
      <formula>IF(AK8&gt;7,0,1)</formula>
    </cfRule>
  </conditionalFormatting>
  <conditionalFormatting sqref="Z21:AB21 Z106:AB106">
    <cfRule type="expression" dxfId="2364" priority="195" stopIfTrue="1">
      <formula>IF(AK8&gt;8,0,1)</formula>
    </cfRule>
  </conditionalFormatting>
  <conditionalFormatting sqref="AC21:AE21 AC106:AE106">
    <cfRule type="expression" dxfId="2363" priority="196" stopIfTrue="1">
      <formula>IF(AK8&gt;9,0,1)</formula>
    </cfRule>
  </conditionalFormatting>
  <conditionalFormatting sqref="X224:X225 W215:W216 X215:Y215 W218:Y223 Z219:AE222 AA223:AA225 I223:I225 C224:C225 B215:B216 C215:D215 B218:D223 E219:J222 F223:F225 AD223:AD225">
    <cfRule type="expression" dxfId="2362" priority="197" stopIfTrue="1">
      <formula>IF(#REF!&gt;0,0,1)</formula>
    </cfRule>
  </conditionalFormatting>
  <conditionalFormatting sqref="AA215:AB215 AB223 AA218:AB218 Z223 Z215:Z218 F215:G215 G223 F218:G218 E223 E215:E218">
    <cfRule type="expression" dxfId="2361" priority="198" stopIfTrue="1">
      <formula>IF(#REF!&gt;1,0,1)</formula>
    </cfRule>
  </conditionalFormatting>
  <conditionalFormatting sqref="AC215:AC218 AD215:AE215 AE223 AD218:AE218 AC223 H223 H215:H218 I215:J215 J223 I218:J218">
    <cfRule type="expression" dxfId="2360" priority="199" stopIfTrue="1">
      <formula>IF(#REF!&gt;2,0,1)</formula>
    </cfRule>
  </conditionalFormatting>
  <conditionalFormatting sqref="W224 Y224 B224 D224">
    <cfRule type="expression" dxfId="2359" priority="200" stopIfTrue="1">
      <formula>IF(#REF!&lt;1,1,IF(#REF!&lt;2,1,0))</formula>
    </cfRule>
  </conditionalFormatting>
  <conditionalFormatting sqref="Z224 AB224 E224 G224">
    <cfRule type="expression" dxfId="2358" priority="201" stopIfTrue="1">
      <formula>IF(#REF!&lt;2,1,IF(#REF!&lt;2,1,0))</formula>
    </cfRule>
  </conditionalFormatting>
  <conditionalFormatting sqref="AC224 AE224 H224 J224">
    <cfRule type="expression" dxfId="2357" priority="202" stopIfTrue="1">
      <formula>IF(#REF!&lt;3,1,IF(#REF!&lt;2,1,0))</formula>
    </cfRule>
  </conditionalFormatting>
  <conditionalFormatting sqref="Y225 B225 D225 W225">
    <cfRule type="expression" dxfId="2356" priority="203" stopIfTrue="1">
      <formula>IF(#REF!&lt;1,1,IF(#REF!&lt;3,1,0))</formula>
    </cfRule>
  </conditionalFormatting>
  <conditionalFormatting sqref="AB225 E225 G225 Z225">
    <cfRule type="expression" dxfId="2355" priority="204" stopIfTrue="1">
      <formula>IF(#REF!&lt;2,1,IF(#REF!&lt;3,1,0))</formula>
    </cfRule>
  </conditionalFormatting>
  <conditionalFormatting sqref="AE225 H225 J225 AC225">
    <cfRule type="expression" dxfId="2354" priority="205" stopIfTrue="1">
      <formula>IF(#REF!&lt;3,1,IF(#REF!&lt;3,1,0))</formula>
    </cfRule>
  </conditionalFormatting>
  <conditionalFormatting sqref="AG24:AP28 AG109:AP113">
    <cfRule type="cellIs" dxfId="2353" priority="206" stopIfTrue="1" operator="notBetween">
      <formula>-9999</formula>
      <formula>9999</formula>
    </cfRule>
  </conditionalFormatting>
  <conditionalFormatting sqref="AC7 AC92">
    <cfRule type="expression" dxfId="2352" priority="207" stopIfTrue="1">
      <formula>IF($AK$11=0,1,0)</formula>
    </cfRule>
  </conditionalFormatting>
  <conditionalFormatting sqref="B22:D23 B107:D108">
    <cfRule type="cellIs" dxfId="2351" priority="208" stopIfTrue="1" operator="equal">
      <formula>99</formula>
    </cfRule>
  </conditionalFormatting>
  <conditionalFormatting sqref="X226 AA226 C226 F226">
    <cfRule type="expression" dxfId="2350" priority="209" stopIfTrue="1">
      <formula>IF(#REF!&gt;0,0,1)</formula>
    </cfRule>
  </conditionalFormatting>
  <conditionalFormatting sqref="K215">
    <cfRule type="expression" dxfId="2349" priority="5" stopIfTrue="1">
      <formula>IF(#REF!&gt;2,0,1)</formula>
    </cfRule>
  </conditionalFormatting>
  <conditionalFormatting sqref="K215">
    <cfRule type="expression" dxfId="2348" priority="4" stopIfTrue="1">
      <formula>IF(ISNUMBER(K223),0,1)</formula>
    </cfRule>
  </conditionalFormatting>
  <conditionalFormatting sqref="AF215">
    <cfRule type="expression" dxfId="2347" priority="3" stopIfTrue="1">
      <formula>IF(ISNUMBER(AF223),0,1)</formula>
    </cfRule>
  </conditionalFormatting>
  <conditionalFormatting sqref="B18">
    <cfRule type="expression" dxfId="2346" priority="2" stopIfTrue="1">
      <formula>IF($AK$9&gt;0,0,1)</formula>
    </cfRule>
  </conditionalFormatting>
  <conditionalFormatting sqref="B103">
    <cfRule type="expression" dxfId="2345" priority="1" stopIfTrue="1">
      <formula>IF($AK$9&gt;0,0,1)</formula>
    </cfRule>
  </conditionalFormatting>
  <pageMargins left="0.25" right="0.25" top="0.25" bottom="0.25" header="0" footer="0"/>
  <pageSetup scale="80" fitToHeight="5" orientation="landscape" r:id="rId1"/>
  <headerFooter alignWithMargins="0"/>
  <rowBreaks count="2" manualBreakCount="2">
    <brk id="90" max="42" man="1"/>
    <brk id="181" max="42" man="1"/>
  </rowBreaks>
  <drawing r:id="rId2"/>
  <legacyDrawing r:id="rId3"/>
  <controls>
    <mc:AlternateContent xmlns:mc="http://schemas.openxmlformats.org/markup-compatibility/2006">
      <mc:Choice Requires="x14">
        <control shapeId="8193" r:id="rId4" name="Pool1RecalcFinish">
          <controlPr defaultSize="0" autoLine="0" r:id="rId5">
            <anchor moveWithCells="1" sizeWithCells="1">
              <from>
                <xdr:col>36</xdr:col>
                <xdr:colOff>104775</xdr:colOff>
                <xdr:row>13</xdr:row>
                <xdr:rowOff>9525</xdr:rowOff>
              </from>
              <to>
                <xdr:col>41</xdr:col>
                <xdr:colOff>228600</xdr:colOff>
                <xdr:row>16</xdr:row>
                <xdr:rowOff>104775</xdr:rowOff>
              </to>
            </anchor>
          </controlPr>
        </control>
      </mc:Choice>
      <mc:Fallback>
        <control shapeId="8193" r:id="rId4" name="Pool1RecalcFinish"/>
      </mc:Fallback>
    </mc:AlternateContent>
    <mc:AlternateContent xmlns:mc="http://schemas.openxmlformats.org/markup-compatibility/2006">
      <mc:Choice Requires="x14">
        <control shapeId="8194" r:id="rId6" name="Pool2RecalcFinish">
          <controlPr defaultSize="0" autoLine="0" r:id="rId7">
            <anchor moveWithCells="1" sizeWithCells="1">
              <from>
                <xdr:col>36</xdr:col>
                <xdr:colOff>104775</xdr:colOff>
                <xdr:row>98</xdr:row>
                <xdr:rowOff>9525</xdr:rowOff>
              </from>
              <to>
                <xdr:col>41</xdr:col>
                <xdr:colOff>228600</xdr:colOff>
                <xdr:row>101</xdr:row>
                <xdr:rowOff>104775</xdr:rowOff>
              </to>
            </anchor>
          </controlPr>
        </control>
      </mc:Choice>
      <mc:Fallback>
        <control shapeId="8194" r:id="rId6" name="Pool2RecalcFinish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indexed="11"/>
  </sheetPr>
  <dimension ref="A1:BY430"/>
  <sheetViews>
    <sheetView topLeftCell="H1" zoomScale="70" zoomScaleNormal="70" workbookViewId="0">
      <selection activeCell="AW3" sqref="AW3:AW10"/>
    </sheetView>
  </sheetViews>
  <sheetFormatPr defaultColWidth="11.42578125" defaultRowHeight="12.75" x14ac:dyDescent="0.2"/>
  <cols>
    <col min="1" max="1" width="11.42578125" style="134" customWidth="1"/>
    <col min="2" max="2" width="3.7109375" style="134" customWidth="1"/>
    <col min="3" max="3" width="2.28515625" style="134" customWidth="1"/>
    <col min="4" max="5" width="3.7109375" style="134" customWidth="1"/>
    <col min="6" max="6" width="2.28515625" style="134" customWidth="1"/>
    <col min="7" max="8" width="3.7109375" style="134" customWidth="1"/>
    <col min="9" max="9" width="2.28515625" style="134" customWidth="1"/>
    <col min="10" max="11" width="3.7109375" style="134" customWidth="1"/>
    <col min="12" max="12" width="2.28515625" style="134" customWidth="1"/>
    <col min="13" max="14" width="3.7109375" style="134" customWidth="1"/>
    <col min="15" max="15" width="2.28515625" style="134" customWidth="1"/>
    <col min="16" max="17" width="3.7109375" style="134" customWidth="1"/>
    <col min="18" max="18" width="2.28515625" style="134" customWidth="1"/>
    <col min="19" max="20" width="3.7109375" style="134" customWidth="1"/>
    <col min="21" max="21" width="2.28515625" style="134" customWidth="1"/>
    <col min="22" max="23" width="3.7109375" style="134" customWidth="1"/>
    <col min="24" max="24" width="2.28515625" style="134" customWidth="1"/>
    <col min="25" max="26" width="3.7109375" style="134" customWidth="1"/>
    <col min="27" max="27" width="2.28515625" style="134" customWidth="1"/>
    <col min="28" max="29" width="3.7109375" style="134" customWidth="1"/>
    <col min="30" max="30" width="2.28515625" style="134" customWidth="1"/>
    <col min="31" max="31" width="3.7109375" style="134" customWidth="1"/>
    <col min="32" max="32" width="9.7109375" style="134" customWidth="1"/>
    <col min="33" max="42" width="3.7109375" style="134" customWidth="1"/>
    <col min="43" max="43" width="11" style="134" customWidth="1"/>
    <col min="44" max="45" width="11.42578125" style="134" customWidth="1"/>
    <col min="46" max="46" width="13.42578125" style="134" customWidth="1"/>
    <col min="47" max="47" width="24.42578125" style="134" customWidth="1"/>
    <col min="48" max="48" width="16.28515625" style="134" customWidth="1"/>
    <col min="49" max="49" width="14.28515625" style="134" bestFit="1" customWidth="1"/>
    <col min="50" max="50" width="10.28515625" style="134" customWidth="1"/>
    <col min="51" max="51" width="10.140625" style="134" customWidth="1"/>
    <col min="52" max="52" width="25" style="134" customWidth="1"/>
    <col min="53" max="53" width="6" style="134" customWidth="1"/>
    <col min="54" max="16384" width="11.42578125" style="134"/>
  </cols>
  <sheetData>
    <row r="1" spans="1:53" ht="13.5" thickBot="1" x14ac:dyDescent="0.25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131"/>
      <c r="AK1" s="131"/>
      <c r="AL1" s="131"/>
      <c r="AM1" s="131"/>
      <c r="AN1" s="131"/>
      <c r="AO1" s="131"/>
      <c r="AP1" s="131"/>
      <c r="AQ1" s="132" t="s">
        <v>1121</v>
      </c>
      <c r="AR1" s="133"/>
      <c r="AT1" s="309" t="s">
        <v>2</v>
      </c>
      <c r="AU1" s="310"/>
      <c r="AV1" s="310"/>
      <c r="AW1" s="311"/>
      <c r="AX1" s="312" t="s">
        <v>3</v>
      </c>
      <c r="AY1" s="313"/>
      <c r="AZ1" s="136" t="s">
        <v>4</v>
      </c>
      <c r="BA1" s="137">
        <v>32</v>
      </c>
    </row>
    <row r="2" spans="1:53" ht="18.75" customHeight="1" thickBot="1" x14ac:dyDescent="0.3">
      <c r="A2" s="314" t="s">
        <v>5</v>
      </c>
      <c r="B2" s="315"/>
      <c r="C2" s="315"/>
      <c r="D2" s="315"/>
      <c r="E2" s="315"/>
      <c r="F2" s="315"/>
      <c r="G2" s="315"/>
      <c r="H2" s="315"/>
      <c r="I2" s="316"/>
      <c r="J2" s="317" t="s">
        <v>6</v>
      </c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9"/>
      <c r="Y2" s="320" t="s">
        <v>7</v>
      </c>
      <c r="Z2" s="321"/>
      <c r="AA2" s="321"/>
      <c r="AB2" s="321"/>
      <c r="AC2" s="322"/>
      <c r="AD2" s="568">
        <v>42420</v>
      </c>
      <c r="AE2" s="323"/>
      <c r="AF2" s="323"/>
      <c r="AG2" s="323"/>
      <c r="AH2" s="323"/>
      <c r="AI2" s="324"/>
      <c r="AJ2" s="138"/>
      <c r="AK2" s="138"/>
      <c r="AL2" s="138"/>
      <c r="AM2" s="138"/>
      <c r="AN2" s="138"/>
      <c r="AO2" s="138"/>
      <c r="AP2" s="138"/>
      <c r="AQ2" s="138"/>
      <c r="AR2" s="133"/>
      <c r="AT2" s="139" t="s">
        <v>9</v>
      </c>
      <c r="AU2" s="140" t="s">
        <v>10</v>
      </c>
      <c r="AV2" s="141" t="s">
        <v>11</v>
      </c>
      <c r="AW2" s="142" t="s">
        <v>12</v>
      </c>
      <c r="AX2" s="143" t="s">
        <v>13</v>
      </c>
      <c r="AY2" s="142" t="s">
        <v>14</v>
      </c>
      <c r="AZ2" s="136" t="s">
        <v>15</v>
      </c>
      <c r="BA2" s="137">
        <v>16</v>
      </c>
    </row>
    <row r="3" spans="1:53" ht="18.75" customHeight="1" thickBot="1" x14ac:dyDescent="0.3">
      <c r="A3" s="144" t="s">
        <v>16</v>
      </c>
      <c r="B3" s="325" t="s">
        <v>1120</v>
      </c>
      <c r="C3" s="326"/>
      <c r="D3" s="326"/>
      <c r="E3" s="326"/>
      <c r="F3" s="326"/>
      <c r="G3" s="326"/>
      <c r="H3" s="326"/>
      <c r="I3" s="326"/>
      <c r="J3" s="326"/>
      <c r="K3" s="326"/>
      <c r="L3" s="326"/>
      <c r="M3" s="326"/>
      <c r="N3" s="326"/>
      <c r="O3" s="327"/>
      <c r="P3" s="328" t="s">
        <v>18</v>
      </c>
      <c r="Q3" s="329"/>
      <c r="R3" s="329"/>
      <c r="S3" s="330">
        <v>13</v>
      </c>
      <c r="T3" s="331"/>
      <c r="U3" s="331"/>
      <c r="V3" s="331"/>
      <c r="W3" s="331"/>
      <c r="X3" s="332"/>
      <c r="Y3" s="333" t="s">
        <v>19</v>
      </c>
      <c r="Z3" s="334"/>
      <c r="AA3" s="334"/>
      <c r="AB3" s="334"/>
      <c r="AC3" s="334"/>
      <c r="AD3" s="335"/>
      <c r="AE3" s="336" t="s">
        <v>20</v>
      </c>
      <c r="AF3" s="337"/>
      <c r="AG3" s="338" t="s">
        <v>21</v>
      </c>
      <c r="AH3" s="338"/>
      <c r="AI3" s="339"/>
      <c r="AJ3" s="138"/>
      <c r="AK3" s="138"/>
      <c r="AL3" s="138"/>
      <c r="AM3" s="138"/>
      <c r="AN3" s="138"/>
      <c r="AO3" s="138"/>
      <c r="AP3" s="138"/>
      <c r="AQ3" s="138"/>
      <c r="AR3" s="133"/>
      <c r="AT3" s="145">
        <v>1</v>
      </c>
      <c r="AU3" s="307" t="s">
        <v>469</v>
      </c>
      <c r="AV3" s="306" t="s">
        <v>468</v>
      </c>
      <c r="AW3" s="147">
        <f>VLOOKUP(AV3,Initial!G:K,5,FALSE)</f>
        <v>1618.6634729877185</v>
      </c>
      <c r="AX3" s="148">
        <f t="shared" ref="AX3:AX10" si="0">VLOOKUP(AU3,AT$79:AU$174,2,FALSE)</f>
        <v>1556.8834080920503</v>
      </c>
      <c r="AY3" s="149">
        <f t="shared" ref="AY3:AY10" si="1">IF(ISNA(VLOOKUP(AU3,AT$182:AU$234,2,FALSE)),AX3,VLOOKUP(AU3,AT$182:AU$234,2,FALSE))</f>
        <v>1541.5139178594579</v>
      </c>
    </row>
    <row r="4" spans="1:53" ht="24" customHeight="1" thickBot="1" x14ac:dyDescent="0.25">
      <c r="A4" s="340" t="s">
        <v>24</v>
      </c>
      <c r="B4" s="341"/>
      <c r="C4" s="341"/>
      <c r="D4" s="342"/>
      <c r="E4" s="343" t="s">
        <v>25</v>
      </c>
      <c r="F4" s="344"/>
      <c r="G4" s="344"/>
      <c r="H4" s="344"/>
      <c r="I4" s="344"/>
      <c r="J4" s="344"/>
      <c r="K4" s="344"/>
      <c r="L4" s="344"/>
      <c r="M4" s="345"/>
      <c r="N4" s="340" t="s">
        <v>26</v>
      </c>
      <c r="O4" s="341"/>
      <c r="P4" s="341"/>
      <c r="Q4" s="342"/>
      <c r="R4" s="346"/>
      <c r="S4" s="323"/>
      <c r="T4" s="323"/>
      <c r="U4" s="323"/>
      <c r="V4" s="323"/>
      <c r="W4" s="323"/>
      <c r="X4" s="323"/>
      <c r="Y4" s="323"/>
      <c r="Z4" s="323"/>
      <c r="AA4" s="324"/>
      <c r="AB4" s="340" t="s">
        <v>27</v>
      </c>
      <c r="AC4" s="341"/>
      <c r="AD4" s="341"/>
      <c r="AE4" s="342"/>
      <c r="AF4" s="346"/>
      <c r="AG4" s="323"/>
      <c r="AH4" s="323"/>
      <c r="AI4" s="324"/>
      <c r="AJ4" s="138"/>
      <c r="AK4" s="138"/>
      <c r="AL4" s="138"/>
      <c r="AM4" s="138"/>
      <c r="AN4" s="138"/>
      <c r="AO4" s="138"/>
      <c r="AP4" s="138"/>
      <c r="AQ4" s="138"/>
      <c r="AR4" s="133"/>
      <c r="AT4" s="150">
        <v>2</v>
      </c>
      <c r="AU4" s="305" t="s">
        <v>460</v>
      </c>
      <c r="AV4" s="304" t="s">
        <v>459</v>
      </c>
      <c r="AW4" s="147">
        <f>VLOOKUP(AV4,Initial!G:K,5,FALSE)</f>
        <v>1577.3037892908403</v>
      </c>
      <c r="AX4" s="151">
        <f t="shared" si="0"/>
        <v>1528.2348060355885</v>
      </c>
      <c r="AY4" s="152">
        <f t="shared" si="1"/>
        <v>1506.9929479813056</v>
      </c>
    </row>
    <row r="5" spans="1:53" ht="15.75" thickBot="1" x14ac:dyDescent="0.25">
      <c r="A5" s="131" t="s">
        <v>30</v>
      </c>
      <c r="B5" s="347" t="s">
        <v>30</v>
      </c>
      <c r="C5" s="348"/>
      <c r="D5" s="348"/>
      <c r="E5" s="348"/>
      <c r="F5" s="348"/>
      <c r="G5" s="348"/>
      <c r="H5" s="348"/>
      <c r="I5" s="348"/>
      <c r="J5" s="348"/>
      <c r="K5" s="349" t="s">
        <v>30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49"/>
      <c r="AD5" s="349"/>
      <c r="AE5" s="349"/>
      <c r="AF5" s="131"/>
      <c r="AG5" s="131"/>
      <c r="AH5" s="131"/>
      <c r="AI5" s="131"/>
      <c r="AJ5" s="131"/>
      <c r="AK5" s="131"/>
      <c r="AL5" s="131"/>
      <c r="AM5" s="131"/>
      <c r="AN5" s="131"/>
      <c r="AO5" s="131"/>
      <c r="AP5" s="131"/>
      <c r="AQ5" s="131"/>
      <c r="AR5" s="133"/>
      <c r="AT5" s="150">
        <v>3</v>
      </c>
      <c r="AU5" s="305" t="s">
        <v>504</v>
      </c>
      <c r="AV5" s="304" t="s">
        <v>503</v>
      </c>
      <c r="AW5" s="147">
        <f>VLOOKUP(AV5,Initial!G:K,5,FALSE)</f>
        <v>1570.0470154155958</v>
      </c>
      <c r="AX5" s="151">
        <f t="shared" si="0"/>
        <v>1639.7633992606277</v>
      </c>
      <c r="AY5" s="152">
        <f t="shared" si="1"/>
        <v>1641.1631745399584</v>
      </c>
    </row>
    <row r="6" spans="1:53" ht="24" customHeight="1" thickBot="1" x14ac:dyDescent="0.25">
      <c r="A6" s="153" t="s">
        <v>33</v>
      </c>
      <c r="B6" s="154" t="s">
        <v>34</v>
      </c>
      <c r="C6" s="350" t="s">
        <v>35</v>
      </c>
      <c r="D6" s="351"/>
      <c r="E6" s="351"/>
      <c r="F6" s="351"/>
      <c r="G6" s="351"/>
      <c r="H6" s="352"/>
      <c r="I6" s="353">
        <v>1</v>
      </c>
      <c r="J6" s="354"/>
      <c r="K6" s="355" t="str">
        <f>"Pool "&amp;B6&amp;" - Round 1 - Court "&amp;I6</f>
        <v>Pool A - Round 1 - Court 1</v>
      </c>
      <c r="L6" s="356"/>
      <c r="M6" s="356"/>
      <c r="N6" s="356"/>
      <c r="O6" s="356"/>
      <c r="P6" s="356"/>
      <c r="Q6" s="356"/>
      <c r="R6" s="356"/>
      <c r="S6" s="356"/>
      <c r="T6" s="356"/>
      <c r="U6" s="356"/>
      <c r="V6" s="356"/>
      <c r="W6" s="356"/>
      <c r="X6" s="356"/>
      <c r="Y6" s="356"/>
      <c r="Z6" s="356"/>
      <c r="AA6" s="356"/>
      <c r="AB6" s="356"/>
      <c r="AC6" s="356"/>
      <c r="AD6" s="356"/>
      <c r="AE6" s="356"/>
      <c r="AF6" s="356"/>
      <c r="AG6" s="356"/>
      <c r="AH6" s="356"/>
      <c r="AI6" s="357"/>
      <c r="AJ6" s="138"/>
      <c r="AK6" s="138"/>
      <c r="AL6" s="138"/>
      <c r="AM6" s="138"/>
      <c r="AN6" s="138"/>
      <c r="AO6" s="138"/>
      <c r="AP6" s="138"/>
      <c r="AQ6" s="138"/>
      <c r="AT6" s="150">
        <v>4</v>
      </c>
      <c r="AU6" s="305" t="s">
        <v>513</v>
      </c>
      <c r="AV6" s="304" t="s">
        <v>511</v>
      </c>
      <c r="AW6" s="147">
        <f>VLOOKUP(AV6,Initial!G:K,5,FALSE)</f>
        <v>1568.1003447488174</v>
      </c>
      <c r="AX6" s="151">
        <f t="shared" si="0"/>
        <v>1584.8176907475176</v>
      </c>
      <c r="AY6" s="152">
        <f t="shared" si="1"/>
        <v>1571.3271481700851</v>
      </c>
    </row>
    <row r="7" spans="1:53" ht="27" customHeight="1" thickBot="1" x14ac:dyDescent="0.25">
      <c r="A7" s="155" t="s">
        <v>38</v>
      </c>
      <c r="B7" s="358" t="s">
        <v>10</v>
      </c>
      <c r="C7" s="359"/>
      <c r="D7" s="359"/>
      <c r="E7" s="359"/>
      <c r="F7" s="359"/>
      <c r="G7" s="359"/>
      <c r="H7" s="359"/>
      <c r="I7" s="359"/>
      <c r="J7" s="359"/>
      <c r="K7" s="359"/>
      <c r="L7" s="358" t="str">
        <f>IF($AK10=0,"Games Won","Matches Won")</f>
        <v>Matches Won</v>
      </c>
      <c r="M7" s="359"/>
      <c r="N7" s="359"/>
      <c r="O7" s="359"/>
      <c r="P7" s="359"/>
      <c r="Q7" s="360"/>
      <c r="R7" s="358" t="str">
        <f>IF($AK10=0,"Games Lost","Matches Lost")</f>
        <v>Matches Lost</v>
      </c>
      <c r="S7" s="361"/>
      <c r="T7" s="361"/>
      <c r="U7" s="361"/>
      <c r="V7" s="362"/>
      <c r="W7" s="363" t="s">
        <v>39</v>
      </c>
      <c r="X7" s="364"/>
      <c r="Y7" s="365"/>
      <c r="Z7" s="363" t="s">
        <v>40</v>
      </c>
      <c r="AA7" s="364"/>
      <c r="AB7" s="365"/>
      <c r="AC7" s="366" t="s">
        <v>41</v>
      </c>
      <c r="AD7" s="367"/>
      <c r="AE7" s="368"/>
      <c r="AF7" s="156" t="s">
        <v>42</v>
      </c>
      <c r="AG7" s="157" t="s">
        <v>9</v>
      </c>
      <c r="AH7" s="369" t="s">
        <v>43</v>
      </c>
      <c r="AI7" s="370"/>
      <c r="AJ7" s="158"/>
      <c r="AK7" s="159">
        <v>3</v>
      </c>
      <c r="AL7" s="160" t="s">
        <v>44</v>
      </c>
      <c r="AM7" s="160"/>
      <c r="AN7" s="160"/>
      <c r="AO7" s="160"/>
      <c r="AP7" s="160"/>
      <c r="AQ7" s="160"/>
      <c r="AR7" s="161"/>
      <c r="AT7" s="150">
        <v>5</v>
      </c>
      <c r="AU7" s="305" t="s">
        <v>448</v>
      </c>
      <c r="AV7" s="304" t="s">
        <v>447</v>
      </c>
      <c r="AW7" s="147">
        <f>VLOOKUP(AV7,Initial!G:K,5,FALSE)</f>
        <v>1510.6135428350065</v>
      </c>
      <c r="AX7" s="151">
        <f t="shared" si="0"/>
        <v>1593.0145067615651</v>
      </c>
      <c r="AY7" s="152">
        <f t="shared" si="1"/>
        <v>1605.5410773854333</v>
      </c>
    </row>
    <row r="8" spans="1:53" ht="18.75" customHeight="1" x14ac:dyDescent="0.2">
      <c r="A8" s="371" t="str">
        <f>IF($AK9&gt;0,"1","")</f>
        <v>1</v>
      </c>
      <c r="B8" s="373" t="s">
        <v>10</v>
      </c>
      <c r="C8" s="374"/>
      <c r="D8" s="375"/>
      <c r="E8" s="376" t="str">
        <f>AU3</f>
        <v>High Velocity 13's</v>
      </c>
      <c r="F8" s="377"/>
      <c r="G8" s="377"/>
      <c r="H8" s="377"/>
      <c r="I8" s="377"/>
      <c r="J8" s="377"/>
      <c r="K8" s="378"/>
      <c r="L8" s="379">
        <f>IF($AK10=0,AF64,AF46)</f>
        <v>1</v>
      </c>
      <c r="M8" s="380"/>
      <c r="N8" s="380"/>
      <c r="O8" s="380"/>
      <c r="P8" s="380"/>
      <c r="Q8" s="360"/>
      <c r="R8" s="379">
        <f>IF($AK10=0,AG64,AG46)</f>
        <v>2</v>
      </c>
      <c r="S8" s="380"/>
      <c r="T8" s="380"/>
      <c r="U8" s="380"/>
      <c r="V8" s="380"/>
      <c r="W8" s="379">
        <f>AQ24</f>
        <v>-22</v>
      </c>
      <c r="X8" s="380"/>
      <c r="Y8" s="380"/>
      <c r="Z8" s="383">
        <f>IF(AF58&gt;0,(AQ24/AF58),0)</f>
        <v>-0.12222222222222222</v>
      </c>
      <c r="AA8" s="384"/>
      <c r="AB8" s="384"/>
      <c r="AC8" s="387">
        <f>IF(AF72=0,0,(AF64/AF72))</f>
        <v>0.375</v>
      </c>
      <c r="AD8" s="388"/>
      <c r="AE8" s="389"/>
      <c r="AF8" s="393">
        <v>3</v>
      </c>
      <c r="AG8" s="393">
        <v>1</v>
      </c>
      <c r="AH8" s="395"/>
      <c r="AI8" s="396"/>
      <c r="AJ8" s="158"/>
      <c r="AK8" s="159">
        <v>6</v>
      </c>
      <c r="AL8" s="160" t="s">
        <v>47</v>
      </c>
      <c r="AM8" s="160"/>
      <c r="AN8" s="160"/>
      <c r="AO8" s="160"/>
      <c r="AP8" s="160"/>
      <c r="AQ8" s="160"/>
      <c r="AR8" s="161"/>
      <c r="AT8" s="150">
        <v>6</v>
      </c>
      <c r="AU8" s="305" t="s">
        <v>506</v>
      </c>
      <c r="AV8" s="304" t="s">
        <v>505</v>
      </c>
      <c r="AW8" s="147">
        <f>VLOOKUP(AV8,Initial!G:K,5,FALSE)</f>
        <v>1488.4874647585782</v>
      </c>
      <c r="AX8" s="151">
        <f t="shared" si="0"/>
        <v>1479.6529847563386</v>
      </c>
      <c r="AY8" s="152">
        <f t="shared" si="1"/>
        <v>1479.2171814305723</v>
      </c>
    </row>
    <row r="9" spans="1:53" ht="18.75" customHeight="1" thickBot="1" x14ac:dyDescent="0.25">
      <c r="A9" s="372"/>
      <c r="B9" s="399" t="s">
        <v>11</v>
      </c>
      <c r="C9" s="400"/>
      <c r="D9" s="401"/>
      <c r="E9" s="402" t="str">
        <f>AV3</f>
        <v>fj3hvelo1pm</v>
      </c>
      <c r="F9" s="403"/>
      <c r="G9" s="403"/>
      <c r="H9" s="403"/>
      <c r="I9" s="403"/>
      <c r="J9" s="403"/>
      <c r="K9" s="403"/>
      <c r="L9" s="381"/>
      <c r="M9" s="382"/>
      <c r="N9" s="382"/>
      <c r="O9" s="382"/>
      <c r="P9" s="382"/>
      <c r="Q9" s="360"/>
      <c r="R9" s="381"/>
      <c r="S9" s="382"/>
      <c r="T9" s="382"/>
      <c r="U9" s="382"/>
      <c r="V9" s="382"/>
      <c r="W9" s="381"/>
      <c r="X9" s="382"/>
      <c r="Y9" s="382"/>
      <c r="Z9" s="385"/>
      <c r="AA9" s="386"/>
      <c r="AB9" s="386"/>
      <c r="AC9" s="390"/>
      <c r="AD9" s="391"/>
      <c r="AE9" s="392"/>
      <c r="AF9" s="394"/>
      <c r="AG9" s="394"/>
      <c r="AH9" s="397"/>
      <c r="AI9" s="398"/>
      <c r="AJ9" s="158"/>
      <c r="AK9" s="159">
        <v>4</v>
      </c>
      <c r="AL9" s="160" t="s">
        <v>50</v>
      </c>
      <c r="AM9" s="158"/>
      <c r="AN9" s="158"/>
      <c r="AO9" s="158"/>
      <c r="AP9" s="158"/>
      <c r="AQ9" s="158"/>
      <c r="AR9" s="133"/>
      <c r="AT9" s="150">
        <v>7</v>
      </c>
      <c r="AU9" s="305" t="s">
        <v>446</v>
      </c>
      <c r="AV9" s="304" t="s">
        <v>444</v>
      </c>
      <c r="AW9" s="147">
        <f>VLOOKUP(AV9,Initial!G:K,5,FALSE)</f>
        <v>1458.4555688261864</v>
      </c>
      <c r="AX9" s="151">
        <f t="shared" si="0"/>
        <v>1446.6426482386462</v>
      </c>
      <c r="AY9" s="152">
        <f t="shared" si="1"/>
        <v>1467.8957556218759</v>
      </c>
    </row>
    <row r="10" spans="1:53" ht="18.75" customHeight="1" x14ac:dyDescent="0.2">
      <c r="A10" s="371" t="str">
        <f>IF($AK9&gt;1,"2","")</f>
        <v>2</v>
      </c>
      <c r="B10" s="373" t="s">
        <v>10</v>
      </c>
      <c r="C10" s="374"/>
      <c r="D10" s="375"/>
      <c r="E10" s="376" t="str">
        <f>AU6</f>
        <v>Sumter VBC 13</v>
      </c>
      <c r="F10" s="377"/>
      <c r="G10" s="377"/>
      <c r="H10" s="377"/>
      <c r="I10" s="377"/>
      <c r="J10" s="377"/>
      <c r="K10" s="378"/>
      <c r="L10" s="379">
        <f>IF($AK10=0,AF65,AF47)</f>
        <v>2</v>
      </c>
      <c r="M10" s="380"/>
      <c r="N10" s="380"/>
      <c r="O10" s="380"/>
      <c r="P10" s="380"/>
      <c r="Q10" s="360"/>
      <c r="R10" s="379">
        <f>IF($AK10=0,AG65,AG47)</f>
        <v>1</v>
      </c>
      <c r="S10" s="380"/>
      <c r="T10" s="380"/>
      <c r="U10" s="380"/>
      <c r="V10" s="380"/>
      <c r="W10" s="379">
        <f>AQ25</f>
        <v>28</v>
      </c>
      <c r="X10" s="380"/>
      <c r="Y10" s="380"/>
      <c r="Z10" s="383">
        <f>IF(AF59&gt;0,(AQ25/AF59),0)</f>
        <v>0.15555555555555556</v>
      </c>
      <c r="AA10" s="384"/>
      <c r="AB10" s="384"/>
      <c r="AC10" s="387">
        <f>IF(AF73=0,0,(AF65/AF73))</f>
        <v>0.625</v>
      </c>
      <c r="AD10" s="388"/>
      <c r="AE10" s="389"/>
      <c r="AF10" s="393">
        <v>2</v>
      </c>
      <c r="AG10" s="393">
        <v>1</v>
      </c>
      <c r="AH10" s="395"/>
      <c r="AI10" s="396"/>
      <c r="AJ10" s="158"/>
      <c r="AK10" s="159">
        <v>1</v>
      </c>
      <c r="AL10" s="160" t="s">
        <v>53</v>
      </c>
      <c r="AM10" s="160"/>
      <c r="AN10" s="160"/>
      <c r="AO10" s="160"/>
      <c r="AP10" s="160"/>
      <c r="AQ10" s="160"/>
      <c r="AR10" s="161"/>
      <c r="AT10" s="150">
        <v>8</v>
      </c>
      <c r="AU10" s="305" t="s">
        <v>508</v>
      </c>
      <c r="AV10" s="304" t="s">
        <v>507</v>
      </c>
      <c r="AW10" s="147">
        <f>VLOOKUP(AV10,Initial!G:K,5,FALSE)</f>
        <v>1447.3909581757298</v>
      </c>
      <c r="AX10" s="151">
        <f t="shared" si="0"/>
        <v>1410.052713146139</v>
      </c>
      <c r="AY10" s="152">
        <f t="shared" si="1"/>
        <v>1425.4109540497846</v>
      </c>
    </row>
    <row r="11" spans="1:53" ht="18.75" customHeight="1" thickBot="1" x14ac:dyDescent="0.25">
      <c r="A11" s="372"/>
      <c r="B11" s="404" t="s">
        <v>11</v>
      </c>
      <c r="C11" s="405"/>
      <c r="D11" s="405"/>
      <c r="E11" s="402" t="str">
        <f>AV6</f>
        <v>fj3sumtr1pm</v>
      </c>
      <c r="F11" s="403"/>
      <c r="G11" s="403"/>
      <c r="H11" s="403"/>
      <c r="I11" s="403"/>
      <c r="J11" s="403"/>
      <c r="K11" s="403"/>
      <c r="L11" s="381"/>
      <c r="M11" s="382"/>
      <c r="N11" s="382"/>
      <c r="O11" s="382"/>
      <c r="P11" s="382"/>
      <c r="Q11" s="360"/>
      <c r="R11" s="381"/>
      <c r="S11" s="382"/>
      <c r="T11" s="382"/>
      <c r="U11" s="382"/>
      <c r="V11" s="382"/>
      <c r="W11" s="381"/>
      <c r="X11" s="382"/>
      <c r="Y11" s="382"/>
      <c r="Z11" s="385"/>
      <c r="AA11" s="386"/>
      <c r="AB11" s="386"/>
      <c r="AC11" s="390"/>
      <c r="AD11" s="391"/>
      <c r="AE11" s="392"/>
      <c r="AF11" s="394"/>
      <c r="AG11" s="394"/>
      <c r="AH11" s="397"/>
      <c r="AI11" s="398"/>
      <c r="AJ11" s="158"/>
      <c r="AK11" s="159">
        <v>1</v>
      </c>
      <c r="AL11" s="160" t="s">
        <v>56</v>
      </c>
      <c r="AM11" s="158"/>
      <c r="AN11" s="158"/>
      <c r="AO11" s="158"/>
      <c r="AP11" s="158"/>
      <c r="AQ11" s="158"/>
      <c r="AR11" s="133"/>
      <c r="AT11" s="303"/>
      <c r="AU11" s="302"/>
      <c r="AV11" s="301"/>
      <c r="AW11" s="300"/>
      <c r="AX11" s="299"/>
      <c r="AY11" s="298"/>
    </row>
    <row r="12" spans="1:53" ht="18.75" customHeight="1" thickBot="1" x14ac:dyDescent="0.25">
      <c r="A12" s="371" t="str">
        <f>IF($AK9&gt;2,"3","")</f>
        <v>3</v>
      </c>
      <c r="B12" s="406" t="s">
        <v>10</v>
      </c>
      <c r="C12" s="407"/>
      <c r="D12" s="407"/>
      <c r="E12" s="376" t="str">
        <f>AU7</f>
        <v>Chas Jrs 13 White</v>
      </c>
      <c r="F12" s="377"/>
      <c r="G12" s="377"/>
      <c r="H12" s="377"/>
      <c r="I12" s="377"/>
      <c r="J12" s="377"/>
      <c r="K12" s="378"/>
      <c r="L12" s="379">
        <f>IF($AK10=0,AF66,AF48)</f>
        <v>3</v>
      </c>
      <c r="M12" s="380"/>
      <c r="N12" s="380"/>
      <c r="O12" s="380"/>
      <c r="P12" s="380"/>
      <c r="Q12" s="360"/>
      <c r="R12" s="379">
        <f>IF($AK10=0,AG66,AG48)</f>
        <v>0</v>
      </c>
      <c r="S12" s="380"/>
      <c r="T12" s="380"/>
      <c r="U12" s="380"/>
      <c r="V12" s="380"/>
      <c r="W12" s="379">
        <f>AQ26</f>
        <v>38</v>
      </c>
      <c r="X12" s="380"/>
      <c r="Y12" s="380"/>
      <c r="Z12" s="383">
        <f>IF(AF60&gt;0,(AQ26/AF60),0)</f>
        <v>0.23030303030303031</v>
      </c>
      <c r="AA12" s="384"/>
      <c r="AB12" s="384"/>
      <c r="AC12" s="387">
        <f>IF(AF74=0,0,(AF66/AF74))</f>
        <v>0.8571428571428571</v>
      </c>
      <c r="AD12" s="388"/>
      <c r="AE12" s="389"/>
      <c r="AF12" s="393">
        <v>1</v>
      </c>
      <c r="AG12" s="393">
        <v>1</v>
      </c>
      <c r="AH12" s="395"/>
      <c r="AI12" s="396"/>
      <c r="AJ12" s="167"/>
      <c r="AK12" s="159">
        <v>3</v>
      </c>
      <c r="AL12" s="168" t="s">
        <v>59</v>
      </c>
      <c r="AM12" s="160"/>
      <c r="AN12" s="160"/>
      <c r="AO12" s="160"/>
      <c r="AP12" s="160"/>
      <c r="AQ12" s="160"/>
      <c r="AR12" s="161"/>
      <c r="AT12" s="297"/>
      <c r="AU12" s="296"/>
      <c r="AV12" s="295"/>
      <c r="AW12" s="294"/>
      <c r="AX12" s="293"/>
      <c r="AY12" s="292"/>
    </row>
    <row r="13" spans="1:53" ht="18.75" customHeight="1" thickBot="1" x14ac:dyDescent="0.25">
      <c r="A13" s="372"/>
      <c r="B13" s="404" t="s">
        <v>11</v>
      </c>
      <c r="C13" s="405"/>
      <c r="D13" s="405"/>
      <c r="E13" s="402" t="str">
        <f>AV7</f>
        <v>fj3charl3pm</v>
      </c>
      <c r="F13" s="403"/>
      <c r="G13" s="403"/>
      <c r="H13" s="403"/>
      <c r="I13" s="403"/>
      <c r="J13" s="403"/>
      <c r="K13" s="403"/>
      <c r="L13" s="381"/>
      <c r="M13" s="382"/>
      <c r="N13" s="382"/>
      <c r="O13" s="382"/>
      <c r="P13" s="382"/>
      <c r="Q13" s="360"/>
      <c r="R13" s="381"/>
      <c r="S13" s="382"/>
      <c r="T13" s="382"/>
      <c r="U13" s="382"/>
      <c r="V13" s="382"/>
      <c r="W13" s="381"/>
      <c r="X13" s="382"/>
      <c r="Y13" s="382"/>
      <c r="Z13" s="385"/>
      <c r="AA13" s="386"/>
      <c r="AB13" s="386"/>
      <c r="AC13" s="390"/>
      <c r="AD13" s="391"/>
      <c r="AE13" s="392"/>
      <c r="AF13" s="394"/>
      <c r="AG13" s="394"/>
      <c r="AH13" s="397"/>
      <c r="AI13" s="398"/>
      <c r="AJ13" s="167"/>
      <c r="AK13" s="169"/>
      <c r="AL13" s="170"/>
      <c r="AM13" s="170"/>
      <c r="AN13" s="170"/>
      <c r="AO13" s="170"/>
      <c r="AP13" s="170"/>
      <c r="AQ13" s="158"/>
      <c r="AR13" s="133"/>
      <c r="AT13" s="408" t="s">
        <v>62</v>
      </c>
      <c r="AU13" s="409"/>
      <c r="AV13" s="409"/>
      <c r="AW13" s="409"/>
      <c r="AX13" s="409"/>
      <c r="AY13" s="410"/>
    </row>
    <row r="14" spans="1:53" ht="18.75" customHeight="1" thickBot="1" x14ac:dyDescent="0.25">
      <c r="A14" s="371" t="str">
        <f>IF($AK9&gt;3,"4","")</f>
        <v>4</v>
      </c>
      <c r="B14" s="406" t="s">
        <v>10</v>
      </c>
      <c r="C14" s="407"/>
      <c r="D14" s="407"/>
      <c r="E14" s="376" t="str">
        <f>AU10</f>
        <v>SC Midlands 13 Garnet</v>
      </c>
      <c r="F14" s="377"/>
      <c r="G14" s="377"/>
      <c r="H14" s="377"/>
      <c r="I14" s="377"/>
      <c r="J14" s="377"/>
      <c r="K14" s="378"/>
      <c r="L14" s="379">
        <f>IF($AK10=0,AF67,AF49)</f>
        <v>0</v>
      </c>
      <c r="M14" s="380"/>
      <c r="N14" s="380"/>
      <c r="O14" s="380"/>
      <c r="P14" s="380"/>
      <c r="Q14" s="360"/>
      <c r="R14" s="379">
        <f>IF($AK10=0,AG67,AG49)</f>
        <v>3</v>
      </c>
      <c r="S14" s="380"/>
      <c r="T14" s="380"/>
      <c r="U14" s="380"/>
      <c r="V14" s="380"/>
      <c r="W14" s="379">
        <f>AQ27</f>
        <v>-44</v>
      </c>
      <c r="X14" s="380"/>
      <c r="Y14" s="380"/>
      <c r="Z14" s="383">
        <f>IF(AF61&gt;0,(AQ27/AF61),0)</f>
        <v>-0.26666666666666666</v>
      </c>
      <c r="AA14" s="384"/>
      <c r="AB14" s="384"/>
      <c r="AC14" s="387">
        <f>IF(AF75=0,0,(AF67/AF75))</f>
        <v>0.14285714285714285</v>
      </c>
      <c r="AD14" s="388"/>
      <c r="AE14" s="389"/>
      <c r="AF14" s="393">
        <v>4</v>
      </c>
      <c r="AG14" s="393">
        <v>1</v>
      </c>
      <c r="AH14" s="395"/>
      <c r="AI14" s="396"/>
      <c r="AJ14" s="138"/>
      <c r="AK14" s="170"/>
      <c r="AL14" s="170"/>
      <c r="AM14" s="170"/>
      <c r="AN14" s="170"/>
      <c r="AO14" s="170"/>
      <c r="AP14" s="170"/>
      <c r="AQ14" s="160"/>
      <c r="AR14" s="161"/>
      <c r="AT14" s="411"/>
      <c r="AU14" s="412"/>
      <c r="AV14" s="412"/>
      <c r="AW14" s="412"/>
      <c r="AX14" s="412"/>
      <c r="AY14" s="413"/>
    </row>
    <row r="15" spans="1:53" ht="18.75" customHeight="1" thickBot="1" x14ac:dyDescent="0.25">
      <c r="A15" s="372"/>
      <c r="B15" s="404" t="s">
        <v>11</v>
      </c>
      <c r="C15" s="405"/>
      <c r="D15" s="405"/>
      <c r="E15" s="402" t="str">
        <f>AV10</f>
        <v>fj3scmid3pm</v>
      </c>
      <c r="F15" s="403"/>
      <c r="G15" s="403"/>
      <c r="H15" s="403"/>
      <c r="I15" s="403"/>
      <c r="J15" s="403"/>
      <c r="K15" s="403"/>
      <c r="L15" s="381"/>
      <c r="M15" s="382"/>
      <c r="N15" s="382"/>
      <c r="O15" s="382"/>
      <c r="P15" s="382"/>
      <c r="Q15" s="360"/>
      <c r="R15" s="381"/>
      <c r="S15" s="382"/>
      <c r="T15" s="382"/>
      <c r="U15" s="382"/>
      <c r="V15" s="382"/>
      <c r="W15" s="381"/>
      <c r="X15" s="382"/>
      <c r="Y15" s="382"/>
      <c r="Z15" s="385"/>
      <c r="AA15" s="386"/>
      <c r="AB15" s="386"/>
      <c r="AC15" s="390"/>
      <c r="AD15" s="391"/>
      <c r="AE15" s="392"/>
      <c r="AF15" s="394"/>
      <c r="AG15" s="394"/>
      <c r="AH15" s="397"/>
      <c r="AI15" s="398"/>
      <c r="AJ15" s="138"/>
      <c r="AK15" s="170"/>
      <c r="AL15" s="170"/>
      <c r="AM15" s="170"/>
      <c r="AN15" s="170"/>
      <c r="AO15" s="170"/>
      <c r="AP15" s="170"/>
      <c r="AQ15" s="138"/>
      <c r="AR15" s="133"/>
    </row>
    <row r="16" spans="1:53" ht="18.75" customHeight="1" x14ac:dyDescent="0.2">
      <c r="A16" s="371" t="str">
        <f>IF($AK9&gt;4,"5","")</f>
        <v/>
      </c>
      <c r="B16" s="406" t="s">
        <v>10</v>
      </c>
      <c r="C16" s="407"/>
      <c r="D16" s="407"/>
      <c r="E16" s="376">
        <f>AU11</f>
        <v>0</v>
      </c>
      <c r="F16" s="377"/>
      <c r="G16" s="377"/>
      <c r="H16" s="377"/>
      <c r="I16" s="377"/>
      <c r="J16" s="377"/>
      <c r="K16" s="378"/>
      <c r="L16" s="379">
        <f>IF($AK10=0,AF68,AF50)</f>
        <v>0</v>
      </c>
      <c r="M16" s="380"/>
      <c r="N16" s="380"/>
      <c r="O16" s="380"/>
      <c r="P16" s="380"/>
      <c r="Q16" s="360"/>
      <c r="R16" s="379">
        <f>IF($AK10=0,AG68,AG50)</f>
        <v>0</v>
      </c>
      <c r="S16" s="380"/>
      <c r="T16" s="380"/>
      <c r="U16" s="380"/>
      <c r="V16" s="380"/>
      <c r="W16" s="379">
        <f>AQ28</f>
        <v>0</v>
      </c>
      <c r="X16" s="380"/>
      <c r="Y16" s="380"/>
      <c r="Z16" s="383">
        <f>IF(AF62&gt;0,(AQ28/AF62),0)</f>
        <v>0</v>
      </c>
      <c r="AA16" s="384"/>
      <c r="AB16" s="384"/>
      <c r="AC16" s="387">
        <f>IF(AF76=0,0,(AF68/AF76))</f>
        <v>0</v>
      </c>
      <c r="AD16" s="388"/>
      <c r="AE16" s="389"/>
      <c r="AF16" s="393"/>
      <c r="AG16" s="393"/>
      <c r="AH16" s="395"/>
      <c r="AI16" s="396"/>
      <c r="AJ16" s="138"/>
      <c r="AK16" s="170"/>
      <c r="AL16" s="170"/>
      <c r="AM16" s="170"/>
      <c r="AN16" s="170"/>
      <c r="AO16" s="170"/>
      <c r="AP16" s="170"/>
      <c r="AQ16" s="138"/>
      <c r="AR16" s="133"/>
      <c r="AS16" s="165"/>
      <c r="AT16" s="166"/>
      <c r="AU16" s="166"/>
    </row>
    <row r="17" spans="1:47" ht="18.75" customHeight="1" thickBot="1" x14ac:dyDescent="0.25">
      <c r="A17" s="372"/>
      <c r="B17" s="424" t="s">
        <v>11</v>
      </c>
      <c r="C17" s="425"/>
      <c r="D17" s="425"/>
      <c r="E17" s="426">
        <f>AV11</f>
        <v>0</v>
      </c>
      <c r="F17" s="427"/>
      <c r="G17" s="427"/>
      <c r="H17" s="427"/>
      <c r="I17" s="427"/>
      <c r="J17" s="427"/>
      <c r="K17" s="427"/>
      <c r="L17" s="414"/>
      <c r="M17" s="415"/>
      <c r="N17" s="415"/>
      <c r="O17" s="415"/>
      <c r="P17" s="415"/>
      <c r="Q17" s="360"/>
      <c r="R17" s="414"/>
      <c r="S17" s="415"/>
      <c r="T17" s="415"/>
      <c r="U17" s="415"/>
      <c r="V17" s="415"/>
      <c r="W17" s="414"/>
      <c r="X17" s="415"/>
      <c r="Y17" s="415"/>
      <c r="Z17" s="416"/>
      <c r="AA17" s="417"/>
      <c r="AB17" s="417"/>
      <c r="AC17" s="418"/>
      <c r="AD17" s="419"/>
      <c r="AE17" s="420"/>
      <c r="AF17" s="421"/>
      <c r="AG17" s="421"/>
      <c r="AH17" s="422"/>
      <c r="AI17" s="423"/>
      <c r="AJ17" s="138"/>
      <c r="AK17" s="170"/>
      <c r="AL17" s="170"/>
      <c r="AM17" s="170"/>
      <c r="AN17" s="170"/>
      <c r="AO17" s="170"/>
      <c r="AP17" s="170"/>
      <c r="AQ17" s="138"/>
      <c r="AR17" s="133"/>
      <c r="AS17" s="165"/>
      <c r="AT17" s="166"/>
      <c r="AU17" s="166"/>
    </row>
    <row r="18" spans="1:47" ht="21" customHeight="1" thickTop="1" thickBot="1" x14ac:dyDescent="0.25">
      <c r="A18" s="172"/>
      <c r="B18" s="428" t="s">
        <v>1119</v>
      </c>
      <c r="C18" s="429"/>
      <c r="D18" s="429"/>
      <c r="E18" s="429"/>
      <c r="F18" s="429"/>
      <c r="G18" s="429"/>
      <c r="H18" s="429"/>
      <c r="I18" s="429"/>
      <c r="J18" s="429"/>
      <c r="K18" s="429"/>
      <c r="L18" s="429"/>
      <c r="M18" s="429"/>
      <c r="N18" s="429"/>
      <c r="O18" s="429"/>
      <c r="P18" s="429"/>
      <c r="Q18" s="429"/>
      <c r="R18" s="429"/>
      <c r="S18" s="429"/>
      <c r="T18" s="429"/>
      <c r="U18" s="429"/>
      <c r="V18" s="429"/>
      <c r="W18" s="429"/>
      <c r="X18" s="429"/>
      <c r="Y18" s="429"/>
      <c r="Z18" s="429"/>
      <c r="AA18" s="429"/>
      <c r="AB18" s="429"/>
      <c r="AC18" s="429"/>
      <c r="AD18" s="429"/>
      <c r="AE18" s="429"/>
      <c r="AF18" s="429"/>
      <c r="AG18" s="429"/>
      <c r="AH18" s="429"/>
      <c r="AI18" s="430"/>
      <c r="AJ18" s="138"/>
      <c r="AK18" s="170"/>
      <c r="AL18" s="170"/>
      <c r="AM18" s="170"/>
      <c r="AN18" s="170"/>
      <c r="AO18" s="170"/>
      <c r="AP18" s="170"/>
      <c r="AQ18" s="138"/>
      <c r="AR18" s="133"/>
      <c r="AS18" s="165"/>
      <c r="AT18" s="166"/>
      <c r="AU18" s="166"/>
    </row>
    <row r="19" spans="1:47" ht="13.5" customHeight="1" thickTop="1" x14ac:dyDescent="0.2">
      <c r="A19" s="134" t="s">
        <v>64</v>
      </c>
      <c r="B19" s="431">
        <v>0.35416666666666669</v>
      </c>
      <c r="C19" s="432"/>
      <c r="D19" s="433"/>
      <c r="E19" s="431">
        <v>0.39583333333333331</v>
      </c>
      <c r="F19" s="432"/>
      <c r="G19" s="433"/>
      <c r="H19" s="431">
        <v>0.4375</v>
      </c>
      <c r="I19" s="432"/>
      <c r="J19" s="433"/>
      <c r="K19" s="431">
        <v>0.5</v>
      </c>
      <c r="L19" s="432"/>
      <c r="M19" s="433"/>
      <c r="N19" s="431">
        <v>4.1666666666666664E-2</v>
      </c>
      <c r="O19" s="432"/>
      <c r="P19" s="433"/>
      <c r="Q19" s="431">
        <v>8.3333333333333329E-2</v>
      </c>
      <c r="R19" s="432"/>
      <c r="S19" s="433"/>
      <c r="T19" s="431">
        <v>4.1666666666666664E-2</v>
      </c>
      <c r="U19" s="432"/>
      <c r="V19" s="433"/>
      <c r="W19" s="431">
        <v>7.2916666666666671E-2</v>
      </c>
      <c r="X19" s="432"/>
      <c r="Y19" s="433"/>
      <c r="Z19" s="431">
        <v>0.10416666666666667</v>
      </c>
      <c r="AA19" s="432"/>
      <c r="AB19" s="433"/>
      <c r="AC19" s="431">
        <v>0.13541666666666666</v>
      </c>
      <c r="AD19" s="432"/>
      <c r="AE19" s="433"/>
      <c r="AF19" s="434" t="s">
        <v>65</v>
      </c>
      <c r="AG19" s="435"/>
      <c r="AH19" s="435"/>
      <c r="AI19" s="435"/>
      <c r="AJ19" s="436"/>
      <c r="AK19" s="436"/>
      <c r="AL19" s="436"/>
      <c r="AM19" s="436"/>
      <c r="AN19" s="436"/>
      <c r="AO19" s="436"/>
      <c r="AP19" s="436"/>
      <c r="AQ19" s="437"/>
      <c r="AS19" s="165"/>
      <c r="AT19" s="166"/>
      <c r="AU19" s="166"/>
    </row>
    <row r="20" spans="1:47" x14ac:dyDescent="0.2">
      <c r="A20" s="173" t="s">
        <v>66</v>
      </c>
      <c r="B20" s="442">
        <v>0.35416666666666669</v>
      </c>
      <c r="C20" s="443"/>
      <c r="D20" s="444"/>
      <c r="E20" s="442">
        <v>0.41666666666666669</v>
      </c>
      <c r="F20" s="443"/>
      <c r="G20" s="444"/>
      <c r="H20" s="442">
        <v>1030</v>
      </c>
      <c r="I20" s="443"/>
      <c r="J20" s="444"/>
      <c r="K20" s="442"/>
      <c r="L20" s="443"/>
      <c r="M20" s="444"/>
      <c r="N20" s="442"/>
      <c r="O20" s="443"/>
      <c r="P20" s="444"/>
      <c r="Q20" s="442"/>
      <c r="R20" s="443"/>
      <c r="S20" s="444"/>
      <c r="T20" s="442"/>
      <c r="U20" s="443"/>
      <c r="V20" s="444"/>
      <c r="W20" s="442"/>
      <c r="X20" s="443"/>
      <c r="Y20" s="444"/>
      <c r="Z20" s="442"/>
      <c r="AA20" s="443"/>
      <c r="AB20" s="444"/>
      <c r="AC20" s="442"/>
      <c r="AD20" s="443"/>
      <c r="AE20" s="444"/>
      <c r="AF20" s="434"/>
      <c r="AG20" s="435"/>
      <c r="AH20" s="435"/>
      <c r="AI20" s="435"/>
      <c r="AJ20" s="435"/>
      <c r="AK20" s="435"/>
      <c r="AL20" s="435"/>
      <c r="AM20" s="435"/>
      <c r="AN20" s="435"/>
      <c r="AO20" s="435"/>
      <c r="AP20" s="435"/>
      <c r="AQ20" s="438"/>
      <c r="AS20" s="165"/>
      <c r="AT20" s="166"/>
      <c r="AU20" s="166"/>
    </row>
    <row r="21" spans="1:47" x14ac:dyDescent="0.2">
      <c r="A21" s="173" t="s">
        <v>67</v>
      </c>
      <c r="B21" s="442">
        <v>0.40138888888888885</v>
      </c>
      <c r="C21" s="443"/>
      <c r="D21" s="444"/>
      <c r="E21" s="442">
        <v>0.46875</v>
      </c>
      <c r="F21" s="443"/>
      <c r="G21" s="444"/>
      <c r="H21" s="442"/>
      <c r="I21" s="443"/>
      <c r="J21" s="444"/>
      <c r="K21" s="442"/>
      <c r="L21" s="443"/>
      <c r="M21" s="444"/>
      <c r="N21" s="442"/>
      <c r="O21" s="443"/>
      <c r="P21" s="444"/>
      <c r="Q21" s="442"/>
      <c r="R21" s="443"/>
      <c r="S21" s="444"/>
      <c r="T21" s="442"/>
      <c r="U21" s="443"/>
      <c r="V21" s="444"/>
      <c r="W21" s="442"/>
      <c r="X21" s="443"/>
      <c r="Y21" s="444"/>
      <c r="Z21" s="442"/>
      <c r="AA21" s="443"/>
      <c r="AB21" s="444"/>
      <c r="AC21" s="442"/>
      <c r="AD21" s="443"/>
      <c r="AE21" s="444"/>
      <c r="AF21" s="434"/>
      <c r="AG21" s="435"/>
      <c r="AH21" s="435"/>
      <c r="AI21" s="435"/>
      <c r="AJ21" s="435"/>
      <c r="AK21" s="435"/>
      <c r="AL21" s="435"/>
      <c r="AM21" s="435"/>
      <c r="AN21" s="435"/>
      <c r="AO21" s="435"/>
      <c r="AP21" s="435"/>
      <c r="AQ21" s="438"/>
      <c r="AS21" s="137"/>
      <c r="AT21" s="137"/>
      <c r="AU21" s="137"/>
    </row>
    <row r="22" spans="1:47" ht="13.5" thickBot="1" x14ac:dyDescent="0.25">
      <c r="A22" s="138"/>
      <c r="B22" s="445" t="s">
        <v>68</v>
      </c>
      <c r="C22" s="446"/>
      <c r="D22" s="447"/>
      <c r="E22" s="445" t="str">
        <f>IF(AK8&gt;1,"Match 2","")</f>
        <v>Match 2</v>
      </c>
      <c r="F22" s="446"/>
      <c r="G22" s="447"/>
      <c r="H22" s="445" t="str">
        <f>IF(AK8&gt;2,"Match 3","")</f>
        <v>Match 3</v>
      </c>
      <c r="I22" s="446"/>
      <c r="J22" s="447"/>
      <c r="K22" s="445" t="str">
        <f>IF(AK8&gt;3,"Match 4","")</f>
        <v>Match 4</v>
      </c>
      <c r="L22" s="446"/>
      <c r="M22" s="447"/>
      <c r="N22" s="445" t="str">
        <f>IF(AK8&gt;4,"Match 5","")</f>
        <v>Match 5</v>
      </c>
      <c r="O22" s="446"/>
      <c r="P22" s="447"/>
      <c r="Q22" s="445" t="str">
        <f>IF(AK8&gt;5,"Match 6","")</f>
        <v>Match 6</v>
      </c>
      <c r="R22" s="446"/>
      <c r="S22" s="447"/>
      <c r="T22" s="445" t="str">
        <f>IF(AK8&gt;6,"Match 7","")</f>
        <v/>
      </c>
      <c r="U22" s="446"/>
      <c r="V22" s="447"/>
      <c r="W22" s="445" t="str">
        <f>IF(AK8&gt;7,"Match 8","")</f>
        <v/>
      </c>
      <c r="X22" s="446"/>
      <c r="Y22" s="447"/>
      <c r="Z22" s="445" t="str">
        <f>IF(AK8&gt;8,"Match 9","")</f>
        <v/>
      </c>
      <c r="AA22" s="446"/>
      <c r="AB22" s="447"/>
      <c r="AC22" s="445" t="str">
        <f>IF(AK8&gt;9,"Match 10","")</f>
        <v/>
      </c>
      <c r="AD22" s="446"/>
      <c r="AE22" s="447"/>
      <c r="AF22" s="439"/>
      <c r="AG22" s="440"/>
      <c r="AH22" s="440"/>
      <c r="AI22" s="440"/>
      <c r="AJ22" s="440"/>
      <c r="AK22" s="440"/>
      <c r="AL22" s="440"/>
      <c r="AM22" s="440"/>
      <c r="AN22" s="440"/>
      <c r="AO22" s="440"/>
      <c r="AP22" s="440"/>
      <c r="AQ22" s="441"/>
      <c r="AS22" s="165"/>
      <c r="AT22" s="166"/>
      <c r="AU22" s="166"/>
    </row>
    <row r="23" spans="1:47" ht="15.75" x14ac:dyDescent="0.25">
      <c r="A23" s="138"/>
      <c r="B23" s="448" t="s">
        <v>71</v>
      </c>
      <c r="C23" s="449"/>
      <c r="D23" s="450"/>
      <c r="E23" s="448" t="s">
        <v>73</v>
      </c>
      <c r="F23" s="449"/>
      <c r="G23" s="450"/>
      <c r="H23" s="448" t="s">
        <v>70</v>
      </c>
      <c r="I23" s="449"/>
      <c r="J23" s="450"/>
      <c r="K23" s="448" t="s">
        <v>69</v>
      </c>
      <c r="L23" s="449"/>
      <c r="M23" s="450"/>
      <c r="N23" s="448" t="s">
        <v>73</v>
      </c>
      <c r="O23" s="449"/>
      <c r="P23" s="450"/>
      <c r="Q23" s="448" t="s">
        <v>70</v>
      </c>
      <c r="R23" s="449"/>
      <c r="S23" s="450"/>
      <c r="T23" s="448" t="s">
        <v>69</v>
      </c>
      <c r="U23" s="449"/>
      <c r="V23" s="450"/>
      <c r="W23" s="448" t="s">
        <v>73</v>
      </c>
      <c r="X23" s="449"/>
      <c r="Y23" s="450"/>
      <c r="Z23" s="448" t="s">
        <v>1117</v>
      </c>
      <c r="AA23" s="449"/>
      <c r="AB23" s="450"/>
      <c r="AC23" s="448" t="s">
        <v>70</v>
      </c>
      <c r="AD23" s="449"/>
      <c r="AE23" s="450"/>
      <c r="AF23" s="174" t="s">
        <v>74</v>
      </c>
      <c r="AG23" s="175">
        <v>1</v>
      </c>
      <c r="AH23" s="175">
        <v>2</v>
      </c>
      <c r="AI23" s="175">
        <v>3</v>
      </c>
      <c r="AJ23" s="175">
        <v>4</v>
      </c>
      <c r="AK23" s="175">
        <v>5</v>
      </c>
      <c r="AL23" s="175">
        <v>6</v>
      </c>
      <c r="AM23" s="175">
        <v>7</v>
      </c>
      <c r="AN23" s="175">
        <v>8</v>
      </c>
      <c r="AO23" s="175">
        <v>9</v>
      </c>
      <c r="AP23" s="175">
        <v>10</v>
      </c>
      <c r="AQ23" s="176" t="s">
        <v>75</v>
      </c>
      <c r="AS23" s="171"/>
      <c r="AT23" s="166"/>
      <c r="AU23" s="166"/>
    </row>
    <row r="24" spans="1:47" ht="15.75" x14ac:dyDescent="0.25">
      <c r="A24" s="138"/>
      <c r="B24" s="177">
        <v>2</v>
      </c>
      <c r="C24" s="178" t="s">
        <v>76</v>
      </c>
      <c r="D24" s="179">
        <v>3</v>
      </c>
      <c r="E24" s="177">
        <v>1</v>
      </c>
      <c r="F24" s="178" t="str">
        <f>IF(AK8&gt;1,"v","")</f>
        <v>v</v>
      </c>
      <c r="G24" s="179">
        <v>4</v>
      </c>
      <c r="H24" s="177">
        <v>2</v>
      </c>
      <c r="I24" s="178" t="str">
        <f>IF(AK8&gt;2,"v","")</f>
        <v>v</v>
      </c>
      <c r="J24" s="179">
        <v>4</v>
      </c>
      <c r="K24" s="177">
        <v>1</v>
      </c>
      <c r="L24" s="178" t="str">
        <f>IF(AK8&gt;3,"v","")</f>
        <v>v</v>
      </c>
      <c r="M24" s="179">
        <v>3</v>
      </c>
      <c r="N24" s="177">
        <v>3</v>
      </c>
      <c r="O24" s="178" t="str">
        <f>IF(AK8&gt;4,"v","")</f>
        <v>v</v>
      </c>
      <c r="P24" s="179">
        <v>4</v>
      </c>
      <c r="Q24" s="177">
        <v>1</v>
      </c>
      <c r="R24" s="178" t="str">
        <f>IF(AK8&gt;5,"v","")</f>
        <v>v</v>
      </c>
      <c r="S24" s="179">
        <v>2</v>
      </c>
      <c r="T24" s="177">
        <v>2</v>
      </c>
      <c r="U24" s="178" t="str">
        <f>IF(AK8&gt;6,"v","")</f>
        <v/>
      </c>
      <c r="V24" s="179">
        <v>3</v>
      </c>
      <c r="W24" s="177">
        <v>1</v>
      </c>
      <c r="X24" s="178" t="str">
        <f>IF(AK8&gt;7,"v","")</f>
        <v/>
      </c>
      <c r="Y24" s="179">
        <v>5</v>
      </c>
      <c r="Z24" s="177">
        <v>3</v>
      </c>
      <c r="AA24" s="178" t="str">
        <f>IF(AK8&gt;8,"v","")</f>
        <v/>
      </c>
      <c r="AB24" s="179">
        <v>4</v>
      </c>
      <c r="AC24" s="177">
        <v>1</v>
      </c>
      <c r="AD24" s="178" t="str">
        <f>IF(AK8&gt;9,"v","")</f>
        <v/>
      </c>
      <c r="AE24" s="179">
        <v>2</v>
      </c>
      <c r="AF24" s="174" t="str">
        <f>IF(AK9&gt;0,"Team 1","")</f>
        <v>Team 1</v>
      </c>
      <c r="AG24" s="180" t="str">
        <f>IF(AK9&lt;1,"",IF(AK8&lt;1,"",IF(B24=1,B30-D30,IF(D24=1,D30-B30,""))))</f>
        <v/>
      </c>
      <c r="AH24" s="180">
        <f>IF(AK9&lt;1,"",IF(AK8&lt;2,"",IF(E24=1,E30-G30,IF(G24=1,G30-E30,""))))</f>
        <v>3</v>
      </c>
      <c r="AI24" s="180" t="str">
        <f>IF(AK9&lt;1,"",IF(AK8&lt;3,"",IF(H24=1,H30-J30,IF(J24=1,J30-H30,""))))</f>
        <v/>
      </c>
      <c r="AJ24" s="180">
        <f>IF(AK9&lt;1,"",IF(AK8&lt;4,"",IF(K24=1,K30-M30,IF(M24=1,M30-K30,""))))</f>
        <v>-13</v>
      </c>
      <c r="AK24" s="180" t="str">
        <f>IF(AK9&lt;1,"",IF(AK8&lt;5,"",IF(N24=1,N30-P30,IF(P24=1,P30-N30,""))))</f>
        <v/>
      </c>
      <c r="AL24" s="180">
        <f>IF(AK9&lt;1,"",IF(AK8&lt;6,"",IF(Q24=1,Q30-S30,IF(S24=1,S30-Q30,""))))</f>
        <v>-12</v>
      </c>
      <c r="AM24" s="180" t="str">
        <f>IF(AK9&lt;1,"",IF(AK8&lt;7,"",IF(T24=1,T30-V30,IF(V24=1,V30-T30,""))))</f>
        <v/>
      </c>
      <c r="AN24" s="180" t="str">
        <f>IF(AK9&lt;1,"",IF(AK8&lt;8,"",IF(W24=1,W30-Y30,IF(Y24=1,Y30-W30,""))))</f>
        <v/>
      </c>
      <c r="AO24" s="180" t="str">
        <f>IF(AK9&lt;1,"",IF(AK8&lt;9,"",IF(Z24=1,Z30-AB30,IF(AB24=1,AB30-Z30,""))))</f>
        <v/>
      </c>
      <c r="AP24" s="180" t="str">
        <f>IF(AK9&lt;1,"",IF(AK8&lt;10,"",IF(AC24=1,AC30-AE30,IF(AE24=1,AE30-AC30,""))))</f>
        <v/>
      </c>
      <c r="AQ24" s="176">
        <f>SUM(AG24:AP24)</f>
        <v>-22</v>
      </c>
      <c r="AS24" s="171"/>
      <c r="AT24" s="166"/>
      <c r="AU24" s="166"/>
    </row>
    <row r="25" spans="1:47" ht="15" x14ac:dyDescent="0.2">
      <c r="A25" s="134" t="s">
        <v>77</v>
      </c>
      <c r="B25" s="181">
        <v>19</v>
      </c>
      <c r="C25" s="182" t="s">
        <v>78</v>
      </c>
      <c r="D25" s="183">
        <v>25</v>
      </c>
      <c r="E25" s="181">
        <v>21</v>
      </c>
      <c r="F25" s="182" t="str">
        <f>IF(AK8&gt;1,"/","")</f>
        <v>/</v>
      </c>
      <c r="G25" s="183">
        <v>25</v>
      </c>
      <c r="H25" s="181">
        <v>25</v>
      </c>
      <c r="I25" s="182" t="str">
        <f>IF(AK8&gt;2,"/","")</f>
        <v>/</v>
      </c>
      <c r="J25" s="183">
        <v>16</v>
      </c>
      <c r="K25" s="181">
        <v>19</v>
      </c>
      <c r="L25" s="182" t="str">
        <f>IF(AK8&gt;3,"/","")</f>
        <v>/</v>
      </c>
      <c r="M25" s="183">
        <v>25</v>
      </c>
      <c r="N25" s="181">
        <v>25</v>
      </c>
      <c r="O25" s="182" t="str">
        <f>IF(AK8&gt;4,"/","")</f>
        <v>/</v>
      </c>
      <c r="P25" s="183">
        <v>15</v>
      </c>
      <c r="Q25" s="181">
        <v>18</v>
      </c>
      <c r="R25" s="182" t="str">
        <f>IF(AK8&gt;5,"/","")</f>
        <v>/</v>
      </c>
      <c r="S25" s="183">
        <v>25</v>
      </c>
      <c r="T25" s="181"/>
      <c r="U25" s="182" t="str">
        <f>IF(AK8&gt;6,"/","")</f>
        <v/>
      </c>
      <c r="V25" s="183"/>
      <c r="W25" s="181"/>
      <c r="X25" s="182" t="str">
        <f>IF(AK8&gt;7,"/","")</f>
        <v/>
      </c>
      <c r="Y25" s="183"/>
      <c r="Z25" s="181"/>
      <c r="AA25" s="182" t="str">
        <f>IF(AK8&gt;8,"/","")</f>
        <v/>
      </c>
      <c r="AB25" s="183"/>
      <c r="AC25" s="181"/>
      <c r="AD25" s="182" t="str">
        <f>IF(AK8&gt;9,"/","")</f>
        <v/>
      </c>
      <c r="AE25" s="183"/>
      <c r="AF25" s="174" t="str">
        <f>IF(AK9&gt;1,"Team 2","")</f>
        <v>Team 2</v>
      </c>
      <c r="AG25" s="180">
        <f>IF(AK9&lt;2,"",IF(AK8&lt;1,"",IF(B24=2,B30-D30,IF(D24=2,D30-B30,""))))</f>
        <v>-6</v>
      </c>
      <c r="AH25" s="180" t="str">
        <f>IF(AK9&lt;2,"",IF(AK8&lt;2,"",IF(E24=2,E30-G30,IF(G24=2,G30-E30,""))))</f>
        <v/>
      </c>
      <c r="AI25" s="180">
        <f>IF(AK9&lt;2,"",IF(AK8&lt;3,"",IF(H24=2,H30-J30,IF(J24=2,J30-H30,""))))</f>
        <v>22</v>
      </c>
      <c r="AJ25" s="180" t="str">
        <f>IF(AK9&lt;2,"",IF(AK8&lt;4,"",IF(K24=2,K30-M30,IF(M24=2,M30-K30,""))))</f>
        <v/>
      </c>
      <c r="AK25" s="180" t="str">
        <f>IF(AK9&lt;2,"",IF(AK8&lt;5,"",IF(N24=2,N30-P30,IF(P24=2,P30-N30,""))))</f>
        <v/>
      </c>
      <c r="AL25" s="180">
        <f>IF(AK9&lt;2,"",IF(AK8&lt;6,"",IF(Q24=2,Q30-S30,IF(S24=2,S30-Q30,""))))</f>
        <v>12</v>
      </c>
      <c r="AM25" s="180" t="str">
        <f>IF(AK9&lt;2,"",IF(AK8&lt;7,"",IF(T24=2,T30-V30,IF(V24=2,V30-T30,""))))</f>
        <v/>
      </c>
      <c r="AN25" s="180" t="str">
        <f>IF(AK9&lt;2,"",IF(AK8&lt;8,"",IF(W24=2,W30-Y30,IF(Y24=2,Y30-W30,""))))</f>
        <v/>
      </c>
      <c r="AO25" s="180" t="str">
        <f>IF(AK9&lt;2,"",IF(AK8&lt;9,"",IF(Z24=2,Z30-AB30,IF(AB24=2,AB30-Z30,""))))</f>
        <v/>
      </c>
      <c r="AP25" s="180" t="str">
        <f>IF(AK9&lt;2,"",IF(AK8&lt;10,"",IF(AC24=2,AC30-AE30,IF(AE24=2,AE30-AC30,""))))</f>
        <v/>
      </c>
      <c r="AQ25" s="176">
        <f>SUM(AG25:AP25)</f>
        <v>28</v>
      </c>
    </row>
    <row r="26" spans="1:47" ht="15" x14ac:dyDescent="0.2">
      <c r="A26" s="133" t="str">
        <f>IF(AK7&gt;1,"Game 2","")</f>
        <v>Game 2</v>
      </c>
      <c r="B26" s="181">
        <v>25</v>
      </c>
      <c r="C26" s="182" t="s">
        <v>78</v>
      </c>
      <c r="D26" s="183">
        <v>19</v>
      </c>
      <c r="E26" s="181">
        <v>25</v>
      </c>
      <c r="F26" s="182" t="str">
        <f>IF(AK8&gt;1,IF(AK7&gt;1,"/",""),"")</f>
        <v>/</v>
      </c>
      <c r="G26" s="183">
        <v>20</v>
      </c>
      <c r="H26" s="181">
        <v>25</v>
      </c>
      <c r="I26" s="182" t="str">
        <f>IF(AK8&gt;2,IF(AK7&gt;1,"/",""),"")</f>
        <v>/</v>
      </c>
      <c r="J26" s="183">
        <v>12</v>
      </c>
      <c r="K26" s="181">
        <v>18</v>
      </c>
      <c r="L26" s="182" t="str">
        <f>IF(AK8&gt;3,IF(AK7&gt;1,"/",""),"")</f>
        <v>/</v>
      </c>
      <c r="M26" s="183">
        <v>25</v>
      </c>
      <c r="N26" s="181">
        <v>25</v>
      </c>
      <c r="O26" s="182" t="str">
        <f>IF(AK8&gt;4,IF(AK7&gt;1,"/",""),"")</f>
        <v>/</v>
      </c>
      <c r="P26" s="183">
        <v>16</v>
      </c>
      <c r="Q26" s="181">
        <v>25</v>
      </c>
      <c r="R26" s="182" t="str">
        <f>IF(AK8&gt;5,IF(AK7&gt;1,"/",""),"")</f>
        <v>/</v>
      </c>
      <c r="S26" s="183">
        <v>23</v>
      </c>
      <c r="T26" s="181"/>
      <c r="U26" s="182" t="str">
        <f>IF(AK8&gt;6,IF(AK7&gt;1,"/",""),"")</f>
        <v/>
      </c>
      <c r="V26" s="183"/>
      <c r="W26" s="181"/>
      <c r="X26" s="182" t="str">
        <f>IF(AK8&gt;7,IF(AK7&gt;1,"/",""),"")</f>
        <v/>
      </c>
      <c r="Y26" s="183"/>
      <c r="Z26" s="181"/>
      <c r="AA26" s="182" t="str">
        <f>IF(AK8&gt;8,IF(AK7&gt;1,"/",""),"")</f>
        <v/>
      </c>
      <c r="AB26" s="183"/>
      <c r="AC26" s="181"/>
      <c r="AD26" s="182" t="str">
        <f>IF(AK8&gt;9,IF(AK7&gt;1,"/",""),"")</f>
        <v/>
      </c>
      <c r="AE26" s="183"/>
      <c r="AF26" s="174" t="str">
        <f>IF(AK9&gt;2,"Team 3","")</f>
        <v>Team 3</v>
      </c>
      <c r="AG26" s="180">
        <f>IF(AK9&lt;3,"",IF(AK8&lt;1,"",IF(B24=3,B30-D30,IF(D24=3,D30-B30,""))))</f>
        <v>6</v>
      </c>
      <c r="AH26" s="180" t="str">
        <f>IF(AK9&lt;3,"",IF(AK8&lt;2,"",IF(E24=3,E30-G30,IF(G24=3,G30-E30,""))))</f>
        <v/>
      </c>
      <c r="AI26" s="180" t="str">
        <f>IF(AK9&lt;3,"",IF(AK8&lt;3,"",IF(H24=3,H30-J30,IF(J24=3,J30-H30,""))))</f>
        <v/>
      </c>
      <c r="AJ26" s="180">
        <f>IF(AK9&lt;3,"",IF(AK8&lt;4,"",IF(K24=3,K30-M30,IF(M24=3,M30-K30,""))))</f>
        <v>13</v>
      </c>
      <c r="AK26" s="180">
        <f>IF(AK9&lt;3,"",IF(AK8&lt;5,"",IF(N24=3,N30-P30,IF(P24=3,P30-N30,""))))</f>
        <v>19</v>
      </c>
      <c r="AL26" s="180" t="str">
        <f>IF(AK9&lt;3,"",IF(AK8&lt;6,"",IF(Q24=3,Q30-S30,IF(S24=3,S30-Q30,""))))</f>
        <v/>
      </c>
      <c r="AM26" s="180" t="str">
        <f>IF(AK9&lt;3,"",IF(AK8&lt;7,"",IF(T24=3,T30-V30,IF(V24=3,V30-T30,""))))</f>
        <v/>
      </c>
      <c r="AN26" s="180" t="str">
        <f>IF(AK9&lt;3,"",IF(AK8&lt;8,"",IF(W24=3,W30-Y30,IF(Y24=3,Y30-W30,""))))</f>
        <v/>
      </c>
      <c r="AO26" s="180" t="str">
        <f>IF(AK9&lt;3,"",IF(AK8&lt;9,"",IF(Z24=3,Z30-AB30,IF(AB24=3,AB30-Z30,""))))</f>
        <v/>
      </c>
      <c r="AP26" s="180" t="str">
        <f>IF(AK9&lt;3,"",IF(AK8&lt;9,"",IF(AC24=3,AC30-AE30,IF(AE24=3,AE30-AC30,""))))</f>
        <v/>
      </c>
      <c r="AQ26" s="176">
        <f>SUM(AG26:AP26)</f>
        <v>38</v>
      </c>
    </row>
    <row r="27" spans="1:47" ht="15" x14ac:dyDescent="0.2">
      <c r="A27" s="133" t="str">
        <f>IF(AK7&gt;2,"Game 3","")</f>
        <v>Game 3</v>
      </c>
      <c r="B27" s="181">
        <v>9</v>
      </c>
      <c r="C27" s="182" t="s">
        <v>78</v>
      </c>
      <c r="D27" s="183">
        <v>15</v>
      </c>
      <c r="E27" s="181">
        <v>15</v>
      </c>
      <c r="F27" s="182" t="str">
        <f>IF(AK8&gt;1,IF(AK7&gt;2,"/",""),"")</f>
        <v>/</v>
      </c>
      <c r="G27" s="183">
        <v>13</v>
      </c>
      <c r="H27" s="181"/>
      <c r="I27" s="182" t="str">
        <f>IF(AK8&gt;2,IF(AK7&gt;2,"/",""),"")</f>
        <v>/</v>
      </c>
      <c r="J27" s="183"/>
      <c r="K27" s="181"/>
      <c r="L27" s="182" t="str">
        <f>IF(AK8&gt;3,IF(AK7&gt;2,"/",""),"")</f>
        <v>/</v>
      </c>
      <c r="M27" s="183"/>
      <c r="N27" s="181"/>
      <c r="O27" s="182" t="str">
        <f>IF(AK8&gt;4,IF(AK7&gt;2,"/",""),"")</f>
        <v>/</v>
      </c>
      <c r="P27" s="183"/>
      <c r="Q27" s="181">
        <v>8</v>
      </c>
      <c r="R27" s="182" t="str">
        <f>IF(AK8&gt;5,IF(AK7&gt;2,"/",""),"")</f>
        <v>/</v>
      </c>
      <c r="S27" s="183">
        <v>15</v>
      </c>
      <c r="T27" s="181"/>
      <c r="U27" s="182" t="str">
        <f>IF(AK8&gt;6,IF(AK7&gt;2,"/",""),"")</f>
        <v/>
      </c>
      <c r="V27" s="183"/>
      <c r="W27" s="181"/>
      <c r="X27" s="182" t="str">
        <f>IF(AK8&gt;7,IF(AK7&gt;2,"/",""),"")</f>
        <v/>
      </c>
      <c r="Y27" s="183"/>
      <c r="Z27" s="181"/>
      <c r="AA27" s="182" t="str">
        <f>IF(AK8&gt;8,IF(AK7&gt;2,"/",""),"")</f>
        <v/>
      </c>
      <c r="AB27" s="183"/>
      <c r="AC27" s="181"/>
      <c r="AD27" s="182" t="str">
        <f>IF(AK8&gt;9,IF(AK7&gt;2,"/",""),"")</f>
        <v/>
      </c>
      <c r="AE27" s="183"/>
      <c r="AF27" s="174" t="str">
        <f>IF(AK9&gt;3,"Team 4","")</f>
        <v>Team 4</v>
      </c>
      <c r="AG27" s="180" t="str">
        <f>IF(AK9&lt;4,"",IF(AK8&lt;1,"",IF(B24=4,B30-D30,IF(D24=4,D30-B30,""))))</f>
        <v/>
      </c>
      <c r="AH27" s="180">
        <f>IF(AK9&lt;4,"",IF(AK8&lt;2,"",IF(E24=4,E30-G30,IF(G24=4,G30-E30,""))))</f>
        <v>-3</v>
      </c>
      <c r="AI27" s="180">
        <f>IF(AK9&lt;4,"",IF(AK8&lt;3,"",IF(H24=4,H30-J30,IF(J24=4,J30-H30,""))))</f>
        <v>-22</v>
      </c>
      <c r="AJ27" s="180" t="str">
        <f>IF(AK9&lt;4,"",IF(AK8&lt;4,"",IF(K24=4,K30-M30,IF(M24=4,M30-K30,""))))</f>
        <v/>
      </c>
      <c r="AK27" s="180">
        <f>IF(AK9&lt;4,"",IF(AK8&lt;5,"",IF(N24=4,N30-P30,IF(P24=4,P30-N30,""))))</f>
        <v>-19</v>
      </c>
      <c r="AL27" s="180" t="str">
        <f>IF(AK9&lt;4,"",IF(AK8&lt;6,"",IF(Q24=4,Q30-S30,IF(S24=4,S30-Q30,""))))</f>
        <v/>
      </c>
      <c r="AM27" s="180" t="str">
        <f>IF(AK9&lt;4,"",IF(AK8&lt;7,"",IF(T24=4,T30-V30,IF(V24=4,V30-T30,""))))</f>
        <v/>
      </c>
      <c r="AN27" s="180" t="str">
        <f>IF(AK9&lt;4,"",IF(AK8&lt;8,"",IF(W24=4,W30-Y30,IF(Y24=4,Y30-W30,""))))</f>
        <v/>
      </c>
      <c r="AO27" s="180" t="str">
        <f>IF(AK9&lt;4,"",IF(AK8&lt;9,"",IF(Z24=4,Z30-AB30,IF(AB24=4,AB30-Z30,""))))</f>
        <v/>
      </c>
      <c r="AP27" s="180" t="str">
        <f>IF(AK9&lt;4,"",IF(AK8&lt;10,"",IF(AC24=4,AC30-AE30,IF(AE24=4,AE30-AC30,""))))</f>
        <v/>
      </c>
      <c r="AQ27" s="176">
        <f>SUM(AG27:AP27)</f>
        <v>-44</v>
      </c>
    </row>
    <row r="28" spans="1:47" ht="15" x14ac:dyDescent="0.2">
      <c r="A28" s="133" t="str">
        <f>IF(AK7&gt;3,"Game 4","")</f>
        <v/>
      </c>
      <c r="B28" s="181"/>
      <c r="C28" s="182" t="s">
        <v>78</v>
      </c>
      <c r="D28" s="183"/>
      <c r="E28" s="181"/>
      <c r="F28" s="182" t="str">
        <f>IF(AK8&gt;1,IF(AK7&gt;3,"/",""),"")</f>
        <v/>
      </c>
      <c r="G28" s="183"/>
      <c r="H28" s="181"/>
      <c r="I28" s="182" t="str">
        <f>IF(AK8&gt;2,IF(AK7&gt;3,"/",""),"")</f>
        <v/>
      </c>
      <c r="J28" s="183"/>
      <c r="K28" s="181"/>
      <c r="L28" s="182" t="str">
        <f>IF(AK8&gt;3,IF(AK7&gt;3,"/",""),"")</f>
        <v/>
      </c>
      <c r="M28" s="183"/>
      <c r="N28" s="181"/>
      <c r="O28" s="182" t="str">
        <f>IF(AK8&gt;4,IF(AK7&gt;3,"/",""),"")</f>
        <v/>
      </c>
      <c r="P28" s="183"/>
      <c r="Q28" s="181"/>
      <c r="R28" s="182" t="str">
        <f>IF(AK8&gt;5,IF(AK7&gt;3,"/",""),"")</f>
        <v/>
      </c>
      <c r="S28" s="183"/>
      <c r="T28" s="181"/>
      <c r="U28" s="182" t="str">
        <f>IF(AK8&gt;6,IF(AK7&gt;3,"/",""),"")</f>
        <v/>
      </c>
      <c r="V28" s="183"/>
      <c r="W28" s="181"/>
      <c r="X28" s="182" t="str">
        <f>IF(AK8&gt;7,IF(AK7&gt;3,"/",""),"")</f>
        <v/>
      </c>
      <c r="Y28" s="183"/>
      <c r="Z28" s="181"/>
      <c r="AA28" s="182" t="str">
        <f>IF(AK8&gt;8,IF(AK7&gt;3,"/",""),"")</f>
        <v/>
      </c>
      <c r="AB28" s="183"/>
      <c r="AC28" s="181"/>
      <c r="AD28" s="182" t="str">
        <f>IF(AK8&gt;9,IF(AK7&gt;3,"/",""),"")</f>
        <v/>
      </c>
      <c r="AE28" s="183"/>
      <c r="AF28" s="174" t="str">
        <f>IF(AK9&gt;4,"Team 5","")</f>
        <v/>
      </c>
      <c r="AG28" s="184" t="str">
        <f>IF(AK9&lt;5,"",IF(AK8&lt;1,"",IF(B24=5,B30-D30,IF(D24=5,D30-B30,""))))</f>
        <v/>
      </c>
      <c r="AH28" s="180" t="str">
        <f>IF(AK9&lt;5,"",IF(AK8&lt;2,"",IF(E24=5,E30-G30,IF(G24=5,G30-E30,""))))</f>
        <v/>
      </c>
      <c r="AI28" s="180" t="str">
        <f>IF(AK9&lt;5,"",IF(AK8&lt;3,"",IF(H24=5,H30-J30,IF(J24=5,J30-H30,""))))</f>
        <v/>
      </c>
      <c r="AJ28" s="180" t="str">
        <f>IF(AK9&lt;5,"",IF(AK8&lt;4,"",IF(K24=5,K30-M30,IF(M24=5,M30-K30,""))))</f>
        <v/>
      </c>
      <c r="AK28" s="180" t="str">
        <f>IF(AK9&lt;5,"",IF(AK8&lt;5,"",IF(N24=5,N30-P30,IF(P24=5,P30-N30,""))))</f>
        <v/>
      </c>
      <c r="AL28" s="180" t="str">
        <f>IF(AK9&lt;5,"",IF(AK8&lt;6,"",IF(Q24=5,Q30-S30,IF(S24=5,S30-Q30,""))))</f>
        <v/>
      </c>
      <c r="AM28" s="180" t="str">
        <f>IF(AK9&lt;5,"",IF(AK8&lt;7,"",IF(T24=5,T30-V30,IF(V24=5,V30-T30,""))))</f>
        <v/>
      </c>
      <c r="AN28" s="180" t="str">
        <f>IF(AK9&lt;5,"",IF(AK8&lt;8,"",IF(W24=5,W30-Y30,IF(Y24=5,Y30-W30,""))))</f>
        <v/>
      </c>
      <c r="AO28" s="180" t="str">
        <f>IF(AK9&lt;5,"",IF(AK8&lt;9,"",IF(Z24=5,Z30-AB30,IF(AB24=5,AB30-Z30,""))))</f>
        <v/>
      </c>
      <c r="AP28" s="180" t="str">
        <f>IF(AK9&lt;5,"",IF(AK8&lt;10,"",IF(AC24=5,AC30-AE30,IF(AE24=5,AE30-AC30,""))))</f>
        <v/>
      </c>
      <c r="AQ28" s="176">
        <f>SUM(AG28:AP28)</f>
        <v>0</v>
      </c>
    </row>
    <row r="29" spans="1:47" ht="15" x14ac:dyDescent="0.2">
      <c r="A29" s="133" t="str">
        <f>IF(AK7&gt;4,"Game 5","")</f>
        <v/>
      </c>
      <c r="B29" s="181"/>
      <c r="C29" s="182" t="s">
        <v>78</v>
      </c>
      <c r="D29" s="183"/>
      <c r="E29" s="181"/>
      <c r="F29" s="182" t="str">
        <f>IF(AK8&gt;1,IF(AK7&gt;4,"/",""),"")</f>
        <v/>
      </c>
      <c r="G29" s="183"/>
      <c r="H29" s="181"/>
      <c r="I29" s="182" t="str">
        <f>IF(AK8&gt;2,IF(AK7&gt;4,"/",""),"")</f>
        <v/>
      </c>
      <c r="J29" s="183"/>
      <c r="K29" s="181"/>
      <c r="L29" s="182" t="str">
        <f>IF(AK8&gt;3,IF(AK7&gt;4,"/",""),"")</f>
        <v/>
      </c>
      <c r="M29" s="183"/>
      <c r="N29" s="181"/>
      <c r="O29" s="182" t="str">
        <f>IF(AK8&gt;4,IF(AK7&gt;4,"/",""),"")</f>
        <v/>
      </c>
      <c r="P29" s="183"/>
      <c r="Q29" s="181"/>
      <c r="R29" s="182" t="str">
        <f>IF(AK8&gt;5,IF(AK7&gt;4,"/",""),"")</f>
        <v/>
      </c>
      <c r="S29" s="183"/>
      <c r="T29" s="181"/>
      <c r="U29" s="182" t="str">
        <f>IF(AK8&gt;6,IF(AK7&gt;4,"/",""),"")</f>
        <v/>
      </c>
      <c r="V29" s="183"/>
      <c r="W29" s="181"/>
      <c r="X29" s="182" t="str">
        <f>IF(AK8&gt;7,IF(AK7&gt;4,"/",""),"")</f>
        <v/>
      </c>
      <c r="Y29" s="183"/>
      <c r="Z29" s="181"/>
      <c r="AA29" s="182" t="str">
        <f>IF(AK8&gt;8,IF(AK7&gt;4,"/",""),"")</f>
        <v/>
      </c>
      <c r="AB29" s="183"/>
      <c r="AC29" s="181"/>
      <c r="AD29" s="182" t="str">
        <f>IF(AK8&gt;9,IF(AK7&gt;4,"/",""),"")</f>
        <v/>
      </c>
      <c r="AE29" s="183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</row>
    <row r="30" spans="1:47" hidden="1" x14ac:dyDescent="0.2">
      <c r="A30" s="185"/>
      <c r="B30" s="185">
        <f>IF($AK7=5,SUM(B25:B29),IF($AK7=4,SUM(B25:B28),IF($AK7=3,SUM(B25:B27),IF($AK7=2,SUM(B25:B26),B25))))</f>
        <v>53</v>
      </c>
      <c r="C30" s="185"/>
      <c r="D30" s="185">
        <f>IF($AK7=5,SUM(D25:D29),IF($AK7=4,SUM(D25:D28),IF($AK7=3,SUM(D25:D27),IF($AK7=2,SUM(D25:D26),D25))))</f>
        <v>59</v>
      </c>
      <c r="E30" s="185">
        <f>IF($AK7=5,SUM(E25:E29),IF($AK7=4,SUM(E25:E28),IF($AK7=3,SUM(E25:E27),IF($AK7=2,SUM(E25:E26),E25))))</f>
        <v>61</v>
      </c>
      <c r="F30" s="185"/>
      <c r="G30" s="185">
        <f>IF($AK7=5,SUM(G25:G29),IF($AK7=4,SUM(G25:G28),IF($AK7=3,SUM(G25:G27),IF($AK7=2,SUM(G25:G26),G25))))</f>
        <v>58</v>
      </c>
      <c r="H30" s="185">
        <f>IF($AK7=5,SUM(H25:H29),IF($AK7=4,SUM(H25:H28),IF($AK7=3,SUM(H25:H27),IF($AK7=2,SUM(H25:H26),H25))))</f>
        <v>50</v>
      </c>
      <c r="I30" s="185"/>
      <c r="J30" s="185">
        <f>IF($AK7=5,SUM(J25:J29),IF($AK7=4,SUM(J25:J28),IF($AK7=3,SUM(J25:J27),IF($AK7=2,SUM(J25:J26),J25))))</f>
        <v>28</v>
      </c>
      <c r="K30" s="185">
        <f>IF($AK7=5,SUM(K25:K29),IF($AK7=4,SUM(K25:K28),IF($AK7=3,SUM(K25:K27),IF($AK7=2,SUM(K25:K26),K25))))</f>
        <v>37</v>
      </c>
      <c r="L30" s="185"/>
      <c r="M30" s="185">
        <f>IF($AK7=5,SUM(M25:M29),IF($AK7=4,SUM(M25:M28),IF($AK7=3,SUM(M25:M27),IF($AK7=2,SUM(M25:M26),M25))))</f>
        <v>50</v>
      </c>
      <c r="N30" s="185">
        <f>IF($AK7=5,SUM(N25:N29),IF($AK7=4,SUM(N25:N28),IF($AK7=3,SUM(N25:N27),IF($AK7=2,SUM(N25:N26),N25))))</f>
        <v>50</v>
      </c>
      <c r="O30" s="185"/>
      <c r="P30" s="185">
        <f>IF($AK7=5,SUM(P25:P29),IF($AK7=4,SUM(P25:P28),IF($AK7=3,SUM(P25:P27),IF($AK7=2,SUM(P25:P26),P25))))</f>
        <v>31</v>
      </c>
      <c r="Q30" s="185">
        <f>IF($AK7=5,SUM(Q25:Q29),IF($AK7=4,SUM(Q25:Q28),IF($AK7=3,SUM(Q25:Q27),IF($AK7=2,SUM(Q25:Q26),Q25))))</f>
        <v>51</v>
      </c>
      <c r="R30" s="185"/>
      <c r="S30" s="185">
        <f>IF($AK7=5,SUM(S25:S29),IF($AK7=4,SUM(S25:S28),IF($AK7=3,SUM(S25:S27),IF($AK7=2,SUM(S25:S26),S25))))</f>
        <v>63</v>
      </c>
      <c r="T30" s="185">
        <f>IF($AK7=5,SUM(T25:T29),IF($AK7=4,SUM(T25:T28),IF($AK7=3,SUM(T25:T27),IF($AK7=2,SUM(T25:T26),T25))))</f>
        <v>0</v>
      </c>
      <c r="U30" s="185"/>
      <c r="V30" s="185">
        <f>IF($AK7=5,SUM(V25:V29),IF($AK7=4,SUM(V25:V28),IF($AK7=3,SUM(V25:V27),IF($AK7=2,SUM(V25:V26),V25))))</f>
        <v>0</v>
      </c>
      <c r="W30" s="185">
        <f>IF($AK7=5,SUM(W25:W29),IF($AK7=4,SUM(W25:W28),IF($AK7=3,SUM(W25:W27),IF($AK7=2,SUM(W25:W26),W25))))</f>
        <v>0</v>
      </c>
      <c r="X30" s="185"/>
      <c r="Y30" s="185">
        <f>IF($AK7=5,SUM(Y25:Y29),IF($AK7=4,SUM(Y25:Y28),IF($AK7=3,SUM(Y25:Y27),IF($AK7=2,SUM(Y25:Y26),Y25))))</f>
        <v>0</v>
      </c>
      <c r="Z30" s="185">
        <f>IF($AK7=5,SUM(Z25:Z29),IF($AK7=4,SUM(Z25:Z28),IF($AK7=3,SUM(Z25:Z27),IF($AK7=2,SUM(Z25:Z26),Z25))))</f>
        <v>0</v>
      </c>
      <c r="AA30" s="185"/>
      <c r="AB30" s="185">
        <f>IF($AK7=5,SUM(AB25:AB29),IF($AK7=4,SUM(AB25:AB28),IF($AK7=3,SUM(AB25:AB27),IF($AK7=2,SUM(AB25:AB26),AB25))))</f>
        <v>0</v>
      </c>
      <c r="AC30" s="185">
        <f>IF($AK7=5,SUM(AC25:AC29),IF($AK7=4,SUM(AC25:AC28),IF($AK7=3,SUM(AC25:AC27),IF($AK7=2,SUM(AC25:AC26),AC25))))</f>
        <v>0</v>
      </c>
      <c r="AD30" s="185"/>
      <c r="AE30" s="185">
        <f>IF($AK7=5,SUM(AE25:AE29),IF($AK7=4,SUM(AE25:AE28),IF($AK7=3,SUM(AE25:AE27),IF($AK7=2,SUM(AE25:AE26),AE25))))</f>
        <v>0</v>
      </c>
      <c r="AF30" s="138"/>
      <c r="AG30" s="138"/>
      <c r="AH30" s="138"/>
      <c r="AI30" s="138"/>
      <c r="AJ30" s="138"/>
      <c r="AK30" s="138"/>
      <c r="AL30" s="138"/>
      <c r="AM30" s="138"/>
      <c r="AN30" s="138"/>
      <c r="AO30" s="138"/>
      <c r="AP30" s="138"/>
      <c r="AQ30" s="138"/>
    </row>
    <row r="31" spans="1:47" s="186" customFormat="1" ht="12.75" hidden="1" customHeight="1" x14ac:dyDescent="0.2">
      <c r="A31" s="186" t="s">
        <v>79</v>
      </c>
      <c r="B31" s="187">
        <f>IF(AND(B25&gt;D25,$AK8&gt;0,ISNUMBER(B25),ISNUMBER(D25)),1,0)</f>
        <v>0</v>
      </c>
      <c r="C31" s="187"/>
      <c r="D31" s="188">
        <f>IF(AND(D25&gt;B25,$AK8&gt;0,ISNUMBER(B25),ISNUMBER(D25)),1,0)</f>
        <v>1</v>
      </c>
      <c r="E31" s="187">
        <f>IF(AND(E25&gt;G25,$AK8&gt;1,ISNUMBER(E25),ISNUMBER(G25)),1,0)</f>
        <v>0</v>
      </c>
      <c r="F31" s="187"/>
      <c r="G31" s="188">
        <f>IF(AND(G25&gt;E25,$AK8&gt;1,ISNUMBER(E25),ISNUMBER(G25)),1,0)</f>
        <v>1</v>
      </c>
      <c r="H31" s="187">
        <f>IF(AND(H25&gt;J25,$AK8&gt;2,ISNUMBER(H25),ISNUMBER(J25)),1,0)</f>
        <v>1</v>
      </c>
      <c r="I31" s="187"/>
      <c r="J31" s="188">
        <f>IF(AND(J25&gt;H25,$AK8&gt;2,ISNUMBER(H25),ISNUMBER(J25)),1,0)</f>
        <v>0</v>
      </c>
      <c r="K31" s="187">
        <f>IF(AND(K25&gt;M25,$AK8&gt;3,ISNUMBER(K25),ISNUMBER(M25)),1,0)</f>
        <v>0</v>
      </c>
      <c r="L31" s="187"/>
      <c r="M31" s="188">
        <f>IF(AND(M25&gt;K25,$AK8&gt;3,ISNUMBER(K25),ISNUMBER(M25)),1,0)</f>
        <v>1</v>
      </c>
      <c r="N31" s="187">
        <f>IF(AND(N25&gt;P25,$AK8&gt;4,ISNUMBER(N25),ISNUMBER(P25)),1,0)</f>
        <v>1</v>
      </c>
      <c r="O31" s="187"/>
      <c r="P31" s="188">
        <f>IF(AND(P25&gt;N25,$AK8&gt;4,ISNUMBER(N25),ISNUMBER(P25)),1,0)</f>
        <v>0</v>
      </c>
      <c r="Q31" s="187">
        <f>IF(AND(Q25&gt;S25,$AK8&gt;5,ISNUMBER(Q25),ISNUMBER(S25)),1,0)</f>
        <v>0</v>
      </c>
      <c r="R31" s="187"/>
      <c r="S31" s="188">
        <f>IF(AND(S25&gt;Q25,$AK8&gt;5,ISNUMBER(Q25),ISNUMBER(S25)),1,0)</f>
        <v>1</v>
      </c>
      <c r="T31" s="187">
        <f>IF(AND(T25&gt;V25,$AK8&gt;6,ISNUMBER(T25),ISNUMBER(V25)),1,0)</f>
        <v>0</v>
      </c>
      <c r="U31" s="187"/>
      <c r="V31" s="188">
        <f>IF(AND(V25&gt;T25,$AK8&gt;6,ISNUMBER(T25),ISNUMBER(V25)),1,0)</f>
        <v>0</v>
      </c>
      <c r="W31" s="187">
        <f>IF(AND(W25&gt;Y25,$AK8&gt;7,ISNUMBER(W25),ISNUMBER(Y25)),1,0)</f>
        <v>0</v>
      </c>
      <c r="X31" s="187"/>
      <c r="Y31" s="188">
        <f>IF(AND(Y25&gt;W25,$AK8&gt;7,ISNUMBER(W25),ISNUMBER(Y25)),1,0)</f>
        <v>0</v>
      </c>
      <c r="Z31" s="187">
        <f>IF(AND(Z25&gt;AB25,$AK8&gt;8,ISNUMBER(Z25),ISNUMBER(AB25)),1,0)</f>
        <v>0</v>
      </c>
      <c r="AA31" s="187"/>
      <c r="AB31" s="188">
        <f>IF(AND(AB25&gt;Z25,$AK8&gt;8,ISNUMBER(Z25),ISNUMBER(AB25)),1,0)</f>
        <v>0</v>
      </c>
      <c r="AC31" s="187">
        <f>IF(AND(AC25&gt;AE25,$AK8&gt;9,ISNUMBER(AC25),ISNUMBER(AE25)),1,0)</f>
        <v>0</v>
      </c>
      <c r="AD31" s="187"/>
      <c r="AE31" s="188">
        <f>IF(AND(AE25&gt;AC25,$AK8&gt;9,ISNUMBER(AC25),ISNUMBER(AE25)),1,0)</f>
        <v>0</v>
      </c>
    </row>
    <row r="32" spans="1:47" s="186" customFormat="1" ht="12.75" hidden="1" customHeight="1" x14ac:dyDescent="0.2">
      <c r="A32" s="186" t="s">
        <v>80</v>
      </c>
      <c r="B32" s="187">
        <f>IF(AND(B26&gt;D26,$AK8&gt;0,$AK7&gt;1,ISNUMBER(B26),ISNUMBER(D26)),1,0)</f>
        <v>1</v>
      </c>
      <c r="C32" s="187"/>
      <c r="D32" s="188">
        <f>IF(AND(D26&gt;B26,$AK8&gt;0,$AK7&gt;1,ISNUMBER(B26),ISNUMBER(D26)),1,0)</f>
        <v>0</v>
      </c>
      <c r="E32" s="187">
        <f>IF(AND(E26&gt;G26,$AK8&gt;1,$AK7&gt;1,ISNUMBER(E26),ISNUMBER(G26)),1,0)</f>
        <v>1</v>
      </c>
      <c r="F32" s="187"/>
      <c r="G32" s="188">
        <f>IF(AND(G26&gt;E26,$AK8&gt;1,$AK7&gt;1,ISNUMBER(E26),ISNUMBER(G26)),1,0)</f>
        <v>0</v>
      </c>
      <c r="H32" s="187">
        <f>IF(AND(H26&gt;J26,$AK8&gt;2,$AK7&gt;1,ISNUMBER(H26),ISNUMBER(J26)),1,0)</f>
        <v>1</v>
      </c>
      <c r="I32" s="187"/>
      <c r="J32" s="188">
        <f>IF(AND(J26&gt;H26,$AK8&gt;2,$AK7&gt;1,ISNUMBER(H26),ISNUMBER(J26)),1,0)</f>
        <v>0</v>
      </c>
      <c r="K32" s="187">
        <f>IF(AND(K26&gt;M26,$AK8&gt;3,$AK7&gt;1,ISNUMBER(K26),ISNUMBER(M26)),1,0)</f>
        <v>0</v>
      </c>
      <c r="L32" s="187"/>
      <c r="M32" s="188">
        <f>IF(AND(M26&gt;K26,$AK8&gt;3,$AK7&gt;1,ISNUMBER(K26),ISNUMBER(M26)),1,0)</f>
        <v>1</v>
      </c>
      <c r="N32" s="187">
        <f>IF(AND(N26&gt;P26,$AK8&gt;4,$AK7&gt;1,ISNUMBER(N26),ISNUMBER(P26)),1,0)</f>
        <v>1</v>
      </c>
      <c r="O32" s="187"/>
      <c r="P32" s="188">
        <f>IF(AND(P26&gt;N26,$AK8&gt;4,$AK7&gt;1,ISNUMBER(N26),ISNUMBER(P26)),1,0)</f>
        <v>0</v>
      </c>
      <c r="Q32" s="187">
        <f>IF(AND(Q26&gt;S26,$AK8&gt;5,$AK7&gt;1,ISNUMBER(Q26),ISNUMBER(S26)),1,0)</f>
        <v>1</v>
      </c>
      <c r="R32" s="187"/>
      <c r="S32" s="188">
        <f>IF(AND(S26&gt;Q26,$AK8&gt;5,$AK7&gt;1,ISNUMBER(Q26),ISNUMBER(S26)),1,0)</f>
        <v>0</v>
      </c>
      <c r="T32" s="187">
        <f>IF(AND(T26&gt;V26,$AK8&gt;6,$AK7&gt;1,ISNUMBER(T26),ISNUMBER(V26)),1,0)</f>
        <v>0</v>
      </c>
      <c r="U32" s="187"/>
      <c r="V32" s="188">
        <f>IF(AND(V26&gt;T26,$AK8&gt;6,$AK7&gt;1,ISNUMBER(T26),ISNUMBER(V26)),1,0)</f>
        <v>0</v>
      </c>
      <c r="W32" s="187">
        <f>IF(AND(W26&gt;Y26,$AK8&gt;7,$AK7&gt;1,ISNUMBER(W26),ISNUMBER(Y26)),1,0)</f>
        <v>0</v>
      </c>
      <c r="X32" s="187"/>
      <c r="Y32" s="188">
        <f>IF(AND(Y26&gt;W26,$AK8&gt;7,$AK7&gt;1,ISNUMBER(W26),ISNUMBER(Y26)),1,0)</f>
        <v>0</v>
      </c>
      <c r="Z32" s="187">
        <f>IF(AND(Z26&gt;AB26,$AK8&gt;8,$AK7&gt;1,ISNUMBER(Z26),ISNUMBER(AB26)),1,0)</f>
        <v>0</v>
      </c>
      <c r="AA32" s="187"/>
      <c r="AB32" s="188">
        <f>IF(AND(AB26&gt;Z26,$AK8&gt;8,$AK7&gt;1,ISNUMBER(Z26),ISNUMBER(AB26)),1,0)</f>
        <v>0</v>
      </c>
      <c r="AC32" s="187">
        <f>IF(AND(AC26&gt;AE26,$AK8&gt;9,$AK7&gt;1,ISNUMBER(AC26),ISNUMBER(AE26)),1,0)</f>
        <v>0</v>
      </c>
      <c r="AD32" s="187"/>
      <c r="AE32" s="188">
        <f>IF(AND(AE26&gt;AC26,$AK8&gt;9,$AK7&gt;1,ISNUMBER(AC26),ISNUMBER(AE26)),1,0)</f>
        <v>0</v>
      </c>
    </row>
    <row r="33" spans="1:33" s="186" customFormat="1" ht="12.75" hidden="1" customHeight="1" x14ac:dyDescent="0.2">
      <c r="A33" s="186" t="s">
        <v>81</v>
      </c>
      <c r="B33" s="187">
        <f>IF(AND(B27&gt;D27,$AK8&gt;0,$AK7&gt;2,ISNUMBER(B27),ISNUMBER(D27)),1,0)</f>
        <v>0</v>
      </c>
      <c r="C33" s="187"/>
      <c r="D33" s="188">
        <f>IF(AND(D27&gt;B27,$AK8&gt;0,$AK7&gt;2,ISNUMBER(B27),ISNUMBER(D27)),1,0)</f>
        <v>1</v>
      </c>
      <c r="E33" s="187">
        <f>IF(AND(E27&gt;G27,$AK8&gt;1,$AK7&gt;2,ISNUMBER(E27),ISNUMBER(G27)),1,0)</f>
        <v>1</v>
      </c>
      <c r="F33" s="187"/>
      <c r="G33" s="188">
        <f>IF(AND(G27&gt;E27,$AK8&gt;1,$AK7&gt;2,ISNUMBER(E27),ISNUMBER(G27)),1,0)</f>
        <v>0</v>
      </c>
      <c r="H33" s="187">
        <f>IF(AND(H27&gt;J27,$AK8&gt;2,$AK7&gt;2,ISNUMBER(H27),ISNUMBER(J27)),1,0)</f>
        <v>0</v>
      </c>
      <c r="I33" s="187"/>
      <c r="J33" s="188">
        <f>IF(AND(J27&gt;H27,$AK8&gt;2,$AK7&gt;2,ISNUMBER(H27),ISNUMBER(J27)),1,0)</f>
        <v>0</v>
      </c>
      <c r="K33" s="187">
        <f>IF(AND(K27&gt;M27,$AK8&gt;3,$AK7&gt;2,ISNUMBER(K27),ISNUMBER(M27)),1,0)</f>
        <v>0</v>
      </c>
      <c r="L33" s="187"/>
      <c r="M33" s="188">
        <f>IF(AND(M27&gt;K27,$AK8&gt;3,$AK7&gt;2,ISNUMBER(K27),ISNUMBER(M27)),1,0)</f>
        <v>0</v>
      </c>
      <c r="N33" s="187">
        <f>IF(AND(N27&gt;P27,$AK8&gt;4,$AK7&gt;2,ISNUMBER(N27),ISNUMBER(P27)),1,0)</f>
        <v>0</v>
      </c>
      <c r="O33" s="187"/>
      <c r="P33" s="188">
        <f>IF(AND(P27&gt;N27,$AK8&gt;4,$AK7&gt;2,ISNUMBER(N27),ISNUMBER(P27)),1,0)</f>
        <v>0</v>
      </c>
      <c r="Q33" s="187">
        <f>IF(AND(Q27&gt;S27,$AK8&gt;5,$AK7&gt;2,ISNUMBER(Q27),ISNUMBER(S27)),1,0)</f>
        <v>0</v>
      </c>
      <c r="R33" s="187"/>
      <c r="S33" s="188">
        <f>IF(AND(S27&gt;Q27,$AK8&gt;5,$AK7&gt;2,ISNUMBER(Q27),ISNUMBER(S27)),1,0)</f>
        <v>1</v>
      </c>
      <c r="T33" s="187">
        <f>IF(AND(T27&gt;V27,$AK8&gt;6,$AK7&gt;2,ISNUMBER(T27),ISNUMBER(V27)),1,0)</f>
        <v>0</v>
      </c>
      <c r="U33" s="187"/>
      <c r="V33" s="188">
        <f>IF(AND(V27&gt;T27,$AK8&gt;6,$AK7&gt;2,ISNUMBER(T27),ISNUMBER(V27)),1,0)</f>
        <v>0</v>
      </c>
      <c r="W33" s="187">
        <f>IF(AND(W27&gt;Y27,$AK8&gt;7,$AK7&gt;2,ISNUMBER(W27),ISNUMBER(Y27)),1,0)</f>
        <v>0</v>
      </c>
      <c r="X33" s="187"/>
      <c r="Y33" s="188">
        <f>IF(AND(Y27&gt;W27,$AK8&gt;7,$AK7&gt;2,ISNUMBER(W27),ISNUMBER(Y27)),1,0)</f>
        <v>0</v>
      </c>
      <c r="Z33" s="187">
        <f>IF(AND(Z27&gt;AB27,$AK8&gt;8,$AK7&gt;2,ISNUMBER(Z27),ISNUMBER(AB27)),1,0)</f>
        <v>0</v>
      </c>
      <c r="AA33" s="187"/>
      <c r="AB33" s="188">
        <f>IF(AND(AB27&gt;Z27,$AK8&gt;8,$AK7&gt;2,ISNUMBER(Z27),ISNUMBER(AB27)),1,0)</f>
        <v>0</v>
      </c>
      <c r="AC33" s="187">
        <f>IF(AND(AC27&gt;AE27,$AK8&gt;9,$AK7&gt;2,ISNUMBER(AC27),ISNUMBER(AE27)),1,0)</f>
        <v>0</v>
      </c>
      <c r="AD33" s="187"/>
      <c r="AE33" s="188">
        <f>IF(AND(AE27&gt;AC27,$AK8&gt;9,$AK7&gt;2,ISNUMBER(AC27),ISNUMBER(AE27)),1,0)</f>
        <v>0</v>
      </c>
    </row>
    <row r="34" spans="1:33" s="186" customFormat="1" ht="12.75" hidden="1" customHeight="1" x14ac:dyDescent="0.2">
      <c r="A34" s="186" t="s">
        <v>82</v>
      </c>
      <c r="B34" s="187">
        <f>IF(AND(B28&gt;D28,$AK8&gt;0,$AK7&gt;3,ISNUMBER(B28),ISNUMBER(D28)),1,0)</f>
        <v>0</v>
      </c>
      <c r="C34" s="187"/>
      <c r="D34" s="188">
        <f>IF(AND(D28&gt;B28,$AK8&gt;0,$AK7&gt;3,ISNUMBER(B28),ISNUMBER(D28)),1,0)</f>
        <v>0</v>
      </c>
      <c r="E34" s="187">
        <f>IF(AND(E28&gt;G28,$AK8&gt;1,$AK7&gt;3,ISNUMBER(E28),ISNUMBER(G28)),1,0)</f>
        <v>0</v>
      </c>
      <c r="F34" s="187"/>
      <c r="G34" s="188">
        <f>IF(AND(G28&gt;E28,$AK8&gt;1,$AK7&gt;3,ISNUMBER(E28),ISNUMBER(G28)),1,0)</f>
        <v>0</v>
      </c>
      <c r="H34" s="187">
        <f>IF(AND(H28&gt;J28,$AK8&gt;2,$AK7&gt;3,ISNUMBER(H28),ISNUMBER(J28)),1,0)</f>
        <v>0</v>
      </c>
      <c r="I34" s="187"/>
      <c r="J34" s="188">
        <f>IF(AND(J28&gt;H28,$AK8&gt;2,$AK7&gt;3,ISNUMBER(H28),ISNUMBER(J28)),1,0)</f>
        <v>0</v>
      </c>
      <c r="K34" s="187">
        <f>IF(AND(K28&gt;M28,$AK8&gt;3,$AK7&gt;3,ISNUMBER(K28),ISNUMBER(M28)),1,0)</f>
        <v>0</v>
      </c>
      <c r="L34" s="187"/>
      <c r="M34" s="188">
        <f>IF(AND(M28&gt;K28,$AK8&gt;3,$AK7&gt;3,ISNUMBER(K28),ISNUMBER(M28)),1,0)</f>
        <v>0</v>
      </c>
      <c r="N34" s="187">
        <f>IF(AND(N28&gt;P28,$AK8&gt;4,$AK7&gt;3,ISNUMBER(N28),ISNUMBER(P28)),1,0)</f>
        <v>0</v>
      </c>
      <c r="O34" s="187"/>
      <c r="P34" s="188">
        <f>IF(AND(P28&gt;N28,$AK8&gt;4,$AK7&gt;3,ISNUMBER(N28),ISNUMBER(P28)),1,0)</f>
        <v>0</v>
      </c>
      <c r="Q34" s="187">
        <f>IF(AND(Q28&gt;S28,$AK8&gt;5,$AK7&gt;3,ISNUMBER(Q28),ISNUMBER(S28)),1,0)</f>
        <v>0</v>
      </c>
      <c r="R34" s="187"/>
      <c r="S34" s="188">
        <f>IF(AND(S28&gt;Q28,$AK8&gt;5,$AK7&gt;3,ISNUMBER(Q28),ISNUMBER(S28)),1,0)</f>
        <v>0</v>
      </c>
      <c r="T34" s="187">
        <f>IF(AND(T28&gt;V28,$AK8&gt;6,$AK7&gt;3,ISNUMBER(T28),ISNUMBER(V28)),1,0)</f>
        <v>0</v>
      </c>
      <c r="U34" s="187"/>
      <c r="V34" s="188">
        <f>IF(AND(V28&gt;T28,$AK8&gt;6,$AK7&gt;3,ISNUMBER(T28),ISNUMBER(V28)),1,0)</f>
        <v>0</v>
      </c>
      <c r="W34" s="187">
        <f>IF(AND(W28&gt;Y28,$AK8&gt;7,$AK7&gt;3,ISNUMBER(W28),ISNUMBER(Y28)),1,0)</f>
        <v>0</v>
      </c>
      <c r="X34" s="187"/>
      <c r="Y34" s="188">
        <f>IF(AND(Y28&gt;W28,$AK8&gt;7,$AK7&gt;3,ISNUMBER(W28),ISNUMBER(Y28)),1,0)</f>
        <v>0</v>
      </c>
      <c r="Z34" s="187">
        <f>IF(AND(Z28&gt;AB28,$AK8&gt;8,$AK7&gt;3,ISNUMBER(Z28),ISNUMBER(AB28)),1,0)</f>
        <v>0</v>
      </c>
      <c r="AA34" s="187"/>
      <c r="AB34" s="188">
        <f>IF(AND(AB28&gt;Z28,$AK8&gt;8,$AK7&gt;3,ISNUMBER(Z28),ISNUMBER(AB28)),1,0)</f>
        <v>0</v>
      </c>
      <c r="AC34" s="187">
        <f>IF(AND(AC28&gt;AE28,$AK8&gt;9,$AK7&gt;3,ISNUMBER(AC28),ISNUMBER(AE28)),1,0)</f>
        <v>0</v>
      </c>
      <c r="AD34" s="187"/>
      <c r="AE34" s="188">
        <f>IF(AND(AE28&gt;AC28,$AK8&gt;9,$AK7&gt;3,ISNUMBER(AC28),ISNUMBER(AE28)),1,0)</f>
        <v>0</v>
      </c>
    </row>
    <row r="35" spans="1:33" s="186" customFormat="1" ht="12.75" hidden="1" customHeight="1" x14ac:dyDescent="0.2">
      <c r="A35" s="186" t="s">
        <v>83</v>
      </c>
      <c r="B35" s="187">
        <f>IF(AND(B29&gt;D29,$AK8&gt;0,$AK7&gt;4,ISNUMBER(B29),ISNUMBER(D29)),1,0)</f>
        <v>0</v>
      </c>
      <c r="C35" s="187"/>
      <c r="D35" s="188">
        <f>IF(AND(D29&gt;B29,$AK8&gt;0,$AK7&gt;4,ISNUMBER(B29),ISNUMBER(D29)),1,0)</f>
        <v>0</v>
      </c>
      <c r="E35" s="187">
        <f>IF(AND(E29&gt;G29,$AK8&gt;1,$AK7&gt;4,ISNUMBER(E29),ISNUMBER(G29)),1,0)</f>
        <v>0</v>
      </c>
      <c r="F35" s="187"/>
      <c r="G35" s="188">
        <f>IF(AND(G29&gt;E29,$AK8&gt;1,$AK7&gt;4,ISNUMBER(E29),ISNUMBER(G29)),1,0)</f>
        <v>0</v>
      </c>
      <c r="H35" s="187">
        <f>IF(AND(H29&gt;J29,$AK8&gt;2,$AK7&gt;4,ISNUMBER(H29),ISNUMBER(J29)),1,0)</f>
        <v>0</v>
      </c>
      <c r="I35" s="187"/>
      <c r="J35" s="188">
        <f>IF(AND(J29&gt;H29,$AK8&gt;2,$AK7&gt;4,ISNUMBER(H29),ISNUMBER(J29)),1,0)</f>
        <v>0</v>
      </c>
      <c r="K35" s="187">
        <f>IF(AND(K29&gt;M29,$AK8&gt;3,$AK7&gt;4,ISNUMBER(K29),ISNUMBER(M29)),1,0)</f>
        <v>0</v>
      </c>
      <c r="L35" s="187"/>
      <c r="M35" s="188">
        <f>IF(AND(M29&gt;K29,$AK8&gt;3,$AK7&gt;4,ISNUMBER(K29),ISNUMBER(M29)),1,0)</f>
        <v>0</v>
      </c>
      <c r="N35" s="187">
        <f>IF(AND(N29&gt;P29,$AK8&gt;4,$AK7&gt;4,ISNUMBER(N29),ISNUMBER(P29)),1,0)</f>
        <v>0</v>
      </c>
      <c r="O35" s="187"/>
      <c r="P35" s="188">
        <f>IF(AND(P29&gt;N29,$AK8&gt;4,$AK7&gt;4,ISNUMBER(N29),ISNUMBER(P29)),1,0)</f>
        <v>0</v>
      </c>
      <c r="Q35" s="187">
        <f>IF(AND(Q29&gt;S29,$AK8&gt;5,$AK7&gt;4,ISNUMBER(Q29),ISNUMBER(S29)),1,0)</f>
        <v>0</v>
      </c>
      <c r="R35" s="187"/>
      <c r="S35" s="188">
        <f>IF(AND(S29&gt;Q29,$AK8&gt;5,$AK7&gt;4,ISNUMBER(Q29),ISNUMBER(S29)),1,0)</f>
        <v>0</v>
      </c>
      <c r="T35" s="187">
        <f>IF(AND(T29&gt;V29,$AK8&gt;6,$AK7&gt;4,ISNUMBER(T29),ISNUMBER(V29)),1,0)</f>
        <v>0</v>
      </c>
      <c r="U35" s="187"/>
      <c r="V35" s="188">
        <f>IF(AND(V29&gt;T29,$AK8&gt;6,$AK7&gt;4,ISNUMBER(T29),ISNUMBER(V29)),1,0)</f>
        <v>0</v>
      </c>
      <c r="W35" s="187">
        <f>IF(AND(W29&gt;Y29,$AK8&gt;7,$AK7&gt;4,ISNUMBER(W29),ISNUMBER(Y29)),1,0)</f>
        <v>0</v>
      </c>
      <c r="X35" s="187"/>
      <c r="Y35" s="188">
        <f>IF(AND(Y29&gt;W29,$AK8&gt;7,$AK7&gt;4,ISNUMBER(W29),ISNUMBER(Y29)),1,0)</f>
        <v>0</v>
      </c>
      <c r="Z35" s="187">
        <f>IF(AND(Z29&gt;AB29,$AK8&gt;8,$AK7&gt;4,ISNUMBER(Z29),ISNUMBER(AB29)),1,0)</f>
        <v>0</v>
      </c>
      <c r="AA35" s="187"/>
      <c r="AB35" s="188">
        <f>IF(AND(AB29&gt;Z29,$AK8&gt;8,$AK7&gt;4,ISNUMBER(Z29),ISNUMBER(AB29)),1,0)</f>
        <v>0</v>
      </c>
      <c r="AC35" s="187">
        <f>IF(AND(AC29&gt;AE29,$AK8&gt;9,$AK7&gt;4,ISNUMBER(AC29),ISNUMBER(AE29)),1,0)</f>
        <v>0</v>
      </c>
      <c r="AD35" s="187"/>
      <c r="AE35" s="188">
        <f>IF(AND(AE29&gt;AC29,$AK8&gt;9,$AK7&gt;4,ISNUMBER(AC29),ISNUMBER(AE29)),1,0)</f>
        <v>0</v>
      </c>
    </row>
    <row r="36" spans="1:33" s="186" customFormat="1" ht="38.25" hidden="1" customHeight="1" x14ac:dyDescent="0.2">
      <c r="A36" s="189" t="s">
        <v>84</v>
      </c>
      <c r="B36" s="186">
        <f>SUM(B31:B35)</f>
        <v>1</v>
      </c>
      <c r="D36" s="190">
        <f>SUM(D31:D35)</f>
        <v>2</v>
      </c>
      <c r="E36" s="186">
        <f>SUM(E31:E35)</f>
        <v>2</v>
      </c>
      <c r="G36" s="190">
        <f>SUM(G31:G35)</f>
        <v>1</v>
      </c>
      <c r="H36" s="186">
        <f>SUM(H31:H35)</f>
        <v>2</v>
      </c>
      <c r="J36" s="190">
        <f>SUM(J31:J35)</f>
        <v>0</v>
      </c>
      <c r="K36" s="186">
        <f>SUM(K31:K35)</f>
        <v>0</v>
      </c>
      <c r="M36" s="190">
        <f>SUM(M31:M35)</f>
        <v>2</v>
      </c>
      <c r="N36" s="186">
        <f>SUM(N31:N35)</f>
        <v>2</v>
      </c>
      <c r="P36" s="190">
        <f>SUM(P31:P35)</f>
        <v>0</v>
      </c>
      <c r="Q36" s="186">
        <f>SUM(Q31:Q35)</f>
        <v>1</v>
      </c>
      <c r="S36" s="190">
        <f>SUM(S31:S35)</f>
        <v>2</v>
      </c>
      <c r="T36" s="186">
        <f>SUM(T31:T35)</f>
        <v>0</v>
      </c>
      <c r="V36" s="190">
        <f>SUM(V31:V35)</f>
        <v>0</v>
      </c>
      <c r="W36" s="186">
        <f>SUM(W31:W35)</f>
        <v>0</v>
      </c>
      <c r="Y36" s="190">
        <f>SUM(Y31:Y35)</f>
        <v>0</v>
      </c>
      <c r="Z36" s="186">
        <f>SUM(Z31:Z35)</f>
        <v>0</v>
      </c>
      <c r="AB36" s="190">
        <f>SUM(AB31:AB35)</f>
        <v>0</v>
      </c>
      <c r="AC36" s="186">
        <f>SUM(AC31:AC35)</f>
        <v>0</v>
      </c>
      <c r="AE36" s="190">
        <f>SUM(AE31:AE35)</f>
        <v>0</v>
      </c>
    </row>
    <row r="37" spans="1:33" s="186" customFormat="1" ht="25.5" hidden="1" customHeight="1" x14ac:dyDescent="0.2">
      <c r="A37" s="189" t="s">
        <v>85</v>
      </c>
      <c r="B37" s="186">
        <f>IF(B36&gt;D36,IF(C71=AK7,1,IF(C71=AK7-1,1,0)),0)</f>
        <v>0</v>
      </c>
      <c r="C37" s="186">
        <f>B37+D37</f>
        <v>1</v>
      </c>
      <c r="D37" s="190">
        <f>IF(D36&gt;B36,IF(C71=AK7,1,IF(C71=AK7-1,1,0)),0)</f>
        <v>1</v>
      </c>
      <c r="E37" s="186">
        <f>IF(E36&gt;G36,IF(F71=AK7,1,IF(F71=AK7-1,1,0)),0)</f>
        <v>1</v>
      </c>
      <c r="F37" s="186">
        <f>E37+G37</f>
        <v>1</v>
      </c>
      <c r="G37" s="190">
        <f>IF(G36&gt;E36,IF(F71=AK7,1,IF(F71=AK7-1,1,0)),0)</f>
        <v>0</v>
      </c>
      <c r="H37" s="186">
        <f>IF(H36&gt;J36,IF(I71=AK7,1,IF(I71=AK7-1,1,0)),0)</f>
        <v>1</v>
      </c>
      <c r="I37" s="186">
        <f>H37+J37</f>
        <v>1</v>
      </c>
      <c r="J37" s="190">
        <f>IF(J36&gt;H36,IF(I71=AK7,1,IF(I71=AK7-1,1,0)),0)</f>
        <v>0</v>
      </c>
      <c r="K37" s="186">
        <f>IF(K36&gt;M36,IF(L71=AK7,1,IF(L71=AK7-1,1,0)),0)</f>
        <v>0</v>
      </c>
      <c r="L37" s="186">
        <f>K37+M37</f>
        <v>1</v>
      </c>
      <c r="M37" s="190">
        <f>IF(M36&gt;K36,IF(L71=AK7,1,IF(L71=AK7-1,1,0)),0)</f>
        <v>1</v>
      </c>
      <c r="N37" s="186">
        <f>IF(N36&gt;P36,IF(O71=AK7,1,IF(O71=AK7-1,1,0)),0)</f>
        <v>1</v>
      </c>
      <c r="O37" s="186">
        <f>N37+P37</f>
        <v>1</v>
      </c>
      <c r="P37" s="190">
        <f>IF(P36&gt;N36,IF(O71=AK7,1,IF(O71=AK7-1,1,0)),0)</f>
        <v>0</v>
      </c>
      <c r="Q37" s="186">
        <f>IF(Q36&gt;S36,IF(R71=AK7,1,IF(R71=AK7-1,1,0)),0)</f>
        <v>0</v>
      </c>
      <c r="R37" s="186">
        <f>Q37+S37</f>
        <v>1</v>
      </c>
      <c r="S37" s="190">
        <f>IF(S36&gt;Q36,IF(R71=AK7,1,IF(R71=AK7-1,1,0)),0)</f>
        <v>1</v>
      </c>
      <c r="T37" s="186">
        <f>IF(T36&gt;V36,IF(U71=AK7,1,IF(U71=AK7-1,1,0)),0)</f>
        <v>0</v>
      </c>
      <c r="U37" s="186">
        <f>T37+V37</f>
        <v>0</v>
      </c>
      <c r="V37" s="190">
        <f>IF(V36&gt;T36,IF(U71=AK7,1,IF(U71=AK7-1,1,0)),0)</f>
        <v>0</v>
      </c>
      <c r="W37" s="186">
        <f>IF(W36&gt;Y36,IF(X71=AK7,1,IF(X71=AK7-1,1,0)),0)</f>
        <v>0</v>
      </c>
      <c r="X37" s="186">
        <f>W37+Y37</f>
        <v>0</v>
      </c>
      <c r="Y37" s="190">
        <f>IF(Y36&gt;W36,IF(X71=AK7,1,IF(X71=AK7-1,1,0)),0)</f>
        <v>0</v>
      </c>
      <c r="Z37" s="186">
        <f>IF(Z36&gt;AB36,IF(AA71=AK7,1,IF(AA71=AK7-1,1,0)),0)</f>
        <v>0</v>
      </c>
      <c r="AA37" s="186">
        <f>Z37+AB37</f>
        <v>0</v>
      </c>
      <c r="AB37" s="190">
        <f>IF(AB36&gt;Z36,IF(AA71=AK7,1,IF(AA71=AK7-1,1,0)),0)</f>
        <v>0</v>
      </c>
      <c r="AC37" s="186">
        <f>IF(AC36&gt;AE36,IF(AD71=AK7,1,IF(AD71=AK7-1,1,0)),0)</f>
        <v>0</v>
      </c>
      <c r="AD37" s="186">
        <f>AC37+AE37</f>
        <v>0</v>
      </c>
      <c r="AE37" s="190">
        <f>IF(AE36&gt;AC36,IF(AD71=AK7,1,IF(AD71=AK7-1,1,0)),0)</f>
        <v>0</v>
      </c>
    </row>
    <row r="38" spans="1:33" s="186" customFormat="1" ht="25.5" hidden="1" customHeight="1" x14ac:dyDescent="0.2">
      <c r="A38" s="189"/>
      <c r="D38" s="190"/>
      <c r="G38" s="190"/>
      <c r="J38" s="190"/>
      <c r="M38" s="190"/>
      <c r="P38" s="190"/>
      <c r="S38" s="190"/>
      <c r="V38" s="190"/>
      <c r="Y38" s="190"/>
      <c r="AB38" s="190"/>
      <c r="AE38" s="190"/>
    </row>
    <row r="39" spans="1:33" s="186" customFormat="1" ht="12.75" hidden="1" customHeight="1" x14ac:dyDescent="0.2">
      <c r="A39" s="186" t="s">
        <v>86</v>
      </c>
      <c r="B39" s="186">
        <f>IF(B31=1,B25,0)</f>
        <v>0</v>
      </c>
      <c r="D39" s="190">
        <f t="shared" ref="D39:E43" si="2">IF(D31=1,D25,0)</f>
        <v>25</v>
      </c>
      <c r="E39" s="186">
        <f t="shared" si="2"/>
        <v>0</v>
      </c>
      <c r="G39" s="190">
        <f t="shared" ref="G39:H43" si="3">IF(G31=1,G25,0)</f>
        <v>25</v>
      </c>
      <c r="H39" s="186">
        <f t="shared" si="3"/>
        <v>25</v>
      </c>
      <c r="J39" s="190">
        <f t="shared" ref="J39:K43" si="4">IF(J31=1,J25,0)</f>
        <v>0</v>
      </c>
      <c r="K39" s="186">
        <f t="shared" si="4"/>
        <v>0</v>
      </c>
      <c r="M39" s="190">
        <f t="shared" ref="M39:N43" si="5">IF(M31=1,M25,0)</f>
        <v>25</v>
      </c>
      <c r="N39" s="186">
        <f t="shared" si="5"/>
        <v>25</v>
      </c>
      <c r="P39" s="190">
        <f t="shared" ref="P39:Q43" si="6">IF(P31=1,P25,0)</f>
        <v>0</v>
      </c>
      <c r="Q39" s="186">
        <f t="shared" si="6"/>
        <v>0</v>
      </c>
      <c r="S39" s="190">
        <f t="shared" ref="S39:T43" si="7">IF(S31=1,S25,0)</f>
        <v>25</v>
      </c>
      <c r="T39" s="186">
        <f t="shared" si="7"/>
        <v>0</v>
      </c>
      <c r="V39" s="190">
        <f t="shared" ref="V39:W43" si="8">IF(V31=1,V25,0)</f>
        <v>0</v>
      </c>
      <c r="W39" s="186">
        <f t="shared" si="8"/>
        <v>0</v>
      </c>
      <c r="Y39" s="190">
        <f t="shared" ref="Y39:Z43" si="9">IF(Y31=1,Y25,0)</f>
        <v>0</v>
      </c>
      <c r="Z39" s="186">
        <f t="shared" si="9"/>
        <v>0</v>
      </c>
      <c r="AB39" s="190">
        <f t="shared" ref="AB39:AC43" si="10">IF(AB31=1,AB25,0)</f>
        <v>0</v>
      </c>
      <c r="AC39" s="186">
        <f t="shared" si="10"/>
        <v>0</v>
      </c>
      <c r="AE39" s="190">
        <f>IF(AE31=1,AE25,0)</f>
        <v>0</v>
      </c>
    </row>
    <row r="40" spans="1:33" s="186" customFormat="1" ht="12.75" hidden="1" customHeight="1" x14ac:dyDescent="0.2">
      <c r="A40" s="186" t="s">
        <v>87</v>
      </c>
      <c r="B40" s="186">
        <f>IF(B32=1,B26,0)</f>
        <v>25</v>
      </c>
      <c r="D40" s="190">
        <f t="shared" si="2"/>
        <v>0</v>
      </c>
      <c r="E40" s="186">
        <f t="shared" si="2"/>
        <v>25</v>
      </c>
      <c r="G40" s="190">
        <f t="shared" si="3"/>
        <v>0</v>
      </c>
      <c r="H40" s="186">
        <f t="shared" si="3"/>
        <v>25</v>
      </c>
      <c r="J40" s="190">
        <f t="shared" si="4"/>
        <v>0</v>
      </c>
      <c r="K40" s="186">
        <f t="shared" si="4"/>
        <v>0</v>
      </c>
      <c r="M40" s="190">
        <f t="shared" si="5"/>
        <v>25</v>
      </c>
      <c r="N40" s="186">
        <f t="shared" si="5"/>
        <v>25</v>
      </c>
      <c r="P40" s="190">
        <f t="shared" si="6"/>
        <v>0</v>
      </c>
      <c r="Q40" s="186">
        <f t="shared" si="6"/>
        <v>25</v>
      </c>
      <c r="S40" s="190">
        <f t="shared" si="7"/>
        <v>0</v>
      </c>
      <c r="T40" s="186">
        <f t="shared" si="7"/>
        <v>0</v>
      </c>
      <c r="V40" s="190">
        <f t="shared" si="8"/>
        <v>0</v>
      </c>
      <c r="W40" s="186">
        <f t="shared" si="8"/>
        <v>0</v>
      </c>
      <c r="Y40" s="190">
        <f t="shared" si="9"/>
        <v>0</v>
      </c>
      <c r="Z40" s="186">
        <f t="shared" si="9"/>
        <v>0</v>
      </c>
      <c r="AB40" s="190">
        <f t="shared" si="10"/>
        <v>0</v>
      </c>
      <c r="AC40" s="186">
        <f t="shared" si="10"/>
        <v>0</v>
      </c>
      <c r="AE40" s="190">
        <f>IF(AE32=1,AE26,0)</f>
        <v>0</v>
      </c>
    </row>
    <row r="41" spans="1:33" s="186" customFormat="1" ht="12.75" hidden="1" customHeight="1" x14ac:dyDescent="0.2">
      <c r="A41" s="186" t="s">
        <v>88</v>
      </c>
      <c r="B41" s="186">
        <f>IF(B33=1,B27,0)</f>
        <v>0</v>
      </c>
      <c r="D41" s="190">
        <f t="shared" si="2"/>
        <v>15</v>
      </c>
      <c r="E41" s="186">
        <f t="shared" si="2"/>
        <v>15</v>
      </c>
      <c r="G41" s="190">
        <f t="shared" si="3"/>
        <v>0</v>
      </c>
      <c r="H41" s="186">
        <f t="shared" si="3"/>
        <v>0</v>
      </c>
      <c r="J41" s="190">
        <f t="shared" si="4"/>
        <v>0</v>
      </c>
      <c r="K41" s="186">
        <f t="shared" si="4"/>
        <v>0</v>
      </c>
      <c r="M41" s="190">
        <f t="shared" si="5"/>
        <v>0</v>
      </c>
      <c r="N41" s="186">
        <f t="shared" si="5"/>
        <v>0</v>
      </c>
      <c r="P41" s="190">
        <f t="shared" si="6"/>
        <v>0</v>
      </c>
      <c r="Q41" s="186">
        <f t="shared" si="6"/>
        <v>0</v>
      </c>
      <c r="S41" s="190">
        <f t="shared" si="7"/>
        <v>15</v>
      </c>
      <c r="T41" s="186">
        <f t="shared" si="7"/>
        <v>0</v>
      </c>
      <c r="V41" s="190">
        <f t="shared" si="8"/>
        <v>0</v>
      </c>
      <c r="W41" s="186">
        <f t="shared" si="8"/>
        <v>0</v>
      </c>
      <c r="Y41" s="190">
        <f t="shared" si="9"/>
        <v>0</v>
      </c>
      <c r="Z41" s="186">
        <f t="shared" si="9"/>
        <v>0</v>
      </c>
      <c r="AB41" s="190">
        <f t="shared" si="10"/>
        <v>0</v>
      </c>
      <c r="AC41" s="186">
        <f t="shared" si="10"/>
        <v>0</v>
      </c>
      <c r="AE41" s="190">
        <f>IF(AE33=1,AE27,0)</f>
        <v>0</v>
      </c>
    </row>
    <row r="42" spans="1:33" s="186" customFormat="1" ht="12.75" hidden="1" customHeight="1" x14ac:dyDescent="0.2">
      <c r="A42" s="186" t="s">
        <v>89</v>
      </c>
      <c r="B42" s="186">
        <f>IF(B34=1,B28,0)</f>
        <v>0</v>
      </c>
      <c r="D42" s="190">
        <f t="shared" si="2"/>
        <v>0</v>
      </c>
      <c r="E42" s="186">
        <f t="shared" si="2"/>
        <v>0</v>
      </c>
      <c r="G42" s="190">
        <f t="shared" si="3"/>
        <v>0</v>
      </c>
      <c r="H42" s="186">
        <f t="shared" si="3"/>
        <v>0</v>
      </c>
      <c r="J42" s="190">
        <f t="shared" si="4"/>
        <v>0</v>
      </c>
      <c r="K42" s="186">
        <f t="shared" si="4"/>
        <v>0</v>
      </c>
      <c r="M42" s="190">
        <f t="shared" si="5"/>
        <v>0</v>
      </c>
      <c r="N42" s="186">
        <f t="shared" si="5"/>
        <v>0</v>
      </c>
      <c r="P42" s="190">
        <f t="shared" si="6"/>
        <v>0</v>
      </c>
      <c r="Q42" s="186">
        <f t="shared" si="6"/>
        <v>0</v>
      </c>
      <c r="S42" s="190">
        <f t="shared" si="7"/>
        <v>0</v>
      </c>
      <c r="T42" s="186">
        <f t="shared" si="7"/>
        <v>0</v>
      </c>
      <c r="V42" s="190">
        <f t="shared" si="8"/>
        <v>0</v>
      </c>
      <c r="W42" s="186">
        <f t="shared" si="8"/>
        <v>0</v>
      </c>
      <c r="Y42" s="190">
        <f t="shared" si="9"/>
        <v>0</v>
      </c>
      <c r="Z42" s="186">
        <f t="shared" si="9"/>
        <v>0</v>
      </c>
      <c r="AB42" s="190">
        <f t="shared" si="10"/>
        <v>0</v>
      </c>
      <c r="AC42" s="186">
        <f t="shared" si="10"/>
        <v>0</v>
      </c>
      <c r="AE42" s="190">
        <f>IF(AE34=1,AE28,0)</f>
        <v>0</v>
      </c>
    </row>
    <row r="43" spans="1:33" s="186" customFormat="1" ht="12.75" hidden="1" customHeight="1" x14ac:dyDescent="0.2">
      <c r="A43" s="186" t="s">
        <v>90</v>
      </c>
      <c r="B43" s="186">
        <f>IF(B35=1,B29,0)</f>
        <v>0</v>
      </c>
      <c r="D43" s="190">
        <f t="shared" si="2"/>
        <v>0</v>
      </c>
      <c r="E43" s="186">
        <f t="shared" si="2"/>
        <v>0</v>
      </c>
      <c r="G43" s="190">
        <f t="shared" si="3"/>
        <v>0</v>
      </c>
      <c r="H43" s="186">
        <f t="shared" si="3"/>
        <v>0</v>
      </c>
      <c r="J43" s="190">
        <f t="shared" si="4"/>
        <v>0</v>
      </c>
      <c r="K43" s="186">
        <f t="shared" si="4"/>
        <v>0</v>
      </c>
      <c r="M43" s="190">
        <f t="shared" si="5"/>
        <v>0</v>
      </c>
      <c r="N43" s="186">
        <f t="shared" si="5"/>
        <v>0</v>
      </c>
      <c r="P43" s="190">
        <f t="shared" si="6"/>
        <v>0</v>
      </c>
      <c r="Q43" s="186">
        <f t="shared" si="6"/>
        <v>0</v>
      </c>
      <c r="S43" s="190">
        <f t="shared" si="7"/>
        <v>0</v>
      </c>
      <c r="T43" s="186">
        <f t="shared" si="7"/>
        <v>0</v>
      </c>
      <c r="V43" s="190">
        <f t="shared" si="8"/>
        <v>0</v>
      </c>
      <c r="W43" s="186">
        <f t="shared" si="8"/>
        <v>0</v>
      </c>
      <c r="Y43" s="190">
        <f t="shared" si="9"/>
        <v>0</v>
      </c>
      <c r="Z43" s="186">
        <f t="shared" si="9"/>
        <v>0</v>
      </c>
      <c r="AB43" s="190">
        <f t="shared" si="10"/>
        <v>0</v>
      </c>
      <c r="AC43" s="186">
        <f t="shared" si="10"/>
        <v>0</v>
      </c>
      <c r="AE43" s="190">
        <f>IF(AE35=1,AE29,0)</f>
        <v>0</v>
      </c>
    </row>
    <row r="44" spans="1:33" s="186" customFormat="1" ht="38.25" hidden="1" customHeight="1" x14ac:dyDescent="0.2">
      <c r="A44" s="189" t="s">
        <v>91</v>
      </c>
      <c r="B44" s="186">
        <f>SUM(B39:D43)</f>
        <v>65</v>
      </c>
      <c r="D44" s="190"/>
      <c r="E44" s="186">
        <f>SUM(E39:G43)</f>
        <v>65</v>
      </c>
      <c r="G44" s="190"/>
      <c r="H44" s="186">
        <f>SUM(H39:J43)</f>
        <v>50</v>
      </c>
      <c r="J44" s="190"/>
      <c r="K44" s="186">
        <f>SUM(K39:M43)</f>
        <v>50</v>
      </c>
      <c r="M44" s="190"/>
      <c r="N44" s="186">
        <f>SUM(N39:P43)</f>
        <v>50</v>
      </c>
      <c r="P44" s="190"/>
      <c r="Q44" s="186">
        <f>SUM(Q39:S43)</f>
        <v>65</v>
      </c>
      <c r="S44" s="190"/>
      <c r="T44" s="186">
        <f>SUM(T39:V43)</f>
        <v>0</v>
      </c>
      <c r="V44" s="190"/>
      <c r="W44" s="186">
        <f>SUM(W39:Y43)</f>
        <v>0</v>
      </c>
      <c r="Y44" s="190"/>
      <c r="Z44" s="186">
        <f>SUM(Z39:AB43)</f>
        <v>0</v>
      </c>
      <c r="AB44" s="190"/>
      <c r="AC44" s="186">
        <f>SUM(AC39:AE43)</f>
        <v>0</v>
      </c>
      <c r="AE44" s="190"/>
    </row>
    <row r="45" spans="1:33" s="186" customFormat="1" ht="38.25" hidden="1" customHeight="1" x14ac:dyDescent="0.2">
      <c r="A45" s="186" t="s">
        <v>92</v>
      </c>
      <c r="D45" s="190"/>
      <c r="G45" s="190"/>
      <c r="J45" s="190"/>
      <c r="M45" s="190"/>
      <c r="P45" s="190"/>
      <c r="S45" s="190"/>
      <c r="V45" s="190"/>
      <c r="Y45" s="190"/>
      <c r="AB45" s="190"/>
      <c r="AE45" s="190"/>
      <c r="AF45" s="189" t="s">
        <v>93</v>
      </c>
      <c r="AG45" s="186" t="s">
        <v>94</v>
      </c>
    </row>
    <row r="46" spans="1:33" s="186" customFormat="1" ht="12.75" hidden="1" customHeight="1" x14ac:dyDescent="0.2">
      <c r="A46" s="186" t="s">
        <v>95</v>
      </c>
      <c r="B46" s="186">
        <f>IF(B24=1,IF(B37=1,1,0),0)</f>
        <v>0</v>
      </c>
      <c r="D46" s="190">
        <f>IF(D24=1,IF(D37=1,1,0),0)</f>
        <v>0</v>
      </c>
      <c r="E46" s="186">
        <f>IF(E24=1,IF(E37=1,1,0),0)</f>
        <v>1</v>
      </c>
      <c r="G46" s="190">
        <f>IF(G24=1,IF(G37=1,1,0),0)</f>
        <v>0</v>
      </c>
      <c r="H46" s="186">
        <f>IF(H24=1,IF(H37=1,1,0),0)</f>
        <v>0</v>
      </c>
      <c r="J46" s="190">
        <f>IF(J24=1,IF(J37=1,1,0),0)</f>
        <v>0</v>
      </c>
      <c r="K46" s="186">
        <f>IF(K24=1,IF(K37=1,1,0),0)</f>
        <v>0</v>
      </c>
      <c r="M46" s="190">
        <f>IF(M24=1,IF(M37=1,1,0),0)</f>
        <v>0</v>
      </c>
      <c r="N46" s="186">
        <f>IF(N24=1,IF(N37=1,1,0),0)</f>
        <v>0</v>
      </c>
      <c r="P46" s="190">
        <f>IF(P24=1,IF(P37=1,1,0),0)</f>
        <v>0</v>
      </c>
      <c r="Q46" s="186">
        <f>IF(Q24=1,IF(Q37=1,1,0),0)</f>
        <v>0</v>
      </c>
      <c r="S46" s="190">
        <f>IF(S24=1,IF(S37=1,1,0),0)</f>
        <v>0</v>
      </c>
      <c r="T46" s="186">
        <f>IF(T24=1,IF(T37=1,1,0),0)</f>
        <v>0</v>
      </c>
      <c r="V46" s="190">
        <f>IF(V24=1,IF(V37=1,1,0),0)</f>
        <v>0</v>
      </c>
      <c r="W46" s="186">
        <f>IF(W24=1,IF(W37=1,1,0),0)</f>
        <v>0</v>
      </c>
      <c r="Y46" s="190">
        <f>IF(Y24=1,IF(Y37=1,1,0),0)</f>
        <v>0</v>
      </c>
      <c r="Z46" s="186">
        <f>IF(Z24=1,IF(Z37=1,1,0),0)</f>
        <v>0</v>
      </c>
      <c r="AB46" s="190">
        <f>IF(AB24=1,IF(AB37=1,1,0),0)</f>
        <v>0</v>
      </c>
      <c r="AC46" s="186">
        <f>IF(AC24=1,IF(AC37=1,1,0),0)</f>
        <v>0</v>
      </c>
      <c r="AE46" s="190">
        <f>IF(AE24=1,IF(AE37=1,1,0),0)</f>
        <v>0</v>
      </c>
      <c r="AF46" s="186">
        <f>SUM(B46:AE46)</f>
        <v>1</v>
      </c>
      <c r="AG46" s="186">
        <f>AF52-AF46</f>
        <v>2</v>
      </c>
    </row>
    <row r="47" spans="1:33" s="186" customFormat="1" ht="12.75" hidden="1" customHeight="1" x14ac:dyDescent="0.2">
      <c r="A47" s="186" t="s">
        <v>96</v>
      </c>
      <c r="B47" s="186">
        <f>IF(B24=2,IF(B37=1,1,0),0)</f>
        <v>0</v>
      </c>
      <c r="D47" s="190">
        <f>IF(D24=2,IF(D37=1,1,0),0)</f>
        <v>0</v>
      </c>
      <c r="E47" s="186">
        <f>IF(E24=2,IF(E37=1,1,0),0)</f>
        <v>0</v>
      </c>
      <c r="G47" s="190">
        <f>IF(G24=2,IF(G37=1,1,0),0)</f>
        <v>0</v>
      </c>
      <c r="H47" s="186">
        <f>IF(H24=2,IF(H37=1,1,0),0)</f>
        <v>1</v>
      </c>
      <c r="J47" s="190">
        <f>IF(J24=2,IF(J37=1,1,0),0)</f>
        <v>0</v>
      </c>
      <c r="K47" s="186">
        <f>IF(K24=2,IF(K37=1,1,0),0)</f>
        <v>0</v>
      </c>
      <c r="M47" s="190">
        <f>IF(M24=2,IF(M37=1,1,0),0)</f>
        <v>0</v>
      </c>
      <c r="N47" s="186">
        <f>IF(N24=2,IF(N37=1,1,0),0)</f>
        <v>0</v>
      </c>
      <c r="P47" s="190">
        <f>IF(P24=2,IF(P37=1,1,0),0)</f>
        <v>0</v>
      </c>
      <c r="Q47" s="186">
        <f>IF(Q24=2,IF(Q37=1,1,0),0)</f>
        <v>0</v>
      </c>
      <c r="S47" s="190">
        <f>IF(S24=2,IF(S37=1,1,0),0)</f>
        <v>1</v>
      </c>
      <c r="T47" s="186">
        <f>IF(T24=2,IF(T37=1,1,0),0)</f>
        <v>0</v>
      </c>
      <c r="V47" s="190">
        <f>IF(V24=2,IF(V37=1,1,0),0)</f>
        <v>0</v>
      </c>
      <c r="W47" s="186">
        <f>IF(W24=2,IF(W37=1,1,0),0)</f>
        <v>0</v>
      </c>
      <c r="Y47" s="190">
        <f>IF(Y24=2,IF(Y37=1,1,0),0)</f>
        <v>0</v>
      </c>
      <c r="Z47" s="186">
        <f>IF(Z24=2,IF(Z37=1,1,0),0)</f>
        <v>0</v>
      </c>
      <c r="AB47" s="190">
        <f>IF(AB24=2,IF(AB37=1,1,0),0)</f>
        <v>0</v>
      </c>
      <c r="AC47" s="186">
        <f>IF(AC24=2,IF(AC37=1,1,0),0)</f>
        <v>0</v>
      </c>
      <c r="AE47" s="190">
        <f>IF(AE24=2,IF(AE37=1,1,0),0)</f>
        <v>0</v>
      </c>
      <c r="AF47" s="186">
        <f>SUM(B47:AE47)</f>
        <v>2</v>
      </c>
      <c r="AG47" s="186">
        <f>AF53-AF47</f>
        <v>1</v>
      </c>
    </row>
    <row r="48" spans="1:33" s="186" customFormat="1" ht="12.75" hidden="1" customHeight="1" x14ac:dyDescent="0.2">
      <c r="A48" s="186" t="s">
        <v>97</v>
      </c>
      <c r="B48" s="186">
        <f>IF(B24=3,IF(B37=1,1,0),0)</f>
        <v>0</v>
      </c>
      <c r="D48" s="190">
        <f>IF(D24=3,IF(D37=1,1,0),0)</f>
        <v>1</v>
      </c>
      <c r="E48" s="186">
        <f>IF(E24=3,IF(E37=1,1,0),0)</f>
        <v>0</v>
      </c>
      <c r="G48" s="190">
        <f>IF(G24=3,IF(G37=1,1,0),0)</f>
        <v>0</v>
      </c>
      <c r="H48" s="186">
        <f>IF(H24=3,IF(H37=1,1,0),0)</f>
        <v>0</v>
      </c>
      <c r="J48" s="190">
        <f>IF(J24=3,IF(J37=1,1,0),0)</f>
        <v>0</v>
      </c>
      <c r="K48" s="186">
        <f>IF(K24=3,IF(K37=1,1,0),0)</f>
        <v>0</v>
      </c>
      <c r="M48" s="190">
        <f>IF(M24=3,IF(M37=1,1,0),0)</f>
        <v>1</v>
      </c>
      <c r="N48" s="186">
        <f>IF(N24=3,IF(N37=1,1,0),0)</f>
        <v>1</v>
      </c>
      <c r="P48" s="190">
        <f>IF(P24=3,IF(P37=1,1,0),0)</f>
        <v>0</v>
      </c>
      <c r="Q48" s="186">
        <f>IF(Q24=3,IF(Q37=1,1,0),0)</f>
        <v>0</v>
      </c>
      <c r="S48" s="190">
        <f>IF(S24=3,IF(S37=1,1,0),0)</f>
        <v>0</v>
      </c>
      <c r="T48" s="186">
        <f>IF(T24=3,IF(T37=1,1,0),0)</f>
        <v>0</v>
      </c>
      <c r="V48" s="190">
        <f>IF(V24=3,IF(V37=1,1,0),0)</f>
        <v>0</v>
      </c>
      <c r="W48" s="186">
        <f>IF(W24=3,IF(W37=1,1,0),0)</f>
        <v>0</v>
      </c>
      <c r="Y48" s="190">
        <f>IF(Y24=3,IF(Y37=1,1,0),0)</f>
        <v>0</v>
      </c>
      <c r="Z48" s="186">
        <f>IF(Z24=3,IF(Z37=1,1,0),0)</f>
        <v>0</v>
      </c>
      <c r="AB48" s="190">
        <f>IF(AB24=3,IF(AB37=1,1,0),0)</f>
        <v>0</v>
      </c>
      <c r="AC48" s="186">
        <f>IF(AC24=3,IF(AC37=1,1,0),0)</f>
        <v>0</v>
      </c>
      <c r="AE48" s="190">
        <f>IF(AE24=3,IF(AE37=1,1,0),0)</f>
        <v>0</v>
      </c>
      <c r="AF48" s="186">
        <f>SUM(B48:AE48)</f>
        <v>3</v>
      </c>
      <c r="AG48" s="186">
        <f>AF54-AF48</f>
        <v>0</v>
      </c>
    </row>
    <row r="49" spans="1:37" s="186" customFormat="1" ht="12.75" hidden="1" customHeight="1" x14ac:dyDescent="0.2">
      <c r="A49" s="186" t="s">
        <v>98</v>
      </c>
      <c r="B49" s="186">
        <f>IF(B24=4,IF(B37=1,1,0),0)</f>
        <v>0</v>
      </c>
      <c r="D49" s="190">
        <f>IF(D24=4,IF(D37=1,1,0),0)</f>
        <v>0</v>
      </c>
      <c r="E49" s="186">
        <f>IF(E24=4,IF(E37=1,1,0),0)</f>
        <v>0</v>
      </c>
      <c r="G49" s="190">
        <f>IF(G24=4,IF(G37=1,1,0),0)</f>
        <v>0</v>
      </c>
      <c r="H49" s="186">
        <f>IF(H24=4,IF(H37=1,1,0),0)</f>
        <v>0</v>
      </c>
      <c r="J49" s="190">
        <f>IF(J24=4,IF(J37=1,1,0),0)</f>
        <v>0</v>
      </c>
      <c r="K49" s="186">
        <f>IF(K24=4,IF(K37=1,1,0),0)</f>
        <v>0</v>
      </c>
      <c r="M49" s="190">
        <f>IF(M24=4,IF(M37=1,1,0),0)</f>
        <v>0</v>
      </c>
      <c r="N49" s="186">
        <f>IF(N24=4,IF(N37=1,1,0),0)</f>
        <v>0</v>
      </c>
      <c r="P49" s="190">
        <f>IF(P24=4,IF(P37=1,1,0),0)</f>
        <v>0</v>
      </c>
      <c r="Q49" s="186">
        <f>IF(Q24=4,IF(Q37=1,1,0),0)</f>
        <v>0</v>
      </c>
      <c r="S49" s="190">
        <f>IF(S24=4,IF(S37=1,1,0),0)</f>
        <v>0</v>
      </c>
      <c r="T49" s="186">
        <f>IF(T24=4,IF(T37=1,1,0),0)</f>
        <v>0</v>
      </c>
      <c r="V49" s="190">
        <f>IF(V24=4,IF(V37=1,1,0),0)</f>
        <v>0</v>
      </c>
      <c r="W49" s="186">
        <f>IF(W24=4,IF(W37=1,1,0),0)</f>
        <v>0</v>
      </c>
      <c r="Y49" s="190">
        <f>IF(Y24=4,IF(Y37=1,1,0),0)</f>
        <v>0</v>
      </c>
      <c r="Z49" s="186">
        <f>IF(Z24=4,IF(Z37=1,1,0),0)</f>
        <v>0</v>
      </c>
      <c r="AB49" s="190">
        <f>IF(AB24=4,IF(AB37=1,1,0),0)</f>
        <v>0</v>
      </c>
      <c r="AC49" s="186">
        <f>IF(AC24=4,IF(AC37=1,1,0),0)</f>
        <v>0</v>
      </c>
      <c r="AE49" s="190">
        <f>IF(AE24=4,IF(AE37=1,1,0),0)</f>
        <v>0</v>
      </c>
      <c r="AF49" s="186">
        <f>SUM(B49:AE49)</f>
        <v>0</v>
      </c>
      <c r="AG49" s="186">
        <f>AF55-AF49</f>
        <v>3</v>
      </c>
    </row>
    <row r="50" spans="1:37" s="186" customFormat="1" ht="12.75" hidden="1" customHeight="1" x14ac:dyDescent="0.2">
      <c r="A50" s="186" t="s">
        <v>99</v>
      </c>
      <c r="B50" s="186">
        <f>IF(B24=5,IF(B37=1,1,0),0)</f>
        <v>0</v>
      </c>
      <c r="D50" s="190">
        <f>IF(D24=5,IF(D37=1,1,0),0)</f>
        <v>0</v>
      </c>
      <c r="E50" s="186">
        <f>IF(E24=5,IF(E37=1,1,0),0)</f>
        <v>0</v>
      </c>
      <c r="G50" s="190">
        <f>IF(G24=5,IF(G37=1,1,0),0)</f>
        <v>0</v>
      </c>
      <c r="H50" s="186">
        <f>IF(H24=5,IF(H37=1,1,0),0)</f>
        <v>0</v>
      </c>
      <c r="J50" s="190">
        <f>IF(J24=5,IF(J37=1,1,0),0)</f>
        <v>0</v>
      </c>
      <c r="K50" s="186">
        <f>IF(K24=5,IF(K37=1,1,0),0)</f>
        <v>0</v>
      </c>
      <c r="M50" s="190">
        <f>IF(M24=5,IF(M37=1,1,0),0)</f>
        <v>0</v>
      </c>
      <c r="N50" s="186">
        <f>IF(N24=5,IF(N37=1,1,0),0)</f>
        <v>0</v>
      </c>
      <c r="P50" s="190">
        <f>IF(P24=5,IF(P37=1,1,0),0)</f>
        <v>0</v>
      </c>
      <c r="Q50" s="186">
        <f>IF(Q24=5,IF(Q37=1,1,0),0)</f>
        <v>0</v>
      </c>
      <c r="S50" s="190">
        <f>IF(S24=5,IF(S37=1,1,0),0)</f>
        <v>0</v>
      </c>
      <c r="T50" s="186">
        <f>IF(T24=5,IF(T37=1,1,0),0)</f>
        <v>0</v>
      </c>
      <c r="V50" s="190">
        <f>IF(V24=5,IF(V37=1,1,0),0)</f>
        <v>0</v>
      </c>
      <c r="W50" s="186">
        <f>IF(W24=5,IF(W37=1,1,0),0)</f>
        <v>0</v>
      </c>
      <c r="Y50" s="190">
        <f>IF(Y24=5,IF(Y37=1,1,0),0)</f>
        <v>0</v>
      </c>
      <c r="Z50" s="186">
        <f>IF(Z24=5,IF(Z37=1,1,0),0)</f>
        <v>0</v>
      </c>
      <c r="AB50" s="190">
        <f>IF(AB24=5,IF(AB37=1,1,0),0)</f>
        <v>0</v>
      </c>
      <c r="AC50" s="186">
        <f>IF(AC24=5,IF(AC37=1,1,0),0)</f>
        <v>0</v>
      </c>
      <c r="AE50" s="190">
        <f>IF(AE24=5,IF(AE37=1,1,0),0)</f>
        <v>0</v>
      </c>
      <c r="AF50" s="186">
        <f>SUM(B50:AE50)</f>
        <v>0</v>
      </c>
      <c r="AG50" s="186">
        <f>AF56-AF50</f>
        <v>0</v>
      </c>
    </row>
    <row r="51" spans="1:37" s="186" customFormat="1" ht="38.25" hidden="1" customHeight="1" x14ac:dyDescent="0.2">
      <c r="A51" s="189"/>
      <c r="D51" s="190"/>
      <c r="G51" s="190"/>
      <c r="J51" s="190"/>
      <c r="M51" s="190"/>
      <c r="P51" s="190"/>
      <c r="S51" s="190"/>
      <c r="V51" s="190"/>
      <c r="Y51" s="190"/>
      <c r="AB51" s="190"/>
      <c r="AE51" s="190"/>
      <c r="AF51" s="189" t="s">
        <v>100</v>
      </c>
    </row>
    <row r="52" spans="1:37" s="186" customFormat="1" ht="12.75" hidden="1" customHeight="1" x14ac:dyDescent="0.2">
      <c r="A52" s="186" t="s">
        <v>101</v>
      </c>
      <c r="B52" s="186">
        <f>IF(B24=1,IF(C37=1,1,0),0)</f>
        <v>0</v>
      </c>
      <c r="D52" s="190">
        <f>IF(D24=1,IF(C37=1,1,0),0)</f>
        <v>0</v>
      </c>
      <c r="E52" s="186">
        <f>IF(E24=1,IF(F37=1,1,0),0)</f>
        <v>1</v>
      </c>
      <c r="G52" s="190">
        <f>IF(G24=1,IF(F37=1,1,0),0)</f>
        <v>0</v>
      </c>
      <c r="H52" s="186">
        <f>IF(H24=1,IF(I37=1,1,0),0)</f>
        <v>0</v>
      </c>
      <c r="J52" s="190">
        <f>IF(J24=1,IF(I37=1,1,0),0)</f>
        <v>0</v>
      </c>
      <c r="K52" s="186">
        <f>IF(K24=1,IF(L37=1,1,0),0)</f>
        <v>1</v>
      </c>
      <c r="M52" s="190">
        <f>IF(M24=1,IF(L37=1,1,0),0)</f>
        <v>0</v>
      </c>
      <c r="N52" s="186">
        <f>IF(N24=1,IF(O37=1,1,0),0)</f>
        <v>0</v>
      </c>
      <c r="P52" s="190">
        <f>IF(P24=1,IF(O37=1,1,0),0)</f>
        <v>0</v>
      </c>
      <c r="Q52" s="186">
        <f>IF(Q24=1,IF(R37=1,1,0),0)</f>
        <v>1</v>
      </c>
      <c r="S52" s="190">
        <f>IF(S24=1,IF(R37=1,1,0),0)</f>
        <v>0</v>
      </c>
      <c r="T52" s="186">
        <f>IF(T24=1,IF(U37=1,1,0),0)</f>
        <v>0</v>
      </c>
      <c r="V52" s="190">
        <f>IF(V24=1,IF(U37=1,1,0),0)</f>
        <v>0</v>
      </c>
      <c r="W52" s="186">
        <f>IF(W24=1,IF(X37=1,1,0),0)</f>
        <v>0</v>
      </c>
      <c r="Y52" s="190">
        <f>IF(Y24=1,IF(X37=1,1,0),0)</f>
        <v>0</v>
      </c>
      <c r="Z52" s="186">
        <f>IF(Z24=1,IF(AA37=1,1,0),0)</f>
        <v>0</v>
      </c>
      <c r="AB52" s="190">
        <f>IF(AB24=1,IF(AA37=1,1,0),0)</f>
        <v>0</v>
      </c>
      <c r="AC52" s="186">
        <f>IF(AC24=1,IF(AD37=1,1,0),0)</f>
        <v>0</v>
      </c>
      <c r="AE52" s="190">
        <f>IF(AE24=1,IF(AD37=1,1,0),0)</f>
        <v>0</v>
      </c>
      <c r="AF52" s="186">
        <f>SUM(B52:AE52)</f>
        <v>3</v>
      </c>
    </row>
    <row r="53" spans="1:37" s="186" customFormat="1" ht="12.75" hidden="1" customHeight="1" x14ac:dyDescent="0.2">
      <c r="A53" s="186" t="s">
        <v>102</v>
      </c>
      <c r="B53" s="186">
        <f>IF(B24=2,IF(C37=1,1,0),0)</f>
        <v>1</v>
      </c>
      <c r="D53" s="190">
        <f>IF(D24=2,IF(C37=1,1,0),0)</f>
        <v>0</v>
      </c>
      <c r="E53" s="186">
        <f>IF(E24=2,IF(F37=1,1,0),0)</f>
        <v>0</v>
      </c>
      <c r="G53" s="190">
        <f>IF(G24=2,IF(F37=1,1,0),0)</f>
        <v>0</v>
      </c>
      <c r="H53" s="186">
        <f>IF(H24=2,IF(I37=1,1,0),0)</f>
        <v>1</v>
      </c>
      <c r="J53" s="190">
        <f>IF(J24=2,IF(I37=1,1,0),0)</f>
        <v>0</v>
      </c>
      <c r="K53" s="186">
        <f>IF(K24=2,IF(L37=1,1,0),0)</f>
        <v>0</v>
      </c>
      <c r="M53" s="190">
        <f>IF(M24=2,IF(L37=1,1,0),0)</f>
        <v>0</v>
      </c>
      <c r="N53" s="186">
        <f>IF(N24=2,IF(O37=1,1,0),0)</f>
        <v>0</v>
      </c>
      <c r="P53" s="190">
        <f>IF(P24=2,IF(O37=1,1,0),0)</f>
        <v>0</v>
      </c>
      <c r="Q53" s="186">
        <f>IF(Q24=2,IF(R37=1,1,0),0)</f>
        <v>0</v>
      </c>
      <c r="S53" s="190">
        <f>IF(S24=2,IF(R37=1,1,0),0)</f>
        <v>1</v>
      </c>
      <c r="T53" s="186">
        <f>IF(T24=2,IF(U37=1,1,0),0)</f>
        <v>0</v>
      </c>
      <c r="V53" s="190">
        <f>IF(V24=2,IF(U37=1,1,0),0)</f>
        <v>0</v>
      </c>
      <c r="W53" s="186">
        <f>IF(W24=2,IF(X37=1,1,0),0)</f>
        <v>0</v>
      </c>
      <c r="Y53" s="190">
        <f>IF(Y24=2,IF(X37=1,1,0),0)</f>
        <v>0</v>
      </c>
      <c r="Z53" s="186">
        <f>IF(Z24=2,IF(AA37=1,1,0),0)</f>
        <v>0</v>
      </c>
      <c r="AB53" s="190">
        <f>IF(AB24=2,IF(AA37=1,1,0),0)</f>
        <v>0</v>
      </c>
      <c r="AC53" s="186">
        <f>IF(AC24=2,IF(AD37=1,1,0),0)</f>
        <v>0</v>
      </c>
      <c r="AE53" s="190">
        <f>IF(AE24=2,IF(AD37=1,1,0),0)</f>
        <v>0</v>
      </c>
      <c r="AF53" s="186">
        <f>SUM(B53:AE53)</f>
        <v>3</v>
      </c>
    </row>
    <row r="54" spans="1:37" s="186" customFormat="1" ht="12.75" hidden="1" customHeight="1" x14ac:dyDescent="0.2">
      <c r="A54" s="186" t="s">
        <v>103</v>
      </c>
      <c r="B54" s="186">
        <f>IF(B24=3,IF(C37=1,1,0),0)</f>
        <v>0</v>
      </c>
      <c r="D54" s="190">
        <f>IF(D24=3,IF(C37=1,1,0),0)</f>
        <v>1</v>
      </c>
      <c r="E54" s="186">
        <f>IF(E24=3,IF(F37=1,1,0),0)</f>
        <v>0</v>
      </c>
      <c r="G54" s="190">
        <f>IF(G24=3,IF(F37=1,1,0),0)</f>
        <v>0</v>
      </c>
      <c r="H54" s="186">
        <f>IF(H24=3,IF(I37=1,1,0),0)</f>
        <v>0</v>
      </c>
      <c r="J54" s="190">
        <f>IF(J24=3,IF(I37=1,1,0),0)</f>
        <v>0</v>
      </c>
      <c r="K54" s="186">
        <f>IF(K24=3,IF(L37=1,1,0),0)</f>
        <v>0</v>
      </c>
      <c r="M54" s="190">
        <f>IF(M24=3,IF(L37=1,1,0),0)</f>
        <v>1</v>
      </c>
      <c r="N54" s="186">
        <f>IF(N24=3,IF(O37=1,1,0),0)</f>
        <v>1</v>
      </c>
      <c r="P54" s="190">
        <f>IF(P24=3,IF(O37=1,1,0),0)</f>
        <v>0</v>
      </c>
      <c r="Q54" s="186">
        <f>IF(Q24=3,IF(R37=1,1,0),0)</f>
        <v>0</v>
      </c>
      <c r="S54" s="190">
        <f>IF(S24=3,IF(R37=1,1,0),0)</f>
        <v>0</v>
      </c>
      <c r="T54" s="186">
        <f>IF(T24=3,IF(U37=1,1,0),0)</f>
        <v>0</v>
      </c>
      <c r="V54" s="190">
        <f>IF(V24=3,IF(U37=1,1,0),0)</f>
        <v>0</v>
      </c>
      <c r="W54" s="186">
        <f>IF(W24=3,IF(X37=1,1,0),0)</f>
        <v>0</v>
      </c>
      <c r="Y54" s="190">
        <f>IF(Y24=3,IF(X37=1,1,0),0)</f>
        <v>0</v>
      </c>
      <c r="Z54" s="186">
        <f>IF(Z24=3,IF(AA37=1,1,0),0)</f>
        <v>0</v>
      </c>
      <c r="AB54" s="190">
        <f>IF(AB24=3,IF(AA37=1,1,0),0)</f>
        <v>0</v>
      </c>
      <c r="AC54" s="186">
        <f>IF(AC24=3,IF(AD37=1,1,0),0)</f>
        <v>0</v>
      </c>
      <c r="AE54" s="190">
        <f>IF(AE24=3,IF(AD37=1,1,0),0)</f>
        <v>0</v>
      </c>
      <c r="AF54" s="186">
        <f>SUM(B54:AE54)</f>
        <v>3</v>
      </c>
    </row>
    <row r="55" spans="1:37" s="186" customFormat="1" ht="12.75" hidden="1" customHeight="1" x14ac:dyDescent="0.2">
      <c r="A55" s="186" t="s">
        <v>104</v>
      </c>
      <c r="B55" s="186">
        <f>IF(B24=4,IF(C37=1,1,0),0)</f>
        <v>0</v>
      </c>
      <c r="D55" s="190">
        <f>IF(D24=4,IF(C37=1,1,0),0)</f>
        <v>0</v>
      </c>
      <c r="E55" s="186">
        <f>IF(E24=4,IF(F37=1,1,0),0)</f>
        <v>0</v>
      </c>
      <c r="G55" s="190">
        <f>IF(G24=4,IF(F37=1,1,0),0)</f>
        <v>1</v>
      </c>
      <c r="H55" s="186">
        <f>IF(H24=4,IF(I37=1,1,0),0)</f>
        <v>0</v>
      </c>
      <c r="J55" s="190">
        <f>IF(J24=4,IF(I37=1,1,0),0)</f>
        <v>1</v>
      </c>
      <c r="K55" s="186">
        <f>IF(K24=4,IF(L37=1,1,0),0)</f>
        <v>0</v>
      </c>
      <c r="M55" s="190">
        <f>IF(M24=4,IF(L37=1,1,0),0)</f>
        <v>0</v>
      </c>
      <c r="N55" s="186">
        <f>IF(N24=4,IF(O37=1,1,0),0)</f>
        <v>0</v>
      </c>
      <c r="P55" s="190">
        <f>IF(P24=4,IF(O37=1,1,0),0)</f>
        <v>1</v>
      </c>
      <c r="Q55" s="186">
        <f>IF(Q24=4,IF(R37=1,1,0),0)</f>
        <v>0</v>
      </c>
      <c r="S55" s="190">
        <f>IF(S24=4,IF(R37=1,1,0),0)</f>
        <v>0</v>
      </c>
      <c r="T55" s="186">
        <f>IF(T24=4,IF(U37=1,1,0),0)</f>
        <v>0</v>
      </c>
      <c r="V55" s="190">
        <f>IF(V24=4,IF(U37=1,1,0),0)</f>
        <v>0</v>
      </c>
      <c r="W55" s="186">
        <f>IF(W24=4,IF(X37=1,1,0),0)</f>
        <v>0</v>
      </c>
      <c r="Y55" s="190">
        <f>IF(Y24=4,IF(X37=1,1,0),0)</f>
        <v>0</v>
      </c>
      <c r="Z55" s="186">
        <f>IF(Z24=4,IF(AA37=1,1,0),0)</f>
        <v>0</v>
      </c>
      <c r="AB55" s="190">
        <f>IF(AB24=4,IF(AA37=1,1,0),0)</f>
        <v>0</v>
      </c>
      <c r="AC55" s="186">
        <f>IF(AC24=4,IF(AD37=1,1,0),0)</f>
        <v>0</v>
      </c>
      <c r="AE55" s="190">
        <f>IF(AE24=4,IF(AD37=1,1,0),0)</f>
        <v>0</v>
      </c>
      <c r="AF55" s="186">
        <f>SUM(B55:AE55)</f>
        <v>3</v>
      </c>
    </row>
    <row r="56" spans="1:37" s="186" customFormat="1" ht="12.75" hidden="1" customHeight="1" x14ac:dyDescent="0.2">
      <c r="A56" s="186" t="s">
        <v>105</v>
      </c>
      <c r="B56" s="186">
        <f>IF(B24=5,IF(C37=1,1,0),0)</f>
        <v>0</v>
      </c>
      <c r="D56" s="190">
        <f>IF(D24=5,IF(C37=1,1,0),0)</f>
        <v>0</v>
      </c>
      <c r="E56" s="186">
        <f>IF(E24=5,IF(F37=1,1,0),0)</f>
        <v>0</v>
      </c>
      <c r="G56" s="190">
        <f>IF(G24=5,IF(F37=1,1,0),0)</f>
        <v>0</v>
      </c>
      <c r="H56" s="186">
        <f>IF(H24=5,IF(I37=1,1,0),0)</f>
        <v>0</v>
      </c>
      <c r="J56" s="190">
        <f>IF(J24=5,IF(I37=1,1,0),0)</f>
        <v>0</v>
      </c>
      <c r="K56" s="186">
        <f>IF(K24=5,IF(L37=1,1,0),0)</f>
        <v>0</v>
      </c>
      <c r="M56" s="190">
        <f>IF(M24=5,IF(L37=1,1,0),0)</f>
        <v>0</v>
      </c>
      <c r="N56" s="186">
        <f>IF(N24=5,IF(O37=1,1,0),0)</f>
        <v>0</v>
      </c>
      <c r="P56" s="190">
        <f>IF(P24=5,IF(O37=1,1,0),0)</f>
        <v>0</v>
      </c>
      <c r="Q56" s="186">
        <f>IF(Q24=5,IF(R37=1,1,0),0)</f>
        <v>0</v>
      </c>
      <c r="S56" s="190">
        <f>IF(S24=5,IF(R37=1,1,0),0)</f>
        <v>0</v>
      </c>
      <c r="T56" s="186">
        <f>IF(T24=5,IF(U37=1,1,0),0)</f>
        <v>0</v>
      </c>
      <c r="V56" s="190">
        <f>IF(V24=5,IF(U37=1,1,0),0)</f>
        <v>0</v>
      </c>
      <c r="W56" s="186">
        <f>IF(W24=5,IF(X37=1,1,0),0)</f>
        <v>0</v>
      </c>
      <c r="Y56" s="190">
        <f>IF(Y24=5,IF(X37=1,1,0),0)</f>
        <v>0</v>
      </c>
      <c r="Z56" s="186">
        <f>IF(Z24=5,IF(AA37=1,1,0),0)</f>
        <v>0</v>
      </c>
      <c r="AB56" s="190">
        <f>IF(AB24=5,IF(AA37=1,1,0),0)</f>
        <v>0</v>
      </c>
      <c r="AC56" s="186">
        <f>IF(AC24=5,IF(AD37=1,1,0),0)</f>
        <v>0</v>
      </c>
      <c r="AE56" s="190">
        <f>IF(AE24=5,IF(AD37=1,1,0),0)</f>
        <v>0</v>
      </c>
      <c r="AF56" s="186">
        <f>SUM(B56:AE56)</f>
        <v>0</v>
      </c>
    </row>
    <row r="57" spans="1:37" s="186" customFormat="1" ht="38.25" hidden="1" customHeight="1" x14ac:dyDescent="0.2">
      <c r="A57" s="189"/>
      <c r="D57" s="190"/>
      <c r="G57" s="190"/>
      <c r="J57" s="190"/>
      <c r="M57" s="190"/>
      <c r="P57" s="190"/>
      <c r="S57" s="190"/>
      <c r="V57" s="190"/>
      <c r="Y57" s="190"/>
      <c r="AB57" s="190"/>
      <c r="AE57" s="190"/>
      <c r="AF57" s="189" t="s">
        <v>106</v>
      </c>
      <c r="AG57" s="451"/>
      <c r="AH57" s="451"/>
      <c r="AI57" s="451"/>
      <c r="AJ57" s="451"/>
      <c r="AK57" s="451"/>
    </row>
    <row r="58" spans="1:37" s="186" customFormat="1" ht="12.75" hidden="1" customHeight="1" x14ac:dyDescent="0.2">
      <c r="A58" s="186" t="s">
        <v>101</v>
      </c>
      <c r="B58" s="186">
        <f>IF(B24=1,B44,0)</f>
        <v>0</v>
      </c>
      <c r="D58" s="190">
        <f>IF(D24=1,B44,0)</f>
        <v>0</v>
      </c>
      <c r="E58" s="186">
        <f>IF(E24=1,E44,0)</f>
        <v>65</v>
      </c>
      <c r="G58" s="190">
        <f>IF(G24=1,E44,0)</f>
        <v>0</v>
      </c>
      <c r="H58" s="186">
        <f>IF(H24=1,H44,0)</f>
        <v>0</v>
      </c>
      <c r="J58" s="190">
        <f>IF(J24=1,H44,0)</f>
        <v>0</v>
      </c>
      <c r="K58" s="186">
        <f>IF(K24=1,K44,0)</f>
        <v>50</v>
      </c>
      <c r="M58" s="190">
        <f>IF(M24=1,K44,0)</f>
        <v>0</v>
      </c>
      <c r="N58" s="186">
        <f>IF(N24=1,N44,0)</f>
        <v>0</v>
      </c>
      <c r="P58" s="190">
        <f>IF(P24=1,N44,0)</f>
        <v>0</v>
      </c>
      <c r="Q58" s="186">
        <f>IF(Q24=1,Q44,0)</f>
        <v>65</v>
      </c>
      <c r="S58" s="190">
        <f>IF(S24=1,Q44,0)</f>
        <v>0</v>
      </c>
      <c r="T58" s="186">
        <f>IF(T24=1,T44,0)</f>
        <v>0</v>
      </c>
      <c r="V58" s="190">
        <f>IF(V24=1,T44,0)</f>
        <v>0</v>
      </c>
      <c r="W58" s="186">
        <f>IF(W24=1,W44,0)</f>
        <v>0</v>
      </c>
      <c r="Y58" s="190">
        <f>IF(Y24=1,W44,0)</f>
        <v>0</v>
      </c>
      <c r="Z58" s="186">
        <f>IF(Z24=1,Z44,0)</f>
        <v>0</v>
      </c>
      <c r="AB58" s="190">
        <f>IF(AB24=1,Z44,0)</f>
        <v>0</v>
      </c>
      <c r="AC58" s="186">
        <f>IF(AC24=1,AC44,0)</f>
        <v>0</v>
      </c>
      <c r="AE58" s="190">
        <f>IF(AE24=1,AC44,0)</f>
        <v>0</v>
      </c>
      <c r="AF58" s="186">
        <f>SUM(B58:AE58)</f>
        <v>180</v>
      </c>
    </row>
    <row r="59" spans="1:37" s="186" customFormat="1" ht="12.75" hidden="1" customHeight="1" x14ac:dyDescent="0.2">
      <c r="A59" s="186" t="s">
        <v>102</v>
      </c>
      <c r="B59" s="186">
        <f>IF(B24=2,B44,0)</f>
        <v>65</v>
      </c>
      <c r="D59" s="190">
        <f>IF(D24=2,B44,0)</f>
        <v>0</v>
      </c>
      <c r="E59" s="186">
        <f>IF(E24=2,E44,0)</f>
        <v>0</v>
      </c>
      <c r="G59" s="190">
        <f>IF(G24=2,E44,0)</f>
        <v>0</v>
      </c>
      <c r="H59" s="186">
        <f>IF(H24=2,H44,0)</f>
        <v>50</v>
      </c>
      <c r="J59" s="190">
        <f>IF(J24=2,H44,0)</f>
        <v>0</v>
      </c>
      <c r="K59" s="186">
        <f>IF(K24=2,K44,0)</f>
        <v>0</v>
      </c>
      <c r="M59" s="190">
        <f>IF(M24=2,K44,0)</f>
        <v>0</v>
      </c>
      <c r="N59" s="186">
        <f>IF(N24=2,N44,0)</f>
        <v>0</v>
      </c>
      <c r="P59" s="190">
        <f>IF(P24=2,N44,0)</f>
        <v>0</v>
      </c>
      <c r="Q59" s="186">
        <f>IF(Q24=2,Q44,0)</f>
        <v>0</v>
      </c>
      <c r="S59" s="190">
        <f>IF(S24=2,Q44,0)</f>
        <v>65</v>
      </c>
      <c r="T59" s="186">
        <f>IF(T24=2,T44,0)</f>
        <v>0</v>
      </c>
      <c r="V59" s="190">
        <f>IF(V24=2,T44,0)</f>
        <v>0</v>
      </c>
      <c r="W59" s="186">
        <f>IF(W24=2,W44,0)</f>
        <v>0</v>
      </c>
      <c r="Y59" s="190">
        <f>IF(Y24=2,W44,0)</f>
        <v>0</v>
      </c>
      <c r="Z59" s="186">
        <f>IF(Z24=2,Z44,0)</f>
        <v>0</v>
      </c>
      <c r="AB59" s="190">
        <f>IF(AB24=2,Z44,0)</f>
        <v>0</v>
      </c>
      <c r="AC59" s="186">
        <f>IF(AC24=2,AC44,0)</f>
        <v>0</v>
      </c>
      <c r="AE59" s="190">
        <f>IF(AE24=2,AC44,0)</f>
        <v>0</v>
      </c>
      <c r="AF59" s="186">
        <f>SUM(B59:AE59)</f>
        <v>180</v>
      </c>
    </row>
    <row r="60" spans="1:37" s="186" customFormat="1" ht="12.75" hidden="1" customHeight="1" x14ac:dyDescent="0.2">
      <c r="A60" s="186" t="s">
        <v>103</v>
      </c>
      <c r="B60" s="186">
        <f>IF(B24=3,B44,0)</f>
        <v>0</v>
      </c>
      <c r="D60" s="190">
        <f>IF(D24=3,B44,0)</f>
        <v>65</v>
      </c>
      <c r="E60" s="186">
        <f>IF(E24=3,E44,0)</f>
        <v>0</v>
      </c>
      <c r="G60" s="190">
        <f>IF(G24=3,E44,0)</f>
        <v>0</v>
      </c>
      <c r="H60" s="186">
        <f>IF(H24=3,H44,0)</f>
        <v>0</v>
      </c>
      <c r="J60" s="190">
        <f>IF(J24=3,H44,0)</f>
        <v>0</v>
      </c>
      <c r="K60" s="186">
        <f>IF(K24=3,K44,0)</f>
        <v>0</v>
      </c>
      <c r="M60" s="190">
        <f>IF(M24=3,K44,0)</f>
        <v>50</v>
      </c>
      <c r="N60" s="186">
        <f>IF(N24=3,N44,0)</f>
        <v>50</v>
      </c>
      <c r="P60" s="190">
        <f>IF(P24=3,N44,0)</f>
        <v>0</v>
      </c>
      <c r="Q60" s="186">
        <f>IF(Q24=3,Q44,0)</f>
        <v>0</v>
      </c>
      <c r="S60" s="190">
        <f>IF(S24=3,Q44,0)</f>
        <v>0</v>
      </c>
      <c r="T60" s="186">
        <f>IF(T24=3,T44,0)</f>
        <v>0</v>
      </c>
      <c r="V60" s="190">
        <f>IF(V24=3,T44,0)</f>
        <v>0</v>
      </c>
      <c r="W60" s="186">
        <f>IF(W24=3,W44,0)</f>
        <v>0</v>
      </c>
      <c r="Y60" s="190">
        <f>IF(Y24=3,W44,0)</f>
        <v>0</v>
      </c>
      <c r="Z60" s="186">
        <f>IF(Z24=3,Z44,0)</f>
        <v>0</v>
      </c>
      <c r="AB60" s="190">
        <f>IF(AB24=3,Z44,0)</f>
        <v>0</v>
      </c>
      <c r="AC60" s="186">
        <f>IF(AC24=3,AC44,0)</f>
        <v>0</v>
      </c>
      <c r="AE60" s="190">
        <f>IF(AE24=3,AC44,0)</f>
        <v>0</v>
      </c>
      <c r="AF60" s="186">
        <f>SUM(B60:AE60)</f>
        <v>165</v>
      </c>
    </row>
    <row r="61" spans="1:37" s="186" customFormat="1" ht="12.75" hidden="1" customHeight="1" x14ac:dyDescent="0.2">
      <c r="A61" s="186" t="s">
        <v>104</v>
      </c>
      <c r="B61" s="186">
        <f>IF(B24=4,B44,0)</f>
        <v>0</v>
      </c>
      <c r="D61" s="190">
        <f>IF(D24=4,B44,0)</f>
        <v>0</v>
      </c>
      <c r="E61" s="186">
        <f>IF(E24=4,E44,0)</f>
        <v>0</v>
      </c>
      <c r="G61" s="190">
        <f>IF(G24=4,E44,0)</f>
        <v>65</v>
      </c>
      <c r="H61" s="186">
        <f>IF(H24=4,H44,0)</f>
        <v>0</v>
      </c>
      <c r="J61" s="190">
        <f>IF(J24=4,H44,0)</f>
        <v>50</v>
      </c>
      <c r="K61" s="186">
        <f>IF(K24=4,K44,0)</f>
        <v>0</v>
      </c>
      <c r="M61" s="190">
        <f>IF(M24=4,K44,0)</f>
        <v>0</v>
      </c>
      <c r="N61" s="186">
        <f>IF(N24=4,N44,0)</f>
        <v>0</v>
      </c>
      <c r="P61" s="190">
        <f>IF(P24=4,N44,0)</f>
        <v>50</v>
      </c>
      <c r="Q61" s="186">
        <f>IF(Q24=4,Q44,0)</f>
        <v>0</v>
      </c>
      <c r="S61" s="190">
        <f>IF(S24=4,Q44,0)</f>
        <v>0</v>
      </c>
      <c r="T61" s="186">
        <f>IF(T24=4,T44,0)</f>
        <v>0</v>
      </c>
      <c r="V61" s="190">
        <f>IF(V24=4,T44,0)</f>
        <v>0</v>
      </c>
      <c r="W61" s="186">
        <f>IF(W24=4,W44,0)</f>
        <v>0</v>
      </c>
      <c r="Y61" s="190">
        <f>IF(Y24=4,W44,0)</f>
        <v>0</v>
      </c>
      <c r="Z61" s="186">
        <f>IF(Z24=4,Z44,0)</f>
        <v>0</v>
      </c>
      <c r="AB61" s="190">
        <f>IF(AB24=4,Z44,0)</f>
        <v>0</v>
      </c>
      <c r="AC61" s="186">
        <f>IF(AC24=4,AC44,0)</f>
        <v>0</v>
      </c>
      <c r="AE61" s="190">
        <f>IF(AE24=4,AC44,0)</f>
        <v>0</v>
      </c>
      <c r="AF61" s="186">
        <f>SUM(B61:AE61)</f>
        <v>165</v>
      </c>
    </row>
    <row r="62" spans="1:37" s="186" customFormat="1" ht="12.75" hidden="1" customHeight="1" x14ac:dyDescent="0.2">
      <c r="A62" s="186" t="s">
        <v>105</v>
      </c>
      <c r="B62" s="186">
        <f>IF(B24=5,B44,0)</f>
        <v>0</v>
      </c>
      <c r="D62" s="190">
        <f>IF(D24=5,B44,0)</f>
        <v>0</v>
      </c>
      <c r="E62" s="186">
        <f>IF(E24=5,E44,0)</f>
        <v>0</v>
      </c>
      <c r="G62" s="190">
        <f>IF(G24=5,E44,0)</f>
        <v>0</v>
      </c>
      <c r="H62" s="186">
        <f>IF(H24=5,H44,0)</f>
        <v>0</v>
      </c>
      <c r="J62" s="190">
        <f>IF(J24=5,H44,0)</f>
        <v>0</v>
      </c>
      <c r="K62" s="186">
        <f>IF(K24=5,K44,0)</f>
        <v>0</v>
      </c>
      <c r="M62" s="190">
        <f>IF(M24=5,K44,0)</f>
        <v>0</v>
      </c>
      <c r="N62" s="186">
        <f>IF(N24=5,N44,0)</f>
        <v>0</v>
      </c>
      <c r="P62" s="190">
        <f>IF(P24=5,N44,0)</f>
        <v>0</v>
      </c>
      <c r="Q62" s="186">
        <f>IF(Q24=5,Q44,0)</f>
        <v>0</v>
      </c>
      <c r="S62" s="190">
        <f>IF(S24=5,Q44,0)</f>
        <v>0</v>
      </c>
      <c r="T62" s="186">
        <f>IF(T24=5,T44,0)</f>
        <v>0</v>
      </c>
      <c r="V62" s="190">
        <f>IF(V24=5,T44,0)</f>
        <v>0</v>
      </c>
      <c r="W62" s="186">
        <f>IF(W24=5,W44,0)</f>
        <v>0</v>
      </c>
      <c r="Y62" s="190">
        <f>IF(Y24=5,W44,0)</f>
        <v>0</v>
      </c>
      <c r="Z62" s="186">
        <f>IF(Z24=5,Z44,0)</f>
        <v>0</v>
      </c>
      <c r="AB62" s="190">
        <f>IF(AB24=5,Z44,0)</f>
        <v>0</v>
      </c>
      <c r="AC62" s="186">
        <f>IF(AC24=5,AC44,0)</f>
        <v>0</v>
      </c>
      <c r="AE62" s="190">
        <f>IF(AE24=5,AC44,0)</f>
        <v>0</v>
      </c>
      <c r="AF62" s="186">
        <f>SUM(B62:AE62)</f>
        <v>0</v>
      </c>
    </row>
    <row r="63" spans="1:37" s="186" customFormat="1" ht="38.25" hidden="1" customHeight="1" x14ac:dyDescent="0.2">
      <c r="A63" s="186" t="s">
        <v>107</v>
      </c>
      <c r="D63" s="190"/>
      <c r="G63" s="190"/>
      <c r="J63" s="190"/>
      <c r="M63" s="190"/>
      <c r="P63" s="190"/>
      <c r="S63" s="190"/>
      <c r="V63" s="190"/>
      <c r="Y63" s="190"/>
      <c r="AB63" s="190"/>
      <c r="AE63" s="190"/>
      <c r="AF63" s="189" t="s">
        <v>108</v>
      </c>
      <c r="AG63" s="186" t="s">
        <v>109</v>
      </c>
    </row>
    <row r="64" spans="1:37" s="186" customFormat="1" ht="12.75" hidden="1" customHeight="1" x14ac:dyDescent="0.2">
      <c r="A64" s="186" t="s">
        <v>95</v>
      </c>
      <c r="B64" s="186">
        <f>IF(B24=1,SUMIF(B31:B35,"&gt;0"),0)</f>
        <v>0</v>
      </c>
      <c r="D64" s="190">
        <f>IF(D24=1,SUMIF(D31:D35,"&gt;0"),0)</f>
        <v>0</v>
      </c>
      <c r="E64" s="186">
        <f>IF(E24=1,SUMIF(E31:E35,"&gt;0"),0)</f>
        <v>2</v>
      </c>
      <c r="G64" s="190">
        <f>IF(G24=1,SUMIF(G31:G35,"&gt;0"),0)</f>
        <v>0</v>
      </c>
      <c r="H64" s="186">
        <f>IF(H24=1,SUMIF(H31:H35,"&gt;0"),0)</f>
        <v>0</v>
      </c>
      <c r="J64" s="190">
        <f>IF(J24=1,SUMIF(J31:J35,"&gt;0"),0)</f>
        <v>0</v>
      </c>
      <c r="K64" s="186">
        <f>IF(K24=1,SUMIF(K31:K35,"&gt;0"),0)</f>
        <v>0</v>
      </c>
      <c r="M64" s="190">
        <f>IF(M24=1,SUMIF(M31:M35,"&gt;0"),0)</f>
        <v>0</v>
      </c>
      <c r="N64" s="186">
        <f>IF(N24=1,SUMIF(N31:N35,"&gt;0"),0)</f>
        <v>0</v>
      </c>
      <c r="P64" s="190">
        <f>IF(P24=1,SUMIF(P31:P35,"&gt;0"),0)</f>
        <v>0</v>
      </c>
      <c r="Q64" s="186">
        <f>IF(Q24=1,SUMIF(Q31:Q35,"&gt;0"),0)</f>
        <v>1</v>
      </c>
      <c r="S64" s="190">
        <f>IF(S24=1,SUMIF(S31:S35,"&gt;0"),0)</f>
        <v>0</v>
      </c>
      <c r="T64" s="186">
        <f>IF(T24=1,SUMIF(T31:T35,"&gt;0"),0)</f>
        <v>0</v>
      </c>
      <c r="V64" s="190">
        <f>IF(V24=1,SUMIF(V31:V35,"&gt;0"),0)</f>
        <v>0</v>
      </c>
      <c r="W64" s="186">
        <f>IF(W24=1,SUMIF(W31:W35,"&gt;0"),0)</f>
        <v>0</v>
      </c>
      <c r="Y64" s="190">
        <f>IF(Y24=1,SUMIF(Y31:Y35,"&gt;0"),0)</f>
        <v>0</v>
      </c>
      <c r="Z64" s="186">
        <f>IF(Z24=1,SUMIF(Z31:Z35,"&gt;0"),0)</f>
        <v>0</v>
      </c>
      <c r="AB64" s="190">
        <f>IF(AB24=1,SUMIF(AB31:AB35,"&gt;0"),0)</f>
        <v>0</v>
      </c>
      <c r="AC64" s="186">
        <f>IF(AC24=1,SUMIF(AC31:AC35,"&gt;0"),0)</f>
        <v>0</v>
      </c>
      <c r="AE64" s="190">
        <f>IF(AE24=1,SUMIF(AE31:AE35,"&gt;0"),0)</f>
        <v>0</v>
      </c>
      <c r="AF64" s="186">
        <f>SUM(B64:AE64)</f>
        <v>3</v>
      </c>
      <c r="AG64" s="186">
        <f>AF72-AF64</f>
        <v>5</v>
      </c>
    </row>
    <row r="65" spans="1:54" s="186" customFormat="1" ht="12.75" hidden="1" customHeight="1" x14ac:dyDescent="0.2">
      <c r="A65" s="186" t="s">
        <v>96</v>
      </c>
      <c r="B65" s="186">
        <f>IF(B24=2,SUMIF(B31:B35,"&gt;0"),0)</f>
        <v>1</v>
      </c>
      <c r="D65" s="190">
        <f>IF(D24=2,SUMIF(D31:D35,"&gt;0"),0)</f>
        <v>0</v>
      </c>
      <c r="E65" s="186">
        <f>IF(E24=2,SUMIF(E31:E35,"&gt;0"),0)</f>
        <v>0</v>
      </c>
      <c r="G65" s="190">
        <f>IF(G24=2,SUMIF(G31:G35,"&gt;0"),0)</f>
        <v>0</v>
      </c>
      <c r="H65" s="186">
        <f>IF(H24=2,SUMIF(H31:H35,"&gt;0"),0)</f>
        <v>2</v>
      </c>
      <c r="J65" s="190">
        <f>IF(J24=2,SUMIF(J31:J35,"&gt;0"),0)</f>
        <v>0</v>
      </c>
      <c r="K65" s="186">
        <f>IF(K24=2,SUMIF(K31:K35,"&gt;0"),0)</f>
        <v>0</v>
      </c>
      <c r="M65" s="190">
        <f>IF(M24=2,SUMIF(M31:M35,"&gt;0"),0)</f>
        <v>0</v>
      </c>
      <c r="N65" s="186">
        <f>IF(N24=2,SUMIF(N31:N35,"&gt;0"),0)</f>
        <v>0</v>
      </c>
      <c r="P65" s="190">
        <f>IF(P24=2,SUMIF(P31:P35,"&gt;0"),0)</f>
        <v>0</v>
      </c>
      <c r="Q65" s="186">
        <f>IF(Q24=2,SUMIF(Q31:Q35,"&gt;0"),0)</f>
        <v>0</v>
      </c>
      <c r="S65" s="190">
        <f>IF(S24=2,SUMIF(S31:S35,"&gt;0"),0)</f>
        <v>2</v>
      </c>
      <c r="T65" s="186">
        <f>IF(T24=2,SUMIF(T31:T35,"&gt;0"),0)</f>
        <v>0</v>
      </c>
      <c r="V65" s="190">
        <f>IF(V24=2,SUMIF(V31:V35,"&gt;0"),0)</f>
        <v>0</v>
      </c>
      <c r="W65" s="186">
        <f>IF(W24=2,SUMIF(W31:W35,"&gt;0"),0)</f>
        <v>0</v>
      </c>
      <c r="Y65" s="190">
        <f>IF(Y24=2,SUMIF(Y31:Y35,"&gt;0"),0)</f>
        <v>0</v>
      </c>
      <c r="Z65" s="186">
        <f>IF(Z24=2,SUMIF(Z31:Z35,"&gt;0"),0)</f>
        <v>0</v>
      </c>
      <c r="AB65" s="190">
        <f>IF(AB24=2,SUMIF(AB31:AB35,"&gt;0"),0)</f>
        <v>0</v>
      </c>
      <c r="AC65" s="186">
        <f>IF(AC24=2,SUMIF(AC31:AC35,"&gt;0"),0)</f>
        <v>0</v>
      </c>
      <c r="AE65" s="190">
        <f>IF(AE24=2,SUMIF(AE31:AE35,"&gt;0"),0)</f>
        <v>0</v>
      </c>
      <c r="AF65" s="186">
        <f>SUM(B65:AE65)</f>
        <v>5</v>
      </c>
      <c r="AG65" s="186">
        <f>AF73-AF65</f>
        <v>3</v>
      </c>
    </row>
    <row r="66" spans="1:54" s="186" customFormat="1" ht="12.75" hidden="1" customHeight="1" x14ac:dyDescent="0.2">
      <c r="A66" s="186" t="s">
        <v>97</v>
      </c>
      <c r="B66" s="186">
        <f>IF(B24=3,SUMIF(B31:B35,"&gt;0"),0)</f>
        <v>0</v>
      </c>
      <c r="D66" s="190">
        <f>IF(D24=3,SUMIF(D31:D35,"&gt;0"),0)</f>
        <v>2</v>
      </c>
      <c r="E66" s="186">
        <f>IF(E24=3,SUMIF(E31:E35,"&gt;0"),0)</f>
        <v>0</v>
      </c>
      <c r="G66" s="190">
        <f>IF(G24=3,SUMIF(G31:G35,"&gt;0"),0)</f>
        <v>0</v>
      </c>
      <c r="H66" s="186">
        <f>IF(H24=3,SUMIF(H31:H35,"&gt;0"),0)</f>
        <v>0</v>
      </c>
      <c r="J66" s="190">
        <f>IF(J24=3,SUMIF(J31:J35,"&gt;0"),0)</f>
        <v>0</v>
      </c>
      <c r="K66" s="186">
        <f>IF(K24=3,SUMIF(K31:K35,"&gt;0"),0)</f>
        <v>0</v>
      </c>
      <c r="M66" s="190">
        <f>IF(M24=3,SUMIF(M31:M35,"&gt;0"),0)</f>
        <v>2</v>
      </c>
      <c r="N66" s="186">
        <f>IF(N24=3,SUMIF(N31:N35,"&gt;0"),0)</f>
        <v>2</v>
      </c>
      <c r="P66" s="190">
        <f>IF(P24=3,SUMIF(P31:P35,"&gt;0"),0)</f>
        <v>0</v>
      </c>
      <c r="Q66" s="186">
        <f>IF(Q24=3,SUMIF(Q31:Q35,"&gt;0"),0)</f>
        <v>0</v>
      </c>
      <c r="S66" s="190">
        <f>IF(S24=3,SUMIF(S31:S35,"&gt;0"),0)</f>
        <v>0</v>
      </c>
      <c r="T66" s="186">
        <f>IF(T24=3,SUMIF(T31:T35,"&gt;0"),0)</f>
        <v>0</v>
      </c>
      <c r="V66" s="190">
        <f>IF(V24=3,SUMIF(V31:V35,"&gt;0"),0)</f>
        <v>0</v>
      </c>
      <c r="W66" s="186">
        <f>IF(W24=3,SUMIF(W31:W35,"&gt;0"),0)</f>
        <v>0</v>
      </c>
      <c r="Y66" s="190">
        <f>IF(Y24=3,SUMIF(Y31:Y35,"&gt;0"),0)</f>
        <v>0</v>
      </c>
      <c r="Z66" s="186">
        <f>IF(Z24=3,SUMIF(Z31:Z35,"&gt;0"),0)</f>
        <v>0</v>
      </c>
      <c r="AB66" s="190">
        <f>IF(AB24=3,SUMIF(AB31:AB35,"&gt;0"),0)</f>
        <v>0</v>
      </c>
      <c r="AC66" s="186">
        <f>IF(AC24=3,SUMIF(AC31:AC35,"&gt;0"),0)</f>
        <v>0</v>
      </c>
      <c r="AE66" s="190">
        <f>IF(AE24=3,SUMIF(AE31:AE35,"&gt;0"),0)</f>
        <v>0</v>
      </c>
      <c r="AF66" s="186">
        <f>SUM(B66:AE66)</f>
        <v>6</v>
      </c>
      <c r="AG66" s="186">
        <f>AF74-AF66</f>
        <v>1</v>
      </c>
    </row>
    <row r="67" spans="1:54" s="186" customFormat="1" ht="12.75" hidden="1" customHeight="1" x14ac:dyDescent="0.2">
      <c r="A67" s="186" t="s">
        <v>98</v>
      </c>
      <c r="B67" s="186">
        <f>IF(B24=4,SUMIF(B31:B35,"&gt;0"),0)</f>
        <v>0</v>
      </c>
      <c r="D67" s="190">
        <f>IF(D24=4,SUMIF(D31:D35,"&gt;0"),0)</f>
        <v>0</v>
      </c>
      <c r="E67" s="186">
        <f>IF(E24=4,SUMIF(E31:E35,"&gt;0"),0)</f>
        <v>0</v>
      </c>
      <c r="G67" s="190">
        <f>IF(G24=4,SUMIF(G31:G35,"&gt;0"),0)</f>
        <v>1</v>
      </c>
      <c r="H67" s="186">
        <f>IF(H24=4,SUMIF(H31:H35,"&gt;0"),0)</f>
        <v>0</v>
      </c>
      <c r="J67" s="190">
        <f>IF(J24=4,SUMIF(J31:J35,"&gt;0"),0)</f>
        <v>0</v>
      </c>
      <c r="K67" s="186">
        <f>IF(K24=4,SUMIF(K31:K35,"&gt;0"),0)</f>
        <v>0</v>
      </c>
      <c r="M67" s="190">
        <f>IF(M24=4,SUMIF(M31:M35,"&gt;0"),0)</f>
        <v>0</v>
      </c>
      <c r="N67" s="186">
        <f>IF(N24=4,SUMIF(N31:N35,"&gt;0"),0)</f>
        <v>0</v>
      </c>
      <c r="P67" s="190">
        <f>IF(P24=4,SUMIF(P31:P35,"&gt;0"),0)</f>
        <v>0</v>
      </c>
      <c r="Q67" s="186">
        <f>IF(Q24=4,SUMIF(Q31:Q35,"&gt;0"),0)</f>
        <v>0</v>
      </c>
      <c r="S67" s="190">
        <f>IF(S24=4,SUMIF(S31:S35,"&gt;0"),0)</f>
        <v>0</v>
      </c>
      <c r="T67" s="186">
        <f>IF(T24=4,SUMIF(T31:T35,"&gt;0"),0)</f>
        <v>0</v>
      </c>
      <c r="V67" s="190">
        <f>IF(V24=4,SUMIF(V31:V35,"&gt;0"),0)</f>
        <v>0</v>
      </c>
      <c r="W67" s="186">
        <f>IF(W24=4,SUMIF(W31:W35,"&gt;0"),0)</f>
        <v>0</v>
      </c>
      <c r="Y67" s="190">
        <f>IF(Y24=4,SUMIF(Y31:Y35,"&gt;0"),0)</f>
        <v>0</v>
      </c>
      <c r="Z67" s="186">
        <f>IF(Z24=4,SUMIF(Z31:Z35,"&gt;0"),0)</f>
        <v>0</v>
      </c>
      <c r="AB67" s="190">
        <f>IF(AB24=4,SUMIF(AB31:AB35,"&gt;0"),0)</f>
        <v>0</v>
      </c>
      <c r="AC67" s="186">
        <f>IF(AC24=4,SUMIF(AC31:AC35,"&gt;0"),0)</f>
        <v>0</v>
      </c>
      <c r="AE67" s="190">
        <f>IF(AE24=4,SUMIF(AE31:AE35,"&gt;0"),0)</f>
        <v>0</v>
      </c>
      <c r="AF67" s="186">
        <f>SUM(B67:AE67)</f>
        <v>1</v>
      </c>
      <c r="AG67" s="186">
        <f>AF75-AF67</f>
        <v>6</v>
      </c>
    </row>
    <row r="68" spans="1:54" s="186" customFormat="1" ht="12.75" hidden="1" customHeight="1" x14ac:dyDescent="0.2">
      <c r="A68" s="186" t="s">
        <v>99</v>
      </c>
      <c r="B68" s="186">
        <f>IF(B24=5,SUMIF(B31:B35,"&gt;0"),0)</f>
        <v>0</v>
      </c>
      <c r="D68" s="190">
        <f>IF(D24=5,SUMIF(D31:D35,"&gt;0"),0)</f>
        <v>0</v>
      </c>
      <c r="E68" s="186">
        <f>IF(E24=5,SUMIF(E31:E35,"&gt;0"),0)</f>
        <v>0</v>
      </c>
      <c r="G68" s="190">
        <f>IF(G24=5,SUMIF(G31:G35,"&gt;0"),0)</f>
        <v>0</v>
      </c>
      <c r="H68" s="186">
        <f>IF(H24=5,SUMIF(H31:H35,"&gt;0"),0)</f>
        <v>0</v>
      </c>
      <c r="J68" s="190">
        <f>IF(J24=5,SUMIF(J31:J35,"&gt;0"),0)</f>
        <v>0</v>
      </c>
      <c r="K68" s="186">
        <f>IF(K24=5,SUMIF(K31:K35,"&gt;0"),0)</f>
        <v>0</v>
      </c>
      <c r="M68" s="190">
        <f>IF(M24=5,SUMIF(M31:M35,"&gt;0"),0)</f>
        <v>0</v>
      </c>
      <c r="N68" s="186">
        <f>IF(N24=5,SUMIF(N31:N35,"&gt;0"),0)</f>
        <v>0</v>
      </c>
      <c r="P68" s="190">
        <f>IF(P24=5,SUMIF(P31:P35,"&gt;0"),0)</f>
        <v>0</v>
      </c>
      <c r="Q68" s="186">
        <f>IF(Q24=5,SUMIF(Q31:Q35,"&gt;0"),0)</f>
        <v>0</v>
      </c>
      <c r="S68" s="190">
        <f>IF(S24=5,SUMIF(S31:S35,"&gt;0"),0)</f>
        <v>0</v>
      </c>
      <c r="T68" s="186">
        <f>IF(T24=5,SUMIF(T31:T35,"&gt;0"),0)</f>
        <v>0</v>
      </c>
      <c r="V68" s="190">
        <f>IF(V24=5,SUMIF(V31:V35,"&gt;0"),0)</f>
        <v>0</v>
      </c>
      <c r="W68" s="186">
        <f>IF(W24=5,SUMIF(W31:W35,"&gt;0"),0)</f>
        <v>0</v>
      </c>
      <c r="Y68" s="190">
        <f>IF(Y24=5,SUMIF(Y31:Y35,"&gt;0"),0)</f>
        <v>0</v>
      </c>
      <c r="Z68" s="186">
        <f>IF(Z24=5,SUMIF(Z31:Z35,"&gt;0"),0)</f>
        <v>0</v>
      </c>
      <c r="AB68" s="190">
        <f>IF(AB24=5,SUMIF(AB31:AB35,"&gt;0"),0)</f>
        <v>0</v>
      </c>
      <c r="AC68" s="186">
        <f>IF(AC24=5,SUMIF(AC31:AC35,"&gt;0"),0)</f>
        <v>0</v>
      </c>
      <c r="AE68" s="190">
        <f>IF(AE24=5,SUMIF(AE31:AE35,"&gt;0"),0)</f>
        <v>0</v>
      </c>
      <c r="AF68" s="186">
        <f>SUM(B68:AE68)</f>
        <v>0</v>
      </c>
      <c r="AG68" s="186">
        <f>AF76-AF68</f>
        <v>0</v>
      </c>
    </row>
    <row r="69" spans="1:54" s="186" customFormat="1" ht="12.75" hidden="1" customHeight="1" x14ac:dyDescent="0.2">
      <c r="D69" s="190"/>
      <c r="G69" s="190"/>
      <c r="J69" s="190"/>
      <c r="M69" s="190"/>
      <c r="P69" s="190"/>
      <c r="S69" s="190"/>
      <c r="V69" s="190"/>
      <c r="Y69" s="190"/>
      <c r="AB69" s="190"/>
      <c r="AE69" s="190"/>
    </row>
    <row r="70" spans="1:54" s="186" customFormat="1" ht="12.75" hidden="1" customHeight="1" x14ac:dyDescent="0.2">
      <c r="D70" s="190"/>
      <c r="G70" s="190"/>
      <c r="J70" s="190"/>
      <c r="M70" s="190"/>
      <c r="P70" s="190"/>
      <c r="S70" s="190"/>
      <c r="V70" s="190"/>
      <c r="Y70" s="190"/>
      <c r="AB70" s="190"/>
      <c r="AE70" s="190"/>
    </row>
    <row r="71" spans="1:54" s="186" customFormat="1" ht="51" hidden="1" customHeight="1" x14ac:dyDescent="0.2">
      <c r="A71" s="189" t="s">
        <v>110</v>
      </c>
      <c r="C71" s="186">
        <f>SUMIF(B64:D68,"&gt;0")</f>
        <v>3</v>
      </c>
      <c r="D71" s="190"/>
      <c r="F71" s="186">
        <f>SUMIF(E64:G68,"&gt;0")</f>
        <v>3</v>
      </c>
      <c r="G71" s="190"/>
      <c r="I71" s="186">
        <f>SUMIF(H64:J68,"&gt;0")</f>
        <v>2</v>
      </c>
      <c r="J71" s="190"/>
      <c r="L71" s="186">
        <f>SUMIF(K64:M68,"&gt;0")</f>
        <v>2</v>
      </c>
      <c r="M71" s="190"/>
      <c r="O71" s="186">
        <f>SUMIF(N64:P68,"&gt;0")</f>
        <v>2</v>
      </c>
      <c r="P71" s="190"/>
      <c r="R71" s="186">
        <f>SUMIF(Q64:S68,"&gt;0")</f>
        <v>3</v>
      </c>
      <c r="S71" s="190"/>
      <c r="U71" s="186">
        <f>SUMIF(T64:V68,"&gt;0")</f>
        <v>0</v>
      </c>
      <c r="V71" s="190"/>
      <c r="X71" s="186">
        <f>SUMIF(W64:Y68,"&gt;0")</f>
        <v>0</v>
      </c>
      <c r="Y71" s="190"/>
      <c r="AA71" s="186">
        <f>SUMIF(Z64:AB68,"&gt;0")</f>
        <v>0</v>
      </c>
      <c r="AB71" s="190"/>
      <c r="AD71" s="186">
        <f>SUMIF(AC64:AE68,"&gt;0")</f>
        <v>0</v>
      </c>
      <c r="AE71" s="190"/>
      <c r="AF71" s="189" t="s">
        <v>111</v>
      </c>
    </row>
    <row r="72" spans="1:54" s="186" customFormat="1" ht="12.75" hidden="1" customHeight="1" x14ac:dyDescent="0.2">
      <c r="A72" s="186" t="s">
        <v>101</v>
      </c>
      <c r="B72" s="186">
        <f>IF(B24=1,C71,0)</f>
        <v>0</v>
      </c>
      <c r="D72" s="190">
        <f>IF(D24=1,C71,0)</f>
        <v>0</v>
      </c>
      <c r="E72" s="186">
        <f>IF(E24=1,F71,0)</f>
        <v>3</v>
      </c>
      <c r="G72" s="190">
        <f>IF(G24=1,F71,0)</f>
        <v>0</v>
      </c>
      <c r="H72" s="186">
        <f>IF(H24=1,I71,0)</f>
        <v>0</v>
      </c>
      <c r="J72" s="190">
        <f>IF(J24=1,I71,0)</f>
        <v>0</v>
      </c>
      <c r="K72" s="186">
        <f>IF(K24=1,L71,0)</f>
        <v>2</v>
      </c>
      <c r="M72" s="190">
        <f>IF(M24=1,L71,0)</f>
        <v>0</v>
      </c>
      <c r="N72" s="186">
        <f>IF(N24=1,O71,0)</f>
        <v>0</v>
      </c>
      <c r="P72" s="190">
        <f>IF(P24=1,O71,0)</f>
        <v>0</v>
      </c>
      <c r="Q72" s="186">
        <f>IF(Q24=1,R71,0)</f>
        <v>3</v>
      </c>
      <c r="S72" s="190">
        <f>IF(S24=1,R71,0)</f>
        <v>0</v>
      </c>
      <c r="T72" s="186">
        <f>IF(T24=1,U71,0)</f>
        <v>0</v>
      </c>
      <c r="V72" s="190">
        <f>IF(V24=1,U71,0)</f>
        <v>0</v>
      </c>
      <c r="W72" s="186">
        <f>IF(W24=1,X71,0)</f>
        <v>0</v>
      </c>
      <c r="Y72" s="190">
        <f>IF(Y24=1,X71,0)</f>
        <v>0</v>
      </c>
      <c r="Z72" s="186">
        <f>IF(Z24=1,AA71,0)</f>
        <v>0</v>
      </c>
      <c r="AB72" s="190">
        <f>IF(AB24=1,AA71,0)</f>
        <v>0</v>
      </c>
      <c r="AC72" s="186">
        <f>IF(AC24=1,AD71,0)</f>
        <v>0</v>
      </c>
      <c r="AE72" s="190">
        <f>IF(AE24=1,AD71,0)</f>
        <v>0</v>
      </c>
      <c r="AF72" s="186">
        <f>SUM(B72:AE72)</f>
        <v>8</v>
      </c>
    </row>
    <row r="73" spans="1:54" s="186" customFormat="1" ht="12.75" hidden="1" customHeight="1" x14ac:dyDescent="0.2">
      <c r="A73" s="186" t="s">
        <v>102</v>
      </c>
      <c r="B73" s="186">
        <f>IF(B24=2,C71,0)</f>
        <v>3</v>
      </c>
      <c r="D73" s="190">
        <f>IF(D24=2,C71,0)</f>
        <v>0</v>
      </c>
      <c r="E73" s="186">
        <f>IF(E24=2,F71,0)</f>
        <v>0</v>
      </c>
      <c r="G73" s="190">
        <f>IF(G24=2,F71,0)</f>
        <v>0</v>
      </c>
      <c r="H73" s="186">
        <f>IF(H24=2,I71,0)</f>
        <v>2</v>
      </c>
      <c r="J73" s="190">
        <f>IF(J24=2,I71,0)</f>
        <v>0</v>
      </c>
      <c r="K73" s="186">
        <f>IF(K24=2,L71,0)</f>
        <v>0</v>
      </c>
      <c r="M73" s="190">
        <f>IF(M24=2,L71,0)</f>
        <v>0</v>
      </c>
      <c r="N73" s="186">
        <f>IF(N24=2,O71,0)</f>
        <v>0</v>
      </c>
      <c r="P73" s="190">
        <f>IF(P24=2,O71,0)</f>
        <v>0</v>
      </c>
      <c r="Q73" s="186">
        <f>IF(Q24=2,R71,0)</f>
        <v>0</v>
      </c>
      <c r="S73" s="190">
        <f>IF(S24=2,R71,0)</f>
        <v>3</v>
      </c>
      <c r="T73" s="186">
        <f>IF(T24=2,U71,0)</f>
        <v>0</v>
      </c>
      <c r="V73" s="190">
        <f>IF(V24=2,U71,0)</f>
        <v>0</v>
      </c>
      <c r="W73" s="186">
        <f>IF(W24=2,X71,0)</f>
        <v>0</v>
      </c>
      <c r="Y73" s="190">
        <f>IF(Y24=2,X71,0)</f>
        <v>0</v>
      </c>
      <c r="Z73" s="186">
        <f>IF(Z24=2,AA71,0)</f>
        <v>0</v>
      </c>
      <c r="AB73" s="190">
        <f>IF(AB24=2,AA71,0)</f>
        <v>0</v>
      </c>
      <c r="AC73" s="186">
        <f>IF(AC24=2,AD71,0)</f>
        <v>0</v>
      </c>
      <c r="AE73" s="190">
        <f>IF(AE24=2,AD71,0)</f>
        <v>0</v>
      </c>
      <c r="AF73" s="186">
        <f>SUM(B73:AE73)</f>
        <v>8</v>
      </c>
    </row>
    <row r="74" spans="1:54" s="186" customFormat="1" ht="12.75" hidden="1" customHeight="1" x14ac:dyDescent="0.2">
      <c r="A74" s="186" t="s">
        <v>103</v>
      </c>
      <c r="B74" s="186">
        <f>IF(B24=3,C71,0)</f>
        <v>0</v>
      </c>
      <c r="D74" s="190">
        <f>IF(D24=3,C71,0)</f>
        <v>3</v>
      </c>
      <c r="E74" s="186">
        <f>IF(E24=3,F71,0)</f>
        <v>0</v>
      </c>
      <c r="G74" s="190">
        <f>IF(G24=3,F71,0)</f>
        <v>0</v>
      </c>
      <c r="H74" s="186">
        <f>IF(H24=3,I71,0)</f>
        <v>0</v>
      </c>
      <c r="J74" s="190">
        <f>IF(J24=3,I71,0)</f>
        <v>0</v>
      </c>
      <c r="K74" s="186">
        <f>IF(K24=3,L71,0)</f>
        <v>0</v>
      </c>
      <c r="M74" s="190">
        <f>IF(M24=3,L71,0)</f>
        <v>2</v>
      </c>
      <c r="N74" s="186">
        <f>IF(N24=3,O71,0)</f>
        <v>2</v>
      </c>
      <c r="P74" s="190">
        <f>IF(P24=3,O71,0)</f>
        <v>0</v>
      </c>
      <c r="Q74" s="186">
        <f>IF(Q24=3,R71,0)</f>
        <v>0</v>
      </c>
      <c r="S74" s="190">
        <f>IF(S24=3,R71,0)</f>
        <v>0</v>
      </c>
      <c r="T74" s="186">
        <f>IF(T24=3,U71,0)</f>
        <v>0</v>
      </c>
      <c r="V74" s="190">
        <f>IF(V24=3,U71,0)</f>
        <v>0</v>
      </c>
      <c r="W74" s="186">
        <f>IF(W24=3,X71,0)</f>
        <v>0</v>
      </c>
      <c r="Y74" s="190">
        <f>IF(Y24=3,X71,0)</f>
        <v>0</v>
      </c>
      <c r="Z74" s="186">
        <f>IF(Z24=3,AA71,0)</f>
        <v>0</v>
      </c>
      <c r="AB74" s="190">
        <f>IF(AB24=3,AA71,0)</f>
        <v>0</v>
      </c>
      <c r="AC74" s="186">
        <f>IF(AC24=3,AD71,0)</f>
        <v>0</v>
      </c>
      <c r="AE74" s="190">
        <f>IF(AE24=3,AD71,0)</f>
        <v>0</v>
      </c>
      <c r="AF74" s="186">
        <f>SUM(B74:AE74)</f>
        <v>7</v>
      </c>
    </row>
    <row r="75" spans="1:54" s="186" customFormat="1" ht="12.75" hidden="1" customHeight="1" x14ac:dyDescent="0.2">
      <c r="A75" s="186" t="s">
        <v>104</v>
      </c>
      <c r="B75" s="186">
        <f>IF(B24=4,C71,0)</f>
        <v>0</v>
      </c>
      <c r="D75" s="190">
        <f>IF(D24=4,C71,0)</f>
        <v>0</v>
      </c>
      <c r="E75" s="186">
        <f>IF(E24=4,F71,0)</f>
        <v>0</v>
      </c>
      <c r="G75" s="190">
        <f>IF(G24=4,F71,0)</f>
        <v>3</v>
      </c>
      <c r="H75" s="186">
        <f>IF(H24=4,I71,0)</f>
        <v>0</v>
      </c>
      <c r="J75" s="190">
        <f>IF(J24=4,I71,0)</f>
        <v>2</v>
      </c>
      <c r="K75" s="186">
        <f>IF(K24=4,L71,0)</f>
        <v>0</v>
      </c>
      <c r="M75" s="190">
        <f>IF(M24=4,L71,0)</f>
        <v>0</v>
      </c>
      <c r="N75" s="186">
        <f>IF(N24=4,O71,0)</f>
        <v>0</v>
      </c>
      <c r="P75" s="190">
        <f>IF(P24=4,O71,0)</f>
        <v>2</v>
      </c>
      <c r="Q75" s="186">
        <f>IF(Q24=4,R71,0)</f>
        <v>0</v>
      </c>
      <c r="S75" s="190">
        <f>IF(S24=4,R71,0)</f>
        <v>0</v>
      </c>
      <c r="T75" s="186">
        <f>IF(T24=4,U71,0)</f>
        <v>0</v>
      </c>
      <c r="V75" s="190">
        <f>IF(V24=4,U71,0)</f>
        <v>0</v>
      </c>
      <c r="W75" s="186">
        <f>IF(W24=4,X71,0)</f>
        <v>0</v>
      </c>
      <c r="Y75" s="190">
        <f>IF(Y24=4,X71,0)</f>
        <v>0</v>
      </c>
      <c r="Z75" s="186">
        <f>IF(Z24=4,AA71,0)</f>
        <v>0</v>
      </c>
      <c r="AB75" s="190">
        <f>IF(AB24=4,AA71,0)</f>
        <v>0</v>
      </c>
      <c r="AC75" s="186">
        <f>IF(AC24=4,AD71,0)</f>
        <v>0</v>
      </c>
      <c r="AE75" s="190">
        <f>IF(AE24=4,AD71,0)</f>
        <v>0</v>
      </c>
      <c r="AF75" s="186">
        <f>SUM(B75:AE75)</f>
        <v>7</v>
      </c>
    </row>
    <row r="76" spans="1:54" s="186" customFormat="1" ht="12.75" hidden="1" customHeight="1" x14ac:dyDescent="0.2">
      <c r="A76" s="186" t="s">
        <v>105</v>
      </c>
      <c r="B76" s="186">
        <f>IF(B24=5,C71,0)</f>
        <v>0</v>
      </c>
      <c r="D76" s="190">
        <f>IF(D24=5,C71,0)</f>
        <v>0</v>
      </c>
      <c r="E76" s="186">
        <f>IF(E24=5,F71,0)</f>
        <v>0</v>
      </c>
      <c r="G76" s="190">
        <f>IF(G24=5,F71,0)</f>
        <v>0</v>
      </c>
      <c r="H76" s="186">
        <f>IF(H24=5,I71,0)</f>
        <v>0</v>
      </c>
      <c r="J76" s="190">
        <f>IF(J24=5,I71,0)</f>
        <v>0</v>
      </c>
      <c r="K76" s="186">
        <f>IF(K24=5,L71,0)</f>
        <v>0</v>
      </c>
      <c r="M76" s="190">
        <f>IF(M24=5,L71,0)</f>
        <v>0</v>
      </c>
      <c r="N76" s="186">
        <f>IF(N24=5,O71,0)</f>
        <v>0</v>
      </c>
      <c r="P76" s="190">
        <f>IF(P24=5,O71,0)</f>
        <v>0</v>
      </c>
      <c r="Q76" s="186">
        <f>IF(Q24=5,R71,0)</f>
        <v>0</v>
      </c>
      <c r="S76" s="190">
        <f>IF(S24=5,R71,0)</f>
        <v>0</v>
      </c>
      <c r="T76" s="186">
        <f>IF(T24=5,U71,0)</f>
        <v>0</v>
      </c>
      <c r="V76" s="190">
        <f>IF(V24=5,U71,0)</f>
        <v>0</v>
      </c>
      <c r="W76" s="186">
        <f>IF(W24=5,X71,0)</f>
        <v>0</v>
      </c>
      <c r="Y76" s="190">
        <f>IF(Y24=5,X71,0)</f>
        <v>0</v>
      </c>
      <c r="Z76" s="186">
        <f>IF(Z24=5,AA71,0)</f>
        <v>0</v>
      </c>
      <c r="AB76" s="190">
        <f>IF(AB24=5,AA71,0)</f>
        <v>0</v>
      </c>
      <c r="AC76" s="186">
        <f>IF(AC24=5,AD71,0)</f>
        <v>0</v>
      </c>
      <c r="AE76" s="190">
        <f>IF(AE24=5,AD71,0)</f>
        <v>0</v>
      </c>
      <c r="AF76" s="186">
        <f>SUM(B76:AE76)</f>
        <v>0</v>
      </c>
    </row>
    <row r="77" spans="1:54" hidden="1" x14ac:dyDescent="0.2">
      <c r="A77" s="191"/>
      <c r="B77" s="191"/>
      <c r="C77" s="191"/>
      <c r="D77" s="191"/>
      <c r="E77" s="191"/>
      <c r="F77" s="191"/>
      <c r="G77" s="191"/>
      <c r="H77" s="191"/>
      <c r="I77" s="191"/>
      <c r="J77" s="191"/>
      <c r="K77" s="191"/>
      <c r="L77" s="191"/>
      <c r="M77" s="191"/>
      <c r="N77" s="191"/>
      <c r="O77" s="191"/>
      <c r="P77" s="191"/>
      <c r="Q77" s="191"/>
      <c r="R77" s="191"/>
      <c r="S77" s="191"/>
      <c r="T77" s="191"/>
      <c r="U77" s="191"/>
      <c r="V77" s="191"/>
      <c r="W77" s="191"/>
      <c r="X77" s="191"/>
      <c r="Y77" s="191"/>
      <c r="Z77" s="191"/>
      <c r="AA77" s="191"/>
      <c r="AB77" s="191"/>
      <c r="AC77" s="191"/>
      <c r="AD77" s="191"/>
      <c r="AE77" s="191"/>
      <c r="AF77" s="191"/>
      <c r="AG77" s="191"/>
      <c r="AH77" s="191"/>
      <c r="AI77" s="191"/>
      <c r="AJ77" s="191"/>
      <c r="AK77" s="191"/>
      <c r="AL77" s="191"/>
      <c r="AM77" s="191"/>
      <c r="AN77" s="192"/>
      <c r="AO77" s="192"/>
      <c r="AP77" s="192"/>
      <c r="AQ77" s="192"/>
      <c r="AR77" s="193"/>
      <c r="AS77" s="193"/>
      <c r="AT77" s="193"/>
      <c r="AU77" s="193"/>
      <c r="AV77" s="193"/>
      <c r="AW77" s="194"/>
      <c r="BB77" s="194"/>
    </row>
    <row r="78" spans="1:54" s="193" customFormat="1" hidden="1" x14ac:dyDescent="0.2">
      <c r="A78" s="195"/>
      <c r="B78" s="195"/>
      <c r="C78" s="195" t="s">
        <v>112</v>
      </c>
      <c r="D78" s="195">
        <v>1</v>
      </c>
      <c r="E78" s="195"/>
      <c r="F78" s="195"/>
      <c r="G78" s="195">
        <v>2</v>
      </c>
      <c r="H78" s="195"/>
      <c r="I78" s="195"/>
      <c r="J78" s="195">
        <v>3</v>
      </c>
      <c r="K78" s="195"/>
      <c r="L78" s="195"/>
      <c r="M78" s="195">
        <v>4</v>
      </c>
      <c r="N78" s="195"/>
      <c r="O78" s="195"/>
      <c r="P78" s="195">
        <v>5</v>
      </c>
      <c r="Q78" s="195"/>
      <c r="R78" s="195"/>
      <c r="S78" s="195">
        <v>6</v>
      </c>
      <c r="T78" s="195"/>
      <c r="U78" s="195"/>
      <c r="V78" s="195">
        <v>7</v>
      </c>
      <c r="W78" s="195"/>
      <c r="X78" s="195"/>
      <c r="Y78" s="195">
        <v>8</v>
      </c>
      <c r="Z78" s="195"/>
      <c r="AA78" s="195"/>
      <c r="AB78" s="195">
        <v>9</v>
      </c>
      <c r="AC78" s="195"/>
      <c r="AD78" s="195"/>
      <c r="AE78" s="195">
        <v>10</v>
      </c>
      <c r="AF78" s="134"/>
      <c r="AG78" s="195"/>
      <c r="AI78" s="196"/>
      <c r="AJ78" s="134"/>
      <c r="AK78" s="134"/>
      <c r="AL78" s="134"/>
      <c r="AM78" s="134"/>
      <c r="AN78" s="134"/>
      <c r="AO78" s="134"/>
      <c r="AT78" s="196" t="s">
        <v>113</v>
      </c>
      <c r="AW78" s="197"/>
      <c r="BB78" s="197"/>
    </row>
    <row r="79" spans="1:54" s="193" customFormat="1" hidden="1" x14ac:dyDescent="0.2">
      <c r="A79" s="198">
        <v>1</v>
      </c>
      <c r="B79" s="198" t="str">
        <f>E8</f>
        <v>High Velocity 13's</v>
      </c>
      <c r="C79" s="198">
        <f>VLOOKUP(B79,AU$3:AY$12,3,FALSE)</f>
        <v>1618.6634729877185</v>
      </c>
      <c r="D79" s="198">
        <f>IF(B72,B87,IF(D72,D87,C79))</f>
        <v>1618.6634729877185</v>
      </c>
      <c r="E79" s="198"/>
      <c r="F79" s="198"/>
      <c r="G79" s="198">
        <f>IF(E72,E87,IF(G72,G87,D79))</f>
        <v>1612.7483957337904</v>
      </c>
      <c r="H79" s="198"/>
      <c r="I79" s="198"/>
      <c r="J79" s="198">
        <f>IF(H72,H87,IF(J72,J87,G79))</f>
        <v>1612.7483957337904</v>
      </c>
      <c r="K79" s="198"/>
      <c r="L79" s="198"/>
      <c r="M79" s="198">
        <f>IF(K72,K87,IF(M72,M87,J79))</f>
        <v>1573.6594753850345</v>
      </c>
      <c r="N79" s="198"/>
      <c r="O79" s="198"/>
      <c r="P79" s="198">
        <f>IF(N72,N87,IF(P72,P87,M79))</f>
        <v>1573.6594753850345</v>
      </c>
      <c r="Q79" s="198"/>
      <c r="R79" s="198"/>
      <c r="S79" s="198">
        <f>IF(Q72,Q87,IF(S72,S87,P79))</f>
        <v>1556.8834080920503</v>
      </c>
      <c r="T79" s="198"/>
      <c r="U79" s="198"/>
      <c r="V79" s="198">
        <f>IF(T72,T87,IF(V72,V87,S79))</f>
        <v>1556.8834080920503</v>
      </c>
      <c r="W79" s="198"/>
      <c r="X79" s="198"/>
      <c r="Y79" s="198">
        <f>IF(W72,W87,IF(Y72,Y87,V79))</f>
        <v>1556.8834080920503</v>
      </c>
      <c r="Z79" s="198"/>
      <c r="AA79" s="198"/>
      <c r="AB79" s="198">
        <f>IF(Z72,Z87,IF(AB72,AB87,Y79))</f>
        <v>1556.8834080920503</v>
      </c>
      <c r="AC79" s="198"/>
      <c r="AD79" s="198"/>
      <c r="AE79" s="198">
        <f>IF(AC72,AC87,IF(AE72,AE87,AB79))</f>
        <v>1556.8834080920503</v>
      </c>
      <c r="AF79" s="134"/>
      <c r="AG79" s="134"/>
      <c r="AJ79" s="134"/>
      <c r="AK79" s="134"/>
      <c r="AL79" s="134"/>
      <c r="AM79" s="134"/>
      <c r="AN79" s="134"/>
      <c r="AO79" s="134"/>
      <c r="AT79" s="193" t="str">
        <f>B79</f>
        <v>High Velocity 13's</v>
      </c>
      <c r="AU79" s="193">
        <f>AE79</f>
        <v>1556.8834080920503</v>
      </c>
      <c r="AW79" s="197"/>
      <c r="BB79" s="197"/>
    </row>
    <row r="80" spans="1:54" s="193" customFormat="1" hidden="1" x14ac:dyDescent="0.2">
      <c r="A80" s="198">
        <v>2</v>
      </c>
      <c r="B80" s="198" t="str">
        <f>E10</f>
        <v>Sumter VBC 13</v>
      </c>
      <c r="C80" s="198">
        <f>VLOOKUP(B80,AU$3:AY$12,3,FALSE)</f>
        <v>1568.1003447488174</v>
      </c>
      <c r="D80" s="198">
        <f>IF(B73,B87,IF(D73,D87,C80))</f>
        <v>1544.2299417937938</v>
      </c>
      <c r="E80" s="198"/>
      <c r="F80" s="198"/>
      <c r="G80" s="198">
        <f>IF(E73,E87,IF(G73,G87,D80))</f>
        <v>1544.2299417937938</v>
      </c>
      <c r="H80" s="198"/>
      <c r="I80" s="198"/>
      <c r="J80" s="198">
        <f>IF(H73,H87,IF(J73,J87,G80))</f>
        <v>1568.0416234545335</v>
      </c>
      <c r="K80" s="198"/>
      <c r="L80" s="198"/>
      <c r="M80" s="198">
        <f>IF(K73,K87,IF(M73,M87,J80))</f>
        <v>1568.0416234545335</v>
      </c>
      <c r="N80" s="198"/>
      <c r="O80" s="198"/>
      <c r="P80" s="198">
        <f>IF(N73,N87,IF(P73,P87,M80))</f>
        <v>1568.0416234545335</v>
      </c>
      <c r="Q80" s="198"/>
      <c r="R80" s="198"/>
      <c r="S80" s="198">
        <f>IF(Q73,Q87,IF(S73,S87,P80))</f>
        <v>1584.8176907475176</v>
      </c>
      <c r="T80" s="198"/>
      <c r="U80" s="198"/>
      <c r="V80" s="198">
        <f>IF(T73,T87,IF(V73,V87,S80))</f>
        <v>1584.8176907475176</v>
      </c>
      <c r="W80" s="198"/>
      <c r="X80" s="198"/>
      <c r="Y80" s="198">
        <f>IF(W73,W87,IF(Y73,Y87,V80))</f>
        <v>1584.8176907475176</v>
      </c>
      <c r="Z80" s="198"/>
      <c r="AA80" s="198"/>
      <c r="AB80" s="198">
        <f>IF(Z73,Z87,IF(AB73,AB87,Y80))</f>
        <v>1584.8176907475176</v>
      </c>
      <c r="AC80" s="198"/>
      <c r="AD80" s="198"/>
      <c r="AE80" s="198">
        <f>IF(AC73,AC87,IF(AE73,AE87,AB80))</f>
        <v>1584.8176907475176</v>
      </c>
      <c r="AF80" s="134"/>
      <c r="AG80" s="134"/>
      <c r="AJ80" s="134"/>
      <c r="AL80" s="134"/>
      <c r="AM80" s="134"/>
      <c r="AN80" s="134"/>
      <c r="AO80" s="134"/>
      <c r="AT80" s="193" t="str">
        <f>B80</f>
        <v>Sumter VBC 13</v>
      </c>
      <c r="AU80" s="193">
        <f>AE80</f>
        <v>1584.8176907475176</v>
      </c>
      <c r="AW80" s="197"/>
      <c r="BB80" s="197"/>
    </row>
    <row r="81" spans="1:54" s="193" customFormat="1" hidden="1" x14ac:dyDescent="0.2">
      <c r="A81" s="198">
        <v>3</v>
      </c>
      <c r="B81" s="198" t="str">
        <f>E12</f>
        <v>Chas Jrs 13 White</v>
      </c>
      <c r="C81" s="198">
        <f>VLOOKUP(B81,AU$3:AY$12,3,FALSE)</f>
        <v>1510.6135428350065</v>
      </c>
      <c r="D81" s="198">
        <f>IF(B74,B87,IF(D74,D87,C81))</f>
        <v>1534.48394579003</v>
      </c>
      <c r="E81" s="198"/>
      <c r="F81" s="198"/>
      <c r="G81" s="198">
        <f>IF(E74,E87,IF(G74,G87,D81))</f>
        <v>1534.48394579003</v>
      </c>
      <c r="H81" s="198"/>
      <c r="I81" s="198"/>
      <c r="J81" s="198">
        <f>IF(H74,H87,IF(J74,J87,G81))</f>
        <v>1534.48394579003</v>
      </c>
      <c r="K81" s="198"/>
      <c r="L81" s="198"/>
      <c r="M81" s="198">
        <f>IF(K74,K87,IF(M74,M87,J81))</f>
        <v>1573.5728661387859</v>
      </c>
      <c r="N81" s="198"/>
      <c r="O81" s="198"/>
      <c r="P81" s="198">
        <f>IF(N74,N87,IF(P74,P87,M81))</f>
        <v>1593.0145067615651</v>
      </c>
      <c r="Q81" s="198"/>
      <c r="R81" s="198"/>
      <c r="S81" s="198">
        <f>IF(Q74,Q87,IF(S74,S87,P81))</f>
        <v>1593.0145067615651</v>
      </c>
      <c r="T81" s="198"/>
      <c r="U81" s="198"/>
      <c r="V81" s="198">
        <f>IF(T74,T87,IF(V74,V87,S81))</f>
        <v>1593.0145067615651</v>
      </c>
      <c r="W81" s="198"/>
      <c r="X81" s="198"/>
      <c r="Y81" s="198">
        <f>IF(W74,W87,IF(Y74,Y87,V81))</f>
        <v>1593.0145067615651</v>
      </c>
      <c r="Z81" s="198"/>
      <c r="AA81" s="198"/>
      <c r="AB81" s="198">
        <f>IF(Z74,Z87,IF(AB74,AB87,Y81))</f>
        <v>1593.0145067615651</v>
      </c>
      <c r="AC81" s="198"/>
      <c r="AD81" s="198"/>
      <c r="AE81" s="198">
        <f>IF(AC74,AC87,IF(AE74,AE87,AB81))</f>
        <v>1593.0145067615651</v>
      </c>
      <c r="AF81" s="134"/>
      <c r="AG81" s="134"/>
      <c r="AJ81" s="134"/>
      <c r="AL81" s="134"/>
      <c r="AM81" s="134"/>
      <c r="AN81" s="134"/>
      <c r="AO81" s="134"/>
      <c r="AT81" s="193" t="str">
        <f>B81</f>
        <v>Chas Jrs 13 White</v>
      </c>
      <c r="AU81" s="193">
        <f>AE81</f>
        <v>1593.0145067615651</v>
      </c>
      <c r="AW81" s="197"/>
      <c r="BB81" s="197"/>
    </row>
    <row r="82" spans="1:54" s="193" customFormat="1" hidden="1" x14ac:dyDescent="0.2">
      <c r="A82" s="198">
        <v>4</v>
      </c>
      <c r="B82" s="198" t="str">
        <f>E14</f>
        <v>SC Midlands 13 Garnet</v>
      </c>
      <c r="C82" s="198">
        <f>VLOOKUP(B82,AU$3:AY$12,3,FALSE)</f>
        <v>1447.3909581757298</v>
      </c>
      <c r="D82" s="198">
        <f>IF(B75,B87,IF(D75,D87,C82))</f>
        <v>1447.3909581757298</v>
      </c>
      <c r="E82" s="198"/>
      <c r="F82" s="198"/>
      <c r="G82" s="198">
        <f>IF(E75,E87,IF(G75,G87,D82))</f>
        <v>1453.3060354296579</v>
      </c>
      <c r="H82" s="198"/>
      <c r="I82" s="198"/>
      <c r="J82" s="198">
        <f>IF(H75,H87,IF(J75,J87,G82))</f>
        <v>1429.4943537689182</v>
      </c>
      <c r="K82" s="198"/>
      <c r="L82" s="198"/>
      <c r="M82" s="198">
        <f>IF(K75,K87,IF(M75,M87,J82))</f>
        <v>1429.4943537689182</v>
      </c>
      <c r="N82" s="198"/>
      <c r="O82" s="198"/>
      <c r="P82" s="198">
        <f>IF(N75,N87,IF(P75,P87,M82))</f>
        <v>1410.052713146139</v>
      </c>
      <c r="Q82" s="198"/>
      <c r="R82" s="198"/>
      <c r="S82" s="198">
        <f>IF(Q75,Q87,IF(S75,S87,P82))</f>
        <v>1410.052713146139</v>
      </c>
      <c r="T82" s="198"/>
      <c r="U82" s="198"/>
      <c r="V82" s="198">
        <f>IF(T75,T87,IF(V75,V87,S82))</f>
        <v>1410.052713146139</v>
      </c>
      <c r="W82" s="198"/>
      <c r="X82" s="198"/>
      <c r="Y82" s="198">
        <f>IF(W75,W87,IF(Y75,Y87,V82))</f>
        <v>1410.052713146139</v>
      </c>
      <c r="Z82" s="198"/>
      <c r="AA82" s="198"/>
      <c r="AB82" s="198">
        <f>IF(Z75,Z87,IF(AB75,AB87,Y82))</f>
        <v>1410.052713146139</v>
      </c>
      <c r="AC82" s="198"/>
      <c r="AD82" s="198"/>
      <c r="AE82" s="198">
        <f>IF(AC75,AC87,IF(AE75,AE87,AB82))</f>
        <v>1410.052713146139</v>
      </c>
      <c r="AF82" s="134"/>
      <c r="AG82" s="134"/>
      <c r="AJ82" s="134"/>
      <c r="AL82" s="134"/>
      <c r="AM82" s="134"/>
      <c r="AN82" s="134"/>
      <c r="AO82" s="134"/>
      <c r="AT82" s="193" t="str">
        <f>B82</f>
        <v>SC Midlands 13 Garnet</v>
      </c>
      <c r="AU82" s="193">
        <f>AE82</f>
        <v>1410.052713146139</v>
      </c>
      <c r="AW82" s="197"/>
      <c r="BB82" s="197"/>
    </row>
    <row r="83" spans="1:54" s="193" customFormat="1" hidden="1" x14ac:dyDescent="0.2">
      <c r="A83" s="198">
        <v>5</v>
      </c>
      <c r="B83" s="198">
        <f>E16</f>
        <v>0</v>
      </c>
      <c r="C83" s="198" t="e">
        <f>VLOOKUP(B83,AU$3:AY$12,3,FALSE)</f>
        <v>#N/A</v>
      </c>
      <c r="D83" s="198" t="e">
        <f>IF(B76,B87,IF(D76,D87,C83))</f>
        <v>#N/A</v>
      </c>
      <c r="E83" s="198"/>
      <c r="F83" s="198"/>
      <c r="G83" s="198" t="e">
        <f>IF(E76,E87,IF(G76,G87,D83))</f>
        <v>#N/A</v>
      </c>
      <c r="H83" s="198"/>
      <c r="I83" s="198"/>
      <c r="J83" s="198" t="e">
        <f>IF(H76,H87,IF(J76,J87,G83))</f>
        <v>#N/A</v>
      </c>
      <c r="K83" s="198"/>
      <c r="L83" s="198"/>
      <c r="M83" s="198" t="e">
        <f>IF(K76,K87,IF(M76,M87,J83))</f>
        <v>#N/A</v>
      </c>
      <c r="N83" s="198"/>
      <c r="O83" s="198"/>
      <c r="P83" s="198" t="e">
        <f>IF(N76,N87,IF(P76,P87,M83))</f>
        <v>#N/A</v>
      </c>
      <c r="Q83" s="198"/>
      <c r="R83" s="198"/>
      <c r="S83" s="198" t="e">
        <f>IF(Q76,Q87,IF(S76,S87,P83))</f>
        <v>#N/A</v>
      </c>
      <c r="T83" s="198"/>
      <c r="U83" s="198"/>
      <c r="V83" s="198" t="e">
        <f>IF(T76,T87,IF(V76,V87,S83))</f>
        <v>#N/A</v>
      </c>
      <c r="W83" s="198"/>
      <c r="X83" s="198"/>
      <c r="Y83" s="198" t="e">
        <f>IF(W76,W87,IF(Y76,Y87,V83))</f>
        <v>#N/A</v>
      </c>
      <c r="Z83" s="198"/>
      <c r="AA83" s="198"/>
      <c r="AB83" s="198" t="e">
        <f>IF(Z76,Z87,IF(AB76,AB87,Y83))</f>
        <v>#N/A</v>
      </c>
      <c r="AC83" s="198"/>
      <c r="AD83" s="198"/>
      <c r="AE83" s="198" t="e">
        <f>IF(AC76,AC87,IF(AE76,AE87,AB83))</f>
        <v>#N/A</v>
      </c>
      <c r="AF83" s="134"/>
      <c r="AG83" s="134"/>
      <c r="AJ83" s="134"/>
      <c r="AL83" s="134"/>
      <c r="AM83" s="134"/>
      <c r="AN83" s="134"/>
      <c r="AO83" s="134"/>
      <c r="AT83" s="193">
        <f>B83</f>
        <v>0</v>
      </c>
      <c r="AU83" s="193" t="e">
        <f>AE83</f>
        <v>#N/A</v>
      </c>
      <c r="AW83" s="197"/>
      <c r="BB83" s="197"/>
    </row>
    <row r="84" spans="1:54" s="193" customFormat="1" hidden="1" x14ac:dyDescent="0.2">
      <c r="A84" s="198"/>
      <c r="B84" s="198"/>
      <c r="C84" s="198"/>
      <c r="D84" s="198"/>
      <c r="E84" s="198"/>
      <c r="F84" s="198"/>
      <c r="G84" s="198"/>
      <c r="H84" s="198"/>
      <c r="I84" s="198"/>
      <c r="J84" s="198"/>
      <c r="K84" s="198"/>
      <c r="L84" s="198"/>
      <c r="M84" s="198"/>
      <c r="N84" s="198"/>
      <c r="O84" s="198"/>
      <c r="P84" s="198"/>
      <c r="Q84" s="198"/>
      <c r="R84" s="198"/>
      <c r="S84" s="198"/>
      <c r="T84" s="198"/>
      <c r="U84" s="198"/>
      <c r="V84" s="198"/>
      <c r="W84" s="198"/>
      <c r="X84" s="198"/>
      <c r="Y84" s="198"/>
      <c r="Z84" s="198"/>
      <c r="AA84" s="198"/>
      <c r="AB84" s="198"/>
      <c r="AC84" s="198"/>
      <c r="AD84" s="198"/>
      <c r="AE84" s="198"/>
      <c r="AF84" s="134"/>
      <c r="AG84" s="134"/>
      <c r="AJ84" s="134"/>
      <c r="AL84" s="134"/>
      <c r="AM84" s="134"/>
      <c r="AN84" s="134"/>
      <c r="AO84" s="134"/>
      <c r="AW84" s="197"/>
      <c r="BB84" s="197"/>
    </row>
    <row r="85" spans="1:54" s="193" customFormat="1" hidden="1" x14ac:dyDescent="0.2">
      <c r="A85" s="198" t="s">
        <v>114</v>
      </c>
      <c r="B85" s="198">
        <f>VLOOKUP(B24,$A79:$AE83,3,FALSE)</f>
        <v>1568.1003447488174</v>
      </c>
      <c r="C85" s="198">
        <v>1</v>
      </c>
      <c r="D85" s="198">
        <f>VLOOKUP(D24,$A79:$AE83,3,FALSE)</f>
        <v>1510.6135428350065</v>
      </c>
      <c r="E85" s="198">
        <f>VLOOKUP(E24,$A79:$AE83,4,FALSE)</f>
        <v>1618.6634729877185</v>
      </c>
      <c r="F85" s="198">
        <v>2</v>
      </c>
      <c r="G85" s="198">
        <f>VLOOKUP(G24,$A79:$AE83,4,FALSE)</f>
        <v>1447.3909581757298</v>
      </c>
      <c r="H85" s="198">
        <f>VLOOKUP(H24,$A79:$AE83,7,FALSE)</f>
        <v>1544.2299417937938</v>
      </c>
      <c r="I85" s="198">
        <v>3</v>
      </c>
      <c r="J85" s="198">
        <f>VLOOKUP(J24,$A79:$AE83,7,FALSE)</f>
        <v>1453.3060354296579</v>
      </c>
      <c r="K85" s="198">
        <f>VLOOKUP(K24,$A79:$AE83,10,FALSE)</f>
        <v>1612.7483957337904</v>
      </c>
      <c r="L85" s="198">
        <v>4</v>
      </c>
      <c r="M85" s="198">
        <f>VLOOKUP(M24,$A79:$AE83,10,FALSE)</f>
        <v>1534.48394579003</v>
      </c>
      <c r="N85" s="198">
        <f>VLOOKUP(N24,$A79:$AE83,13,FALSE)</f>
        <v>1573.5728661387859</v>
      </c>
      <c r="O85" s="198">
        <v>5</v>
      </c>
      <c r="P85" s="198">
        <f>VLOOKUP(P24,$A79:$AE83,13,FALSE)</f>
        <v>1429.4943537689182</v>
      </c>
      <c r="Q85" s="198">
        <f>VLOOKUP(Q24,$A79:$AE83,16,FALSE)</f>
        <v>1573.6594753850345</v>
      </c>
      <c r="R85" s="198">
        <v>6</v>
      </c>
      <c r="S85" s="198">
        <f>VLOOKUP(S24,$A79:$AE83,16,FALSE)</f>
        <v>1568.0416234545335</v>
      </c>
      <c r="T85" s="198">
        <f>VLOOKUP(T24,$A79:$AE83,19,FALSE)</f>
        <v>1584.8176907475176</v>
      </c>
      <c r="U85" s="198">
        <v>7</v>
      </c>
      <c r="V85" s="198">
        <f>VLOOKUP(V24,$A79:$AE83,19,FALSE)</f>
        <v>1593.0145067615651</v>
      </c>
      <c r="W85" s="198">
        <f>VLOOKUP(W24,$A79:$AE83,22,FALSE)</f>
        <v>1556.8834080920503</v>
      </c>
      <c r="X85" s="198">
        <v>8</v>
      </c>
      <c r="Y85" s="198" t="e">
        <f>VLOOKUP(Y24,$A79:$AE83,22,FALSE)</f>
        <v>#N/A</v>
      </c>
      <c r="Z85" s="198">
        <f>VLOOKUP(Z24,$A79:$AE83,25,FALSE)</f>
        <v>1593.0145067615651</v>
      </c>
      <c r="AA85" s="198">
        <v>9</v>
      </c>
      <c r="AB85" s="198">
        <f>VLOOKUP(AB24,$A79:$AE83,25,FALSE)</f>
        <v>1410.052713146139</v>
      </c>
      <c r="AC85" s="198">
        <f>VLOOKUP(AC24,$A79:$AE83,28,FALSE)</f>
        <v>1556.8834080920503</v>
      </c>
      <c r="AD85" s="198">
        <v>10</v>
      </c>
      <c r="AE85" s="198">
        <f>VLOOKUP(AE24,$A79:$AE83,28,FALSE)</f>
        <v>1584.8176907475176</v>
      </c>
      <c r="AF85" s="134"/>
      <c r="AG85" s="191"/>
      <c r="AH85" s="191"/>
      <c r="AI85" s="191"/>
      <c r="AJ85" s="191"/>
      <c r="AK85" s="191"/>
      <c r="AL85" s="191"/>
      <c r="AM85" s="191"/>
      <c r="AN85" s="192"/>
      <c r="AO85" s="192"/>
      <c r="AP85" s="192"/>
      <c r="AQ85" s="192"/>
      <c r="AW85" s="197"/>
      <c r="BB85" s="197"/>
    </row>
    <row r="86" spans="1:54" s="203" customFormat="1" hidden="1" x14ac:dyDescent="0.2">
      <c r="A86" s="199" t="s">
        <v>115</v>
      </c>
      <c r="B86" s="199">
        <f>1/(1+(10^-((B85-D85)/400)))*(B36+D36)</f>
        <v>1.745950092344484</v>
      </c>
      <c r="C86" s="199"/>
      <c r="D86" s="199">
        <f>1/(1+(10^-((D85-B85)/400)))*(B36+D36)</f>
        <v>1.2540499076555158</v>
      </c>
      <c r="E86" s="199">
        <f>1/(1+(10^-((E85-G85)/400)))*(E36+G36)</f>
        <v>2.1848461641852488</v>
      </c>
      <c r="F86" s="199"/>
      <c r="G86" s="199">
        <f>1/(1+(10^-((G85-E85)/400)))*(E36+G36)</f>
        <v>0.81515383581475098</v>
      </c>
      <c r="H86" s="199">
        <f>1/(1+(10^-((H85-J85)/400)))*(H36+J36)</f>
        <v>1.2558849481018859</v>
      </c>
      <c r="I86" s="199"/>
      <c r="J86" s="199">
        <f>1/(1+(10^-((J85-H85)/400)))*(H36+J36)</f>
        <v>0.744115051898114</v>
      </c>
      <c r="K86" s="199">
        <f>1/(1+(10^-((K85-M85)/400)))*(K36+M36)</f>
        <v>1.2215287608986241</v>
      </c>
      <c r="L86" s="199"/>
      <c r="M86" s="199">
        <f>1/(1+(10^-((M85-K85)/400)))*(K36+M36)</f>
        <v>0.77847123910137583</v>
      </c>
      <c r="N86" s="199">
        <f>1/(1+(10^-((N85-P85)/400)))*(N36+P36)</f>
        <v>1.3924487305381501</v>
      </c>
      <c r="O86" s="199"/>
      <c r="P86" s="199">
        <f>1/(1+(10^-((P85-N85)/400)))*(N36+P36)</f>
        <v>0.60755126946184979</v>
      </c>
      <c r="Q86" s="199">
        <f>1/(1+(10^-((Q85-S85)/400)))*(Q36+S36)</f>
        <v>1.5242521029057574</v>
      </c>
      <c r="R86" s="199"/>
      <c r="S86" s="199">
        <f>1/(1+(10^-((S85-Q85)/400)))*(Q36+S36)</f>
        <v>1.4757478970942426</v>
      </c>
      <c r="T86" s="199">
        <f>1/(1+(10^-((T85-V85)/400)))*(T36+V36)</f>
        <v>0</v>
      </c>
      <c r="U86" s="199"/>
      <c r="V86" s="199">
        <f>1/(1+(10^-((V85-T85)/400)))*(T36+V36)</f>
        <v>0</v>
      </c>
      <c r="W86" s="199" t="e">
        <f>1/(1+(10^-((W85-Y85)/400)))*(W36+Y36)</f>
        <v>#N/A</v>
      </c>
      <c r="X86" s="199"/>
      <c r="Y86" s="199" t="e">
        <f>1/(1+(10^-((Y85-W85)/400)))*(W36+Y36)</f>
        <v>#N/A</v>
      </c>
      <c r="Z86" s="199">
        <f>1/(1+(10^-((Z85-AB85)/400)))*(Z36+AB36)</f>
        <v>0</v>
      </c>
      <c r="AA86" s="199"/>
      <c r="AB86" s="199">
        <f>1/(1+(10^-((AB85-Z85)/400)))*(Z36+AB36)</f>
        <v>0</v>
      </c>
      <c r="AC86" s="199">
        <f>1/(1+(10^-((AC85-AE85)/400)))*(AC36+AE36)</f>
        <v>0</v>
      </c>
      <c r="AD86" s="199"/>
      <c r="AE86" s="199">
        <f>1/(1+(10^-((AE85-AC85)/400)))*(AC36+AE36)</f>
        <v>0</v>
      </c>
      <c r="AF86" s="200"/>
      <c r="AG86" s="201"/>
      <c r="AH86" s="201"/>
      <c r="AI86" s="201"/>
      <c r="AJ86" s="201"/>
      <c r="AK86" s="201"/>
      <c r="AL86" s="201"/>
      <c r="AM86" s="201"/>
      <c r="AN86" s="202"/>
      <c r="AO86" s="202"/>
      <c r="AP86" s="202"/>
      <c r="AQ86" s="202"/>
      <c r="AW86" s="204"/>
      <c r="BB86" s="204"/>
    </row>
    <row r="87" spans="1:54" s="209" customFormat="1" hidden="1" x14ac:dyDescent="0.2">
      <c r="A87" s="205" t="s">
        <v>116</v>
      </c>
      <c r="B87" s="205">
        <f>B85+(B36-B86)*$BA$1</f>
        <v>1544.2299417937938</v>
      </c>
      <c r="C87" s="205"/>
      <c r="D87" s="205">
        <f>D85+(D36-D86)*$BA$1</f>
        <v>1534.48394579003</v>
      </c>
      <c r="E87" s="205">
        <f>E85+(E36-E86)*$BA$1</f>
        <v>1612.7483957337904</v>
      </c>
      <c r="F87" s="205"/>
      <c r="G87" s="205">
        <f>G85+(G36-G86)*$BA$1</f>
        <v>1453.3060354296579</v>
      </c>
      <c r="H87" s="205">
        <f>H85+(H36-H86)*$BA$1</f>
        <v>1568.0416234545335</v>
      </c>
      <c r="I87" s="205"/>
      <c r="J87" s="205">
        <f>J85+(J36-J86)*$BA$1</f>
        <v>1429.4943537689182</v>
      </c>
      <c r="K87" s="205">
        <f>K85+(K36-K86)*$BA$1</f>
        <v>1573.6594753850345</v>
      </c>
      <c r="L87" s="205"/>
      <c r="M87" s="205">
        <f>M85+(M36-M86)*$BA$1</f>
        <v>1573.5728661387859</v>
      </c>
      <c r="N87" s="205">
        <f>N85+(N36-N86)*$BA$1</f>
        <v>1593.0145067615651</v>
      </c>
      <c r="O87" s="205"/>
      <c r="P87" s="205">
        <f>P85+(P36-P86)*$BA$1</f>
        <v>1410.052713146139</v>
      </c>
      <c r="Q87" s="205">
        <f>Q85+(Q36-Q86)*$BA$1</f>
        <v>1556.8834080920503</v>
      </c>
      <c r="R87" s="205"/>
      <c r="S87" s="205">
        <f>S85+(S36-S86)*$BA$1</f>
        <v>1584.8176907475176</v>
      </c>
      <c r="T87" s="205">
        <f>T85+(T36-T86)*$BA$1</f>
        <v>1584.8176907475176</v>
      </c>
      <c r="U87" s="205"/>
      <c r="V87" s="205">
        <f>V85+(V36-V86)*$BA$1</f>
        <v>1593.0145067615651</v>
      </c>
      <c r="W87" s="205" t="e">
        <f>W85+(W36-W86)*$BA$1</f>
        <v>#N/A</v>
      </c>
      <c r="X87" s="205"/>
      <c r="Y87" s="205" t="e">
        <f>Y85+(Y36-Y86)*$BA$1</f>
        <v>#N/A</v>
      </c>
      <c r="Z87" s="205">
        <f>Z85+(Z36-Z86)*$BA$1</f>
        <v>1593.0145067615651</v>
      </c>
      <c r="AA87" s="205"/>
      <c r="AB87" s="205">
        <f>AB85+(AB36-AB86)*$BA$1</f>
        <v>1410.052713146139</v>
      </c>
      <c r="AC87" s="205">
        <f>AC85+(AC36-AC86)*$BA$1</f>
        <v>1556.8834080920503</v>
      </c>
      <c r="AD87" s="205"/>
      <c r="AE87" s="205">
        <f>AE85+(AE36-AE86)*$BA$1</f>
        <v>1584.8176907475176</v>
      </c>
      <c r="AF87" s="206"/>
      <c r="AG87" s="207"/>
      <c r="AH87" s="207"/>
      <c r="AI87" s="207"/>
      <c r="AJ87" s="207"/>
      <c r="AK87" s="207"/>
      <c r="AL87" s="207"/>
      <c r="AM87" s="207"/>
      <c r="AN87" s="208"/>
      <c r="AO87" s="208"/>
      <c r="AP87" s="208"/>
      <c r="AQ87" s="208"/>
      <c r="AW87" s="210"/>
      <c r="BB87" s="210"/>
    </row>
    <row r="88" spans="1:54" s="209" customFormat="1" hidden="1" x14ac:dyDescent="0.2">
      <c r="A88" s="205"/>
      <c r="B88" s="205"/>
      <c r="C88" s="205"/>
      <c r="D88" s="205"/>
      <c r="E88" s="205"/>
      <c r="F88" s="205"/>
      <c r="G88" s="205"/>
      <c r="H88" s="205"/>
      <c r="I88" s="205"/>
      <c r="J88" s="205"/>
      <c r="K88" s="205"/>
      <c r="L88" s="205"/>
      <c r="M88" s="205"/>
      <c r="N88" s="205"/>
      <c r="O88" s="205"/>
      <c r="P88" s="205"/>
      <c r="Q88" s="205"/>
      <c r="R88" s="205"/>
      <c r="S88" s="205"/>
      <c r="T88" s="205"/>
      <c r="U88" s="205"/>
      <c r="V88" s="205"/>
      <c r="W88" s="205"/>
      <c r="X88" s="205"/>
      <c r="Y88" s="205"/>
      <c r="Z88" s="205"/>
      <c r="AA88" s="205"/>
      <c r="AB88" s="205"/>
      <c r="AC88" s="205"/>
      <c r="AD88" s="205"/>
      <c r="AE88" s="205"/>
      <c r="AF88" s="206"/>
      <c r="AG88" s="207"/>
      <c r="AH88" s="207"/>
      <c r="AI88" s="207"/>
      <c r="AJ88" s="207"/>
      <c r="AK88" s="207"/>
      <c r="AL88" s="207"/>
      <c r="AM88" s="207"/>
      <c r="AN88" s="208"/>
      <c r="AO88" s="208"/>
      <c r="AP88" s="208"/>
      <c r="AQ88" s="208"/>
      <c r="AW88" s="210"/>
      <c r="BB88" s="210"/>
    </row>
    <row r="89" spans="1:54" s="193" customFormat="1" x14ac:dyDescent="0.2">
      <c r="A89" s="452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89" s="452"/>
      <c r="C89" s="452"/>
      <c r="D89" s="452"/>
      <c r="E89" s="452"/>
      <c r="F89" s="452"/>
      <c r="G89" s="452"/>
      <c r="H89" s="452"/>
      <c r="I89" s="452"/>
      <c r="J89" s="452"/>
      <c r="K89" s="452"/>
      <c r="L89" s="452"/>
      <c r="M89" s="452"/>
      <c r="N89" s="452"/>
      <c r="O89" s="452"/>
      <c r="P89" s="452"/>
      <c r="Q89" s="452"/>
      <c r="R89" s="452"/>
      <c r="S89" s="452"/>
      <c r="T89" s="452"/>
      <c r="U89" s="452"/>
      <c r="V89" s="452"/>
      <c r="W89" s="452"/>
      <c r="X89" s="452"/>
      <c r="Y89" s="452"/>
      <c r="Z89" s="452"/>
      <c r="AA89" s="452"/>
      <c r="AB89" s="452"/>
      <c r="AC89" s="452"/>
      <c r="AD89" s="452"/>
      <c r="AE89" s="452"/>
      <c r="AF89" s="452"/>
      <c r="AG89" s="452"/>
      <c r="AH89" s="452"/>
      <c r="AI89" s="452"/>
      <c r="AJ89" s="452"/>
      <c r="AK89" s="452"/>
      <c r="AL89" s="452"/>
      <c r="AM89" s="453"/>
      <c r="AN89" s="453"/>
      <c r="AO89" s="453"/>
      <c r="AP89" s="453"/>
    </row>
    <row r="90" spans="1:54" s="193" customFormat="1" ht="13.5" thickBot="1" x14ac:dyDescent="0.25">
      <c r="A90" s="454"/>
      <c r="B90" s="454"/>
      <c r="C90" s="454"/>
      <c r="D90" s="454"/>
      <c r="E90" s="454"/>
      <c r="F90" s="454"/>
      <c r="G90" s="454"/>
      <c r="H90" s="454"/>
      <c r="I90" s="454"/>
      <c r="J90" s="454"/>
      <c r="K90" s="454"/>
      <c r="L90" s="454"/>
      <c r="M90" s="454"/>
      <c r="N90" s="454"/>
      <c r="O90" s="454"/>
      <c r="P90" s="454"/>
      <c r="Q90" s="454"/>
      <c r="R90" s="454"/>
      <c r="S90" s="454"/>
      <c r="T90" s="454"/>
      <c r="U90" s="454"/>
      <c r="V90" s="454"/>
      <c r="W90" s="454"/>
      <c r="X90" s="454"/>
      <c r="Y90" s="454"/>
      <c r="Z90" s="454"/>
      <c r="AA90" s="454"/>
      <c r="AB90" s="454"/>
      <c r="AC90" s="454"/>
      <c r="AD90" s="454"/>
      <c r="AE90" s="454"/>
      <c r="AF90" s="454"/>
      <c r="AG90" s="454"/>
      <c r="AH90" s="454"/>
      <c r="AI90" s="454"/>
      <c r="AJ90" s="454"/>
      <c r="AK90" s="454"/>
      <c r="AL90" s="454"/>
      <c r="AM90" s="454"/>
      <c r="AN90" s="454"/>
      <c r="AO90" s="454"/>
      <c r="AP90" s="454"/>
      <c r="AQ90" s="454"/>
    </row>
    <row r="91" spans="1:54" ht="24" customHeight="1" thickBot="1" x14ac:dyDescent="0.25">
      <c r="A91" s="153" t="s">
        <v>33</v>
      </c>
      <c r="B91" s="154" t="s">
        <v>117</v>
      </c>
      <c r="C91" s="350" t="s">
        <v>35</v>
      </c>
      <c r="D91" s="351"/>
      <c r="E91" s="351"/>
      <c r="F91" s="351"/>
      <c r="G91" s="351"/>
      <c r="H91" s="352"/>
      <c r="I91" s="353">
        <v>2</v>
      </c>
      <c r="J91" s="354"/>
      <c r="K91" s="355" t="str">
        <f>"Pool "&amp;B91&amp;" - Round 1 - Court "&amp;I91</f>
        <v>Pool B - Round 1 - Court 2</v>
      </c>
      <c r="L91" s="356"/>
      <c r="M91" s="356"/>
      <c r="N91" s="356"/>
      <c r="O91" s="356"/>
      <c r="P91" s="356"/>
      <c r="Q91" s="356"/>
      <c r="R91" s="356"/>
      <c r="S91" s="356"/>
      <c r="T91" s="356"/>
      <c r="U91" s="356"/>
      <c r="V91" s="356"/>
      <c r="W91" s="356"/>
      <c r="X91" s="356"/>
      <c r="Y91" s="356"/>
      <c r="Z91" s="356"/>
      <c r="AA91" s="356"/>
      <c r="AB91" s="356"/>
      <c r="AC91" s="356"/>
      <c r="AD91" s="356"/>
      <c r="AE91" s="356"/>
      <c r="AF91" s="356"/>
      <c r="AG91" s="356"/>
      <c r="AH91" s="356"/>
      <c r="AI91" s="357"/>
      <c r="AJ91" s="138"/>
      <c r="AK91" s="138"/>
      <c r="AL91" s="138"/>
      <c r="AM91" s="138"/>
      <c r="AN91" s="138"/>
      <c r="AO91" s="138"/>
      <c r="AP91" s="138"/>
      <c r="AQ91" s="138"/>
    </row>
    <row r="92" spans="1:54" ht="27" customHeight="1" thickBot="1" x14ac:dyDescent="0.25">
      <c r="A92" s="155" t="s">
        <v>38</v>
      </c>
      <c r="B92" s="358" t="s">
        <v>10</v>
      </c>
      <c r="C92" s="359"/>
      <c r="D92" s="359"/>
      <c r="E92" s="359"/>
      <c r="F92" s="359"/>
      <c r="G92" s="359"/>
      <c r="H92" s="359"/>
      <c r="I92" s="359"/>
      <c r="J92" s="359"/>
      <c r="K92" s="359"/>
      <c r="L92" s="358" t="str">
        <f>IF($AK95=0,"Games Won","Matches Won")</f>
        <v>Matches Won</v>
      </c>
      <c r="M92" s="359"/>
      <c r="N92" s="359"/>
      <c r="O92" s="359"/>
      <c r="P92" s="359"/>
      <c r="Q92" s="360"/>
      <c r="R92" s="358" t="str">
        <f>IF($AK95=0,"Games Lost","Matches Lost")</f>
        <v>Matches Lost</v>
      </c>
      <c r="S92" s="361"/>
      <c r="T92" s="361"/>
      <c r="U92" s="361"/>
      <c r="V92" s="362"/>
      <c r="W92" s="363" t="s">
        <v>39</v>
      </c>
      <c r="X92" s="364"/>
      <c r="Y92" s="365"/>
      <c r="Z92" s="363" t="s">
        <v>40</v>
      </c>
      <c r="AA92" s="364"/>
      <c r="AB92" s="365"/>
      <c r="AC92" s="366" t="s">
        <v>41</v>
      </c>
      <c r="AD92" s="367"/>
      <c r="AE92" s="368"/>
      <c r="AF92" s="156" t="s">
        <v>42</v>
      </c>
      <c r="AG92" s="157" t="s">
        <v>9</v>
      </c>
      <c r="AH92" s="369" t="s">
        <v>43</v>
      </c>
      <c r="AI92" s="370"/>
      <c r="AJ92" s="158"/>
      <c r="AK92" s="159">
        <v>3</v>
      </c>
      <c r="AL92" s="160" t="s">
        <v>44</v>
      </c>
      <c r="AM92" s="160"/>
      <c r="AN92" s="160"/>
      <c r="AO92" s="160"/>
      <c r="AP92" s="160"/>
      <c r="AQ92" s="160"/>
      <c r="AR92" s="161"/>
    </row>
    <row r="93" spans="1:54" ht="18.75" customHeight="1" x14ac:dyDescent="0.2">
      <c r="A93" s="371" t="str">
        <f>IF($AK94&gt;0,"1","")</f>
        <v>1</v>
      </c>
      <c r="B93" s="373" t="s">
        <v>10</v>
      </c>
      <c r="C93" s="374"/>
      <c r="D93" s="375"/>
      <c r="E93" s="376" t="str">
        <f>AU4</f>
        <v>CSRA Heat 13 Red</v>
      </c>
      <c r="F93" s="377"/>
      <c r="G93" s="377"/>
      <c r="H93" s="377"/>
      <c r="I93" s="377"/>
      <c r="J93" s="377"/>
      <c r="K93" s="378"/>
      <c r="L93" s="379">
        <f>IF($AK95=0,AF149,AF131)</f>
        <v>1</v>
      </c>
      <c r="M93" s="380"/>
      <c r="N93" s="380"/>
      <c r="O93" s="380"/>
      <c r="P93" s="380"/>
      <c r="Q93" s="360"/>
      <c r="R93" s="379">
        <f>IF($AK95=0,AG149,AG131)</f>
        <v>2</v>
      </c>
      <c r="S93" s="380"/>
      <c r="T93" s="380"/>
      <c r="U93" s="380"/>
      <c r="V93" s="380"/>
      <c r="W93" s="379">
        <f>AQ109</f>
        <v>-4</v>
      </c>
      <c r="X93" s="380"/>
      <c r="Y93" s="380"/>
      <c r="Z93" s="383">
        <f>IF(AF143&gt;0,(AQ109/AF143),0)</f>
        <v>-2.6666666666666668E-2</v>
      </c>
      <c r="AA93" s="384"/>
      <c r="AB93" s="384"/>
      <c r="AC93" s="387">
        <f>IF(AF157=0,0,(AF149/AF157))</f>
        <v>0.33333333333333331</v>
      </c>
      <c r="AD93" s="388"/>
      <c r="AE93" s="389"/>
      <c r="AF93" s="393">
        <v>3</v>
      </c>
      <c r="AG93" s="393">
        <v>4</v>
      </c>
      <c r="AH93" s="395"/>
      <c r="AI93" s="396"/>
      <c r="AJ93" s="158"/>
      <c r="AK93" s="159">
        <v>6</v>
      </c>
      <c r="AL93" s="160" t="s">
        <v>47</v>
      </c>
      <c r="AM93" s="160"/>
      <c r="AN93" s="160"/>
      <c r="AO93" s="160"/>
      <c r="AP93" s="160"/>
      <c r="AQ93" s="160"/>
      <c r="AR93" s="161"/>
    </row>
    <row r="94" spans="1:54" ht="18.75" customHeight="1" thickBot="1" x14ac:dyDescent="0.25">
      <c r="A94" s="372"/>
      <c r="B94" s="399" t="s">
        <v>11</v>
      </c>
      <c r="C94" s="400"/>
      <c r="D94" s="401"/>
      <c r="E94" s="402" t="str">
        <f>AV4</f>
        <v>fj3csrah3pm</v>
      </c>
      <c r="F94" s="403"/>
      <c r="G94" s="403"/>
      <c r="H94" s="403"/>
      <c r="I94" s="403"/>
      <c r="J94" s="403"/>
      <c r="K94" s="403"/>
      <c r="L94" s="381"/>
      <c r="M94" s="382"/>
      <c r="N94" s="382"/>
      <c r="O94" s="382"/>
      <c r="P94" s="382"/>
      <c r="Q94" s="360"/>
      <c r="R94" s="381"/>
      <c r="S94" s="382"/>
      <c r="T94" s="382"/>
      <c r="U94" s="382"/>
      <c r="V94" s="382"/>
      <c r="W94" s="381"/>
      <c r="X94" s="382"/>
      <c r="Y94" s="382"/>
      <c r="Z94" s="385"/>
      <c r="AA94" s="386"/>
      <c r="AB94" s="386"/>
      <c r="AC94" s="390"/>
      <c r="AD94" s="391"/>
      <c r="AE94" s="392"/>
      <c r="AF94" s="394"/>
      <c r="AG94" s="394"/>
      <c r="AH94" s="397"/>
      <c r="AI94" s="398"/>
      <c r="AJ94" s="158"/>
      <c r="AK94" s="159">
        <v>4</v>
      </c>
      <c r="AL94" s="160" t="s">
        <v>50</v>
      </c>
      <c r="AM94" s="158"/>
      <c r="AN94" s="158"/>
      <c r="AO94" s="158"/>
      <c r="AP94" s="158"/>
      <c r="AQ94" s="158"/>
      <c r="AR94" s="133"/>
    </row>
    <row r="95" spans="1:54" ht="18.75" customHeight="1" x14ac:dyDescent="0.2">
      <c r="A95" s="371" t="str">
        <f>IF($AK94&gt;1,"2","")</f>
        <v>2</v>
      </c>
      <c r="B95" s="373" t="s">
        <v>10</v>
      </c>
      <c r="C95" s="374"/>
      <c r="D95" s="375"/>
      <c r="E95" s="376" t="str">
        <f>AU5</f>
        <v>RHVC 13 Club Jade</v>
      </c>
      <c r="F95" s="377"/>
      <c r="G95" s="377"/>
      <c r="H95" s="377"/>
      <c r="I95" s="377"/>
      <c r="J95" s="377"/>
      <c r="K95" s="378"/>
      <c r="L95" s="379">
        <f>IF($AK95=0,AF150,AF132)</f>
        <v>3</v>
      </c>
      <c r="M95" s="380"/>
      <c r="N95" s="380"/>
      <c r="O95" s="380"/>
      <c r="P95" s="380"/>
      <c r="Q95" s="360"/>
      <c r="R95" s="379">
        <f>IF($AK95=0,AG150,AG132)</f>
        <v>0</v>
      </c>
      <c r="S95" s="380"/>
      <c r="T95" s="380"/>
      <c r="U95" s="380"/>
      <c r="V95" s="380"/>
      <c r="W95" s="379">
        <f>AQ110</f>
        <v>57</v>
      </c>
      <c r="X95" s="380"/>
      <c r="Y95" s="380"/>
      <c r="Z95" s="383">
        <f>IF(AF144&gt;0,(AQ110/AF144),0)</f>
        <v>0.38</v>
      </c>
      <c r="AA95" s="384"/>
      <c r="AB95" s="384"/>
      <c r="AC95" s="387">
        <f>IF(AF158=0,0,(AF150/AF158))</f>
        <v>1</v>
      </c>
      <c r="AD95" s="388"/>
      <c r="AE95" s="389"/>
      <c r="AF95" s="393">
        <v>1</v>
      </c>
      <c r="AG95" s="393">
        <v>1</v>
      </c>
      <c r="AH95" s="395"/>
      <c r="AI95" s="396"/>
      <c r="AJ95" s="158"/>
      <c r="AK95" s="159">
        <v>1</v>
      </c>
      <c r="AL95" s="160" t="s">
        <v>53</v>
      </c>
      <c r="AM95" s="160"/>
      <c r="AN95" s="160"/>
      <c r="AO95" s="160"/>
      <c r="AP95" s="160"/>
      <c r="AQ95" s="160"/>
      <c r="AR95" s="161"/>
    </row>
    <row r="96" spans="1:54" ht="18.75" customHeight="1" thickBot="1" x14ac:dyDescent="0.25">
      <c r="A96" s="372"/>
      <c r="B96" s="404" t="s">
        <v>11</v>
      </c>
      <c r="C96" s="405"/>
      <c r="D96" s="405"/>
      <c r="E96" s="402" t="str">
        <f>AV5</f>
        <v>fj3rockh1pm</v>
      </c>
      <c r="F96" s="403"/>
      <c r="G96" s="403"/>
      <c r="H96" s="403"/>
      <c r="I96" s="403"/>
      <c r="J96" s="403"/>
      <c r="K96" s="403"/>
      <c r="L96" s="381"/>
      <c r="M96" s="382"/>
      <c r="N96" s="382"/>
      <c r="O96" s="382"/>
      <c r="P96" s="382"/>
      <c r="Q96" s="360"/>
      <c r="R96" s="381"/>
      <c r="S96" s="382"/>
      <c r="T96" s="382"/>
      <c r="U96" s="382"/>
      <c r="V96" s="382"/>
      <c r="W96" s="381"/>
      <c r="X96" s="382"/>
      <c r="Y96" s="382"/>
      <c r="Z96" s="385"/>
      <c r="AA96" s="386"/>
      <c r="AB96" s="386"/>
      <c r="AC96" s="390"/>
      <c r="AD96" s="391"/>
      <c r="AE96" s="392"/>
      <c r="AF96" s="394"/>
      <c r="AG96" s="394"/>
      <c r="AH96" s="397"/>
      <c r="AI96" s="398"/>
      <c r="AJ96" s="158"/>
      <c r="AK96" s="159">
        <v>1</v>
      </c>
      <c r="AL96" s="160" t="s">
        <v>56</v>
      </c>
      <c r="AM96" s="158"/>
      <c r="AN96" s="158"/>
      <c r="AO96" s="158"/>
      <c r="AP96" s="158"/>
      <c r="AQ96" s="158"/>
      <c r="AR96" s="133"/>
    </row>
    <row r="97" spans="1:44" ht="18.75" customHeight="1" x14ac:dyDescent="0.2">
      <c r="A97" s="371" t="str">
        <f>IF($AK94&gt;2,"3","")</f>
        <v>3</v>
      </c>
      <c r="B97" s="406" t="s">
        <v>10</v>
      </c>
      <c r="C97" s="407"/>
      <c r="D97" s="407"/>
      <c r="E97" s="376" t="str">
        <f>AU8</f>
        <v>SC Midlands 13 Black</v>
      </c>
      <c r="F97" s="377"/>
      <c r="G97" s="377"/>
      <c r="H97" s="377"/>
      <c r="I97" s="377"/>
      <c r="J97" s="377"/>
      <c r="K97" s="378"/>
      <c r="L97" s="379">
        <f>IF($AK95=0,AF151,AF133)</f>
        <v>1</v>
      </c>
      <c r="M97" s="380"/>
      <c r="N97" s="380"/>
      <c r="O97" s="380"/>
      <c r="P97" s="380"/>
      <c r="Q97" s="360"/>
      <c r="R97" s="379">
        <f>IF($AK95=0,AG151,AG133)</f>
        <v>2</v>
      </c>
      <c r="S97" s="380"/>
      <c r="T97" s="380"/>
      <c r="U97" s="380"/>
      <c r="V97" s="380"/>
      <c r="W97" s="379">
        <f>AQ111</f>
        <v>-3</v>
      </c>
      <c r="X97" s="380"/>
      <c r="Y97" s="380"/>
      <c r="Z97" s="383">
        <f>IF(AF145&gt;0,(AQ111/AF145),0)</f>
        <v>-1.8181818181818181E-2</v>
      </c>
      <c r="AA97" s="384"/>
      <c r="AB97" s="384"/>
      <c r="AC97" s="387">
        <f>IF(AF159=0,0,(AF151/AF159))</f>
        <v>0.42857142857142855</v>
      </c>
      <c r="AD97" s="388"/>
      <c r="AE97" s="389"/>
      <c r="AF97" s="393">
        <v>2</v>
      </c>
      <c r="AG97" s="393">
        <v>4</v>
      </c>
      <c r="AH97" s="395"/>
      <c r="AI97" s="396"/>
      <c r="AJ97" s="167"/>
      <c r="AK97" s="159">
        <v>3</v>
      </c>
      <c r="AL97" s="168" t="s">
        <v>59</v>
      </c>
      <c r="AM97" s="160"/>
      <c r="AN97" s="160"/>
      <c r="AO97" s="160"/>
      <c r="AP97" s="160"/>
      <c r="AQ97" s="160"/>
      <c r="AR97" s="161"/>
    </row>
    <row r="98" spans="1:44" ht="18.75" customHeight="1" thickBot="1" x14ac:dyDescent="0.25">
      <c r="A98" s="372"/>
      <c r="B98" s="404" t="s">
        <v>11</v>
      </c>
      <c r="C98" s="405"/>
      <c r="D98" s="405"/>
      <c r="E98" s="402" t="str">
        <f>AV8</f>
        <v>fj3scmid2pm</v>
      </c>
      <c r="F98" s="403"/>
      <c r="G98" s="403"/>
      <c r="H98" s="403"/>
      <c r="I98" s="403"/>
      <c r="J98" s="403"/>
      <c r="K98" s="403"/>
      <c r="L98" s="381"/>
      <c r="M98" s="382"/>
      <c r="N98" s="382"/>
      <c r="O98" s="382"/>
      <c r="P98" s="382"/>
      <c r="Q98" s="360"/>
      <c r="R98" s="381"/>
      <c r="S98" s="382"/>
      <c r="T98" s="382"/>
      <c r="U98" s="382"/>
      <c r="V98" s="382"/>
      <c r="W98" s="381"/>
      <c r="X98" s="382"/>
      <c r="Y98" s="382"/>
      <c r="Z98" s="385"/>
      <c r="AA98" s="386"/>
      <c r="AB98" s="386"/>
      <c r="AC98" s="390"/>
      <c r="AD98" s="391"/>
      <c r="AE98" s="392"/>
      <c r="AF98" s="394"/>
      <c r="AG98" s="394"/>
      <c r="AH98" s="397"/>
      <c r="AI98" s="398"/>
      <c r="AJ98" s="167"/>
      <c r="AK98" s="169"/>
      <c r="AL98" s="170"/>
      <c r="AM98" s="170"/>
      <c r="AN98" s="170"/>
      <c r="AO98" s="170"/>
      <c r="AP98" s="170"/>
      <c r="AQ98" s="158"/>
      <c r="AR98" s="133"/>
    </row>
    <row r="99" spans="1:44" ht="18.75" customHeight="1" x14ac:dyDescent="0.2">
      <c r="A99" s="371" t="str">
        <f>IF($AK94&gt;3,"4","")</f>
        <v>4</v>
      </c>
      <c r="B99" s="406" t="s">
        <v>10</v>
      </c>
      <c r="C99" s="407"/>
      <c r="D99" s="407"/>
      <c r="E99" s="376" t="str">
        <f>AU9</f>
        <v>Coastal 13 Wave</v>
      </c>
      <c r="F99" s="377"/>
      <c r="G99" s="377"/>
      <c r="H99" s="377"/>
      <c r="I99" s="377"/>
      <c r="J99" s="377"/>
      <c r="K99" s="378"/>
      <c r="L99" s="379">
        <f>IF($AK95=0,AF152,AF134)</f>
        <v>1</v>
      </c>
      <c r="M99" s="380"/>
      <c r="N99" s="380"/>
      <c r="O99" s="380"/>
      <c r="P99" s="380"/>
      <c r="Q99" s="360"/>
      <c r="R99" s="379">
        <f>IF($AK95=0,AG152,AG134)</f>
        <v>2</v>
      </c>
      <c r="S99" s="380"/>
      <c r="T99" s="380"/>
      <c r="U99" s="380"/>
      <c r="V99" s="380"/>
      <c r="W99" s="379">
        <f>AQ112</f>
        <v>-50</v>
      </c>
      <c r="X99" s="380"/>
      <c r="Y99" s="380"/>
      <c r="Z99" s="383">
        <f>IF(AF146&gt;0,(AQ112/AF146),0)</f>
        <v>-0.30303030303030304</v>
      </c>
      <c r="AA99" s="384"/>
      <c r="AB99" s="384"/>
      <c r="AC99" s="387">
        <f>IF(AF160=0,0,(AF152/AF160))</f>
        <v>0.2857142857142857</v>
      </c>
      <c r="AD99" s="388"/>
      <c r="AE99" s="389"/>
      <c r="AF99" s="393">
        <v>4</v>
      </c>
      <c r="AG99" s="393">
        <v>4</v>
      </c>
      <c r="AH99" s="395"/>
      <c r="AI99" s="396"/>
      <c r="AJ99" s="138"/>
      <c r="AK99" s="170"/>
      <c r="AL99" s="170"/>
      <c r="AM99" s="170"/>
      <c r="AN99" s="170"/>
      <c r="AO99" s="170"/>
      <c r="AP99" s="170"/>
      <c r="AQ99" s="160"/>
      <c r="AR99" s="161"/>
    </row>
    <row r="100" spans="1:44" ht="18.75" customHeight="1" thickBot="1" x14ac:dyDescent="0.25">
      <c r="A100" s="372"/>
      <c r="B100" s="404" t="s">
        <v>11</v>
      </c>
      <c r="C100" s="405"/>
      <c r="D100" s="405"/>
      <c r="E100" s="402" t="str">
        <f>AV9</f>
        <v>fj3ccoas1pm</v>
      </c>
      <c r="F100" s="403"/>
      <c r="G100" s="403"/>
      <c r="H100" s="403"/>
      <c r="I100" s="403"/>
      <c r="J100" s="403"/>
      <c r="K100" s="403"/>
      <c r="L100" s="381"/>
      <c r="M100" s="382"/>
      <c r="N100" s="382"/>
      <c r="O100" s="382"/>
      <c r="P100" s="382"/>
      <c r="Q100" s="360"/>
      <c r="R100" s="381"/>
      <c r="S100" s="382"/>
      <c r="T100" s="382"/>
      <c r="U100" s="382"/>
      <c r="V100" s="382"/>
      <c r="W100" s="381"/>
      <c r="X100" s="382"/>
      <c r="Y100" s="382"/>
      <c r="Z100" s="385"/>
      <c r="AA100" s="386"/>
      <c r="AB100" s="386"/>
      <c r="AC100" s="390"/>
      <c r="AD100" s="391"/>
      <c r="AE100" s="392"/>
      <c r="AF100" s="394"/>
      <c r="AG100" s="394"/>
      <c r="AH100" s="397"/>
      <c r="AI100" s="398"/>
      <c r="AJ100" s="138"/>
      <c r="AK100" s="170"/>
      <c r="AL100" s="170"/>
      <c r="AM100" s="170"/>
      <c r="AN100" s="170"/>
      <c r="AO100" s="170"/>
      <c r="AP100" s="170"/>
      <c r="AQ100" s="138"/>
      <c r="AR100" s="133"/>
    </row>
    <row r="101" spans="1:44" ht="18.75" customHeight="1" x14ac:dyDescent="0.2">
      <c r="A101" s="371" t="str">
        <f>IF($AK94&gt;4,"5","")</f>
        <v/>
      </c>
      <c r="B101" s="406" t="s">
        <v>10</v>
      </c>
      <c r="C101" s="407"/>
      <c r="D101" s="407"/>
      <c r="E101" s="376">
        <f>AU12</f>
        <v>0</v>
      </c>
      <c r="F101" s="377"/>
      <c r="G101" s="377"/>
      <c r="H101" s="377"/>
      <c r="I101" s="377"/>
      <c r="J101" s="377"/>
      <c r="K101" s="378"/>
      <c r="L101" s="379">
        <f>IF($AK95=0,AF153,AF135)</f>
        <v>0</v>
      </c>
      <c r="M101" s="380"/>
      <c r="N101" s="380"/>
      <c r="O101" s="380"/>
      <c r="P101" s="380"/>
      <c r="Q101" s="360"/>
      <c r="R101" s="379">
        <f>IF($AK95=0,AG153,AG135)</f>
        <v>0</v>
      </c>
      <c r="S101" s="380"/>
      <c r="T101" s="380"/>
      <c r="U101" s="380"/>
      <c r="V101" s="380"/>
      <c r="W101" s="379">
        <f>AQ113</f>
        <v>0</v>
      </c>
      <c r="X101" s="380"/>
      <c r="Y101" s="380"/>
      <c r="Z101" s="383">
        <f>IF(AF147&gt;0,(AQ113/AF147),0)</f>
        <v>0</v>
      </c>
      <c r="AA101" s="384"/>
      <c r="AB101" s="384"/>
      <c r="AC101" s="387">
        <f>IF(AF161=0,0,(AF153/AF161))</f>
        <v>0</v>
      </c>
      <c r="AD101" s="388"/>
      <c r="AE101" s="389"/>
      <c r="AF101" s="393"/>
      <c r="AG101" s="393"/>
      <c r="AH101" s="395"/>
      <c r="AI101" s="396"/>
      <c r="AJ101" s="138"/>
      <c r="AK101" s="170"/>
      <c r="AL101" s="170"/>
      <c r="AM101" s="170"/>
      <c r="AN101" s="170"/>
      <c r="AO101" s="170"/>
      <c r="AP101" s="170"/>
      <c r="AQ101" s="138"/>
      <c r="AR101" s="133"/>
    </row>
    <row r="102" spans="1:44" ht="18.75" customHeight="1" thickBot="1" x14ac:dyDescent="0.25">
      <c r="A102" s="372"/>
      <c r="B102" s="424" t="s">
        <v>11</v>
      </c>
      <c r="C102" s="425"/>
      <c r="D102" s="425"/>
      <c r="E102" s="426">
        <f>AV12</f>
        <v>0</v>
      </c>
      <c r="F102" s="427"/>
      <c r="G102" s="427"/>
      <c r="H102" s="427"/>
      <c r="I102" s="427"/>
      <c r="J102" s="427"/>
      <c r="K102" s="427"/>
      <c r="L102" s="414"/>
      <c r="M102" s="415"/>
      <c r="N102" s="415"/>
      <c r="O102" s="415"/>
      <c r="P102" s="415"/>
      <c r="Q102" s="360"/>
      <c r="R102" s="414"/>
      <c r="S102" s="415"/>
      <c r="T102" s="415"/>
      <c r="U102" s="415"/>
      <c r="V102" s="415"/>
      <c r="W102" s="414"/>
      <c r="X102" s="415"/>
      <c r="Y102" s="415"/>
      <c r="Z102" s="416"/>
      <c r="AA102" s="417"/>
      <c r="AB102" s="417"/>
      <c r="AC102" s="418"/>
      <c r="AD102" s="419"/>
      <c r="AE102" s="420"/>
      <c r="AF102" s="421"/>
      <c r="AG102" s="421"/>
      <c r="AH102" s="422"/>
      <c r="AI102" s="423"/>
      <c r="AJ102" s="138"/>
      <c r="AK102" s="170"/>
      <c r="AL102" s="170"/>
      <c r="AM102" s="170"/>
      <c r="AN102" s="170"/>
      <c r="AO102" s="170"/>
      <c r="AP102" s="170"/>
      <c r="AQ102" s="138"/>
      <c r="AR102" s="133"/>
    </row>
    <row r="103" spans="1:44" ht="21" customHeight="1" thickTop="1" thickBot="1" x14ac:dyDescent="0.25">
      <c r="A103" s="172"/>
      <c r="B103" s="428" t="s">
        <v>1118</v>
      </c>
      <c r="C103" s="429"/>
      <c r="D103" s="429"/>
      <c r="E103" s="429"/>
      <c r="F103" s="429"/>
      <c r="G103" s="429"/>
      <c r="H103" s="429"/>
      <c r="I103" s="429"/>
      <c r="J103" s="429"/>
      <c r="K103" s="429"/>
      <c r="L103" s="429"/>
      <c r="M103" s="429"/>
      <c r="N103" s="429"/>
      <c r="O103" s="429"/>
      <c r="P103" s="429"/>
      <c r="Q103" s="429"/>
      <c r="R103" s="429"/>
      <c r="S103" s="429"/>
      <c r="T103" s="429"/>
      <c r="U103" s="429"/>
      <c r="V103" s="429"/>
      <c r="W103" s="429"/>
      <c r="X103" s="429"/>
      <c r="Y103" s="429"/>
      <c r="Z103" s="429"/>
      <c r="AA103" s="429"/>
      <c r="AB103" s="429"/>
      <c r="AC103" s="429"/>
      <c r="AD103" s="429"/>
      <c r="AE103" s="429"/>
      <c r="AF103" s="429"/>
      <c r="AG103" s="429"/>
      <c r="AH103" s="429"/>
      <c r="AI103" s="430"/>
      <c r="AJ103" s="138"/>
      <c r="AK103" s="170"/>
      <c r="AL103" s="170"/>
      <c r="AM103" s="170"/>
      <c r="AN103" s="170"/>
      <c r="AO103" s="170"/>
      <c r="AP103" s="170"/>
      <c r="AQ103" s="138"/>
      <c r="AR103" s="133"/>
    </row>
    <row r="104" spans="1:44" ht="13.5" customHeight="1" thickTop="1" x14ac:dyDescent="0.2">
      <c r="A104" s="134" t="s">
        <v>64</v>
      </c>
      <c r="B104" s="431">
        <v>0.35416666666666669</v>
      </c>
      <c r="C104" s="432"/>
      <c r="D104" s="433"/>
      <c r="E104" s="431">
        <v>0.39583333333333331</v>
      </c>
      <c r="F104" s="432"/>
      <c r="G104" s="433"/>
      <c r="H104" s="431">
        <v>0.4375</v>
      </c>
      <c r="I104" s="432"/>
      <c r="J104" s="433"/>
      <c r="K104" s="431">
        <v>0.5</v>
      </c>
      <c r="L104" s="432"/>
      <c r="M104" s="433"/>
      <c r="N104" s="431">
        <v>4.1666666666666664E-2</v>
      </c>
      <c r="O104" s="432"/>
      <c r="P104" s="433"/>
      <c r="Q104" s="431">
        <v>8.3333333333333329E-2</v>
      </c>
      <c r="R104" s="432"/>
      <c r="S104" s="433"/>
      <c r="T104" s="431">
        <v>4.1666666666666664E-2</v>
      </c>
      <c r="U104" s="432"/>
      <c r="V104" s="433"/>
      <c r="W104" s="431">
        <v>7.2916666666666671E-2</v>
      </c>
      <c r="X104" s="432"/>
      <c r="Y104" s="433"/>
      <c r="Z104" s="431">
        <v>0.10416666666666667</v>
      </c>
      <c r="AA104" s="432"/>
      <c r="AB104" s="433"/>
      <c r="AC104" s="431">
        <v>0.13541666666666666</v>
      </c>
      <c r="AD104" s="432"/>
      <c r="AE104" s="433"/>
      <c r="AF104" s="434" t="s">
        <v>65</v>
      </c>
      <c r="AG104" s="435"/>
      <c r="AH104" s="435"/>
      <c r="AI104" s="435"/>
      <c r="AJ104" s="436"/>
      <c r="AK104" s="436"/>
      <c r="AL104" s="436"/>
      <c r="AM104" s="436"/>
      <c r="AN104" s="436"/>
      <c r="AO104" s="436"/>
      <c r="AP104" s="436"/>
      <c r="AQ104" s="437"/>
    </row>
    <row r="105" spans="1:44" x14ac:dyDescent="0.2">
      <c r="A105" s="173" t="s">
        <v>66</v>
      </c>
      <c r="B105" s="442">
        <v>0.36944444444444446</v>
      </c>
      <c r="C105" s="443"/>
      <c r="D105" s="444"/>
      <c r="E105" s="442">
        <v>0.39583333333333331</v>
      </c>
      <c r="F105" s="443"/>
      <c r="G105" s="444"/>
      <c r="H105" s="442">
        <v>0.4513888888888889</v>
      </c>
      <c r="I105" s="443"/>
      <c r="J105" s="444"/>
      <c r="K105" s="442"/>
      <c r="L105" s="443"/>
      <c r="M105" s="444"/>
      <c r="N105" s="442">
        <v>4.1666666666666664E-2</v>
      </c>
      <c r="O105" s="443"/>
      <c r="P105" s="444"/>
      <c r="Q105" s="442"/>
      <c r="R105" s="443"/>
      <c r="S105" s="444"/>
      <c r="T105" s="442"/>
      <c r="U105" s="443"/>
      <c r="V105" s="444"/>
      <c r="W105" s="442"/>
      <c r="X105" s="443"/>
      <c r="Y105" s="444"/>
      <c r="Z105" s="442"/>
      <c r="AA105" s="443"/>
      <c r="AB105" s="444"/>
      <c r="AC105" s="442"/>
      <c r="AD105" s="443"/>
      <c r="AE105" s="444"/>
      <c r="AF105" s="434"/>
      <c r="AG105" s="435"/>
      <c r="AH105" s="435"/>
      <c r="AI105" s="435"/>
      <c r="AJ105" s="435"/>
      <c r="AK105" s="435"/>
      <c r="AL105" s="435"/>
      <c r="AM105" s="435"/>
      <c r="AN105" s="435"/>
      <c r="AO105" s="435"/>
      <c r="AP105" s="435"/>
      <c r="AQ105" s="438"/>
    </row>
    <row r="106" spans="1:44" x14ac:dyDescent="0.2">
      <c r="A106" s="173" t="s">
        <v>67</v>
      </c>
      <c r="B106" s="442">
        <v>0.40972222222222227</v>
      </c>
      <c r="C106" s="443"/>
      <c r="D106" s="444"/>
      <c r="E106" s="442"/>
      <c r="F106" s="443"/>
      <c r="G106" s="444"/>
      <c r="H106" s="442">
        <v>0.5</v>
      </c>
      <c r="I106" s="443"/>
      <c r="J106" s="444"/>
      <c r="K106" s="442"/>
      <c r="L106" s="443"/>
      <c r="M106" s="444"/>
      <c r="N106" s="442"/>
      <c r="O106" s="443"/>
      <c r="P106" s="444"/>
      <c r="Q106" s="442"/>
      <c r="R106" s="443"/>
      <c r="S106" s="444"/>
      <c r="T106" s="442"/>
      <c r="U106" s="443"/>
      <c r="V106" s="444"/>
      <c r="W106" s="442"/>
      <c r="X106" s="443"/>
      <c r="Y106" s="444"/>
      <c r="Z106" s="442"/>
      <c r="AA106" s="443"/>
      <c r="AB106" s="444"/>
      <c r="AC106" s="442"/>
      <c r="AD106" s="443"/>
      <c r="AE106" s="444"/>
      <c r="AF106" s="434"/>
      <c r="AG106" s="435"/>
      <c r="AH106" s="435"/>
      <c r="AI106" s="435"/>
      <c r="AJ106" s="435"/>
      <c r="AK106" s="435"/>
      <c r="AL106" s="435"/>
      <c r="AM106" s="435"/>
      <c r="AN106" s="435"/>
      <c r="AO106" s="435"/>
      <c r="AP106" s="435"/>
      <c r="AQ106" s="438"/>
    </row>
    <row r="107" spans="1:44" ht="13.5" thickBot="1" x14ac:dyDescent="0.25">
      <c r="A107" s="138"/>
      <c r="B107" s="445" t="s">
        <v>68</v>
      </c>
      <c r="C107" s="446"/>
      <c r="D107" s="447"/>
      <c r="E107" s="445" t="str">
        <f>IF(AK93&gt;1,"Match 2","")</f>
        <v>Match 2</v>
      </c>
      <c r="F107" s="446"/>
      <c r="G107" s="447"/>
      <c r="H107" s="445" t="str">
        <f>IF(AK93&gt;2,"Match 3","")</f>
        <v>Match 3</v>
      </c>
      <c r="I107" s="446"/>
      <c r="J107" s="447"/>
      <c r="K107" s="445" t="str">
        <f>IF(AK93&gt;3,"Match 4","")</f>
        <v>Match 4</v>
      </c>
      <c r="L107" s="446"/>
      <c r="M107" s="447"/>
      <c r="N107" s="445" t="str">
        <f>IF(AK93&gt;4,"Match 5","")</f>
        <v>Match 5</v>
      </c>
      <c r="O107" s="446"/>
      <c r="P107" s="447"/>
      <c r="Q107" s="445" t="str">
        <f>IF(AK93&gt;5,"Match 6","")</f>
        <v>Match 6</v>
      </c>
      <c r="R107" s="446"/>
      <c r="S107" s="447"/>
      <c r="T107" s="445" t="str">
        <f>IF(AK93&gt;6,"Match 7","")</f>
        <v/>
      </c>
      <c r="U107" s="446"/>
      <c r="V107" s="447"/>
      <c r="W107" s="445" t="str">
        <f>IF(AK93&gt;7,"Match 8","")</f>
        <v/>
      </c>
      <c r="X107" s="446"/>
      <c r="Y107" s="447"/>
      <c r="Z107" s="445" t="str">
        <f>IF(AK93&gt;8,"Match 9","")</f>
        <v/>
      </c>
      <c r="AA107" s="446"/>
      <c r="AB107" s="447"/>
      <c r="AC107" s="445" t="str">
        <f>IF(AK93&gt;9,"Match 10","")</f>
        <v/>
      </c>
      <c r="AD107" s="446"/>
      <c r="AE107" s="447"/>
      <c r="AF107" s="439"/>
      <c r="AG107" s="440"/>
      <c r="AH107" s="440"/>
      <c r="AI107" s="440"/>
      <c r="AJ107" s="440"/>
      <c r="AK107" s="440"/>
      <c r="AL107" s="440"/>
      <c r="AM107" s="440"/>
      <c r="AN107" s="440"/>
      <c r="AO107" s="440"/>
      <c r="AP107" s="440"/>
      <c r="AQ107" s="441"/>
    </row>
    <row r="108" spans="1:44" ht="15.75" x14ac:dyDescent="0.25">
      <c r="A108" s="138"/>
      <c r="B108" s="448" t="s">
        <v>71</v>
      </c>
      <c r="C108" s="449"/>
      <c r="D108" s="450"/>
      <c r="E108" s="448" t="s">
        <v>73</v>
      </c>
      <c r="F108" s="449"/>
      <c r="G108" s="450"/>
      <c r="H108" s="448" t="s">
        <v>70</v>
      </c>
      <c r="I108" s="449"/>
      <c r="J108" s="450"/>
      <c r="K108" s="448" t="s">
        <v>69</v>
      </c>
      <c r="L108" s="449"/>
      <c r="M108" s="450"/>
      <c r="N108" s="448" t="s">
        <v>73</v>
      </c>
      <c r="O108" s="449"/>
      <c r="P108" s="450"/>
      <c r="Q108" s="448" t="s">
        <v>70</v>
      </c>
      <c r="R108" s="449"/>
      <c r="S108" s="450"/>
      <c r="T108" s="448" t="s">
        <v>69</v>
      </c>
      <c r="U108" s="449"/>
      <c r="V108" s="450"/>
      <c r="W108" s="448" t="s">
        <v>73</v>
      </c>
      <c r="X108" s="449"/>
      <c r="Y108" s="450"/>
      <c r="Z108" s="448" t="s">
        <v>1117</v>
      </c>
      <c r="AA108" s="449"/>
      <c r="AB108" s="450"/>
      <c r="AC108" s="448" t="s">
        <v>70</v>
      </c>
      <c r="AD108" s="449"/>
      <c r="AE108" s="450"/>
      <c r="AF108" s="174" t="s">
        <v>74</v>
      </c>
      <c r="AG108" s="175">
        <v>1</v>
      </c>
      <c r="AH108" s="175">
        <v>2</v>
      </c>
      <c r="AI108" s="175">
        <v>3</v>
      </c>
      <c r="AJ108" s="175">
        <v>4</v>
      </c>
      <c r="AK108" s="175">
        <v>5</v>
      </c>
      <c r="AL108" s="175">
        <v>6</v>
      </c>
      <c r="AM108" s="175">
        <v>7</v>
      </c>
      <c r="AN108" s="175">
        <v>8</v>
      </c>
      <c r="AO108" s="175">
        <v>9</v>
      </c>
      <c r="AP108" s="175">
        <v>10</v>
      </c>
      <c r="AQ108" s="176" t="s">
        <v>75</v>
      </c>
    </row>
    <row r="109" spans="1:44" ht="15.75" x14ac:dyDescent="0.25">
      <c r="A109" s="138"/>
      <c r="B109" s="177">
        <v>2</v>
      </c>
      <c r="C109" s="178" t="s">
        <v>76</v>
      </c>
      <c r="D109" s="179">
        <v>3</v>
      </c>
      <c r="E109" s="177">
        <v>1</v>
      </c>
      <c r="F109" s="178" t="str">
        <f>IF(AK93&gt;1,"v","")</f>
        <v>v</v>
      </c>
      <c r="G109" s="179">
        <v>4</v>
      </c>
      <c r="H109" s="177">
        <v>2</v>
      </c>
      <c r="I109" s="178" t="str">
        <f>IF(AK93&gt;2,"v","")</f>
        <v>v</v>
      </c>
      <c r="J109" s="179">
        <v>4</v>
      </c>
      <c r="K109" s="177">
        <v>1</v>
      </c>
      <c r="L109" s="178" t="str">
        <f>IF(AK93&gt;3,"v","")</f>
        <v>v</v>
      </c>
      <c r="M109" s="179">
        <v>3</v>
      </c>
      <c r="N109" s="177">
        <v>3</v>
      </c>
      <c r="O109" s="178" t="str">
        <f>IF(AK93&gt;4,"v","")</f>
        <v>v</v>
      </c>
      <c r="P109" s="179">
        <v>4</v>
      </c>
      <c r="Q109" s="177">
        <v>1</v>
      </c>
      <c r="R109" s="178" t="str">
        <f>IF(AK93&gt;5,"v","")</f>
        <v>v</v>
      </c>
      <c r="S109" s="179">
        <v>2</v>
      </c>
      <c r="T109" s="177">
        <v>2</v>
      </c>
      <c r="U109" s="178" t="str">
        <f>IF(AK93&gt;6,"v","")</f>
        <v/>
      </c>
      <c r="V109" s="179">
        <v>3</v>
      </c>
      <c r="W109" s="177">
        <v>1</v>
      </c>
      <c r="X109" s="178" t="str">
        <f>IF(AK93&gt;7,"v","")</f>
        <v/>
      </c>
      <c r="Y109" s="179">
        <v>5</v>
      </c>
      <c r="Z109" s="177">
        <v>3</v>
      </c>
      <c r="AA109" s="178" t="str">
        <f>IF(AK93&gt;8,"v","")</f>
        <v/>
      </c>
      <c r="AB109" s="179">
        <v>4</v>
      </c>
      <c r="AC109" s="177">
        <v>1</v>
      </c>
      <c r="AD109" s="178" t="str">
        <f>IF(AK93&gt;9,"v","")</f>
        <v/>
      </c>
      <c r="AE109" s="179">
        <v>2</v>
      </c>
      <c r="AF109" s="174" t="str">
        <f>IF(AK94&gt;0,"Team 1","")</f>
        <v>Team 1</v>
      </c>
      <c r="AG109" s="180" t="str">
        <f>IF(AK94&lt;1,"",IF(AK93&lt;1,"",IF(B109=1,B115-D115,IF(D109=1,D115-B115,""))))</f>
        <v/>
      </c>
      <c r="AH109" s="180">
        <f>IF(AK94&lt;1,"",IF(AK93&lt;2,"",IF(E109=1,E115-G115,IF(G109=1,G115-E115,""))))</f>
        <v>22</v>
      </c>
      <c r="AI109" s="180" t="str">
        <f>IF(AK94&lt;1,"",IF(AK93&lt;3,"",IF(H109=1,H115-J115,IF(J109=1,J115-H115,""))))</f>
        <v/>
      </c>
      <c r="AJ109" s="180">
        <f>IF(AK94&lt;1,"",IF(AK93&lt;4,"",IF(K109=1,K115-M115,IF(M109=1,M115-K115,""))))</f>
        <v>-11</v>
      </c>
      <c r="AK109" s="180" t="str">
        <f>IF(AK94&lt;1,"",IF(AK93&lt;5,"",IF(N109=1,N115-P115,IF(P109=1,P115-N115,""))))</f>
        <v/>
      </c>
      <c r="AL109" s="180">
        <f>IF(AK94&lt;1,"",IF(AK93&lt;6,"",IF(Q109=1,Q115-S115,IF(S109=1,S115-Q115,""))))</f>
        <v>-15</v>
      </c>
      <c r="AM109" s="180" t="str">
        <f>IF(AK94&lt;1,"",IF(AK93&lt;7,"",IF(T109=1,T115-V115,IF(V109=1,V115-T115,""))))</f>
        <v/>
      </c>
      <c r="AN109" s="180" t="str">
        <f>IF(AK94&lt;1,"",IF(AK93&lt;8,"",IF(W109=1,W115-Y115,IF(Y109=1,Y115-W115,""))))</f>
        <v/>
      </c>
      <c r="AO109" s="180" t="str">
        <f>IF(AK94&lt;1,"",IF(AK93&lt;9,"",IF(Z109=1,Z115-AB115,IF(AB109=1,AB115-Z115,""))))</f>
        <v/>
      </c>
      <c r="AP109" s="180" t="str">
        <f>IF(AK94&lt;1,"",IF(AK93&lt;10,"",IF(AC109=1,AC115-AE115,IF(AE109=1,AE115-AC115,""))))</f>
        <v/>
      </c>
      <c r="AQ109" s="176">
        <f>SUM(AG109:AP109)</f>
        <v>-4</v>
      </c>
    </row>
    <row r="110" spans="1:44" ht="15" x14ac:dyDescent="0.2">
      <c r="A110" s="134" t="s">
        <v>77</v>
      </c>
      <c r="B110" s="181">
        <v>25</v>
      </c>
      <c r="C110" s="182" t="s">
        <v>78</v>
      </c>
      <c r="D110" s="183">
        <v>16</v>
      </c>
      <c r="E110" s="181">
        <v>25</v>
      </c>
      <c r="F110" s="182" t="str">
        <f>IF(AK93&gt;1,"/","")</f>
        <v>/</v>
      </c>
      <c r="G110" s="183">
        <v>15</v>
      </c>
      <c r="H110" s="181">
        <v>25</v>
      </c>
      <c r="I110" s="182" t="str">
        <f>IF(AK93&gt;2,"/","")</f>
        <v>/</v>
      </c>
      <c r="J110" s="183">
        <v>10</v>
      </c>
      <c r="K110" s="181">
        <v>18</v>
      </c>
      <c r="L110" s="182" t="str">
        <f>IF(AK93&gt;3,"/","")</f>
        <v>/</v>
      </c>
      <c r="M110" s="183">
        <v>25</v>
      </c>
      <c r="N110" s="181">
        <v>21</v>
      </c>
      <c r="O110" s="182" t="str">
        <f>IF(AK93&gt;4,"/","")</f>
        <v>/</v>
      </c>
      <c r="P110" s="183">
        <v>25</v>
      </c>
      <c r="Q110" s="181">
        <v>19</v>
      </c>
      <c r="R110" s="182" t="str">
        <f>IF(AK93&gt;5,"/","")</f>
        <v>/</v>
      </c>
      <c r="S110" s="183">
        <v>25</v>
      </c>
      <c r="T110" s="181"/>
      <c r="U110" s="182" t="str">
        <f>IF(AK93&gt;6,"/","")</f>
        <v/>
      </c>
      <c r="V110" s="183"/>
      <c r="W110" s="181"/>
      <c r="X110" s="182" t="str">
        <f>IF(AK93&gt;7,"/","")</f>
        <v/>
      </c>
      <c r="Y110" s="183"/>
      <c r="Z110" s="181"/>
      <c r="AA110" s="182" t="str">
        <f>IF(AK93&gt;8,"/","")</f>
        <v/>
      </c>
      <c r="AB110" s="183"/>
      <c r="AC110" s="181"/>
      <c r="AD110" s="182" t="str">
        <f>IF(AK93&gt;9,"/","")</f>
        <v/>
      </c>
      <c r="AE110" s="183"/>
      <c r="AF110" s="174" t="str">
        <f>IF(AK94&gt;1,"Team 2","")</f>
        <v>Team 2</v>
      </c>
      <c r="AG110" s="180">
        <f>IF(AK94&lt;2,"",IF(AK93&lt;1,"",IF(B109=2,B115-D115,IF(D109=2,D115-B115,""))))</f>
        <v>18</v>
      </c>
      <c r="AH110" s="180" t="str">
        <f>IF(AK94&lt;2,"",IF(AK93&lt;2,"",IF(E109=2,E115-G115,IF(G109=2,G115-E115,""))))</f>
        <v/>
      </c>
      <c r="AI110" s="180">
        <f>IF(AK94&lt;2,"",IF(AK93&lt;3,"",IF(H109=2,H115-J115,IF(J109=2,J115-H115,""))))</f>
        <v>24</v>
      </c>
      <c r="AJ110" s="180" t="str">
        <f>IF(AK94&lt;2,"",IF(AK93&lt;4,"",IF(K109=2,K115-M115,IF(M109=2,M115-K115,""))))</f>
        <v/>
      </c>
      <c r="AK110" s="180" t="str">
        <f>IF(AK94&lt;2,"",IF(AK93&lt;5,"",IF(N109=2,N115-P115,IF(P109=2,P115-N115,""))))</f>
        <v/>
      </c>
      <c r="AL110" s="180">
        <f>IF(AK94&lt;2,"",IF(AK93&lt;6,"",IF(Q109=2,Q115-S115,IF(S109=2,S115-Q115,""))))</f>
        <v>15</v>
      </c>
      <c r="AM110" s="180" t="str">
        <f>IF(AK94&lt;2,"",IF(AK93&lt;7,"",IF(T109=2,T115-V115,IF(V109=2,V115-T115,""))))</f>
        <v/>
      </c>
      <c r="AN110" s="180" t="str">
        <f>IF(AK94&lt;2,"",IF(AK93&lt;8,"",IF(W109=2,W115-Y115,IF(Y109=2,Y115-W115,""))))</f>
        <v/>
      </c>
      <c r="AO110" s="180" t="str">
        <f>IF(AK94&lt;2,"",IF(AK93&lt;9,"",IF(Z109=2,Z115-AB115,IF(AB109=2,AB115-Z115,""))))</f>
        <v/>
      </c>
      <c r="AP110" s="180" t="str">
        <f>IF(AK94&lt;2,"",IF(AK93&lt;10,"",IF(AC109=2,AC115-AE115,IF(AE109=2,AE115-AC115,""))))</f>
        <v/>
      </c>
      <c r="AQ110" s="176">
        <f>SUM(AG110:AP110)</f>
        <v>57</v>
      </c>
    </row>
    <row r="111" spans="1:44" ht="15" x14ac:dyDescent="0.2">
      <c r="A111" s="133" t="str">
        <f>IF(AK92&gt;1,"Game 2","")</f>
        <v>Game 2</v>
      </c>
      <c r="B111" s="181">
        <v>25</v>
      </c>
      <c r="C111" s="182" t="s">
        <v>78</v>
      </c>
      <c r="D111" s="183">
        <v>16</v>
      </c>
      <c r="E111" s="181">
        <v>25</v>
      </c>
      <c r="F111" s="182" t="str">
        <f>IF(AK93&gt;1,IF(AK92&gt;1,"/",""),"")</f>
        <v>/</v>
      </c>
      <c r="G111" s="183">
        <v>13</v>
      </c>
      <c r="H111" s="181">
        <v>25</v>
      </c>
      <c r="I111" s="182" t="str">
        <f>IF(AK93&gt;2,IF(AK92&gt;1,"/",""),"")</f>
        <v>/</v>
      </c>
      <c r="J111" s="183">
        <v>16</v>
      </c>
      <c r="K111" s="181">
        <v>21</v>
      </c>
      <c r="L111" s="182" t="str">
        <f>IF(AK93&gt;3,IF(AK92&gt;1,"/",""),"")</f>
        <v>/</v>
      </c>
      <c r="M111" s="183">
        <v>25</v>
      </c>
      <c r="N111" s="181">
        <v>25</v>
      </c>
      <c r="O111" s="182" t="str">
        <f>IF(AK93&gt;4,IF(AK92&gt;1,"/",""),"")</f>
        <v>/</v>
      </c>
      <c r="P111" s="183">
        <v>12</v>
      </c>
      <c r="Q111" s="181">
        <v>16</v>
      </c>
      <c r="R111" s="182" t="str">
        <f>IF(AK93&gt;5,IF(AK92&gt;1,"/",""),"")</f>
        <v>/</v>
      </c>
      <c r="S111" s="183">
        <v>25</v>
      </c>
      <c r="T111" s="181"/>
      <c r="U111" s="182" t="str">
        <f>IF(AK93&gt;6,IF(AK92&gt;1,"/",""),"")</f>
        <v/>
      </c>
      <c r="V111" s="183"/>
      <c r="W111" s="181"/>
      <c r="X111" s="182" t="str">
        <f>IF(AK93&gt;7,IF(AK92&gt;1,"/",""),"")</f>
        <v/>
      </c>
      <c r="Y111" s="183"/>
      <c r="Z111" s="181"/>
      <c r="AA111" s="182" t="str">
        <f>IF(AK93&gt;8,IF(AK92&gt;1,"/",""),"")</f>
        <v/>
      </c>
      <c r="AB111" s="183"/>
      <c r="AC111" s="181"/>
      <c r="AD111" s="182" t="str">
        <f>IF(AK93&gt;9,IF(AK92&gt;1,"/",""),"")</f>
        <v/>
      </c>
      <c r="AE111" s="183"/>
      <c r="AF111" s="174" t="str">
        <f>IF(AK94&gt;2,"Team 3","")</f>
        <v>Team 3</v>
      </c>
      <c r="AG111" s="180">
        <f>IF(AK94&lt;3,"",IF(AK93&lt;1,"",IF(B109=3,B115-D115,IF(D109=3,D115-B115,""))))</f>
        <v>-18</v>
      </c>
      <c r="AH111" s="180" t="str">
        <f>IF(AK94&lt;3,"",IF(AK93&lt;2,"",IF(E109=3,E115-G115,IF(G109=3,G115-E115,""))))</f>
        <v/>
      </c>
      <c r="AI111" s="180" t="str">
        <f>IF(AK94&lt;3,"",IF(AK93&lt;3,"",IF(H109=3,H115-J115,IF(J109=3,J115-H115,""))))</f>
        <v/>
      </c>
      <c r="AJ111" s="180">
        <f>IF(AK94&lt;3,"",IF(AK93&lt;4,"",IF(K109=3,K115-M115,IF(M109=3,M115-K115,""))))</f>
        <v>11</v>
      </c>
      <c r="AK111" s="180">
        <f>IF(AK94&lt;3,"",IF(AK93&lt;5,"",IF(N109=3,N115-P115,IF(P109=3,P115-N115,""))))</f>
        <v>4</v>
      </c>
      <c r="AL111" s="180" t="str">
        <f>IF(AK94&lt;3,"",IF(AK93&lt;6,"",IF(Q109=3,Q115-S115,IF(S109=3,S115-Q115,""))))</f>
        <v/>
      </c>
      <c r="AM111" s="180" t="str">
        <f>IF(AK94&lt;3,"",IF(AK93&lt;7,"",IF(T109=3,T115-V115,IF(V109=3,V115-T115,""))))</f>
        <v/>
      </c>
      <c r="AN111" s="180" t="str">
        <f>IF(AK94&lt;3,"",IF(AK93&lt;8,"",IF(W109=3,W115-Y115,IF(Y109=3,Y115-W115,""))))</f>
        <v/>
      </c>
      <c r="AO111" s="180" t="str">
        <f>IF(AK94&lt;3,"",IF(AK93&lt;9,"",IF(Z109=3,Z115-AB115,IF(AB109=3,AB115-Z115,""))))</f>
        <v/>
      </c>
      <c r="AP111" s="180" t="str">
        <f>IF(AK94&lt;3,"",IF(AK93&lt;9,"",IF(AC109=3,AC115-AE115,IF(AE109=3,AE115-AC115,""))))</f>
        <v/>
      </c>
      <c r="AQ111" s="176">
        <f>SUM(AG111:AP111)</f>
        <v>-3</v>
      </c>
    </row>
    <row r="112" spans="1:44" ht="15" x14ac:dyDescent="0.2">
      <c r="A112" s="133" t="str">
        <f>IF(AK92&gt;2,"Game 3","")</f>
        <v>Game 3</v>
      </c>
      <c r="B112" s="181"/>
      <c r="C112" s="182" t="s">
        <v>78</v>
      </c>
      <c r="D112" s="183"/>
      <c r="E112" s="181"/>
      <c r="F112" s="182" t="str">
        <f>IF(AK93&gt;1,IF(AK92&gt;2,"/",""),"")</f>
        <v>/</v>
      </c>
      <c r="G112" s="183"/>
      <c r="H112" s="181"/>
      <c r="I112" s="182" t="str">
        <f>IF(AK93&gt;2,IF(AK92&gt;2,"/",""),"")</f>
        <v>/</v>
      </c>
      <c r="J112" s="183"/>
      <c r="K112" s="181"/>
      <c r="L112" s="182" t="str">
        <f>IF(AK93&gt;3,IF(AK92&gt;2,"/",""),"")</f>
        <v>/</v>
      </c>
      <c r="M112" s="183"/>
      <c r="N112" s="181">
        <v>10</v>
      </c>
      <c r="O112" s="182" t="str">
        <f>IF(AK93&gt;4,IF(AK92&gt;2,"/",""),"")</f>
        <v>/</v>
      </c>
      <c r="P112" s="183">
        <v>15</v>
      </c>
      <c r="Q112" s="181"/>
      <c r="R112" s="182" t="str">
        <f>IF(AK93&gt;5,IF(AK92&gt;2,"/",""),"")</f>
        <v>/</v>
      </c>
      <c r="S112" s="183"/>
      <c r="T112" s="181"/>
      <c r="U112" s="182" t="str">
        <f>IF(AK93&gt;6,IF(AK92&gt;2,"/",""),"")</f>
        <v/>
      </c>
      <c r="V112" s="183"/>
      <c r="W112" s="181"/>
      <c r="X112" s="182" t="str">
        <f>IF(AK93&gt;7,IF(AK92&gt;2,"/",""),"")</f>
        <v/>
      </c>
      <c r="Y112" s="183"/>
      <c r="Z112" s="181"/>
      <c r="AA112" s="182" t="str">
        <f>IF(AK93&gt;8,IF(AK92&gt;2,"/",""),"")</f>
        <v/>
      </c>
      <c r="AB112" s="183"/>
      <c r="AC112" s="181"/>
      <c r="AD112" s="182" t="str">
        <f>IF(AK93&gt;9,IF(AK92&gt;2,"/",""),"")</f>
        <v/>
      </c>
      <c r="AE112" s="183"/>
      <c r="AF112" s="174" t="str">
        <f>IF(AK94&gt;3,"Team 4","")</f>
        <v>Team 4</v>
      </c>
      <c r="AG112" s="180" t="str">
        <f>IF(AK94&lt;4,"",IF(AK93&lt;1,"",IF(B109=4,B115-D115,IF(D109=4,D115-B115,""))))</f>
        <v/>
      </c>
      <c r="AH112" s="180">
        <f>IF(AK94&lt;4,"",IF(AK93&lt;2,"",IF(E109=4,E115-G115,IF(G109=4,G115-E115,""))))</f>
        <v>-22</v>
      </c>
      <c r="AI112" s="180">
        <f>IF(AK94&lt;4,"",IF(AK93&lt;3,"",IF(H109=4,H115-J115,IF(J109=4,J115-H115,""))))</f>
        <v>-24</v>
      </c>
      <c r="AJ112" s="180" t="str">
        <f>IF(AK94&lt;4,"",IF(AK93&lt;4,"",IF(K109=4,K115-M115,IF(M109=4,M115-K115,""))))</f>
        <v/>
      </c>
      <c r="AK112" s="180">
        <f>IF(AK94&lt;4,"",IF(AK93&lt;5,"",IF(N109=4,N115-P115,IF(P109=4,P115-N115,""))))</f>
        <v>-4</v>
      </c>
      <c r="AL112" s="180" t="str">
        <f>IF(AK94&lt;4,"",IF(AK93&lt;6,"",IF(Q109=4,Q115-S115,IF(S109=4,S115-Q115,""))))</f>
        <v/>
      </c>
      <c r="AM112" s="180" t="str">
        <f>IF(AK94&lt;4,"",IF(AK93&lt;7,"",IF(T109=4,T115-V115,IF(V109=4,V115-T115,""))))</f>
        <v/>
      </c>
      <c r="AN112" s="180" t="str">
        <f>IF(AK94&lt;4,"",IF(AK93&lt;8,"",IF(W109=4,W115-Y115,IF(Y109=4,Y115-W115,""))))</f>
        <v/>
      </c>
      <c r="AO112" s="180" t="str">
        <f>IF(AK94&lt;4,"",IF(AK93&lt;9,"",IF(Z109=4,Z115-AB115,IF(AB109=4,AB115-Z115,""))))</f>
        <v/>
      </c>
      <c r="AP112" s="180" t="str">
        <f>IF(AK94&lt;4,"",IF(AK93&lt;10,"",IF(AC109=4,AC115-AE115,IF(AE109=4,AE115-AC115,""))))</f>
        <v/>
      </c>
      <c r="AQ112" s="176">
        <f>SUM(AG112:AP112)</f>
        <v>-50</v>
      </c>
    </row>
    <row r="113" spans="1:43" ht="15" x14ac:dyDescent="0.2">
      <c r="A113" s="133" t="str">
        <f>IF(AK92&gt;3,"Game 4","")</f>
        <v/>
      </c>
      <c r="B113" s="181"/>
      <c r="C113" s="182" t="s">
        <v>78</v>
      </c>
      <c r="D113" s="183"/>
      <c r="E113" s="181"/>
      <c r="F113" s="182" t="str">
        <f>IF(AK93&gt;1,IF(AK92&gt;3,"/",""),"")</f>
        <v/>
      </c>
      <c r="G113" s="183"/>
      <c r="H113" s="181"/>
      <c r="I113" s="182" t="str">
        <f>IF(AK93&gt;2,IF(AK92&gt;3,"/",""),"")</f>
        <v/>
      </c>
      <c r="J113" s="183"/>
      <c r="K113" s="181"/>
      <c r="L113" s="182" t="str">
        <f>IF(AK93&gt;3,IF(AK92&gt;3,"/",""),"")</f>
        <v/>
      </c>
      <c r="M113" s="183"/>
      <c r="N113" s="181"/>
      <c r="O113" s="182" t="str">
        <f>IF(AK93&gt;4,IF(AK92&gt;3,"/",""),"")</f>
        <v/>
      </c>
      <c r="P113" s="183"/>
      <c r="Q113" s="181"/>
      <c r="R113" s="182" t="str">
        <f>IF(AK93&gt;5,IF(AK92&gt;3,"/",""),"")</f>
        <v/>
      </c>
      <c r="S113" s="183"/>
      <c r="T113" s="181"/>
      <c r="U113" s="182" t="str">
        <f>IF(AK93&gt;6,IF(AK92&gt;3,"/",""),"")</f>
        <v/>
      </c>
      <c r="V113" s="183"/>
      <c r="W113" s="181"/>
      <c r="X113" s="182" t="str">
        <f>IF(AK93&gt;7,IF(AK92&gt;3,"/",""),"")</f>
        <v/>
      </c>
      <c r="Y113" s="183"/>
      <c r="Z113" s="181"/>
      <c r="AA113" s="182" t="str">
        <f>IF(AK93&gt;8,IF(AK92&gt;3,"/",""),"")</f>
        <v/>
      </c>
      <c r="AB113" s="183"/>
      <c r="AC113" s="181"/>
      <c r="AD113" s="182" t="str">
        <f>IF(AK93&gt;9,IF(AK92&gt;3,"/",""),"")</f>
        <v/>
      </c>
      <c r="AE113" s="183"/>
      <c r="AF113" s="174" t="str">
        <f>IF(AK94&gt;4,"Team 5","")</f>
        <v/>
      </c>
      <c r="AG113" s="184" t="str">
        <f>IF(AK94&lt;5,"",IF(AK93&lt;1,"",IF(B109=5,B115-D115,IF(D109=5,D115-B115,""))))</f>
        <v/>
      </c>
      <c r="AH113" s="180" t="str">
        <f>IF(AK94&lt;5,"",IF(AK93&lt;2,"",IF(E109=5,E115-G115,IF(G109=5,G115-E115,""))))</f>
        <v/>
      </c>
      <c r="AI113" s="180" t="str">
        <f>IF(AK94&lt;5,"",IF(AK93&lt;3,"",IF(H109=5,H115-J115,IF(J109=5,J115-H115,""))))</f>
        <v/>
      </c>
      <c r="AJ113" s="180" t="str">
        <f>IF(AK94&lt;5,"",IF(AK93&lt;4,"",IF(K109=5,K115-M115,IF(M109=5,M115-K115,""))))</f>
        <v/>
      </c>
      <c r="AK113" s="180" t="str">
        <f>IF(AK94&lt;5,"",IF(AK93&lt;5,"",IF(N109=5,N115-P115,IF(P109=5,P115-N115,""))))</f>
        <v/>
      </c>
      <c r="AL113" s="180" t="str">
        <f>IF(AK94&lt;5,"",IF(AK93&lt;6,"",IF(Q109=5,Q115-S115,IF(S109=5,S115-Q115,""))))</f>
        <v/>
      </c>
      <c r="AM113" s="180" t="str">
        <f>IF(AK94&lt;5,"",IF(AK93&lt;7,"",IF(T109=5,T115-V115,IF(V109=5,V115-T115,""))))</f>
        <v/>
      </c>
      <c r="AN113" s="180" t="str">
        <f>IF(AK94&lt;5,"",IF(AK93&lt;8,"",IF(W109=5,W115-Y115,IF(Y109=5,Y115-W115,""))))</f>
        <v/>
      </c>
      <c r="AO113" s="180" t="str">
        <f>IF(AK94&lt;5,"",IF(AK93&lt;9,"",IF(Z109=5,Z115-AB115,IF(AB109=5,AB115-Z115,""))))</f>
        <v/>
      </c>
      <c r="AP113" s="180" t="str">
        <f>IF(AK94&lt;5,"",IF(AK93&lt;10,"",IF(AC109=5,AC115-AE115,IF(AE109=5,AE115-AC115,""))))</f>
        <v/>
      </c>
      <c r="AQ113" s="176">
        <f>SUM(AG113:AP113)</f>
        <v>0</v>
      </c>
    </row>
    <row r="114" spans="1:43" ht="15" x14ac:dyDescent="0.2">
      <c r="A114" s="133" t="str">
        <f>IF(AK92&gt;4,"Game 5","")</f>
        <v/>
      </c>
      <c r="B114" s="181"/>
      <c r="C114" s="182" t="s">
        <v>78</v>
      </c>
      <c r="D114" s="183"/>
      <c r="E114" s="181"/>
      <c r="F114" s="182" t="str">
        <f>IF(AK93&gt;1,IF(AK92&gt;4,"/",""),"")</f>
        <v/>
      </c>
      <c r="G114" s="183"/>
      <c r="H114" s="181"/>
      <c r="I114" s="182" t="str">
        <f>IF(AK93&gt;2,IF(AK92&gt;4,"/",""),"")</f>
        <v/>
      </c>
      <c r="J114" s="183"/>
      <c r="K114" s="181"/>
      <c r="L114" s="182" t="str">
        <f>IF(AK93&gt;3,IF(AK92&gt;4,"/",""),"")</f>
        <v/>
      </c>
      <c r="M114" s="183"/>
      <c r="N114" s="181"/>
      <c r="O114" s="182" t="str">
        <f>IF(AK93&gt;4,IF(AK92&gt;4,"/",""),"")</f>
        <v/>
      </c>
      <c r="P114" s="183"/>
      <c r="Q114" s="181"/>
      <c r="R114" s="182" t="str">
        <f>IF(AK93&gt;5,IF(AK92&gt;4,"/",""),"")</f>
        <v/>
      </c>
      <c r="S114" s="183"/>
      <c r="T114" s="181"/>
      <c r="U114" s="182" t="str">
        <f>IF(AK93&gt;6,IF(AK92&gt;4,"/",""),"")</f>
        <v/>
      </c>
      <c r="V114" s="183"/>
      <c r="W114" s="181"/>
      <c r="X114" s="182" t="str">
        <f>IF(AK93&gt;7,IF(AK92&gt;4,"/",""),"")</f>
        <v/>
      </c>
      <c r="Y114" s="183"/>
      <c r="Z114" s="181"/>
      <c r="AA114" s="182" t="str">
        <f>IF(AK93&gt;8,IF(AK92&gt;4,"/",""),"")</f>
        <v/>
      </c>
      <c r="AB114" s="183"/>
      <c r="AC114" s="181"/>
      <c r="AD114" s="182" t="str">
        <f>IF(AK93&gt;9,IF(AK92&gt;4,"/",""),"")</f>
        <v/>
      </c>
      <c r="AE114" s="183"/>
      <c r="AF114" s="138"/>
      <c r="AG114" s="138"/>
      <c r="AH114" s="138"/>
      <c r="AI114" s="138"/>
      <c r="AJ114" s="138"/>
      <c r="AK114" s="138"/>
      <c r="AL114" s="138"/>
      <c r="AM114" s="138"/>
      <c r="AN114" s="138"/>
      <c r="AO114" s="138"/>
      <c r="AP114" s="138"/>
      <c r="AQ114" s="138"/>
    </row>
    <row r="115" spans="1:43" hidden="1" x14ac:dyDescent="0.2">
      <c r="A115" s="185"/>
      <c r="B115" s="185">
        <f>IF($AK92=5,SUM(B110:B114),IF($AK92=4,SUM(B110:B113),IF($AK92=3,SUM(B110:B112),IF($AK92=2,SUM(B110:B111),B110))))</f>
        <v>50</v>
      </c>
      <c r="C115" s="185"/>
      <c r="D115" s="185">
        <f>IF($AK92=5,SUM(D110:D114),IF($AK92=4,SUM(D110:D113),IF($AK92=3,SUM(D110:D112),IF($AK92=2,SUM(D110:D111),D110))))</f>
        <v>32</v>
      </c>
      <c r="E115" s="185">
        <f>IF($AK92=5,SUM(E110:E114),IF($AK92=4,SUM(E110:E113),IF($AK92=3,SUM(E110:E112),IF($AK92=2,SUM(E110:E111),E110))))</f>
        <v>50</v>
      </c>
      <c r="F115" s="185"/>
      <c r="G115" s="185">
        <f>IF($AK92=5,SUM(G110:G114),IF($AK92=4,SUM(G110:G113),IF($AK92=3,SUM(G110:G112),IF($AK92=2,SUM(G110:G111),G110))))</f>
        <v>28</v>
      </c>
      <c r="H115" s="185">
        <f>IF($AK92=5,SUM(H110:H114),IF($AK92=4,SUM(H110:H113),IF($AK92=3,SUM(H110:H112),IF($AK92=2,SUM(H110:H111),H110))))</f>
        <v>50</v>
      </c>
      <c r="I115" s="185"/>
      <c r="J115" s="185">
        <f>IF($AK92=5,SUM(J110:J114),IF($AK92=4,SUM(J110:J113),IF($AK92=3,SUM(J110:J112),IF($AK92=2,SUM(J110:J111),J110))))</f>
        <v>26</v>
      </c>
      <c r="K115" s="185">
        <f>IF($AK92=5,SUM(K110:K114),IF($AK92=4,SUM(K110:K113),IF($AK92=3,SUM(K110:K112),IF($AK92=2,SUM(K110:K111),K110))))</f>
        <v>39</v>
      </c>
      <c r="L115" s="185"/>
      <c r="M115" s="185">
        <f>IF($AK92=5,SUM(M110:M114),IF($AK92=4,SUM(M110:M113),IF($AK92=3,SUM(M110:M112),IF($AK92=2,SUM(M110:M111),M110))))</f>
        <v>50</v>
      </c>
      <c r="N115" s="185">
        <f>IF($AK92=5,SUM(N110:N114),IF($AK92=4,SUM(N110:N113),IF($AK92=3,SUM(N110:N112),IF($AK92=2,SUM(N110:N111),N110))))</f>
        <v>56</v>
      </c>
      <c r="O115" s="185"/>
      <c r="P115" s="185">
        <f>IF($AK92=5,SUM(P110:P114),IF($AK92=4,SUM(P110:P113),IF($AK92=3,SUM(P110:P112),IF($AK92=2,SUM(P110:P111),P110))))</f>
        <v>52</v>
      </c>
      <c r="Q115" s="185">
        <f>IF($AK92=5,SUM(Q110:Q114),IF($AK92=4,SUM(Q110:Q113),IF($AK92=3,SUM(Q110:Q112),IF($AK92=2,SUM(Q110:Q111),Q110))))</f>
        <v>35</v>
      </c>
      <c r="R115" s="185"/>
      <c r="S115" s="185">
        <f>IF($AK92=5,SUM(S110:S114),IF($AK92=4,SUM(S110:S113),IF($AK92=3,SUM(S110:S112),IF($AK92=2,SUM(S110:S111),S110))))</f>
        <v>50</v>
      </c>
      <c r="T115" s="185">
        <f>IF($AK92=5,SUM(T110:T114),IF($AK92=4,SUM(T110:T113),IF($AK92=3,SUM(T110:T112),IF($AK92=2,SUM(T110:T111),T110))))</f>
        <v>0</v>
      </c>
      <c r="U115" s="185"/>
      <c r="V115" s="185">
        <f>IF($AK92=5,SUM(V110:V114),IF($AK92=4,SUM(V110:V113),IF($AK92=3,SUM(V110:V112),IF($AK92=2,SUM(V110:V111),V110))))</f>
        <v>0</v>
      </c>
      <c r="W115" s="185">
        <f>IF($AK92=5,SUM(W110:W114),IF($AK92=4,SUM(W110:W113),IF($AK92=3,SUM(W110:W112),IF($AK92=2,SUM(W110:W111),W110))))</f>
        <v>0</v>
      </c>
      <c r="X115" s="185"/>
      <c r="Y115" s="185">
        <f>IF($AK92=5,SUM(Y110:Y114),IF($AK92=4,SUM(Y110:Y113),IF($AK92=3,SUM(Y110:Y112),IF($AK92=2,SUM(Y110:Y111),Y110))))</f>
        <v>0</v>
      </c>
      <c r="Z115" s="185">
        <f>IF($AK92=5,SUM(Z110:Z114),IF($AK92=4,SUM(Z110:Z113),IF($AK92=3,SUM(Z110:Z112),IF($AK92=2,SUM(Z110:Z111),Z110))))</f>
        <v>0</v>
      </c>
      <c r="AA115" s="185"/>
      <c r="AB115" s="185">
        <f>IF($AK92=5,SUM(AB110:AB114),IF($AK92=4,SUM(AB110:AB113),IF($AK92=3,SUM(AB110:AB112),IF($AK92=2,SUM(AB110:AB111),AB110))))</f>
        <v>0</v>
      </c>
      <c r="AC115" s="185">
        <f>IF($AK92=5,SUM(AC110:AC114),IF($AK92=4,SUM(AC110:AC113),IF($AK92=3,SUM(AC110:AC112),IF($AK92=2,SUM(AC110:AC111),AC110))))</f>
        <v>0</v>
      </c>
      <c r="AD115" s="185"/>
      <c r="AE115" s="185">
        <f>IF($AK92=5,SUM(AE110:AE114),IF($AK92=4,SUM(AE110:AE113),IF($AK92=3,SUM(AE110:AE112),IF($AK92=2,SUM(AE110:AE111),AE110))))</f>
        <v>0</v>
      </c>
      <c r="AF115" s="138"/>
      <c r="AG115" s="138"/>
      <c r="AH115" s="138"/>
      <c r="AI115" s="138"/>
      <c r="AJ115" s="138"/>
      <c r="AK115" s="138"/>
      <c r="AL115" s="138"/>
      <c r="AM115" s="138"/>
      <c r="AN115" s="138"/>
      <c r="AO115" s="138"/>
      <c r="AP115" s="138"/>
      <c r="AQ115" s="138"/>
    </row>
    <row r="116" spans="1:43" s="186" customFormat="1" ht="12.75" hidden="1" customHeight="1" x14ac:dyDescent="0.2">
      <c r="A116" s="186" t="s">
        <v>79</v>
      </c>
      <c r="B116" s="187">
        <f>IF(AND(B110&gt;D110,$AK93&gt;0,ISNUMBER(B110),ISNUMBER(D110)),1,0)</f>
        <v>1</v>
      </c>
      <c r="C116" s="187"/>
      <c r="D116" s="188">
        <f>IF(AND(D110&gt;B110,$AK93&gt;0,ISNUMBER(B110),ISNUMBER(D110)),1,0)</f>
        <v>0</v>
      </c>
      <c r="E116" s="187">
        <f>IF(AND(E110&gt;G110,$AK93&gt;1,ISNUMBER(E110),ISNUMBER(G110)),1,0)</f>
        <v>1</v>
      </c>
      <c r="F116" s="187"/>
      <c r="G116" s="188">
        <f>IF(AND(G110&gt;E110,$AK93&gt;1,ISNUMBER(E110),ISNUMBER(G110)),1,0)</f>
        <v>0</v>
      </c>
      <c r="H116" s="187">
        <f>IF(AND(H110&gt;J110,$AK93&gt;2,ISNUMBER(H110),ISNUMBER(J110)),1,0)</f>
        <v>1</v>
      </c>
      <c r="I116" s="187"/>
      <c r="J116" s="188">
        <f>IF(AND(J110&gt;H110,$AK93&gt;2,ISNUMBER(H110),ISNUMBER(J110)),1,0)</f>
        <v>0</v>
      </c>
      <c r="K116" s="187">
        <f>IF(AND(K110&gt;M110,$AK93&gt;3,ISNUMBER(K110),ISNUMBER(M110)),1,0)</f>
        <v>0</v>
      </c>
      <c r="L116" s="187"/>
      <c r="M116" s="188">
        <f>IF(AND(M110&gt;K110,$AK93&gt;3,ISNUMBER(K110),ISNUMBER(M110)),1,0)</f>
        <v>1</v>
      </c>
      <c r="N116" s="187">
        <f>IF(AND(N110&gt;P110,$AK93&gt;4,ISNUMBER(N110),ISNUMBER(P110)),1,0)</f>
        <v>0</v>
      </c>
      <c r="O116" s="187"/>
      <c r="P116" s="188">
        <f>IF(AND(P110&gt;N110,$AK93&gt;4,ISNUMBER(N110),ISNUMBER(P110)),1,0)</f>
        <v>1</v>
      </c>
      <c r="Q116" s="187">
        <f>IF(AND(Q110&gt;S110,$AK93&gt;5,ISNUMBER(Q110),ISNUMBER(S110)),1,0)</f>
        <v>0</v>
      </c>
      <c r="R116" s="187"/>
      <c r="S116" s="188">
        <f>IF(AND(S110&gt;Q110,$AK93&gt;5,ISNUMBER(Q110),ISNUMBER(S110)),1,0)</f>
        <v>1</v>
      </c>
      <c r="T116" s="187">
        <f>IF(AND(T110&gt;V110,$AK93&gt;6,ISNUMBER(T110),ISNUMBER(V110)),1,0)</f>
        <v>0</v>
      </c>
      <c r="U116" s="187"/>
      <c r="V116" s="188">
        <f>IF(AND(V110&gt;T110,$AK93&gt;6,ISNUMBER(T110),ISNUMBER(V110)),1,0)</f>
        <v>0</v>
      </c>
      <c r="W116" s="187">
        <f>IF(AND(W110&gt;Y110,$AK93&gt;7,ISNUMBER(W110),ISNUMBER(Y110)),1,0)</f>
        <v>0</v>
      </c>
      <c r="X116" s="187"/>
      <c r="Y116" s="188">
        <f>IF(AND(Y110&gt;W110,$AK93&gt;7,ISNUMBER(W110),ISNUMBER(Y110)),1,0)</f>
        <v>0</v>
      </c>
      <c r="Z116" s="187">
        <f>IF(AND(Z110&gt;AB110,$AK93&gt;8,ISNUMBER(Z110),ISNUMBER(AB110)),1,0)</f>
        <v>0</v>
      </c>
      <c r="AA116" s="187"/>
      <c r="AB116" s="188">
        <f>IF(AND(AB110&gt;Z110,$AK93&gt;8,ISNUMBER(Z110),ISNUMBER(AB110)),1,0)</f>
        <v>0</v>
      </c>
      <c r="AC116" s="187">
        <f>IF(AND(AC110&gt;AE110,$AK93&gt;9,ISNUMBER(AC110),ISNUMBER(AE110)),1,0)</f>
        <v>0</v>
      </c>
      <c r="AD116" s="187"/>
      <c r="AE116" s="188">
        <f>IF(AND(AE110&gt;AC110,$AK93&gt;9,ISNUMBER(AC110),ISNUMBER(AE110)),1,0)</f>
        <v>0</v>
      </c>
    </row>
    <row r="117" spans="1:43" s="186" customFormat="1" ht="12.75" hidden="1" customHeight="1" x14ac:dyDescent="0.2">
      <c r="A117" s="186" t="s">
        <v>80</v>
      </c>
      <c r="B117" s="187">
        <f>IF(AND(B111&gt;D111,$AK93&gt;0,$AK92&gt;1,ISNUMBER(B111),ISNUMBER(D111)),1,0)</f>
        <v>1</v>
      </c>
      <c r="C117" s="187"/>
      <c r="D117" s="188">
        <f>IF(AND(D111&gt;B111,$AK93&gt;0,$AK92&gt;1,ISNUMBER(B111),ISNUMBER(D111)),1,0)</f>
        <v>0</v>
      </c>
      <c r="E117" s="187">
        <f>IF(AND(E111&gt;G111,$AK93&gt;1,$AK92&gt;1,ISNUMBER(E111),ISNUMBER(G111)),1,0)</f>
        <v>1</v>
      </c>
      <c r="F117" s="187"/>
      <c r="G117" s="188">
        <f>IF(AND(G111&gt;E111,$AK93&gt;1,$AK92&gt;1,ISNUMBER(E111),ISNUMBER(G111)),1,0)</f>
        <v>0</v>
      </c>
      <c r="H117" s="187">
        <f>IF(AND(H111&gt;J111,$AK93&gt;2,$AK92&gt;1,ISNUMBER(H111),ISNUMBER(J111)),1,0)</f>
        <v>1</v>
      </c>
      <c r="I117" s="187"/>
      <c r="J117" s="188">
        <f>IF(AND(J111&gt;H111,$AK93&gt;2,$AK92&gt;1,ISNUMBER(H111),ISNUMBER(J111)),1,0)</f>
        <v>0</v>
      </c>
      <c r="K117" s="187">
        <f>IF(AND(K111&gt;M111,$AK93&gt;3,$AK92&gt;1,ISNUMBER(K111),ISNUMBER(M111)),1,0)</f>
        <v>0</v>
      </c>
      <c r="L117" s="187"/>
      <c r="M117" s="188">
        <f>IF(AND(M111&gt;K111,$AK93&gt;3,$AK92&gt;1,ISNUMBER(K111),ISNUMBER(M111)),1,0)</f>
        <v>1</v>
      </c>
      <c r="N117" s="187">
        <f>IF(AND(N111&gt;P111,$AK93&gt;4,$AK92&gt;1,ISNUMBER(N111),ISNUMBER(P111)),1,0)</f>
        <v>1</v>
      </c>
      <c r="O117" s="187"/>
      <c r="P117" s="188">
        <f>IF(AND(P111&gt;N111,$AK93&gt;4,$AK92&gt;1,ISNUMBER(N111),ISNUMBER(P111)),1,0)</f>
        <v>0</v>
      </c>
      <c r="Q117" s="187">
        <f>IF(AND(Q111&gt;S111,$AK93&gt;5,$AK92&gt;1,ISNUMBER(Q111),ISNUMBER(S111)),1,0)</f>
        <v>0</v>
      </c>
      <c r="R117" s="187"/>
      <c r="S117" s="188">
        <f>IF(AND(S111&gt;Q111,$AK93&gt;5,$AK92&gt;1,ISNUMBER(Q111),ISNUMBER(S111)),1,0)</f>
        <v>1</v>
      </c>
      <c r="T117" s="187">
        <f>IF(AND(T111&gt;V111,$AK93&gt;6,$AK92&gt;1,ISNUMBER(T111),ISNUMBER(V111)),1,0)</f>
        <v>0</v>
      </c>
      <c r="U117" s="187"/>
      <c r="V117" s="188">
        <f>IF(AND(V111&gt;T111,$AK93&gt;6,$AK92&gt;1,ISNUMBER(T111),ISNUMBER(V111)),1,0)</f>
        <v>0</v>
      </c>
      <c r="W117" s="187">
        <f>IF(AND(W111&gt;Y111,$AK93&gt;7,$AK92&gt;1,ISNUMBER(W111),ISNUMBER(Y111)),1,0)</f>
        <v>0</v>
      </c>
      <c r="X117" s="187"/>
      <c r="Y117" s="188">
        <f>IF(AND(Y111&gt;W111,$AK93&gt;7,$AK92&gt;1,ISNUMBER(W111),ISNUMBER(Y111)),1,0)</f>
        <v>0</v>
      </c>
      <c r="Z117" s="187">
        <f>IF(AND(Z111&gt;AB111,$AK93&gt;8,$AK92&gt;1,ISNUMBER(Z111),ISNUMBER(AB111)),1,0)</f>
        <v>0</v>
      </c>
      <c r="AA117" s="187"/>
      <c r="AB117" s="188">
        <f>IF(AND(AB111&gt;Z111,$AK93&gt;8,$AK92&gt;1,ISNUMBER(Z111),ISNUMBER(AB111)),1,0)</f>
        <v>0</v>
      </c>
      <c r="AC117" s="187">
        <f>IF(AND(AC111&gt;AE111,$AK93&gt;9,$AK92&gt;1,ISNUMBER(AC111),ISNUMBER(AE111)),1,0)</f>
        <v>0</v>
      </c>
      <c r="AD117" s="187"/>
      <c r="AE117" s="188">
        <f>IF(AND(AE111&gt;AC111,$AK93&gt;9,$AK92&gt;1,ISNUMBER(AC111),ISNUMBER(AE111)),1,0)</f>
        <v>0</v>
      </c>
    </row>
    <row r="118" spans="1:43" s="186" customFormat="1" ht="12.75" hidden="1" customHeight="1" x14ac:dyDescent="0.2">
      <c r="A118" s="186" t="s">
        <v>81</v>
      </c>
      <c r="B118" s="187">
        <f>IF(AND(B112&gt;D112,$AK93&gt;0,$AK92&gt;2,ISNUMBER(B112),ISNUMBER(D112)),1,0)</f>
        <v>0</v>
      </c>
      <c r="C118" s="187"/>
      <c r="D118" s="188">
        <f>IF(AND(D112&gt;B112,$AK93&gt;0,$AK92&gt;2,ISNUMBER(B112),ISNUMBER(D112)),1,0)</f>
        <v>0</v>
      </c>
      <c r="E118" s="187">
        <f>IF(AND(E112&gt;G112,$AK93&gt;1,$AK92&gt;2,ISNUMBER(E112),ISNUMBER(G112)),1,0)</f>
        <v>0</v>
      </c>
      <c r="F118" s="187"/>
      <c r="G118" s="188">
        <f>IF(AND(G112&gt;E112,$AK93&gt;1,$AK92&gt;2,ISNUMBER(E112),ISNUMBER(G112)),1,0)</f>
        <v>0</v>
      </c>
      <c r="H118" s="187">
        <f>IF(AND(H112&gt;J112,$AK93&gt;2,$AK92&gt;2,ISNUMBER(H112),ISNUMBER(J112)),1,0)</f>
        <v>0</v>
      </c>
      <c r="I118" s="187"/>
      <c r="J118" s="188">
        <f>IF(AND(J112&gt;H112,$AK93&gt;2,$AK92&gt;2,ISNUMBER(H112),ISNUMBER(J112)),1,0)</f>
        <v>0</v>
      </c>
      <c r="K118" s="187">
        <f>IF(AND(K112&gt;M112,$AK93&gt;3,$AK92&gt;2,ISNUMBER(K112),ISNUMBER(M112)),1,0)</f>
        <v>0</v>
      </c>
      <c r="L118" s="187"/>
      <c r="M118" s="188">
        <f>IF(AND(M112&gt;K112,$AK93&gt;3,$AK92&gt;2,ISNUMBER(K112),ISNUMBER(M112)),1,0)</f>
        <v>0</v>
      </c>
      <c r="N118" s="187">
        <f>IF(AND(N112&gt;P112,$AK93&gt;4,$AK92&gt;2,ISNUMBER(N112),ISNUMBER(P112)),1,0)</f>
        <v>0</v>
      </c>
      <c r="O118" s="187"/>
      <c r="P118" s="188">
        <f>IF(AND(P112&gt;N112,$AK93&gt;4,$AK92&gt;2,ISNUMBER(N112),ISNUMBER(P112)),1,0)</f>
        <v>1</v>
      </c>
      <c r="Q118" s="187">
        <f>IF(AND(Q112&gt;S112,$AK93&gt;5,$AK92&gt;2,ISNUMBER(Q112),ISNUMBER(S112)),1,0)</f>
        <v>0</v>
      </c>
      <c r="R118" s="187"/>
      <c r="S118" s="188">
        <f>IF(AND(S112&gt;Q112,$AK93&gt;5,$AK92&gt;2,ISNUMBER(Q112),ISNUMBER(S112)),1,0)</f>
        <v>0</v>
      </c>
      <c r="T118" s="187">
        <f>IF(AND(T112&gt;V112,$AK93&gt;6,$AK92&gt;2,ISNUMBER(T112),ISNUMBER(V112)),1,0)</f>
        <v>0</v>
      </c>
      <c r="U118" s="187"/>
      <c r="V118" s="188">
        <f>IF(AND(V112&gt;T112,$AK93&gt;6,$AK92&gt;2,ISNUMBER(T112),ISNUMBER(V112)),1,0)</f>
        <v>0</v>
      </c>
      <c r="W118" s="187">
        <f>IF(AND(W112&gt;Y112,$AK93&gt;7,$AK92&gt;2,ISNUMBER(W112),ISNUMBER(Y112)),1,0)</f>
        <v>0</v>
      </c>
      <c r="X118" s="187"/>
      <c r="Y118" s="188">
        <f>IF(AND(Y112&gt;W112,$AK93&gt;7,$AK92&gt;2,ISNUMBER(W112),ISNUMBER(Y112)),1,0)</f>
        <v>0</v>
      </c>
      <c r="Z118" s="187">
        <f>IF(AND(Z112&gt;AB112,$AK93&gt;8,$AK92&gt;2,ISNUMBER(Z112),ISNUMBER(AB112)),1,0)</f>
        <v>0</v>
      </c>
      <c r="AA118" s="187"/>
      <c r="AB118" s="188">
        <f>IF(AND(AB112&gt;Z112,$AK93&gt;8,$AK92&gt;2,ISNUMBER(Z112),ISNUMBER(AB112)),1,0)</f>
        <v>0</v>
      </c>
      <c r="AC118" s="187">
        <f>IF(AND(AC112&gt;AE112,$AK93&gt;9,$AK92&gt;2,ISNUMBER(AC112),ISNUMBER(AE112)),1,0)</f>
        <v>0</v>
      </c>
      <c r="AD118" s="187"/>
      <c r="AE118" s="188">
        <f>IF(AND(AE112&gt;AC112,$AK93&gt;9,$AK92&gt;2,ISNUMBER(AC112),ISNUMBER(AE112)),1,0)</f>
        <v>0</v>
      </c>
    </row>
    <row r="119" spans="1:43" s="186" customFormat="1" ht="12.75" hidden="1" customHeight="1" x14ac:dyDescent="0.2">
      <c r="A119" s="186" t="s">
        <v>82</v>
      </c>
      <c r="B119" s="187">
        <f>IF(AND(B113&gt;D113,$AK93&gt;0,$AK92&gt;3,ISNUMBER(B113),ISNUMBER(D113)),1,0)</f>
        <v>0</v>
      </c>
      <c r="C119" s="187"/>
      <c r="D119" s="188">
        <f>IF(AND(D113&gt;B113,$AK93&gt;0,$AK92&gt;3,ISNUMBER(B113),ISNUMBER(D113)),1,0)</f>
        <v>0</v>
      </c>
      <c r="E119" s="187">
        <f>IF(AND(E113&gt;G113,$AK93&gt;1,$AK92&gt;3,ISNUMBER(E113),ISNUMBER(G113)),1,0)</f>
        <v>0</v>
      </c>
      <c r="F119" s="187"/>
      <c r="G119" s="188">
        <f>IF(AND(G113&gt;E113,$AK93&gt;1,$AK92&gt;3,ISNUMBER(E113),ISNUMBER(G113)),1,0)</f>
        <v>0</v>
      </c>
      <c r="H119" s="187">
        <f>IF(AND(H113&gt;J113,$AK93&gt;2,$AK92&gt;3,ISNUMBER(H113),ISNUMBER(J113)),1,0)</f>
        <v>0</v>
      </c>
      <c r="I119" s="187"/>
      <c r="J119" s="188">
        <f>IF(AND(J113&gt;H113,$AK93&gt;2,$AK92&gt;3,ISNUMBER(H113),ISNUMBER(J113)),1,0)</f>
        <v>0</v>
      </c>
      <c r="K119" s="187">
        <f>IF(AND(K113&gt;M113,$AK93&gt;3,$AK92&gt;3,ISNUMBER(K113),ISNUMBER(M113)),1,0)</f>
        <v>0</v>
      </c>
      <c r="L119" s="187"/>
      <c r="M119" s="188">
        <f>IF(AND(M113&gt;K113,$AK93&gt;3,$AK92&gt;3,ISNUMBER(K113),ISNUMBER(M113)),1,0)</f>
        <v>0</v>
      </c>
      <c r="N119" s="187">
        <f>IF(AND(N113&gt;P113,$AK93&gt;4,$AK92&gt;3,ISNUMBER(N113),ISNUMBER(P113)),1,0)</f>
        <v>0</v>
      </c>
      <c r="O119" s="187"/>
      <c r="P119" s="188">
        <f>IF(AND(P113&gt;N113,$AK93&gt;4,$AK92&gt;3,ISNUMBER(N113),ISNUMBER(P113)),1,0)</f>
        <v>0</v>
      </c>
      <c r="Q119" s="187">
        <f>IF(AND(Q113&gt;S113,$AK93&gt;5,$AK92&gt;3,ISNUMBER(Q113),ISNUMBER(S113)),1,0)</f>
        <v>0</v>
      </c>
      <c r="R119" s="187"/>
      <c r="S119" s="188">
        <f>IF(AND(S113&gt;Q113,$AK93&gt;5,$AK92&gt;3,ISNUMBER(Q113),ISNUMBER(S113)),1,0)</f>
        <v>0</v>
      </c>
      <c r="T119" s="187">
        <f>IF(AND(T113&gt;V113,$AK93&gt;6,$AK92&gt;3,ISNUMBER(T113),ISNUMBER(V113)),1,0)</f>
        <v>0</v>
      </c>
      <c r="U119" s="187"/>
      <c r="V119" s="188">
        <f>IF(AND(V113&gt;T113,$AK93&gt;6,$AK92&gt;3,ISNUMBER(T113),ISNUMBER(V113)),1,0)</f>
        <v>0</v>
      </c>
      <c r="W119" s="187">
        <f>IF(AND(W113&gt;Y113,$AK93&gt;7,$AK92&gt;3,ISNUMBER(W113),ISNUMBER(Y113)),1,0)</f>
        <v>0</v>
      </c>
      <c r="X119" s="187"/>
      <c r="Y119" s="188">
        <f>IF(AND(Y113&gt;W113,$AK93&gt;7,$AK92&gt;3,ISNUMBER(W113),ISNUMBER(Y113)),1,0)</f>
        <v>0</v>
      </c>
      <c r="Z119" s="187">
        <f>IF(AND(Z113&gt;AB113,$AK93&gt;8,$AK92&gt;3,ISNUMBER(Z113),ISNUMBER(AB113)),1,0)</f>
        <v>0</v>
      </c>
      <c r="AA119" s="187"/>
      <c r="AB119" s="188">
        <f>IF(AND(AB113&gt;Z113,$AK93&gt;8,$AK92&gt;3,ISNUMBER(Z113),ISNUMBER(AB113)),1,0)</f>
        <v>0</v>
      </c>
      <c r="AC119" s="187">
        <f>IF(AND(AC113&gt;AE113,$AK93&gt;9,$AK92&gt;3,ISNUMBER(AC113),ISNUMBER(AE113)),1,0)</f>
        <v>0</v>
      </c>
      <c r="AD119" s="187"/>
      <c r="AE119" s="188">
        <f>IF(AND(AE113&gt;AC113,$AK93&gt;9,$AK92&gt;3,ISNUMBER(AC113),ISNUMBER(AE113)),1,0)</f>
        <v>0</v>
      </c>
    </row>
    <row r="120" spans="1:43" s="186" customFormat="1" ht="12.75" hidden="1" customHeight="1" x14ac:dyDescent="0.2">
      <c r="A120" s="186" t="s">
        <v>83</v>
      </c>
      <c r="B120" s="187">
        <f>IF(AND(B114&gt;D114,$AK93&gt;0,$AK92&gt;4,ISNUMBER(B114),ISNUMBER(D114)),1,0)</f>
        <v>0</v>
      </c>
      <c r="C120" s="187"/>
      <c r="D120" s="188">
        <f>IF(AND(D114&gt;B114,$AK93&gt;0,$AK92&gt;4,ISNUMBER(B114),ISNUMBER(D114)),1,0)</f>
        <v>0</v>
      </c>
      <c r="E120" s="187">
        <f>IF(AND(E114&gt;G114,$AK93&gt;1,$AK92&gt;4,ISNUMBER(E114),ISNUMBER(G114)),1,0)</f>
        <v>0</v>
      </c>
      <c r="F120" s="187"/>
      <c r="G120" s="188">
        <f>IF(AND(G114&gt;E114,$AK93&gt;1,$AK92&gt;4,ISNUMBER(E114),ISNUMBER(G114)),1,0)</f>
        <v>0</v>
      </c>
      <c r="H120" s="187">
        <f>IF(AND(H114&gt;J114,$AK93&gt;2,$AK92&gt;4,ISNUMBER(H114),ISNUMBER(J114)),1,0)</f>
        <v>0</v>
      </c>
      <c r="I120" s="187"/>
      <c r="J120" s="188">
        <f>IF(AND(J114&gt;H114,$AK93&gt;2,$AK92&gt;4,ISNUMBER(H114),ISNUMBER(J114)),1,0)</f>
        <v>0</v>
      </c>
      <c r="K120" s="187">
        <f>IF(AND(K114&gt;M114,$AK93&gt;3,$AK92&gt;4,ISNUMBER(K114),ISNUMBER(M114)),1,0)</f>
        <v>0</v>
      </c>
      <c r="L120" s="187"/>
      <c r="M120" s="188">
        <f>IF(AND(M114&gt;K114,$AK93&gt;3,$AK92&gt;4,ISNUMBER(K114),ISNUMBER(M114)),1,0)</f>
        <v>0</v>
      </c>
      <c r="N120" s="187">
        <f>IF(AND(N114&gt;P114,$AK93&gt;4,$AK92&gt;4,ISNUMBER(N114),ISNUMBER(P114)),1,0)</f>
        <v>0</v>
      </c>
      <c r="O120" s="187"/>
      <c r="P120" s="188">
        <f>IF(AND(P114&gt;N114,$AK93&gt;4,$AK92&gt;4,ISNUMBER(N114),ISNUMBER(P114)),1,0)</f>
        <v>0</v>
      </c>
      <c r="Q120" s="187">
        <f>IF(AND(Q114&gt;S114,$AK93&gt;5,$AK92&gt;4,ISNUMBER(Q114),ISNUMBER(S114)),1,0)</f>
        <v>0</v>
      </c>
      <c r="R120" s="187"/>
      <c r="S120" s="188">
        <f>IF(AND(S114&gt;Q114,$AK93&gt;5,$AK92&gt;4,ISNUMBER(Q114),ISNUMBER(S114)),1,0)</f>
        <v>0</v>
      </c>
      <c r="T120" s="187">
        <f>IF(AND(T114&gt;V114,$AK93&gt;6,$AK92&gt;4,ISNUMBER(T114),ISNUMBER(V114)),1,0)</f>
        <v>0</v>
      </c>
      <c r="U120" s="187"/>
      <c r="V120" s="188">
        <f>IF(AND(V114&gt;T114,$AK93&gt;6,$AK92&gt;4,ISNUMBER(T114),ISNUMBER(V114)),1,0)</f>
        <v>0</v>
      </c>
      <c r="W120" s="187">
        <f>IF(AND(W114&gt;Y114,$AK93&gt;7,$AK92&gt;4,ISNUMBER(W114),ISNUMBER(Y114)),1,0)</f>
        <v>0</v>
      </c>
      <c r="X120" s="187"/>
      <c r="Y120" s="188">
        <f>IF(AND(Y114&gt;W114,$AK93&gt;7,$AK92&gt;4,ISNUMBER(W114),ISNUMBER(Y114)),1,0)</f>
        <v>0</v>
      </c>
      <c r="Z120" s="187">
        <f>IF(AND(Z114&gt;AB114,$AK93&gt;8,$AK92&gt;4,ISNUMBER(Z114),ISNUMBER(AB114)),1,0)</f>
        <v>0</v>
      </c>
      <c r="AA120" s="187"/>
      <c r="AB120" s="188">
        <f>IF(AND(AB114&gt;Z114,$AK93&gt;8,$AK92&gt;4,ISNUMBER(Z114),ISNUMBER(AB114)),1,0)</f>
        <v>0</v>
      </c>
      <c r="AC120" s="187">
        <f>IF(AND(AC114&gt;AE114,$AK93&gt;9,$AK92&gt;4,ISNUMBER(AC114),ISNUMBER(AE114)),1,0)</f>
        <v>0</v>
      </c>
      <c r="AD120" s="187"/>
      <c r="AE120" s="188">
        <f>IF(AND(AE114&gt;AC114,$AK93&gt;9,$AK92&gt;4,ISNUMBER(AC114),ISNUMBER(AE114)),1,0)</f>
        <v>0</v>
      </c>
    </row>
    <row r="121" spans="1:43" s="186" customFormat="1" ht="38.25" hidden="1" customHeight="1" x14ac:dyDescent="0.2">
      <c r="A121" s="189" t="s">
        <v>84</v>
      </c>
      <c r="B121" s="186">
        <f>SUM(B116:B120)</f>
        <v>2</v>
      </c>
      <c r="D121" s="190">
        <f>SUM(D116:D120)</f>
        <v>0</v>
      </c>
      <c r="E121" s="186">
        <f>SUM(E116:E120)</f>
        <v>2</v>
      </c>
      <c r="G121" s="190">
        <f>SUM(G116:G120)</f>
        <v>0</v>
      </c>
      <c r="H121" s="186">
        <f>SUM(H116:H120)</f>
        <v>2</v>
      </c>
      <c r="J121" s="190">
        <f>SUM(J116:J120)</f>
        <v>0</v>
      </c>
      <c r="K121" s="186">
        <f>SUM(K116:K120)</f>
        <v>0</v>
      </c>
      <c r="M121" s="190">
        <f>SUM(M116:M120)</f>
        <v>2</v>
      </c>
      <c r="N121" s="186">
        <f>SUM(N116:N120)</f>
        <v>1</v>
      </c>
      <c r="P121" s="190">
        <f>SUM(P116:P120)</f>
        <v>2</v>
      </c>
      <c r="Q121" s="186">
        <f>SUM(Q116:Q120)</f>
        <v>0</v>
      </c>
      <c r="S121" s="190">
        <f>SUM(S116:S120)</f>
        <v>2</v>
      </c>
      <c r="T121" s="186">
        <f>SUM(T116:T120)</f>
        <v>0</v>
      </c>
      <c r="V121" s="190">
        <f>SUM(V116:V120)</f>
        <v>0</v>
      </c>
      <c r="W121" s="186">
        <f>SUM(W116:W120)</f>
        <v>0</v>
      </c>
      <c r="Y121" s="190">
        <f>SUM(Y116:Y120)</f>
        <v>0</v>
      </c>
      <c r="Z121" s="186">
        <f>SUM(Z116:Z120)</f>
        <v>0</v>
      </c>
      <c r="AB121" s="190">
        <f>SUM(AB116:AB120)</f>
        <v>0</v>
      </c>
      <c r="AC121" s="186">
        <f>SUM(AC116:AC120)</f>
        <v>0</v>
      </c>
      <c r="AE121" s="190">
        <f>SUM(AE116:AE120)</f>
        <v>0</v>
      </c>
    </row>
    <row r="122" spans="1:43" s="186" customFormat="1" ht="25.5" hidden="1" customHeight="1" x14ac:dyDescent="0.2">
      <c r="A122" s="189" t="s">
        <v>85</v>
      </c>
      <c r="B122" s="186">
        <f>IF(B121&gt;D121,IF(C156=AK92,1,IF(C156=AK92-1,1,0)),0)</f>
        <v>1</v>
      </c>
      <c r="C122" s="186">
        <f>B122+D122</f>
        <v>1</v>
      </c>
      <c r="D122" s="190">
        <f>IF(D121&gt;B121,IF(C156=AK92,1,IF(C156=AK92-1,1,0)),0)</f>
        <v>0</v>
      </c>
      <c r="E122" s="186">
        <f>IF(E121&gt;G121,IF(F156=AK92,1,IF(F156=AK92-1,1,0)),0)</f>
        <v>1</v>
      </c>
      <c r="F122" s="186">
        <f>E122+G122</f>
        <v>1</v>
      </c>
      <c r="G122" s="190">
        <f>IF(G121&gt;E121,IF(F156=AK92,1,IF(F156=AK92-1,1,0)),0)</f>
        <v>0</v>
      </c>
      <c r="H122" s="186">
        <f>IF(H121&gt;J121,IF(I156=AK92,1,IF(I156=AK92-1,1,0)),0)</f>
        <v>1</v>
      </c>
      <c r="I122" s="186">
        <f>H122+J122</f>
        <v>1</v>
      </c>
      <c r="J122" s="190">
        <f>IF(J121&gt;H121,IF(I156=AK92,1,IF(I156=AK92-1,1,0)),0)</f>
        <v>0</v>
      </c>
      <c r="K122" s="186">
        <f>IF(K121&gt;M121,IF(L156=AK92,1,IF(L156=AK92-1,1,0)),0)</f>
        <v>0</v>
      </c>
      <c r="L122" s="186">
        <f>K122+M122</f>
        <v>1</v>
      </c>
      <c r="M122" s="190">
        <f>IF(M121&gt;K121,IF(L156=AK92,1,IF(L156=AK92-1,1,0)),0)</f>
        <v>1</v>
      </c>
      <c r="N122" s="186">
        <f>IF(N121&gt;P121,IF(O156=AK92,1,IF(O156=AK92-1,1,0)),0)</f>
        <v>0</v>
      </c>
      <c r="O122" s="186">
        <f>N122+P122</f>
        <v>1</v>
      </c>
      <c r="P122" s="190">
        <f>IF(P121&gt;N121,IF(O156=AK92,1,IF(O156=AK92-1,1,0)),0)</f>
        <v>1</v>
      </c>
      <c r="Q122" s="186">
        <f>IF(Q121&gt;S121,IF(R156=AK92,1,IF(R156=AK92-1,1,0)),0)</f>
        <v>0</v>
      </c>
      <c r="R122" s="186">
        <f>Q122+S122</f>
        <v>1</v>
      </c>
      <c r="S122" s="190">
        <f>IF(S121&gt;Q121,IF(R156=AK92,1,IF(R156=AK92-1,1,0)),0)</f>
        <v>1</v>
      </c>
      <c r="T122" s="186">
        <f>IF(T121&gt;V121,IF(U156=AK92,1,IF(U156=AK92-1,1,0)),0)</f>
        <v>0</v>
      </c>
      <c r="U122" s="186">
        <f>T122+V122</f>
        <v>0</v>
      </c>
      <c r="V122" s="190">
        <f>IF(V121&gt;T121,IF(U156=AK92,1,IF(U156=AK92-1,1,0)),0)</f>
        <v>0</v>
      </c>
      <c r="W122" s="186">
        <f>IF(W121&gt;Y121,IF(X156=AK92,1,IF(X156=AK92-1,1,0)),0)</f>
        <v>0</v>
      </c>
      <c r="X122" s="186">
        <f>W122+Y122</f>
        <v>0</v>
      </c>
      <c r="Y122" s="190">
        <f>IF(Y121&gt;W121,IF(X156=AK92,1,IF(X156=AK92-1,1,0)),0)</f>
        <v>0</v>
      </c>
      <c r="Z122" s="186">
        <f>IF(Z121&gt;AB121,IF(AA156=AK92,1,IF(AA156=AK92-1,1,0)),0)</f>
        <v>0</v>
      </c>
      <c r="AA122" s="186">
        <f>Z122+AB122</f>
        <v>0</v>
      </c>
      <c r="AB122" s="190">
        <f>IF(AB121&gt;Z121,IF(AA156=AK92,1,IF(AA156=AK92-1,1,0)),0)</f>
        <v>0</v>
      </c>
      <c r="AC122" s="186">
        <f>IF(AC121&gt;AE121,IF(AD156=AK92,1,IF(AD156=AK92-1,1,0)),0)</f>
        <v>0</v>
      </c>
      <c r="AD122" s="186">
        <f>AC122+AE122</f>
        <v>0</v>
      </c>
      <c r="AE122" s="190">
        <f>IF(AE121&gt;AC121,IF(AD156=AK92,1,IF(AD156=AK92-1,1,0)),0)</f>
        <v>0</v>
      </c>
    </row>
    <row r="123" spans="1:43" s="186" customFormat="1" ht="25.5" hidden="1" customHeight="1" x14ac:dyDescent="0.2">
      <c r="A123" s="189"/>
      <c r="D123" s="190"/>
      <c r="G123" s="190"/>
      <c r="J123" s="190"/>
      <c r="M123" s="190"/>
      <c r="P123" s="190"/>
      <c r="S123" s="190"/>
      <c r="V123" s="190"/>
      <c r="Y123" s="190"/>
      <c r="AB123" s="190"/>
      <c r="AE123" s="190"/>
    </row>
    <row r="124" spans="1:43" s="186" customFormat="1" ht="12.75" hidden="1" customHeight="1" x14ac:dyDescent="0.2">
      <c r="A124" s="186" t="s">
        <v>86</v>
      </c>
      <c r="B124" s="186">
        <f>IF(B116=1,B110,0)</f>
        <v>25</v>
      </c>
      <c r="D124" s="190">
        <f t="shared" ref="D124:E128" si="11">IF(D116=1,D110,0)</f>
        <v>0</v>
      </c>
      <c r="E124" s="186">
        <f t="shared" si="11"/>
        <v>25</v>
      </c>
      <c r="G124" s="190">
        <f t="shared" ref="G124:H128" si="12">IF(G116=1,G110,0)</f>
        <v>0</v>
      </c>
      <c r="H124" s="186">
        <f t="shared" si="12"/>
        <v>25</v>
      </c>
      <c r="J124" s="190">
        <f t="shared" ref="J124:K128" si="13">IF(J116=1,J110,0)</f>
        <v>0</v>
      </c>
      <c r="K124" s="186">
        <f t="shared" si="13"/>
        <v>0</v>
      </c>
      <c r="M124" s="190">
        <f t="shared" ref="M124:N128" si="14">IF(M116=1,M110,0)</f>
        <v>25</v>
      </c>
      <c r="N124" s="186">
        <f t="shared" si="14"/>
        <v>0</v>
      </c>
      <c r="P124" s="190">
        <f t="shared" ref="P124:Q128" si="15">IF(P116=1,P110,0)</f>
        <v>25</v>
      </c>
      <c r="Q124" s="186">
        <f t="shared" si="15"/>
        <v>0</v>
      </c>
      <c r="S124" s="190">
        <f t="shared" ref="S124:T128" si="16">IF(S116=1,S110,0)</f>
        <v>25</v>
      </c>
      <c r="T124" s="186">
        <f t="shared" si="16"/>
        <v>0</v>
      </c>
      <c r="V124" s="190">
        <f t="shared" ref="V124:W128" si="17">IF(V116=1,V110,0)</f>
        <v>0</v>
      </c>
      <c r="W124" s="186">
        <f t="shared" si="17"/>
        <v>0</v>
      </c>
      <c r="Y124" s="190">
        <f t="shared" ref="Y124:Z128" si="18">IF(Y116=1,Y110,0)</f>
        <v>0</v>
      </c>
      <c r="Z124" s="186">
        <f t="shared" si="18"/>
        <v>0</v>
      </c>
      <c r="AB124" s="190">
        <f t="shared" ref="AB124:AC128" si="19">IF(AB116=1,AB110,0)</f>
        <v>0</v>
      </c>
      <c r="AC124" s="186">
        <f t="shared" si="19"/>
        <v>0</v>
      </c>
      <c r="AE124" s="190">
        <f>IF(AE116=1,AE110,0)</f>
        <v>0</v>
      </c>
    </row>
    <row r="125" spans="1:43" s="186" customFormat="1" ht="12.75" hidden="1" customHeight="1" x14ac:dyDescent="0.2">
      <c r="A125" s="186" t="s">
        <v>87</v>
      </c>
      <c r="B125" s="186">
        <f>IF(B117=1,B111,0)</f>
        <v>25</v>
      </c>
      <c r="D125" s="190">
        <f t="shared" si="11"/>
        <v>0</v>
      </c>
      <c r="E125" s="186">
        <f t="shared" si="11"/>
        <v>25</v>
      </c>
      <c r="G125" s="190">
        <f t="shared" si="12"/>
        <v>0</v>
      </c>
      <c r="H125" s="186">
        <f t="shared" si="12"/>
        <v>25</v>
      </c>
      <c r="J125" s="190">
        <f t="shared" si="13"/>
        <v>0</v>
      </c>
      <c r="K125" s="186">
        <f t="shared" si="13"/>
        <v>0</v>
      </c>
      <c r="M125" s="190">
        <f t="shared" si="14"/>
        <v>25</v>
      </c>
      <c r="N125" s="186">
        <f t="shared" si="14"/>
        <v>25</v>
      </c>
      <c r="P125" s="190">
        <f t="shared" si="15"/>
        <v>0</v>
      </c>
      <c r="Q125" s="186">
        <f t="shared" si="15"/>
        <v>0</v>
      </c>
      <c r="S125" s="190">
        <f t="shared" si="16"/>
        <v>25</v>
      </c>
      <c r="T125" s="186">
        <f t="shared" si="16"/>
        <v>0</v>
      </c>
      <c r="V125" s="190">
        <f t="shared" si="17"/>
        <v>0</v>
      </c>
      <c r="W125" s="186">
        <f t="shared" si="17"/>
        <v>0</v>
      </c>
      <c r="Y125" s="190">
        <f t="shared" si="18"/>
        <v>0</v>
      </c>
      <c r="Z125" s="186">
        <f t="shared" si="18"/>
        <v>0</v>
      </c>
      <c r="AB125" s="190">
        <f t="shared" si="19"/>
        <v>0</v>
      </c>
      <c r="AC125" s="186">
        <f t="shared" si="19"/>
        <v>0</v>
      </c>
      <c r="AE125" s="190">
        <f>IF(AE117=1,AE111,0)</f>
        <v>0</v>
      </c>
    </row>
    <row r="126" spans="1:43" s="186" customFormat="1" ht="12.75" hidden="1" customHeight="1" x14ac:dyDescent="0.2">
      <c r="A126" s="186" t="s">
        <v>88</v>
      </c>
      <c r="B126" s="186">
        <f>IF(B118=1,B112,0)</f>
        <v>0</v>
      </c>
      <c r="D126" s="190">
        <f t="shared" si="11"/>
        <v>0</v>
      </c>
      <c r="E126" s="186">
        <f t="shared" si="11"/>
        <v>0</v>
      </c>
      <c r="G126" s="190">
        <f t="shared" si="12"/>
        <v>0</v>
      </c>
      <c r="H126" s="186">
        <f t="shared" si="12"/>
        <v>0</v>
      </c>
      <c r="J126" s="190">
        <f t="shared" si="13"/>
        <v>0</v>
      </c>
      <c r="K126" s="186">
        <f t="shared" si="13"/>
        <v>0</v>
      </c>
      <c r="M126" s="190">
        <f t="shared" si="14"/>
        <v>0</v>
      </c>
      <c r="N126" s="186">
        <f t="shared" si="14"/>
        <v>0</v>
      </c>
      <c r="P126" s="190">
        <f t="shared" si="15"/>
        <v>15</v>
      </c>
      <c r="Q126" s="186">
        <f t="shared" si="15"/>
        <v>0</v>
      </c>
      <c r="S126" s="190">
        <f t="shared" si="16"/>
        <v>0</v>
      </c>
      <c r="T126" s="186">
        <f t="shared" si="16"/>
        <v>0</v>
      </c>
      <c r="V126" s="190">
        <f t="shared" si="17"/>
        <v>0</v>
      </c>
      <c r="W126" s="186">
        <f t="shared" si="17"/>
        <v>0</v>
      </c>
      <c r="Y126" s="190">
        <f t="shared" si="18"/>
        <v>0</v>
      </c>
      <c r="Z126" s="186">
        <f t="shared" si="18"/>
        <v>0</v>
      </c>
      <c r="AB126" s="190">
        <f t="shared" si="19"/>
        <v>0</v>
      </c>
      <c r="AC126" s="186">
        <f t="shared" si="19"/>
        <v>0</v>
      </c>
      <c r="AE126" s="190">
        <f>IF(AE118=1,AE112,0)</f>
        <v>0</v>
      </c>
    </row>
    <row r="127" spans="1:43" s="186" customFormat="1" ht="12.75" hidden="1" customHeight="1" x14ac:dyDescent="0.2">
      <c r="A127" s="186" t="s">
        <v>89</v>
      </c>
      <c r="B127" s="186">
        <f>IF(B119=1,B113,0)</f>
        <v>0</v>
      </c>
      <c r="D127" s="190">
        <f t="shared" si="11"/>
        <v>0</v>
      </c>
      <c r="E127" s="186">
        <f t="shared" si="11"/>
        <v>0</v>
      </c>
      <c r="G127" s="190">
        <f t="shared" si="12"/>
        <v>0</v>
      </c>
      <c r="H127" s="186">
        <f t="shared" si="12"/>
        <v>0</v>
      </c>
      <c r="J127" s="190">
        <f t="shared" si="13"/>
        <v>0</v>
      </c>
      <c r="K127" s="186">
        <f t="shared" si="13"/>
        <v>0</v>
      </c>
      <c r="M127" s="190">
        <f t="shared" si="14"/>
        <v>0</v>
      </c>
      <c r="N127" s="186">
        <f t="shared" si="14"/>
        <v>0</v>
      </c>
      <c r="P127" s="190">
        <f t="shared" si="15"/>
        <v>0</v>
      </c>
      <c r="Q127" s="186">
        <f t="shared" si="15"/>
        <v>0</v>
      </c>
      <c r="S127" s="190">
        <f t="shared" si="16"/>
        <v>0</v>
      </c>
      <c r="T127" s="186">
        <f t="shared" si="16"/>
        <v>0</v>
      </c>
      <c r="V127" s="190">
        <f t="shared" si="17"/>
        <v>0</v>
      </c>
      <c r="W127" s="186">
        <f t="shared" si="17"/>
        <v>0</v>
      </c>
      <c r="Y127" s="190">
        <f t="shared" si="18"/>
        <v>0</v>
      </c>
      <c r="Z127" s="186">
        <f t="shared" si="18"/>
        <v>0</v>
      </c>
      <c r="AB127" s="190">
        <f t="shared" si="19"/>
        <v>0</v>
      </c>
      <c r="AC127" s="186">
        <f t="shared" si="19"/>
        <v>0</v>
      </c>
      <c r="AE127" s="190">
        <f>IF(AE119=1,AE113,0)</f>
        <v>0</v>
      </c>
    </row>
    <row r="128" spans="1:43" s="186" customFormat="1" ht="12.75" hidden="1" customHeight="1" x14ac:dyDescent="0.2">
      <c r="A128" s="186" t="s">
        <v>90</v>
      </c>
      <c r="B128" s="186">
        <f>IF(B120=1,B114,0)</f>
        <v>0</v>
      </c>
      <c r="D128" s="190">
        <f t="shared" si="11"/>
        <v>0</v>
      </c>
      <c r="E128" s="186">
        <f t="shared" si="11"/>
        <v>0</v>
      </c>
      <c r="G128" s="190">
        <f t="shared" si="12"/>
        <v>0</v>
      </c>
      <c r="H128" s="186">
        <f t="shared" si="12"/>
        <v>0</v>
      </c>
      <c r="J128" s="190">
        <f t="shared" si="13"/>
        <v>0</v>
      </c>
      <c r="K128" s="186">
        <f t="shared" si="13"/>
        <v>0</v>
      </c>
      <c r="M128" s="190">
        <f t="shared" si="14"/>
        <v>0</v>
      </c>
      <c r="N128" s="186">
        <f t="shared" si="14"/>
        <v>0</v>
      </c>
      <c r="P128" s="190">
        <f t="shared" si="15"/>
        <v>0</v>
      </c>
      <c r="Q128" s="186">
        <f t="shared" si="15"/>
        <v>0</v>
      </c>
      <c r="S128" s="190">
        <f t="shared" si="16"/>
        <v>0</v>
      </c>
      <c r="T128" s="186">
        <f t="shared" si="16"/>
        <v>0</v>
      </c>
      <c r="V128" s="190">
        <f t="shared" si="17"/>
        <v>0</v>
      </c>
      <c r="W128" s="186">
        <f t="shared" si="17"/>
        <v>0</v>
      </c>
      <c r="Y128" s="190">
        <f t="shared" si="18"/>
        <v>0</v>
      </c>
      <c r="Z128" s="186">
        <f t="shared" si="18"/>
        <v>0</v>
      </c>
      <c r="AB128" s="190">
        <f t="shared" si="19"/>
        <v>0</v>
      </c>
      <c r="AC128" s="186">
        <f t="shared" si="19"/>
        <v>0</v>
      </c>
      <c r="AE128" s="190">
        <f>IF(AE120=1,AE114,0)</f>
        <v>0</v>
      </c>
    </row>
    <row r="129" spans="1:37" s="186" customFormat="1" ht="38.25" hidden="1" customHeight="1" x14ac:dyDescent="0.2">
      <c r="A129" s="189" t="s">
        <v>91</v>
      </c>
      <c r="B129" s="186">
        <f>SUM(B124:D128)</f>
        <v>50</v>
      </c>
      <c r="D129" s="190"/>
      <c r="E129" s="186">
        <f>SUM(E124:G128)</f>
        <v>50</v>
      </c>
      <c r="G129" s="190"/>
      <c r="H129" s="186">
        <f>SUM(H124:J128)</f>
        <v>50</v>
      </c>
      <c r="J129" s="190"/>
      <c r="K129" s="186">
        <f>SUM(K124:M128)</f>
        <v>50</v>
      </c>
      <c r="M129" s="190"/>
      <c r="N129" s="186">
        <f>SUM(N124:P128)</f>
        <v>65</v>
      </c>
      <c r="P129" s="190"/>
      <c r="Q129" s="186">
        <f>SUM(Q124:S128)</f>
        <v>50</v>
      </c>
      <c r="S129" s="190"/>
      <c r="T129" s="186">
        <f>SUM(T124:V128)</f>
        <v>0</v>
      </c>
      <c r="V129" s="190"/>
      <c r="W129" s="186">
        <f>SUM(W124:Y128)</f>
        <v>0</v>
      </c>
      <c r="Y129" s="190"/>
      <c r="Z129" s="186">
        <f>SUM(Z124:AB128)</f>
        <v>0</v>
      </c>
      <c r="AB129" s="190"/>
      <c r="AC129" s="186">
        <f>SUM(AC124:AE128)</f>
        <v>0</v>
      </c>
      <c r="AE129" s="190"/>
    </row>
    <row r="130" spans="1:37" s="186" customFormat="1" ht="38.25" hidden="1" customHeight="1" x14ac:dyDescent="0.2">
      <c r="A130" s="186" t="s">
        <v>92</v>
      </c>
      <c r="D130" s="190"/>
      <c r="G130" s="190"/>
      <c r="J130" s="190"/>
      <c r="M130" s="190"/>
      <c r="P130" s="190"/>
      <c r="S130" s="190"/>
      <c r="V130" s="190"/>
      <c r="Y130" s="190"/>
      <c r="AB130" s="190"/>
      <c r="AE130" s="190"/>
      <c r="AF130" s="189" t="s">
        <v>93</v>
      </c>
      <c r="AG130" s="186" t="s">
        <v>94</v>
      </c>
    </row>
    <row r="131" spans="1:37" s="186" customFormat="1" ht="12.75" hidden="1" customHeight="1" x14ac:dyDescent="0.2">
      <c r="A131" s="186" t="s">
        <v>95</v>
      </c>
      <c r="B131" s="186">
        <f>IF(B109=1,IF(B122=1,1,0),0)</f>
        <v>0</v>
      </c>
      <c r="D131" s="190">
        <f>IF(D109=1,IF(D122=1,1,0),0)</f>
        <v>0</v>
      </c>
      <c r="E131" s="186">
        <f>IF(E109=1,IF(E122=1,1,0),0)</f>
        <v>1</v>
      </c>
      <c r="G131" s="190">
        <f>IF(G109=1,IF(G122=1,1,0),0)</f>
        <v>0</v>
      </c>
      <c r="H131" s="186">
        <f>IF(H109=1,IF(H122=1,1,0),0)</f>
        <v>0</v>
      </c>
      <c r="J131" s="190">
        <f>IF(J109=1,IF(J122=1,1,0),0)</f>
        <v>0</v>
      </c>
      <c r="K131" s="186">
        <f>IF(K109=1,IF(K122=1,1,0),0)</f>
        <v>0</v>
      </c>
      <c r="M131" s="190">
        <f>IF(M109=1,IF(M122=1,1,0),0)</f>
        <v>0</v>
      </c>
      <c r="N131" s="186">
        <f>IF(N109=1,IF(N122=1,1,0),0)</f>
        <v>0</v>
      </c>
      <c r="P131" s="190">
        <f>IF(P109=1,IF(P122=1,1,0),0)</f>
        <v>0</v>
      </c>
      <c r="Q131" s="186">
        <f>IF(Q109=1,IF(Q122=1,1,0),0)</f>
        <v>0</v>
      </c>
      <c r="S131" s="190">
        <f>IF(S109=1,IF(S122=1,1,0),0)</f>
        <v>0</v>
      </c>
      <c r="T131" s="186">
        <f>IF(T109=1,IF(T122=1,1,0),0)</f>
        <v>0</v>
      </c>
      <c r="V131" s="190">
        <f>IF(V109=1,IF(V122=1,1,0),0)</f>
        <v>0</v>
      </c>
      <c r="W131" s="186">
        <f>IF(W109=1,IF(W122=1,1,0),0)</f>
        <v>0</v>
      </c>
      <c r="Y131" s="190">
        <f>IF(Y109=1,IF(Y122=1,1,0),0)</f>
        <v>0</v>
      </c>
      <c r="Z131" s="186">
        <f>IF(Z109=1,IF(Z122=1,1,0),0)</f>
        <v>0</v>
      </c>
      <c r="AB131" s="190">
        <f>IF(AB109=1,IF(AB122=1,1,0),0)</f>
        <v>0</v>
      </c>
      <c r="AC131" s="186">
        <f>IF(AC109=1,IF(AC122=1,1,0),0)</f>
        <v>0</v>
      </c>
      <c r="AE131" s="190">
        <f>IF(AE109=1,IF(AE122=1,1,0),0)</f>
        <v>0</v>
      </c>
      <c r="AF131" s="186">
        <f>SUM(B131:AE131)</f>
        <v>1</v>
      </c>
      <c r="AG131" s="186">
        <f>AF137-AF131</f>
        <v>2</v>
      </c>
    </row>
    <row r="132" spans="1:37" s="186" customFormat="1" ht="12.75" hidden="1" customHeight="1" x14ac:dyDescent="0.2">
      <c r="A132" s="186" t="s">
        <v>96</v>
      </c>
      <c r="B132" s="186">
        <f>IF(B109=2,IF(B122=1,1,0),0)</f>
        <v>1</v>
      </c>
      <c r="D132" s="190">
        <f>IF(D109=2,IF(D122=1,1,0),0)</f>
        <v>0</v>
      </c>
      <c r="E132" s="186">
        <f>IF(E109=2,IF(E122=1,1,0),0)</f>
        <v>0</v>
      </c>
      <c r="G132" s="190">
        <f>IF(G109=2,IF(G122=1,1,0),0)</f>
        <v>0</v>
      </c>
      <c r="H132" s="186">
        <f>IF(H109=2,IF(H122=1,1,0),0)</f>
        <v>1</v>
      </c>
      <c r="J132" s="190">
        <f>IF(J109=2,IF(J122=1,1,0),0)</f>
        <v>0</v>
      </c>
      <c r="K132" s="186">
        <f>IF(K109=2,IF(K122=1,1,0),0)</f>
        <v>0</v>
      </c>
      <c r="M132" s="190">
        <f>IF(M109=2,IF(M122=1,1,0),0)</f>
        <v>0</v>
      </c>
      <c r="N132" s="186">
        <f>IF(N109=2,IF(N122=1,1,0),0)</f>
        <v>0</v>
      </c>
      <c r="P132" s="190">
        <f>IF(P109=2,IF(P122=1,1,0),0)</f>
        <v>0</v>
      </c>
      <c r="Q132" s="186">
        <f>IF(Q109=2,IF(Q122=1,1,0),0)</f>
        <v>0</v>
      </c>
      <c r="S132" s="190">
        <f>IF(S109=2,IF(S122=1,1,0),0)</f>
        <v>1</v>
      </c>
      <c r="T132" s="186">
        <f>IF(T109=2,IF(T122=1,1,0),0)</f>
        <v>0</v>
      </c>
      <c r="V132" s="190">
        <f>IF(V109=2,IF(V122=1,1,0),0)</f>
        <v>0</v>
      </c>
      <c r="W132" s="186">
        <f>IF(W109=2,IF(W122=1,1,0),0)</f>
        <v>0</v>
      </c>
      <c r="Y132" s="190">
        <f>IF(Y109=2,IF(Y122=1,1,0),0)</f>
        <v>0</v>
      </c>
      <c r="Z132" s="186">
        <f>IF(Z109=2,IF(Z122=1,1,0),0)</f>
        <v>0</v>
      </c>
      <c r="AB132" s="190">
        <f>IF(AB109=2,IF(AB122=1,1,0),0)</f>
        <v>0</v>
      </c>
      <c r="AC132" s="186">
        <f>IF(AC109=2,IF(AC122=1,1,0),0)</f>
        <v>0</v>
      </c>
      <c r="AE132" s="190">
        <f>IF(AE109=2,IF(AE122=1,1,0),0)</f>
        <v>0</v>
      </c>
      <c r="AF132" s="186">
        <f>SUM(B132:AE132)</f>
        <v>3</v>
      </c>
      <c r="AG132" s="186">
        <f>AF138-AF132</f>
        <v>0</v>
      </c>
    </row>
    <row r="133" spans="1:37" s="186" customFormat="1" ht="12.75" hidden="1" customHeight="1" x14ac:dyDescent="0.2">
      <c r="A133" s="186" t="s">
        <v>97</v>
      </c>
      <c r="B133" s="186">
        <f>IF(B109=3,IF(B122=1,1,0),0)</f>
        <v>0</v>
      </c>
      <c r="D133" s="190">
        <f>IF(D109=3,IF(D122=1,1,0),0)</f>
        <v>0</v>
      </c>
      <c r="E133" s="186">
        <f>IF(E109=3,IF(E122=1,1,0),0)</f>
        <v>0</v>
      </c>
      <c r="G133" s="190">
        <f>IF(G109=3,IF(G122=1,1,0),0)</f>
        <v>0</v>
      </c>
      <c r="H133" s="186">
        <f>IF(H109=3,IF(H122=1,1,0),0)</f>
        <v>0</v>
      </c>
      <c r="J133" s="190">
        <f>IF(J109=3,IF(J122=1,1,0),0)</f>
        <v>0</v>
      </c>
      <c r="K133" s="186">
        <f>IF(K109=3,IF(K122=1,1,0),0)</f>
        <v>0</v>
      </c>
      <c r="M133" s="190">
        <f>IF(M109=3,IF(M122=1,1,0),0)</f>
        <v>1</v>
      </c>
      <c r="N133" s="186">
        <f>IF(N109=3,IF(N122=1,1,0),0)</f>
        <v>0</v>
      </c>
      <c r="P133" s="190">
        <f>IF(P109=3,IF(P122=1,1,0),0)</f>
        <v>0</v>
      </c>
      <c r="Q133" s="186">
        <f>IF(Q109=3,IF(Q122=1,1,0),0)</f>
        <v>0</v>
      </c>
      <c r="S133" s="190">
        <f>IF(S109=3,IF(S122=1,1,0),0)</f>
        <v>0</v>
      </c>
      <c r="T133" s="186">
        <f>IF(T109=3,IF(T122=1,1,0),0)</f>
        <v>0</v>
      </c>
      <c r="V133" s="190">
        <f>IF(V109=3,IF(V122=1,1,0),0)</f>
        <v>0</v>
      </c>
      <c r="W133" s="186">
        <f>IF(W109=3,IF(W122=1,1,0),0)</f>
        <v>0</v>
      </c>
      <c r="Y133" s="190">
        <f>IF(Y109=3,IF(Y122=1,1,0),0)</f>
        <v>0</v>
      </c>
      <c r="Z133" s="186">
        <f>IF(Z109=3,IF(Z122=1,1,0),0)</f>
        <v>0</v>
      </c>
      <c r="AB133" s="190">
        <f>IF(AB109=3,IF(AB122=1,1,0),0)</f>
        <v>0</v>
      </c>
      <c r="AC133" s="186">
        <f>IF(AC109=3,IF(AC122=1,1,0),0)</f>
        <v>0</v>
      </c>
      <c r="AE133" s="190">
        <f>IF(AE109=3,IF(AE122=1,1,0),0)</f>
        <v>0</v>
      </c>
      <c r="AF133" s="186">
        <f>SUM(B133:AE133)</f>
        <v>1</v>
      </c>
      <c r="AG133" s="186">
        <f>AF139-AF133</f>
        <v>2</v>
      </c>
    </row>
    <row r="134" spans="1:37" s="186" customFormat="1" ht="12.75" hidden="1" customHeight="1" x14ac:dyDescent="0.2">
      <c r="A134" s="186" t="s">
        <v>98</v>
      </c>
      <c r="B134" s="186">
        <f>IF(B109=4,IF(B122=1,1,0),0)</f>
        <v>0</v>
      </c>
      <c r="D134" s="190">
        <f>IF(D109=4,IF(D122=1,1,0),0)</f>
        <v>0</v>
      </c>
      <c r="E134" s="186">
        <f>IF(E109=4,IF(E122=1,1,0),0)</f>
        <v>0</v>
      </c>
      <c r="G134" s="190">
        <f>IF(G109=4,IF(G122=1,1,0),0)</f>
        <v>0</v>
      </c>
      <c r="H134" s="186">
        <f>IF(H109=4,IF(H122=1,1,0),0)</f>
        <v>0</v>
      </c>
      <c r="J134" s="190">
        <f>IF(J109=4,IF(J122=1,1,0),0)</f>
        <v>0</v>
      </c>
      <c r="K134" s="186">
        <f>IF(K109=4,IF(K122=1,1,0),0)</f>
        <v>0</v>
      </c>
      <c r="M134" s="190">
        <f>IF(M109=4,IF(M122=1,1,0),0)</f>
        <v>0</v>
      </c>
      <c r="N134" s="186">
        <f>IF(N109=4,IF(N122=1,1,0),0)</f>
        <v>0</v>
      </c>
      <c r="P134" s="190">
        <f>IF(P109=4,IF(P122=1,1,0),0)</f>
        <v>1</v>
      </c>
      <c r="Q134" s="186">
        <f>IF(Q109=4,IF(Q122=1,1,0),0)</f>
        <v>0</v>
      </c>
      <c r="S134" s="190">
        <f>IF(S109=4,IF(S122=1,1,0),0)</f>
        <v>0</v>
      </c>
      <c r="T134" s="186">
        <f>IF(T109=4,IF(T122=1,1,0),0)</f>
        <v>0</v>
      </c>
      <c r="V134" s="190">
        <f>IF(V109=4,IF(V122=1,1,0),0)</f>
        <v>0</v>
      </c>
      <c r="W134" s="186">
        <f>IF(W109=4,IF(W122=1,1,0),0)</f>
        <v>0</v>
      </c>
      <c r="Y134" s="190">
        <f>IF(Y109=4,IF(Y122=1,1,0),0)</f>
        <v>0</v>
      </c>
      <c r="Z134" s="186">
        <f>IF(Z109=4,IF(Z122=1,1,0),0)</f>
        <v>0</v>
      </c>
      <c r="AB134" s="190">
        <f>IF(AB109=4,IF(AB122=1,1,0),0)</f>
        <v>0</v>
      </c>
      <c r="AC134" s="186">
        <f>IF(AC109=4,IF(AC122=1,1,0),0)</f>
        <v>0</v>
      </c>
      <c r="AE134" s="190">
        <f>IF(AE109=4,IF(AE122=1,1,0),0)</f>
        <v>0</v>
      </c>
      <c r="AF134" s="186">
        <f>SUM(B134:AE134)</f>
        <v>1</v>
      </c>
      <c r="AG134" s="186">
        <f>AF140-AF134</f>
        <v>2</v>
      </c>
    </row>
    <row r="135" spans="1:37" s="186" customFormat="1" ht="12.75" hidden="1" customHeight="1" x14ac:dyDescent="0.2">
      <c r="A135" s="186" t="s">
        <v>99</v>
      </c>
      <c r="B135" s="186">
        <f>IF(B109=5,IF(B122=1,1,0),0)</f>
        <v>0</v>
      </c>
      <c r="D135" s="190">
        <f>IF(D109=5,IF(D122=1,1,0),0)</f>
        <v>0</v>
      </c>
      <c r="E135" s="186">
        <f>IF(E109=5,IF(E122=1,1,0),0)</f>
        <v>0</v>
      </c>
      <c r="G135" s="190">
        <f>IF(G109=5,IF(G122=1,1,0),0)</f>
        <v>0</v>
      </c>
      <c r="H135" s="186">
        <f>IF(H109=5,IF(H122=1,1,0),0)</f>
        <v>0</v>
      </c>
      <c r="J135" s="190">
        <f>IF(J109=5,IF(J122=1,1,0),0)</f>
        <v>0</v>
      </c>
      <c r="K135" s="186">
        <f>IF(K109=5,IF(K122=1,1,0),0)</f>
        <v>0</v>
      </c>
      <c r="M135" s="190">
        <f>IF(M109=5,IF(M122=1,1,0),0)</f>
        <v>0</v>
      </c>
      <c r="N135" s="186">
        <f>IF(N109=5,IF(N122=1,1,0),0)</f>
        <v>0</v>
      </c>
      <c r="P135" s="190">
        <f>IF(P109=5,IF(P122=1,1,0),0)</f>
        <v>0</v>
      </c>
      <c r="Q135" s="186">
        <f>IF(Q109=5,IF(Q122=1,1,0),0)</f>
        <v>0</v>
      </c>
      <c r="S135" s="190">
        <f>IF(S109=5,IF(S122=1,1,0),0)</f>
        <v>0</v>
      </c>
      <c r="T135" s="186">
        <f>IF(T109=5,IF(T122=1,1,0),0)</f>
        <v>0</v>
      </c>
      <c r="V135" s="190">
        <f>IF(V109=5,IF(V122=1,1,0),0)</f>
        <v>0</v>
      </c>
      <c r="W135" s="186">
        <f>IF(W109=5,IF(W122=1,1,0),0)</f>
        <v>0</v>
      </c>
      <c r="Y135" s="190">
        <f>IF(Y109=5,IF(Y122=1,1,0),0)</f>
        <v>0</v>
      </c>
      <c r="Z135" s="186">
        <f>IF(Z109=5,IF(Z122=1,1,0),0)</f>
        <v>0</v>
      </c>
      <c r="AB135" s="190">
        <f>IF(AB109=5,IF(AB122=1,1,0),0)</f>
        <v>0</v>
      </c>
      <c r="AC135" s="186">
        <f>IF(AC109=5,IF(AC122=1,1,0),0)</f>
        <v>0</v>
      </c>
      <c r="AE135" s="190">
        <f>IF(AE109=5,IF(AE122=1,1,0),0)</f>
        <v>0</v>
      </c>
      <c r="AF135" s="186">
        <f>SUM(B135:AE135)</f>
        <v>0</v>
      </c>
      <c r="AG135" s="186">
        <f>AF141-AF135</f>
        <v>0</v>
      </c>
    </row>
    <row r="136" spans="1:37" s="186" customFormat="1" ht="38.25" hidden="1" customHeight="1" x14ac:dyDescent="0.2">
      <c r="A136" s="189"/>
      <c r="D136" s="190"/>
      <c r="G136" s="190"/>
      <c r="J136" s="190"/>
      <c r="M136" s="190"/>
      <c r="P136" s="190"/>
      <c r="S136" s="190"/>
      <c r="V136" s="190"/>
      <c r="Y136" s="190"/>
      <c r="AB136" s="190"/>
      <c r="AE136" s="190"/>
      <c r="AF136" s="189" t="s">
        <v>100</v>
      </c>
    </row>
    <row r="137" spans="1:37" s="186" customFormat="1" ht="12.75" hidden="1" customHeight="1" x14ac:dyDescent="0.2">
      <c r="A137" s="186" t="s">
        <v>101</v>
      </c>
      <c r="B137" s="186">
        <f>IF(B109=1,IF(C122=1,1,0),0)</f>
        <v>0</v>
      </c>
      <c r="D137" s="190">
        <f>IF(D109=1,IF(C122=1,1,0),0)</f>
        <v>0</v>
      </c>
      <c r="E137" s="186">
        <f>IF(E109=1,IF(F122=1,1,0),0)</f>
        <v>1</v>
      </c>
      <c r="G137" s="190">
        <f>IF(G109=1,IF(F122=1,1,0),0)</f>
        <v>0</v>
      </c>
      <c r="H137" s="186">
        <f>IF(H109=1,IF(I122=1,1,0),0)</f>
        <v>0</v>
      </c>
      <c r="J137" s="190">
        <f>IF(J109=1,IF(I122=1,1,0),0)</f>
        <v>0</v>
      </c>
      <c r="K137" s="186">
        <f>IF(K109=1,IF(L122=1,1,0),0)</f>
        <v>1</v>
      </c>
      <c r="M137" s="190">
        <f>IF(M109=1,IF(L122=1,1,0),0)</f>
        <v>0</v>
      </c>
      <c r="N137" s="186">
        <f>IF(N109=1,IF(O122=1,1,0),0)</f>
        <v>0</v>
      </c>
      <c r="P137" s="190">
        <f>IF(P109=1,IF(O122=1,1,0),0)</f>
        <v>0</v>
      </c>
      <c r="Q137" s="186">
        <f>IF(Q109=1,IF(R122=1,1,0),0)</f>
        <v>1</v>
      </c>
      <c r="S137" s="190">
        <f>IF(S109=1,IF(R122=1,1,0),0)</f>
        <v>0</v>
      </c>
      <c r="T137" s="186">
        <f>IF(T109=1,IF(U122=1,1,0),0)</f>
        <v>0</v>
      </c>
      <c r="V137" s="190">
        <f>IF(V109=1,IF(U122=1,1,0),0)</f>
        <v>0</v>
      </c>
      <c r="W137" s="186">
        <f>IF(W109=1,IF(X122=1,1,0),0)</f>
        <v>0</v>
      </c>
      <c r="Y137" s="190">
        <f>IF(Y109=1,IF(X122=1,1,0),0)</f>
        <v>0</v>
      </c>
      <c r="Z137" s="186">
        <f>IF(Z109=1,IF(AA122=1,1,0),0)</f>
        <v>0</v>
      </c>
      <c r="AB137" s="190">
        <f>IF(AB109=1,IF(AA122=1,1,0),0)</f>
        <v>0</v>
      </c>
      <c r="AC137" s="186">
        <f>IF(AC109=1,IF(AD122=1,1,0),0)</f>
        <v>0</v>
      </c>
      <c r="AE137" s="190">
        <f>IF(AE109=1,IF(AD122=1,1,0),0)</f>
        <v>0</v>
      </c>
      <c r="AF137" s="186">
        <f>SUM(B137:AE137)</f>
        <v>3</v>
      </c>
    </row>
    <row r="138" spans="1:37" s="186" customFormat="1" ht="12.75" hidden="1" customHeight="1" x14ac:dyDescent="0.2">
      <c r="A138" s="186" t="s">
        <v>102</v>
      </c>
      <c r="B138" s="186">
        <f>IF(B109=2,IF(C122=1,1,0),0)</f>
        <v>1</v>
      </c>
      <c r="D138" s="190">
        <f>IF(D109=2,IF(C122=1,1,0),0)</f>
        <v>0</v>
      </c>
      <c r="E138" s="186">
        <f>IF(E109=2,IF(F122=1,1,0),0)</f>
        <v>0</v>
      </c>
      <c r="G138" s="190">
        <f>IF(G109=2,IF(F122=1,1,0),0)</f>
        <v>0</v>
      </c>
      <c r="H138" s="186">
        <f>IF(H109=2,IF(I122=1,1,0),0)</f>
        <v>1</v>
      </c>
      <c r="J138" s="190">
        <f>IF(J109=2,IF(I122=1,1,0),0)</f>
        <v>0</v>
      </c>
      <c r="K138" s="186">
        <f>IF(K109=2,IF(L122=1,1,0),0)</f>
        <v>0</v>
      </c>
      <c r="M138" s="190">
        <f>IF(M109=2,IF(L122=1,1,0),0)</f>
        <v>0</v>
      </c>
      <c r="N138" s="186">
        <f>IF(N109=2,IF(O122=1,1,0),0)</f>
        <v>0</v>
      </c>
      <c r="P138" s="190">
        <f>IF(P109=2,IF(O122=1,1,0),0)</f>
        <v>0</v>
      </c>
      <c r="Q138" s="186">
        <f>IF(Q109=2,IF(R122=1,1,0),0)</f>
        <v>0</v>
      </c>
      <c r="S138" s="190">
        <f>IF(S109=2,IF(R122=1,1,0),0)</f>
        <v>1</v>
      </c>
      <c r="T138" s="186">
        <f>IF(T109=2,IF(U122=1,1,0),0)</f>
        <v>0</v>
      </c>
      <c r="V138" s="190">
        <f>IF(V109=2,IF(U122=1,1,0),0)</f>
        <v>0</v>
      </c>
      <c r="W138" s="186">
        <f>IF(W109=2,IF(X122=1,1,0),0)</f>
        <v>0</v>
      </c>
      <c r="Y138" s="190">
        <f>IF(Y109=2,IF(X122=1,1,0),0)</f>
        <v>0</v>
      </c>
      <c r="Z138" s="186">
        <f>IF(Z109=2,IF(AA122=1,1,0),0)</f>
        <v>0</v>
      </c>
      <c r="AB138" s="190">
        <f>IF(AB109=2,IF(AA122=1,1,0),0)</f>
        <v>0</v>
      </c>
      <c r="AC138" s="186">
        <f>IF(AC109=2,IF(AD122=1,1,0),0)</f>
        <v>0</v>
      </c>
      <c r="AE138" s="190">
        <f>IF(AE109=2,IF(AD122=1,1,0),0)</f>
        <v>0</v>
      </c>
      <c r="AF138" s="186">
        <f>SUM(B138:AE138)</f>
        <v>3</v>
      </c>
    </row>
    <row r="139" spans="1:37" s="186" customFormat="1" ht="12.75" hidden="1" customHeight="1" x14ac:dyDescent="0.2">
      <c r="A139" s="186" t="s">
        <v>103</v>
      </c>
      <c r="B139" s="186">
        <f>IF(B109=3,IF(C122=1,1,0),0)</f>
        <v>0</v>
      </c>
      <c r="D139" s="190">
        <f>IF(D109=3,IF(C122=1,1,0),0)</f>
        <v>1</v>
      </c>
      <c r="E139" s="186">
        <f>IF(E109=3,IF(F122=1,1,0),0)</f>
        <v>0</v>
      </c>
      <c r="G139" s="190">
        <f>IF(G109=3,IF(F122=1,1,0),0)</f>
        <v>0</v>
      </c>
      <c r="H139" s="186">
        <f>IF(H109=3,IF(I122=1,1,0),0)</f>
        <v>0</v>
      </c>
      <c r="J139" s="190">
        <f>IF(J109=3,IF(I122=1,1,0),0)</f>
        <v>0</v>
      </c>
      <c r="K139" s="186">
        <f>IF(K109=3,IF(L122=1,1,0),0)</f>
        <v>0</v>
      </c>
      <c r="M139" s="190">
        <f>IF(M109=3,IF(L122=1,1,0),0)</f>
        <v>1</v>
      </c>
      <c r="N139" s="186">
        <f>IF(N109=3,IF(O122=1,1,0),0)</f>
        <v>1</v>
      </c>
      <c r="P139" s="190">
        <f>IF(P109=3,IF(O122=1,1,0),0)</f>
        <v>0</v>
      </c>
      <c r="Q139" s="186">
        <f>IF(Q109=3,IF(R122=1,1,0),0)</f>
        <v>0</v>
      </c>
      <c r="S139" s="190">
        <f>IF(S109=3,IF(R122=1,1,0),0)</f>
        <v>0</v>
      </c>
      <c r="T139" s="186">
        <f>IF(T109=3,IF(U122=1,1,0),0)</f>
        <v>0</v>
      </c>
      <c r="V139" s="190">
        <f>IF(V109=3,IF(U122=1,1,0),0)</f>
        <v>0</v>
      </c>
      <c r="W139" s="186">
        <f>IF(W109=3,IF(X122=1,1,0),0)</f>
        <v>0</v>
      </c>
      <c r="Y139" s="190">
        <f>IF(Y109=3,IF(X122=1,1,0),0)</f>
        <v>0</v>
      </c>
      <c r="Z139" s="186">
        <f>IF(Z109=3,IF(AA122=1,1,0),0)</f>
        <v>0</v>
      </c>
      <c r="AB139" s="190">
        <f>IF(AB109=3,IF(AA122=1,1,0),0)</f>
        <v>0</v>
      </c>
      <c r="AC139" s="186">
        <f>IF(AC109=3,IF(AD122=1,1,0),0)</f>
        <v>0</v>
      </c>
      <c r="AE139" s="190">
        <f>IF(AE109=3,IF(AD122=1,1,0),0)</f>
        <v>0</v>
      </c>
      <c r="AF139" s="186">
        <f>SUM(B139:AE139)</f>
        <v>3</v>
      </c>
    </row>
    <row r="140" spans="1:37" s="186" customFormat="1" ht="12.75" hidden="1" customHeight="1" x14ac:dyDescent="0.2">
      <c r="A140" s="186" t="s">
        <v>104</v>
      </c>
      <c r="B140" s="186">
        <f>IF(B109=4,IF(C122=1,1,0),0)</f>
        <v>0</v>
      </c>
      <c r="D140" s="190">
        <f>IF(D109=4,IF(C122=1,1,0),0)</f>
        <v>0</v>
      </c>
      <c r="E140" s="186">
        <f>IF(E109=4,IF(F122=1,1,0),0)</f>
        <v>0</v>
      </c>
      <c r="G140" s="190">
        <f>IF(G109=4,IF(F122=1,1,0),0)</f>
        <v>1</v>
      </c>
      <c r="H140" s="186">
        <f>IF(H109=4,IF(I122=1,1,0),0)</f>
        <v>0</v>
      </c>
      <c r="J140" s="190">
        <f>IF(J109=4,IF(I122=1,1,0),0)</f>
        <v>1</v>
      </c>
      <c r="K140" s="186">
        <f>IF(K109=4,IF(L122=1,1,0),0)</f>
        <v>0</v>
      </c>
      <c r="M140" s="190">
        <f>IF(M109=4,IF(L122=1,1,0),0)</f>
        <v>0</v>
      </c>
      <c r="N140" s="186">
        <f>IF(N109=4,IF(O122=1,1,0),0)</f>
        <v>0</v>
      </c>
      <c r="P140" s="190">
        <f>IF(P109=4,IF(O122=1,1,0),0)</f>
        <v>1</v>
      </c>
      <c r="Q140" s="186">
        <f>IF(Q109=4,IF(R122=1,1,0),0)</f>
        <v>0</v>
      </c>
      <c r="S140" s="190">
        <f>IF(S109=4,IF(R122=1,1,0),0)</f>
        <v>0</v>
      </c>
      <c r="T140" s="186">
        <f>IF(T109=4,IF(U122=1,1,0),0)</f>
        <v>0</v>
      </c>
      <c r="V140" s="190">
        <f>IF(V109=4,IF(U122=1,1,0),0)</f>
        <v>0</v>
      </c>
      <c r="W140" s="186">
        <f>IF(W109=4,IF(X122=1,1,0),0)</f>
        <v>0</v>
      </c>
      <c r="Y140" s="190">
        <f>IF(Y109=4,IF(X122=1,1,0),0)</f>
        <v>0</v>
      </c>
      <c r="Z140" s="186">
        <f>IF(Z109=4,IF(AA122=1,1,0),0)</f>
        <v>0</v>
      </c>
      <c r="AB140" s="190">
        <f>IF(AB109=4,IF(AA122=1,1,0),0)</f>
        <v>0</v>
      </c>
      <c r="AC140" s="186">
        <f>IF(AC109=4,IF(AD122=1,1,0),0)</f>
        <v>0</v>
      </c>
      <c r="AE140" s="190">
        <f>IF(AE109=4,IF(AD122=1,1,0),0)</f>
        <v>0</v>
      </c>
      <c r="AF140" s="186">
        <f>SUM(B140:AE140)</f>
        <v>3</v>
      </c>
    </row>
    <row r="141" spans="1:37" s="186" customFormat="1" ht="12.75" hidden="1" customHeight="1" x14ac:dyDescent="0.2">
      <c r="A141" s="186" t="s">
        <v>105</v>
      </c>
      <c r="B141" s="186">
        <f>IF(B109=5,IF(C122=1,1,0),0)</f>
        <v>0</v>
      </c>
      <c r="D141" s="190">
        <f>IF(D109=5,IF(C122=1,1,0),0)</f>
        <v>0</v>
      </c>
      <c r="E141" s="186">
        <f>IF(E109=5,IF(F122=1,1,0),0)</f>
        <v>0</v>
      </c>
      <c r="G141" s="190">
        <f>IF(G109=5,IF(F122=1,1,0),0)</f>
        <v>0</v>
      </c>
      <c r="H141" s="186">
        <f>IF(H109=5,IF(I122=1,1,0),0)</f>
        <v>0</v>
      </c>
      <c r="J141" s="190">
        <f>IF(J109=5,IF(I122=1,1,0),0)</f>
        <v>0</v>
      </c>
      <c r="K141" s="186">
        <f>IF(K109=5,IF(L122=1,1,0),0)</f>
        <v>0</v>
      </c>
      <c r="M141" s="190">
        <f>IF(M109=5,IF(L122=1,1,0),0)</f>
        <v>0</v>
      </c>
      <c r="N141" s="186">
        <f>IF(N109=5,IF(O122=1,1,0),0)</f>
        <v>0</v>
      </c>
      <c r="P141" s="190">
        <f>IF(P109=5,IF(O122=1,1,0),0)</f>
        <v>0</v>
      </c>
      <c r="Q141" s="186">
        <f>IF(Q109=5,IF(R122=1,1,0),0)</f>
        <v>0</v>
      </c>
      <c r="S141" s="190">
        <f>IF(S109=5,IF(R122=1,1,0),0)</f>
        <v>0</v>
      </c>
      <c r="T141" s="186">
        <f>IF(T109=5,IF(U122=1,1,0),0)</f>
        <v>0</v>
      </c>
      <c r="V141" s="190">
        <f>IF(V109=5,IF(U122=1,1,0),0)</f>
        <v>0</v>
      </c>
      <c r="W141" s="186">
        <f>IF(W109=5,IF(X122=1,1,0),0)</f>
        <v>0</v>
      </c>
      <c r="Y141" s="190">
        <f>IF(Y109=5,IF(X122=1,1,0),0)</f>
        <v>0</v>
      </c>
      <c r="Z141" s="186">
        <f>IF(Z109=5,IF(AA122=1,1,0),0)</f>
        <v>0</v>
      </c>
      <c r="AB141" s="190">
        <f>IF(AB109=5,IF(AA122=1,1,0),0)</f>
        <v>0</v>
      </c>
      <c r="AC141" s="186">
        <f>IF(AC109=5,IF(AD122=1,1,0),0)</f>
        <v>0</v>
      </c>
      <c r="AE141" s="190">
        <f>IF(AE109=5,IF(AD122=1,1,0),0)</f>
        <v>0</v>
      </c>
      <c r="AF141" s="186">
        <f>SUM(B141:AE141)</f>
        <v>0</v>
      </c>
    </row>
    <row r="142" spans="1:37" s="186" customFormat="1" ht="38.25" hidden="1" customHeight="1" x14ac:dyDescent="0.2">
      <c r="A142" s="189"/>
      <c r="D142" s="190"/>
      <c r="G142" s="190"/>
      <c r="J142" s="190"/>
      <c r="M142" s="190"/>
      <c r="P142" s="190"/>
      <c r="S142" s="190"/>
      <c r="V142" s="190"/>
      <c r="Y142" s="190"/>
      <c r="AB142" s="190"/>
      <c r="AE142" s="190"/>
      <c r="AF142" s="189" t="s">
        <v>106</v>
      </c>
      <c r="AG142" s="451"/>
      <c r="AH142" s="451"/>
      <c r="AI142" s="451"/>
      <c r="AJ142" s="451"/>
      <c r="AK142" s="451"/>
    </row>
    <row r="143" spans="1:37" s="186" customFormat="1" ht="12.75" hidden="1" customHeight="1" x14ac:dyDescent="0.2">
      <c r="A143" s="186" t="s">
        <v>101</v>
      </c>
      <c r="B143" s="186">
        <f>IF(B109=1,B129,0)</f>
        <v>0</v>
      </c>
      <c r="D143" s="190">
        <f>IF(D109=1,B129,0)</f>
        <v>0</v>
      </c>
      <c r="E143" s="186">
        <f>IF(E109=1,E129,0)</f>
        <v>50</v>
      </c>
      <c r="G143" s="190">
        <f>IF(G109=1,E129,0)</f>
        <v>0</v>
      </c>
      <c r="H143" s="186">
        <f>IF(H109=1,H129,0)</f>
        <v>0</v>
      </c>
      <c r="J143" s="190">
        <f>IF(J109=1,H129,0)</f>
        <v>0</v>
      </c>
      <c r="K143" s="186">
        <f>IF(K109=1,K129,0)</f>
        <v>50</v>
      </c>
      <c r="M143" s="190">
        <f>IF(M109=1,K129,0)</f>
        <v>0</v>
      </c>
      <c r="N143" s="186">
        <f>IF(N109=1,N129,0)</f>
        <v>0</v>
      </c>
      <c r="P143" s="190">
        <f>IF(P109=1,N129,0)</f>
        <v>0</v>
      </c>
      <c r="Q143" s="186">
        <f>IF(Q109=1,Q129,0)</f>
        <v>50</v>
      </c>
      <c r="S143" s="190">
        <f>IF(S109=1,Q129,0)</f>
        <v>0</v>
      </c>
      <c r="T143" s="186">
        <f>IF(T109=1,T129,0)</f>
        <v>0</v>
      </c>
      <c r="V143" s="190">
        <f>IF(V109=1,T129,0)</f>
        <v>0</v>
      </c>
      <c r="W143" s="186">
        <f>IF(W109=1,W129,0)</f>
        <v>0</v>
      </c>
      <c r="Y143" s="190">
        <f>IF(Y109=1,W129,0)</f>
        <v>0</v>
      </c>
      <c r="Z143" s="186">
        <f>IF(Z109=1,Z129,0)</f>
        <v>0</v>
      </c>
      <c r="AB143" s="190">
        <f>IF(AB109=1,Z129,0)</f>
        <v>0</v>
      </c>
      <c r="AC143" s="186">
        <f>IF(AC109=1,AC129,0)</f>
        <v>0</v>
      </c>
      <c r="AE143" s="190">
        <f>IF(AE109=1,AC129,0)</f>
        <v>0</v>
      </c>
      <c r="AF143" s="186">
        <f>SUM(B143:AE143)</f>
        <v>150</v>
      </c>
    </row>
    <row r="144" spans="1:37" s="186" customFormat="1" ht="12.75" hidden="1" customHeight="1" x14ac:dyDescent="0.2">
      <c r="A144" s="186" t="s">
        <v>102</v>
      </c>
      <c r="B144" s="186">
        <f>IF(B109=2,B129,0)</f>
        <v>50</v>
      </c>
      <c r="D144" s="190">
        <f>IF(D109=2,B129,0)</f>
        <v>0</v>
      </c>
      <c r="E144" s="186">
        <f>IF(E109=2,E129,0)</f>
        <v>0</v>
      </c>
      <c r="G144" s="190">
        <f>IF(G109=2,E129,0)</f>
        <v>0</v>
      </c>
      <c r="H144" s="186">
        <f>IF(H109=2,H129,0)</f>
        <v>50</v>
      </c>
      <c r="J144" s="190">
        <f>IF(J109=2,H129,0)</f>
        <v>0</v>
      </c>
      <c r="K144" s="186">
        <f>IF(K109=2,K129,0)</f>
        <v>0</v>
      </c>
      <c r="M144" s="190">
        <f>IF(M109=2,K129,0)</f>
        <v>0</v>
      </c>
      <c r="N144" s="186">
        <f>IF(N109=2,N129,0)</f>
        <v>0</v>
      </c>
      <c r="P144" s="190">
        <f>IF(P109=2,N129,0)</f>
        <v>0</v>
      </c>
      <c r="Q144" s="186">
        <f>IF(Q109=2,Q129,0)</f>
        <v>0</v>
      </c>
      <c r="S144" s="190">
        <f>IF(S109=2,Q129,0)</f>
        <v>50</v>
      </c>
      <c r="T144" s="186">
        <f>IF(T109=2,T129,0)</f>
        <v>0</v>
      </c>
      <c r="V144" s="190">
        <f>IF(V109=2,T129,0)</f>
        <v>0</v>
      </c>
      <c r="W144" s="186">
        <f>IF(W109=2,W129,0)</f>
        <v>0</v>
      </c>
      <c r="Y144" s="190">
        <f>IF(Y109=2,W129,0)</f>
        <v>0</v>
      </c>
      <c r="Z144" s="186">
        <f>IF(Z109=2,Z129,0)</f>
        <v>0</v>
      </c>
      <c r="AB144" s="190">
        <f>IF(AB109=2,Z129,0)</f>
        <v>0</v>
      </c>
      <c r="AC144" s="186">
        <f>IF(AC109=2,AC129,0)</f>
        <v>0</v>
      </c>
      <c r="AE144" s="190">
        <f>IF(AE109=2,AC129,0)</f>
        <v>0</v>
      </c>
      <c r="AF144" s="186">
        <f>SUM(B144:AE144)</f>
        <v>150</v>
      </c>
    </row>
    <row r="145" spans="1:33" s="186" customFormat="1" ht="12.75" hidden="1" customHeight="1" x14ac:dyDescent="0.2">
      <c r="A145" s="186" t="s">
        <v>103</v>
      </c>
      <c r="B145" s="186">
        <f>IF(B109=3,B129,0)</f>
        <v>0</v>
      </c>
      <c r="D145" s="190">
        <f>IF(D109=3,B129,0)</f>
        <v>50</v>
      </c>
      <c r="E145" s="186">
        <f>IF(E109=3,E129,0)</f>
        <v>0</v>
      </c>
      <c r="G145" s="190">
        <f>IF(G109=3,E129,0)</f>
        <v>0</v>
      </c>
      <c r="H145" s="186">
        <f>IF(H109=3,H129,0)</f>
        <v>0</v>
      </c>
      <c r="J145" s="190">
        <f>IF(J109=3,H129,0)</f>
        <v>0</v>
      </c>
      <c r="K145" s="186">
        <f>IF(K109=3,K129,0)</f>
        <v>0</v>
      </c>
      <c r="M145" s="190">
        <f>IF(M109=3,K129,0)</f>
        <v>50</v>
      </c>
      <c r="N145" s="186">
        <f>IF(N109=3,N129,0)</f>
        <v>65</v>
      </c>
      <c r="P145" s="190">
        <f>IF(P109=3,N129,0)</f>
        <v>0</v>
      </c>
      <c r="Q145" s="186">
        <f>IF(Q109=3,Q129,0)</f>
        <v>0</v>
      </c>
      <c r="S145" s="190">
        <f>IF(S109=3,Q129,0)</f>
        <v>0</v>
      </c>
      <c r="T145" s="186">
        <f>IF(T109=3,T129,0)</f>
        <v>0</v>
      </c>
      <c r="V145" s="190">
        <f>IF(V109=3,T129,0)</f>
        <v>0</v>
      </c>
      <c r="W145" s="186">
        <f>IF(W109=3,W129,0)</f>
        <v>0</v>
      </c>
      <c r="Y145" s="190">
        <f>IF(Y109=3,W129,0)</f>
        <v>0</v>
      </c>
      <c r="Z145" s="186">
        <f>IF(Z109=3,Z129,0)</f>
        <v>0</v>
      </c>
      <c r="AB145" s="190">
        <f>IF(AB109=3,Z129,0)</f>
        <v>0</v>
      </c>
      <c r="AC145" s="186">
        <f>IF(AC109=3,AC129,0)</f>
        <v>0</v>
      </c>
      <c r="AE145" s="190">
        <f>IF(AE109=3,AC129,0)</f>
        <v>0</v>
      </c>
      <c r="AF145" s="186">
        <f>SUM(B145:AE145)</f>
        <v>165</v>
      </c>
    </row>
    <row r="146" spans="1:33" s="186" customFormat="1" ht="12.75" hidden="1" customHeight="1" x14ac:dyDescent="0.2">
      <c r="A146" s="186" t="s">
        <v>104</v>
      </c>
      <c r="B146" s="186">
        <f>IF(B109=4,B129,0)</f>
        <v>0</v>
      </c>
      <c r="D146" s="190">
        <f>IF(D109=4,B129,0)</f>
        <v>0</v>
      </c>
      <c r="E146" s="186">
        <f>IF(E109=4,E129,0)</f>
        <v>0</v>
      </c>
      <c r="G146" s="190">
        <f>IF(G109=4,E129,0)</f>
        <v>50</v>
      </c>
      <c r="H146" s="186">
        <f>IF(H109=4,H129,0)</f>
        <v>0</v>
      </c>
      <c r="J146" s="190">
        <f>IF(J109=4,H129,0)</f>
        <v>50</v>
      </c>
      <c r="K146" s="186">
        <f>IF(K109=4,K129,0)</f>
        <v>0</v>
      </c>
      <c r="M146" s="190">
        <f>IF(M109=4,K129,0)</f>
        <v>0</v>
      </c>
      <c r="N146" s="186">
        <f>IF(N109=4,N129,0)</f>
        <v>0</v>
      </c>
      <c r="P146" s="190">
        <f>IF(P109=4,N129,0)</f>
        <v>65</v>
      </c>
      <c r="Q146" s="186">
        <f>IF(Q109=4,Q129,0)</f>
        <v>0</v>
      </c>
      <c r="S146" s="190">
        <f>IF(S109=4,Q129,0)</f>
        <v>0</v>
      </c>
      <c r="T146" s="186">
        <f>IF(T109=4,T129,0)</f>
        <v>0</v>
      </c>
      <c r="V146" s="190">
        <f>IF(V109=4,T129,0)</f>
        <v>0</v>
      </c>
      <c r="W146" s="186">
        <f>IF(W109=4,W129,0)</f>
        <v>0</v>
      </c>
      <c r="Y146" s="190">
        <f>IF(Y109=4,W129,0)</f>
        <v>0</v>
      </c>
      <c r="Z146" s="186">
        <f>IF(Z109=4,Z129,0)</f>
        <v>0</v>
      </c>
      <c r="AB146" s="190">
        <f>IF(AB109=4,Z129,0)</f>
        <v>0</v>
      </c>
      <c r="AC146" s="186">
        <f>IF(AC109=4,AC129,0)</f>
        <v>0</v>
      </c>
      <c r="AE146" s="190">
        <f>IF(AE109=4,AC129,0)</f>
        <v>0</v>
      </c>
      <c r="AF146" s="186">
        <f>SUM(B146:AE146)</f>
        <v>165</v>
      </c>
    </row>
    <row r="147" spans="1:33" s="186" customFormat="1" ht="12.75" hidden="1" customHeight="1" x14ac:dyDescent="0.2">
      <c r="A147" s="186" t="s">
        <v>105</v>
      </c>
      <c r="B147" s="186">
        <f>IF(B109=5,B129,0)</f>
        <v>0</v>
      </c>
      <c r="D147" s="190">
        <f>IF(D109=5,B129,0)</f>
        <v>0</v>
      </c>
      <c r="E147" s="186">
        <f>IF(E109=5,E129,0)</f>
        <v>0</v>
      </c>
      <c r="G147" s="190">
        <f>IF(G109=5,E129,0)</f>
        <v>0</v>
      </c>
      <c r="H147" s="186">
        <f>IF(H109=5,H129,0)</f>
        <v>0</v>
      </c>
      <c r="J147" s="190">
        <f>IF(J109=5,H129,0)</f>
        <v>0</v>
      </c>
      <c r="K147" s="186">
        <f>IF(K109=5,K129,0)</f>
        <v>0</v>
      </c>
      <c r="M147" s="190">
        <f>IF(M109=5,K129,0)</f>
        <v>0</v>
      </c>
      <c r="N147" s="186">
        <f>IF(N109=5,N129,0)</f>
        <v>0</v>
      </c>
      <c r="P147" s="190">
        <f>IF(P109=5,N129,0)</f>
        <v>0</v>
      </c>
      <c r="Q147" s="186">
        <f>IF(Q109=5,Q129,0)</f>
        <v>0</v>
      </c>
      <c r="S147" s="190">
        <f>IF(S109=5,Q129,0)</f>
        <v>0</v>
      </c>
      <c r="T147" s="186">
        <f>IF(T109=5,T129,0)</f>
        <v>0</v>
      </c>
      <c r="V147" s="190">
        <f>IF(V109=5,T129,0)</f>
        <v>0</v>
      </c>
      <c r="W147" s="186">
        <f>IF(W109=5,W129,0)</f>
        <v>0</v>
      </c>
      <c r="Y147" s="190">
        <f>IF(Y109=5,W129,0)</f>
        <v>0</v>
      </c>
      <c r="Z147" s="186">
        <f>IF(Z109=5,Z129,0)</f>
        <v>0</v>
      </c>
      <c r="AB147" s="190">
        <f>IF(AB109=5,Z129,0)</f>
        <v>0</v>
      </c>
      <c r="AC147" s="186">
        <f>IF(AC109=5,AC129,0)</f>
        <v>0</v>
      </c>
      <c r="AE147" s="190">
        <f>IF(AE109=5,AC129,0)</f>
        <v>0</v>
      </c>
      <c r="AF147" s="186">
        <f>SUM(B147:AE147)</f>
        <v>0</v>
      </c>
    </row>
    <row r="148" spans="1:33" s="186" customFormat="1" ht="38.25" hidden="1" customHeight="1" x14ac:dyDescent="0.2">
      <c r="A148" s="186" t="s">
        <v>107</v>
      </c>
      <c r="D148" s="190"/>
      <c r="G148" s="190"/>
      <c r="J148" s="190"/>
      <c r="M148" s="190"/>
      <c r="P148" s="190"/>
      <c r="S148" s="190"/>
      <c r="V148" s="190"/>
      <c r="Y148" s="190"/>
      <c r="AB148" s="190"/>
      <c r="AE148" s="190"/>
      <c r="AF148" s="189" t="s">
        <v>108</v>
      </c>
      <c r="AG148" s="186" t="s">
        <v>109</v>
      </c>
    </row>
    <row r="149" spans="1:33" s="186" customFormat="1" ht="12.75" hidden="1" customHeight="1" x14ac:dyDescent="0.2">
      <c r="A149" s="186" t="s">
        <v>95</v>
      </c>
      <c r="B149" s="186">
        <f>IF(B109=1,SUMIF(B116:B120,"&gt;0"),0)</f>
        <v>0</v>
      </c>
      <c r="D149" s="190">
        <f>IF(D109=1,SUMIF(D116:D120,"&gt;0"),0)</f>
        <v>0</v>
      </c>
      <c r="E149" s="186">
        <f>IF(E109=1,SUMIF(E116:E120,"&gt;0"),0)</f>
        <v>2</v>
      </c>
      <c r="G149" s="190">
        <f>IF(G109=1,SUMIF(G116:G120,"&gt;0"),0)</f>
        <v>0</v>
      </c>
      <c r="H149" s="186">
        <f>IF(H109=1,SUMIF(H116:H120,"&gt;0"),0)</f>
        <v>0</v>
      </c>
      <c r="J149" s="190">
        <f>IF(J109=1,SUMIF(J116:J120,"&gt;0"),0)</f>
        <v>0</v>
      </c>
      <c r="K149" s="186">
        <f>IF(K109=1,SUMIF(K116:K120,"&gt;0"),0)</f>
        <v>0</v>
      </c>
      <c r="M149" s="190">
        <f>IF(M109=1,SUMIF(M116:M120,"&gt;0"),0)</f>
        <v>0</v>
      </c>
      <c r="N149" s="186">
        <f>IF(N109=1,SUMIF(N116:N120,"&gt;0"),0)</f>
        <v>0</v>
      </c>
      <c r="P149" s="190">
        <f>IF(P109=1,SUMIF(P116:P120,"&gt;0"),0)</f>
        <v>0</v>
      </c>
      <c r="Q149" s="186">
        <f>IF(Q109=1,SUMIF(Q116:Q120,"&gt;0"),0)</f>
        <v>0</v>
      </c>
      <c r="S149" s="190">
        <f>IF(S109=1,SUMIF(S116:S120,"&gt;0"),0)</f>
        <v>0</v>
      </c>
      <c r="T149" s="186">
        <f>IF(T109=1,SUMIF(T116:T120,"&gt;0"),0)</f>
        <v>0</v>
      </c>
      <c r="V149" s="190">
        <f>IF(V109=1,SUMIF(V116:V120,"&gt;0"),0)</f>
        <v>0</v>
      </c>
      <c r="W149" s="186">
        <f>IF(W109=1,SUMIF(W116:W120,"&gt;0"),0)</f>
        <v>0</v>
      </c>
      <c r="Y149" s="190">
        <f>IF(Y109=1,SUMIF(Y116:Y120,"&gt;0"),0)</f>
        <v>0</v>
      </c>
      <c r="Z149" s="186">
        <f>IF(Z109=1,SUMIF(Z116:Z120,"&gt;0"),0)</f>
        <v>0</v>
      </c>
      <c r="AB149" s="190">
        <f>IF(AB109=1,SUMIF(AB116:AB120,"&gt;0"),0)</f>
        <v>0</v>
      </c>
      <c r="AC149" s="186">
        <f>IF(AC109=1,SUMIF(AC116:AC120,"&gt;0"),0)</f>
        <v>0</v>
      </c>
      <c r="AE149" s="190">
        <f>IF(AE109=1,SUMIF(AE116:AE120,"&gt;0"),0)</f>
        <v>0</v>
      </c>
      <c r="AF149" s="186">
        <f>SUM(B149:AE149)</f>
        <v>2</v>
      </c>
      <c r="AG149" s="186">
        <f>AF157-AF149</f>
        <v>4</v>
      </c>
    </row>
    <row r="150" spans="1:33" s="186" customFormat="1" ht="12.75" hidden="1" customHeight="1" x14ac:dyDescent="0.2">
      <c r="A150" s="186" t="s">
        <v>96</v>
      </c>
      <c r="B150" s="186">
        <f>IF(B109=2,SUMIF(B116:B120,"&gt;0"),0)</f>
        <v>2</v>
      </c>
      <c r="D150" s="190">
        <f>IF(D109=2,SUMIF(D116:D120,"&gt;0"),0)</f>
        <v>0</v>
      </c>
      <c r="E150" s="186">
        <f>IF(E109=2,SUMIF(E116:E120,"&gt;0"),0)</f>
        <v>0</v>
      </c>
      <c r="G150" s="190">
        <f>IF(G109=2,SUMIF(G116:G120,"&gt;0"),0)</f>
        <v>0</v>
      </c>
      <c r="H150" s="186">
        <f>IF(H109=2,SUMIF(H116:H120,"&gt;0"),0)</f>
        <v>2</v>
      </c>
      <c r="J150" s="190">
        <f>IF(J109=2,SUMIF(J116:J120,"&gt;0"),0)</f>
        <v>0</v>
      </c>
      <c r="K150" s="186">
        <f>IF(K109=2,SUMIF(K116:K120,"&gt;0"),0)</f>
        <v>0</v>
      </c>
      <c r="M150" s="190">
        <f>IF(M109=2,SUMIF(M116:M120,"&gt;0"),0)</f>
        <v>0</v>
      </c>
      <c r="N150" s="186">
        <f>IF(N109=2,SUMIF(N116:N120,"&gt;0"),0)</f>
        <v>0</v>
      </c>
      <c r="P150" s="190">
        <f>IF(P109=2,SUMIF(P116:P120,"&gt;0"),0)</f>
        <v>0</v>
      </c>
      <c r="Q150" s="186">
        <f>IF(Q109=2,SUMIF(Q116:Q120,"&gt;0"),0)</f>
        <v>0</v>
      </c>
      <c r="S150" s="190">
        <f>IF(S109=2,SUMIF(S116:S120,"&gt;0"),0)</f>
        <v>2</v>
      </c>
      <c r="T150" s="186">
        <f>IF(T109=2,SUMIF(T116:T120,"&gt;0"),0)</f>
        <v>0</v>
      </c>
      <c r="V150" s="190">
        <f>IF(V109=2,SUMIF(V116:V120,"&gt;0"),0)</f>
        <v>0</v>
      </c>
      <c r="W150" s="186">
        <f>IF(W109=2,SUMIF(W116:W120,"&gt;0"),0)</f>
        <v>0</v>
      </c>
      <c r="Y150" s="190">
        <f>IF(Y109=2,SUMIF(Y116:Y120,"&gt;0"),0)</f>
        <v>0</v>
      </c>
      <c r="Z150" s="186">
        <f>IF(Z109=2,SUMIF(Z116:Z120,"&gt;0"),0)</f>
        <v>0</v>
      </c>
      <c r="AB150" s="190">
        <f>IF(AB109=2,SUMIF(AB116:AB120,"&gt;0"),0)</f>
        <v>0</v>
      </c>
      <c r="AC150" s="186">
        <f>IF(AC109=2,SUMIF(AC116:AC120,"&gt;0"),0)</f>
        <v>0</v>
      </c>
      <c r="AE150" s="190">
        <f>IF(AE109=2,SUMIF(AE116:AE120,"&gt;0"),0)</f>
        <v>0</v>
      </c>
      <c r="AF150" s="186">
        <f>SUM(B150:AE150)</f>
        <v>6</v>
      </c>
      <c r="AG150" s="186">
        <f>AF158-AF150</f>
        <v>0</v>
      </c>
    </row>
    <row r="151" spans="1:33" s="186" customFormat="1" ht="12.75" hidden="1" customHeight="1" x14ac:dyDescent="0.2">
      <c r="A151" s="186" t="s">
        <v>97</v>
      </c>
      <c r="B151" s="186">
        <f>IF(B109=3,SUMIF(B116:B120,"&gt;0"),0)</f>
        <v>0</v>
      </c>
      <c r="D151" s="190">
        <f>IF(D109=3,SUMIF(D116:D120,"&gt;0"),0)</f>
        <v>0</v>
      </c>
      <c r="E151" s="186">
        <f>IF(E109=3,SUMIF(E116:E120,"&gt;0"),0)</f>
        <v>0</v>
      </c>
      <c r="G151" s="190">
        <f>IF(G109=3,SUMIF(G116:G120,"&gt;0"),0)</f>
        <v>0</v>
      </c>
      <c r="H151" s="186">
        <f>IF(H109=3,SUMIF(H116:H120,"&gt;0"),0)</f>
        <v>0</v>
      </c>
      <c r="J151" s="190">
        <f>IF(J109=3,SUMIF(J116:J120,"&gt;0"),0)</f>
        <v>0</v>
      </c>
      <c r="K151" s="186">
        <f>IF(K109=3,SUMIF(K116:K120,"&gt;0"),0)</f>
        <v>0</v>
      </c>
      <c r="M151" s="190">
        <f>IF(M109=3,SUMIF(M116:M120,"&gt;0"),0)</f>
        <v>2</v>
      </c>
      <c r="N151" s="186">
        <f>IF(N109=3,SUMIF(N116:N120,"&gt;0"),0)</f>
        <v>1</v>
      </c>
      <c r="P151" s="190">
        <f>IF(P109=3,SUMIF(P116:P120,"&gt;0"),0)</f>
        <v>0</v>
      </c>
      <c r="Q151" s="186">
        <f>IF(Q109=3,SUMIF(Q116:Q120,"&gt;0"),0)</f>
        <v>0</v>
      </c>
      <c r="S151" s="190">
        <f>IF(S109=3,SUMIF(S116:S120,"&gt;0"),0)</f>
        <v>0</v>
      </c>
      <c r="T151" s="186">
        <f>IF(T109=3,SUMIF(T116:T120,"&gt;0"),0)</f>
        <v>0</v>
      </c>
      <c r="V151" s="190">
        <f>IF(V109=3,SUMIF(V116:V120,"&gt;0"),0)</f>
        <v>0</v>
      </c>
      <c r="W151" s="186">
        <f>IF(W109=3,SUMIF(W116:W120,"&gt;0"),0)</f>
        <v>0</v>
      </c>
      <c r="Y151" s="190">
        <f>IF(Y109=3,SUMIF(Y116:Y120,"&gt;0"),0)</f>
        <v>0</v>
      </c>
      <c r="Z151" s="186">
        <f>IF(Z109=3,SUMIF(Z116:Z120,"&gt;0"),0)</f>
        <v>0</v>
      </c>
      <c r="AB151" s="190">
        <f>IF(AB109=3,SUMIF(AB116:AB120,"&gt;0"),0)</f>
        <v>0</v>
      </c>
      <c r="AC151" s="186">
        <f>IF(AC109=3,SUMIF(AC116:AC120,"&gt;0"),0)</f>
        <v>0</v>
      </c>
      <c r="AE151" s="190">
        <f>IF(AE109=3,SUMIF(AE116:AE120,"&gt;0"),0)</f>
        <v>0</v>
      </c>
      <c r="AF151" s="186">
        <f>SUM(B151:AE151)</f>
        <v>3</v>
      </c>
      <c r="AG151" s="186">
        <f>AF159-AF151</f>
        <v>4</v>
      </c>
    </row>
    <row r="152" spans="1:33" s="186" customFormat="1" ht="12.75" hidden="1" customHeight="1" x14ac:dyDescent="0.2">
      <c r="A152" s="186" t="s">
        <v>98</v>
      </c>
      <c r="B152" s="186">
        <f>IF(B109=4,SUMIF(B116:B120,"&gt;0"),0)</f>
        <v>0</v>
      </c>
      <c r="D152" s="190">
        <f>IF(D109=4,SUMIF(D116:D120,"&gt;0"),0)</f>
        <v>0</v>
      </c>
      <c r="E152" s="186">
        <f>IF(E109=4,SUMIF(E116:E120,"&gt;0"),0)</f>
        <v>0</v>
      </c>
      <c r="G152" s="190">
        <f>IF(G109=4,SUMIF(G116:G120,"&gt;0"),0)</f>
        <v>0</v>
      </c>
      <c r="H152" s="186">
        <f>IF(H109=4,SUMIF(H116:H120,"&gt;0"),0)</f>
        <v>0</v>
      </c>
      <c r="J152" s="190">
        <f>IF(J109=4,SUMIF(J116:J120,"&gt;0"),0)</f>
        <v>0</v>
      </c>
      <c r="K152" s="186">
        <f>IF(K109=4,SUMIF(K116:K120,"&gt;0"),0)</f>
        <v>0</v>
      </c>
      <c r="M152" s="190">
        <f>IF(M109=4,SUMIF(M116:M120,"&gt;0"),0)</f>
        <v>0</v>
      </c>
      <c r="N152" s="186">
        <f>IF(N109=4,SUMIF(N116:N120,"&gt;0"),0)</f>
        <v>0</v>
      </c>
      <c r="P152" s="190">
        <f>IF(P109=4,SUMIF(P116:P120,"&gt;0"),0)</f>
        <v>2</v>
      </c>
      <c r="Q152" s="186">
        <f>IF(Q109=4,SUMIF(Q116:Q120,"&gt;0"),0)</f>
        <v>0</v>
      </c>
      <c r="S152" s="190">
        <f>IF(S109=4,SUMIF(S116:S120,"&gt;0"),0)</f>
        <v>0</v>
      </c>
      <c r="T152" s="186">
        <f>IF(T109=4,SUMIF(T116:T120,"&gt;0"),0)</f>
        <v>0</v>
      </c>
      <c r="V152" s="190">
        <f>IF(V109=4,SUMIF(V116:V120,"&gt;0"),0)</f>
        <v>0</v>
      </c>
      <c r="W152" s="186">
        <f>IF(W109=4,SUMIF(W116:W120,"&gt;0"),0)</f>
        <v>0</v>
      </c>
      <c r="Y152" s="190">
        <f>IF(Y109=4,SUMIF(Y116:Y120,"&gt;0"),0)</f>
        <v>0</v>
      </c>
      <c r="Z152" s="186">
        <f>IF(Z109=4,SUMIF(Z116:Z120,"&gt;0"),0)</f>
        <v>0</v>
      </c>
      <c r="AB152" s="190">
        <f>IF(AB109=4,SUMIF(AB116:AB120,"&gt;0"),0)</f>
        <v>0</v>
      </c>
      <c r="AC152" s="186">
        <f>IF(AC109=4,SUMIF(AC116:AC120,"&gt;0"),0)</f>
        <v>0</v>
      </c>
      <c r="AE152" s="190">
        <f>IF(AE109=4,SUMIF(AE116:AE120,"&gt;0"),0)</f>
        <v>0</v>
      </c>
      <c r="AF152" s="186">
        <f>SUM(B152:AE152)</f>
        <v>2</v>
      </c>
      <c r="AG152" s="186">
        <f>AF160-AF152</f>
        <v>5</v>
      </c>
    </row>
    <row r="153" spans="1:33" s="186" customFormat="1" ht="12.75" hidden="1" customHeight="1" x14ac:dyDescent="0.2">
      <c r="A153" s="186" t="s">
        <v>99</v>
      </c>
      <c r="B153" s="186">
        <f>IF(B109=5,SUMIF(B116:B120,"&gt;0"),0)</f>
        <v>0</v>
      </c>
      <c r="D153" s="190">
        <f>IF(D109=5,SUMIF(D116:D120,"&gt;0"),0)</f>
        <v>0</v>
      </c>
      <c r="E153" s="186">
        <f>IF(E109=5,SUMIF(E116:E120,"&gt;0"),0)</f>
        <v>0</v>
      </c>
      <c r="G153" s="190">
        <f>IF(G109=5,SUMIF(G116:G120,"&gt;0"),0)</f>
        <v>0</v>
      </c>
      <c r="H153" s="186">
        <f>IF(H109=5,SUMIF(H116:H120,"&gt;0"),0)</f>
        <v>0</v>
      </c>
      <c r="J153" s="190">
        <f>IF(J109=5,SUMIF(J116:J120,"&gt;0"),0)</f>
        <v>0</v>
      </c>
      <c r="K153" s="186">
        <f>IF(K109=5,SUMIF(K116:K120,"&gt;0"),0)</f>
        <v>0</v>
      </c>
      <c r="M153" s="190">
        <f>IF(M109=5,SUMIF(M116:M120,"&gt;0"),0)</f>
        <v>0</v>
      </c>
      <c r="N153" s="186">
        <f>IF(N109=5,SUMIF(N116:N120,"&gt;0"),0)</f>
        <v>0</v>
      </c>
      <c r="P153" s="190">
        <f>IF(P109=5,SUMIF(P116:P120,"&gt;0"),0)</f>
        <v>0</v>
      </c>
      <c r="Q153" s="186">
        <f>IF(Q109=5,SUMIF(Q116:Q120,"&gt;0"),0)</f>
        <v>0</v>
      </c>
      <c r="S153" s="190">
        <f>IF(S109=5,SUMIF(S116:S120,"&gt;0"),0)</f>
        <v>0</v>
      </c>
      <c r="T153" s="186">
        <f>IF(T109=5,SUMIF(T116:T120,"&gt;0"),0)</f>
        <v>0</v>
      </c>
      <c r="V153" s="190">
        <f>IF(V109=5,SUMIF(V116:V120,"&gt;0"),0)</f>
        <v>0</v>
      </c>
      <c r="W153" s="186">
        <f>IF(W109=5,SUMIF(W116:W120,"&gt;0"),0)</f>
        <v>0</v>
      </c>
      <c r="Y153" s="190">
        <f>IF(Y109=5,SUMIF(Y116:Y120,"&gt;0"),0)</f>
        <v>0</v>
      </c>
      <c r="Z153" s="186">
        <f>IF(Z109=5,SUMIF(Z116:Z120,"&gt;0"),0)</f>
        <v>0</v>
      </c>
      <c r="AB153" s="190">
        <f>IF(AB109=5,SUMIF(AB116:AB120,"&gt;0"),0)</f>
        <v>0</v>
      </c>
      <c r="AC153" s="186">
        <f>IF(AC109=5,SUMIF(AC116:AC120,"&gt;0"),0)</f>
        <v>0</v>
      </c>
      <c r="AE153" s="190">
        <f>IF(AE109=5,SUMIF(AE116:AE120,"&gt;0"),0)</f>
        <v>0</v>
      </c>
      <c r="AF153" s="186">
        <f>SUM(B153:AE153)</f>
        <v>0</v>
      </c>
      <c r="AG153" s="186">
        <f>AF161-AF153</f>
        <v>0</v>
      </c>
    </row>
    <row r="154" spans="1:33" s="186" customFormat="1" ht="12.75" hidden="1" customHeight="1" x14ac:dyDescent="0.2">
      <c r="D154" s="190"/>
      <c r="G154" s="190"/>
      <c r="J154" s="190"/>
      <c r="M154" s="190"/>
      <c r="P154" s="190"/>
      <c r="S154" s="190"/>
      <c r="V154" s="190"/>
      <c r="Y154" s="190"/>
      <c r="AB154" s="190"/>
      <c r="AE154" s="190"/>
    </row>
    <row r="155" spans="1:33" s="186" customFormat="1" ht="12.75" hidden="1" customHeight="1" x14ac:dyDescent="0.2">
      <c r="D155" s="190"/>
      <c r="G155" s="190"/>
      <c r="J155" s="190"/>
      <c r="M155" s="190"/>
      <c r="P155" s="190"/>
      <c r="S155" s="190"/>
      <c r="V155" s="190"/>
      <c r="Y155" s="190"/>
      <c r="AB155" s="190"/>
      <c r="AE155" s="190"/>
    </row>
    <row r="156" spans="1:33" s="186" customFormat="1" ht="51" hidden="1" customHeight="1" x14ac:dyDescent="0.2">
      <c r="A156" s="189" t="s">
        <v>110</v>
      </c>
      <c r="C156" s="186">
        <f>SUMIF(B149:D153,"&gt;0")</f>
        <v>2</v>
      </c>
      <c r="D156" s="190"/>
      <c r="F156" s="186">
        <f>SUMIF(E149:G153,"&gt;0")</f>
        <v>2</v>
      </c>
      <c r="G156" s="190"/>
      <c r="I156" s="186">
        <f>SUMIF(H149:J153,"&gt;0")</f>
        <v>2</v>
      </c>
      <c r="J156" s="190"/>
      <c r="L156" s="186">
        <f>SUMIF(K149:M153,"&gt;0")</f>
        <v>2</v>
      </c>
      <c r="M156" s="190"/>
      <c r="O156" s="186">
        <f>SUMIF(N149:P153,"&gt;0")</f>
        <v>3</v>
      </c>
      <c r="P156" s="190"/>
      <c r="R156" s="186">
        <f>SUMIF(Q149:S153,"&gt;0")</f>
        <v>2</v>
      </c>
      <c r="S156" s="190"/>
      <c r="U156" s="186">
        <f>SUMIF(T149:V153,"&gt;0")</f>
        <v>0</v>
      </c>
      <c r="V156" s="190"/>
      <c r="X156" s="186">
        <f>SUMIF(W149:Y153,"&gt;0")</f>
        <v>0</v>
      </c>
      <c r="Y156" s="190"/>
      <c r="AA156" s="186">
        <f>SUMIF(Z149:AB153,"&gt;0")</f>
        <v>0</v>
      </c>
      <c r="AB156" s="190"/>
      <c r="AD156" s="186">
        <f>SUMIF(AC149:AE153,"&gt;0")</f>
        <v>0</v>
      </c>
      <c r="AE156" s="190"/>
      <c r="AF156" s="189" t="s">
        <v>111</v>
      </c>
    </row>
    <row r="157" spans="1:33" s="186" customFormat="1" ht="12.75" hidden="1" customHeight="1" x14ac:dyDescent="0.2">
      <c r="A157" s="186" t="s">
        <v>101</v>
      </c>
      <c r="B157" s="186">
        <f>IF(B109=1,C156,0)</f>
        <v>0</v>
      </c>
      <c r="D157" s="190">
        <f>IF(D109=1,C156,0)</f>
        <v>0</v>
      </c>
      <c r="E157" s="186">
        <f>IF(E109=1,F156,0)</f>
        <v>2</v>
      </c>
      <c r="G157" s="190">
        <f>IF(G109=1,F156,0)</f>
        <v>0</v>
      </c>
      <c r="H157" s="186">
        <f>IF(H109=1,I156,0)</f>
        <v>0</v>
      </c>
      <c r="J157" s="190">
        <f>IF(J109=1,I156,0)</f>
        <v>0</v>
      </c>
      <c r="K157" s="186">
        <f>IF(K109=1,L156,0)</f>
        <v>2</v>
      </c>
      <c r="M157" s="190">
        <f>IF(M109=1,L156,0)</f>
        <v>0</v>
      </c>
      <c r="N157" s="186">
        <f>IF(N109=1,O156,0)</f>
        <v>0</v>
      </c>
      <c r="P157" s="190">
        <f>IF(P109=1,O156,0)</f>
        <v>0</v>
      </c>
      <c r="Q157" s="186">
        <f>IF(Q109=1,R156,0)</f>
        <v>2</v>
      </c>
      <c r="S157" s="190">
        <f>IF(S109=1,R156,0)</f>
        <v>0</v>
      </c>
      <c r="T157" s="186">
        <f>IF(T109=1,U156,0)</f>
        <v>0</v>
      </c>
      <c r="V157" s="190">
        <f>IF(V109=1,U156,0)</f>
        <v>0</v>
      </c>
      <c r="W157" s="186">
        <f>IF(W109=1,X156,0)</f>
        <v>0</v>
      </c>
      <c r="Y157" s="190">
        <f>IF(Y109=1,X156,0)</f>
        <v>0</v>
      </c>
      <c r="Z157" s="186">
        <f>IF(Z109=1,AA156,0)</f>
        <v>0</v>
      </c>
      <c r="AB157" s="190">
        <f>IF(AB109=1,AA156,0)</f>
        <v>0</v>
      </c>
      <c r="AC157" s="186">
        <f>IF(AC109=1,AD156,0)</f>
        <v>0</v>
      </c>
      <c r="AE157" s="190">
        <f>IF(AE109=1,AD156,0)</f>
        <v>0</v>
      </c>
      <c r="AF157" s="186">
        <f>SUM(B157:AE157)</f>
        <v>6</v>
      </c>
    </row>
    <row r="158" spans="1:33" s="186" customFormat="1" ht="12.75" hidden="1" customHeight="1" x14ac:dyDescent="0.2">
      <c r="A158" s="186" t="s">
        <v>102</v>
      </c>
      <c r="B158" s="186">
        <f>IF(B109=2,C156,0)</f>
        <v>2</v>
      </c>
      <c r="D158" s="190">
        <f>IF(D109=2,C156,0)</f>
        <v>0</v>
      </c>
      <c r="E158" s="186">
        <f>IF(E109=2,F156,0)</f>
        <v>0</v>
      </c>
      <c r="G158" s="190">
        <f>IF(G109=2,F156,0)</f>
        <v>0</v>
      </c>
      <c r="H158" s="186">
        <f>IF(H109=2,I156,0)</f>
        <v>2</v>
      </c>
      <c r="J158" s="190">
        <f>IF(J109=2,I156,0)</f>
        <v>0</v>
      </c>
      <c r="K158" s="186">
        <f>IF(K109=2,L156,0)</f>
        <v>0</v>
      </c>
      <c r="M158" s="190">
        <f>IF(M109=2,L156,0)</f>
        <v>0</v>
      </c>
      <c r="N158" s="186">
        <f>IF(N109=2,O156,0)</f>
        <v>0</v>
      </c>
      <c r="P158" s="190">
        <f>IF(P109=2,O156,0)</f>
        <v>0</v>
      </c>
      <c r="Q158" s="186">
        <f>IF(Q109=2,R156,0)</f>
        <v>0</v>
      </c>
      <c r="S158" s="190">
        <f>IF(S109=2,R156,0)</f>
        <v>2</v>
      </c>
      <c r="T158" s="186">
        <f>IF(T109=2,U156,0)</f>
        <v>0</v>
      </c>
      <c r="V158" s="190">
        <f>IF(V109=2,U156,0)</f>
        <v>0</v>
      </c>
      <c r="W158" s="186">
        <f>IF(W109=2,X156,0)</f>
        <v>0</v>
      </c>
      <c r="Y158" s="190">
        <f>IF(Y109=2,X156,0)</f>
        <v>0</v>
      </c>
      <c r="Z158" s="186">
        <f>IF(Z109=2,AA156,0)</f>
        <v>0</v>
      </c>
      <c r="AB158" s="190">
        <f>IF(AB109=2,AA156,0)</f>
        <v>0</v>
      </c>
      <c r="AC158" s="186">
        <f>IF(AC109=2,AD156,0)</f>
        <v>0</v>
      </c>
      <c r="AE158" s="190">
        <f>IF(AE109=2,AD156,0)</f>
        <v>0</v>
      </c>
      <c r="AF158" s="186">
        <f>SUM(B158:AE158)</f>
        <v>6</v>
      </c>
    </row>
    <row r="159" spans="1:33" s="186" customFormat="1" ht="12.75" hidden="1" customHeight="1" x14ac:dyDescent="0.2">
      <c r="A159" s="186" t="s">
        <v>103</v>
      </c>
      <c r="B159" s="186">
        <f>IF(B109=3,C156,0)</f>
        <v>0</v>
      </c>
      <c r="D159" s="190">
        <f>IF(D109=3,C156,0)</f>
        <v>2</v>
      </c>
      <c r="E159" s="186">
        <f>IF(E109=3,F156,0)</f>
        <v>0</v>
      </c>
      <c r="G159" s="190">
        <f>IF(G109=3,F156,0)</f>
        <v>0</v>
      </c>
      <c r="H159" s="186">
        <f>IF(H109=3,I156,0)</f>
        <v>0</v>
      </c>
      <c r="J159" s="190">
        <f>IF(J109=3,I156,0)</f>
        <v>0</v>
      </c>
      <c r="K159" s="186">
        <f>IF(K109=3,L156,0)</f>
        <v>0</v>
      </c>
      <c r="M159" s="190">
        <f>IF(M109=3,L156,0)</f>
        <v>2</v>
      </c>
      <c r="N159" s="186">
        <f>IF(N109=3,O156,0)</f>
        <v>3</v>
      </c>
      <c r="P159" s="190">
        <f>IF(P109=3,O156,0)</f>
        <v>0</v>
      </c>
      <c r="Q159" s="186">
        <f>IF(Q109=3,R156,0)</f>
        <v>0</v>
      </c>
      <c r="S159" s="190">
        <f>IF(S109=3,R156,0)</f>
        <v>0</v>
      </c>
      <c r="T159" s="186">
        <f>IF(T109=3,U156,0)</f>
        <v>0</v>
      </c>
      <c r="V159" s="190">
        <f>IF(V109=3,U156,0)</f>
        <v>0</v>
      </c>
      <c r="W159" s="186">
        <f>IF(W109=3,X156,0)</f>
        <v>0</v>
      </c>
      <c r="Y159" s="190">
        <f>IF(Y109=3,X156,0)</f>
        <v>0</v>
      </c>
      <c r="Z159" s="186">
        <f>IF(Z109=3,AA156,0)</f>
        <v>0</v>
      </c>
      <c r="AB159" s="190">
        <f>IF(AB109=3,AA156,0)</f>
        <v>0</v>
      </c>
      <c r="AC159" s="186">
        <f>IF(AC109=3,AD156,0)</f>
        <v>0</v>
      </c>
      <c r="AE159" s="190">
        <f>IF(AE109=3,AD156,0)</f>
        <v>0</v>
      </c>
      <c r="AF159" s="186">
        <f>SUM(B159:AE159)</f>
        <v>7</v>
      </c>
    </row>
    <row r="160" spans="1:33" s="186" customFormat="1" ht="12.75" hidden="1" customHeight="1" x14ac:dyDescent="0.2">
      <c r="A160" s="186" t="s">
        <v>104</v>
      </c>
      <c r="B160" s="186">
        <f>IF(B109=4,C156,0)</f>
        <v>0</v>
      </c>
      <c r="D160" s="190">
        <f>IF(D109=4,C156,0)</f>
        <v>0</v>
      </c>
      <c r="E160" s="186">
        <f>IF(E109=4,F156,0)</f>
        <v>0</v>
      </c>
      <c r="G160" s="190">
        <f>IF(G109=4,F156,0)</f>
        <v>2</v>
      </c>
      <c r="H160" s="186">
        <f>IF(H109=4,I156,0)</f>
        <v>0</v>
      </c>
      <c r="J160" s="190">
        <f>IF(J109=4,I156,0)</f>
        <v>2</v>
      </c>
      <c r="K160" s="186">
        <f>IF(K109=4,L156,0)</f>
        <v>0</v>
      </c>
      <c r="M160" s="190">
        <f>IF(M109=4,L156,0)</f>
        <v>0</v>
      </c>
      <c r="N160" s="186">
        <f>IF(N109=4,O156,0)</f>
        <v>0</v>
      </c>
      <c r="P160" s="190">
        <f>IF(P109=4,O156,0)</f>
        <v>3</v>
      </c>
      <c r="Q160" s="186">
        <f>IF(Q109=4,R156,0)</f>
        <v>0</v>
      </c>
      <c r="S160" s="190">
        <f>IF(S109=4,R156,0)</f>
        <v>0</v>
      </c>
      <c r="T160" s="186">
        <f>IF(T109=4,U156,0)</f>
        <v>0</v>
      </c>
      <c r="V160" s="190">
        <f>IF(V109=4,U156,0)</f>
        <v>0</v>
      </c>
      <c r="W160" s="186">
        <f>IF(W109=4,X156,0)</f>
        <v>0</v>
      </c>
      <c r="Y160" s="190">
        <f>IF(Y109=4,X156,0)</f>
        <v>0</v>
      </c>
      <c r="Z160" s="186">
        <f>IF(Z109=4,AA156,0)</f>
        <v>0</v>
      </c>
      <c r="AB160" s="190">
        <f>IF(AB109=4,AA156,0)</f>
        <v>0</v>
      </c>
      <c r="AC160" s="186">
        <f>IF(AC109=4,AD156,0)</f>
        <v>0</v>
      </c>
      <c r="AE160" s="190">
        <f>IF(AE109=4,AD156,0)</f>
        <v>0</v>
      </c>
      <c r="AF160" s="186">
        <f>SUM(B160:AE160)</f>
        <v>7</v>
      </c>
    </row>
    <row r="161" spans="1:54" s="186" customFormat="1" ht="12.75" hidden="1" customHeight="1" x14ac:dyDescent="0.2">
      <c r="A161" s="186" t="s">
        <v>105</v>
      </c>
      <c r="B161" s="186">
        <f>IF(B109=5,C156,0)</f>
        <v>0</v>
      </c>
      <c r="D161" s="190">
        <f>IF(D109=5,C156,0)</f>
        <v>0</v>
      </c>
      <c r="E161" s="186">
        <f>IF(E109=5,F156,0)</f>
        <v>0</v>
      </c>
      <c r="G161" s="190">
        <f>IF(G109=5,F156,0)</f>
        <v>0</v>
      </c>
      <c r="H161" s="186">
        <f>IF(H109=5,I156,0)</f>
        <v>0</v>
      </c>
      <c r="J161" s="190">
        <f>IF(J109=5,I156,0)</f>
        <v>0</v>
      </c>
      <c r="K161" s="186">
        <f>IF(K109=5,L156,0)</f>
        <v>0</v>
      </c>
      <c r="M161" s="190">
        <f>IF(M109=5,L156,0)</f>
        <v>0</v>
      </c>
      <c r="N161" s="186">
        <f>IF(N109=5,O156,0)</f>
        <v>0</v>
      </c>
      <c r="P161" s="190">
        <f>IF(P109=5,O156,0)</f>
        <v>0</v>
      </c>
      <c r="Q161" s="186">
        <f>IF(Q109=5,R156,0)</f>
        <v>0</v>
      </c>
      <c r="S161" s="190">
        <f>IF(S109=5,R156,0)</f>
        <v>0</v>
      </c>
      <c r="T161" s="186">
        <f>IF(T109=5,U156,0)</f>
        <v>0</v>
      </c>
      <c r="V161" s="190">
        <f>IF(V109=5,U156,0)</f>
        <v>0</v>
      </c>
      <c r="W161" s="186">
        <f>IF(W109=5,X156,0)</f>
        <v>0</v>
      </c>
      <c r="Y161" s="190">
        <f>IF(Y109=5,X156,0)</f>
        <v>0</v>
      </c>
      <c r="Z161" s="186">
        <f>IF(Z109=5,AA156,0)</f>
        <v>0</v>
      </c>
      <c r="AB161" s="190">
        <f>IF(AB109=5,AA156,0)</f>
        <v>0</v>
      </c>
      <c r="AC161" s="186">
        <f>IF(AC109=5,AD156,0)</f>
        <v>0</v>
      </c>
      <c r="AE161" s="190">
        <f>IF(AE109=5,AD156,0)</f>
        <v>0</v>
      </c>
      <c r="AF161" s="186">
        <f>SUM(B161:AE161)</f>
        <v>0</v>
      </c>
    </row>
    <row r="162" spans="1:54" hidden="1" x14ac:dyDescent="0.2">
      <c r="A162" s="191"/>
      <c r="B162" s="191"/>
      <c r="C162" s="191"/>
      <c r="D162" s="191"/>
      <c r="E162" s="191"/>
      <c r="F162" s="191"/>
      <c r="G162" s="191"/>
      <c r="H162" s="191"/>
      <c r="I162" s="191"/>
      <c r="J162" s="191"/>
      <c r="K162" s="191"/>
      <c r="L162" s="191"/>
      <c r="M162" s="191"/>
      <c r="N162" s="191"/>
      <c r="O162" s="191"/>
      <c r="P162" s="191"/>
      <c r="Q162" s="191"/>
      <c r="R162" s="191"/>
      <c r="S162" s="191"/>
      <c r="T162" s="191"/>
      <c r="U162" s="191"/>
      <c r="V162" s="191"/>
      <c r="W162" s="191"/>
      <c r="X162" s="191"/>
      <c r="Y162" s="191"/>
      <c r="Z162" s="191"/>
      <c r="AA162" s="191"/>
      <c r="AB162" s="191"/>
      <c r="AC162" s="191"/>
      <c r="AD162" s="191"/>
      <c r="AE162" s="191"/>
      <c r="AF162" s="191"/>
      <c r="AG162" s="191"/>
      <c r="AH162" s="191"/>
      <c r="AI162" s="191"/>
      <c r="AJ162" s="191"/>
      <c r="AK162" s="191"/>
      <c r="AL162" s="191"/>
      <c r="AM162" s="191"/>
      <c r="AN162" s="192"/>
      <c r="AO162" s="192"/>
      <c r="AP162" s="192"/>
      <c r="AQ162" s="192"/>
      <c r="AR162" s="193"/>
      <c r="AS162" s="193"/>
      <c r="AT162" s="193"/>
      <c r="AU162" s="193"/>
      <c r="AV162" s="193"/>
      <c r="AW162" s="194"/>
      <c r="BB162" s="194"/>
    </row>
    <row r="163" spans="1:54" s="193" customFormat="1" hidden="1" x14ac:dyDescent="0.2">
      <c r="A163" s="195"/>
      <c r="B163" s="195"/>
      <c r="C163" s="195" t="s">
        <v>112</v>
      </c>
      <c r="D163" s="195">
        <v>1</v>
      </c>
      <c r="E163" s="195"/>
      <c r="F163" s="195"/>
      <c r="G163" s="195">
        <v>2</v>
      </c>
      <c r="H163" s="195"/>
      <c r="I163" s="195"/>
      <c r="J163" s="195">
        <v>3</v>
      </c>
      <c r="K163" s="195"/>
      <c r="L163" s="195"/>
      <c r="M163" s="195">
        <v>4</v>
      </c>
      <c r="N163" s="195"/>
      <c r="O163" s="195"/>
      <c r="P163" s="195">
        <v>5</v>
      </c>
      <c r="Q163" s="195"/>
      <c r="R163" s="195"/>
      <c r="S163" s="195">
        <v>6</v>
      </c>
      <c r="T163" s="195"/>
      <c r="U163" s="195"/>
      <c r="V163" s="195">
        <v>7</v>
      </c>
      <c r="W163" s="195"/>
      <c r="X163" s="195"/>
      <c r="Y163" s="195">
        <v>8</v>
      </c>
      <c r="Z163" s="195"/>
      <c r="AA163" s="195"/>
      <c r="AB163" s="195">
        <v>9</v>
      </c>
      <c r="AC163" s="195"/>
      <c r="AD163" s="195"/>
      <c r="AE163" s="195">
        <v>10</v>
      </c>
      <c r="AF163" s="134"/>
      <c r="AG163" s="195"/>
      <c r="AI163" s="196"/>
      <c r="AJ163" s="134"/>
      <c r="AK163" s="134"/>
      <c r="AL163" s="134"/>
      <c r="AM163" s="134"/>
      <c r="AN163" s="134"/>
      <c r="AO163" s="134"/>
      <c r="AT163" s="196" t="s">
        <v>113</v>
      </c>
      <c r="AW163" s="197"/>
      <c r="BB163" s="197"/>
    </row>
    <row r="164" spans="1:54" s="193" customFormat="1" hidden="1" x14ac:dyDescent="0.2">
      <c r="A164" s="198">
        <v>1</v>
      </c>
      <c r="B164" s="198" t="str">
        <f>E93</f>
        <v>CSRA Heat 13 Red</v>
      </c>
      <c r="C164" s="198">
        <f>VLOOKUP(B164,AU$3:AY$12,3,FALSE)</f>
        <v>1577.3037892908403</v>
      </c>
      <c r="D164" s="198">
        <f>IF(B157,B172,IF(D157,D172,C164))</f>
        <v>1577.3037892908403</v>
      </c>
      <c r="E164" s="198"/>
      <c r="F164" s="198"/>
      <c r="G164" s="198">
        <f>IF(E157,E172,IF(G157,G172,D164))</f>
        <v>1598.7653401309169</v>
      </c>
      <c r="H164" s="198"/>
      <c r="I164" s="198"/>
      <c r="J164" s="198">
        <f>IF(H157,H172,IF(J157,J172,G164))</f>
        <v>1598.7653401309169</v>
      </c>
      <c r="K164" s="198"/>
      <c r="L164" s="198"/>
      <c r="M164" s="198">
        <f>IF(K157,K172,IF(M157,M172,J164))</f>
        <v>1554.929397318451</v>
      </c>
      <c r="N164" s="198"/>
      <c r="O164" s="198"/>
      <c r="P164" s="198">
        <f>IF(N157,N172,IF(P157,P172,M164))</f>
        <v>1554.929397318451</v>
      </c>
      <c r="Q164" s="198"/>
      <c r="R164" s="198"/>
      <c r="S164" s="198">
        <f>IF(Q157,Q172,IF(S157,S172,P164))</f>
        <v>1528.2348060355885</v>
      </c>
      <c r="T164" s="198"/>
      <c r="U164" s="198"/>
      <c r="V164" s="198">
        <f>IF(T157,T172,IF(V157,V172,S164))</f>
        <v>1528.2348060355885</v>
      </c>
      <c r="W164" s="198"/>
      <c r="X164" s="198"/>
      <c r="Y164" s="198">
        <f>IF(W157,W172,IF(Y157,Y172,V164))</f>
        <v>1528.2348060355885</v>
      </c>
      <c r="Z164" s="198"/>
      <c r="AA164" s="198"/>
      <c r="AB164" s="198">
        <f>IF(Z157,Z172,IF(AB157,AB172,Y164))</f>
        <v>1528.2348060355885</v>
      </c>
      <c r="AC164" s="198"/>
      <c r="AD164" s="198"/>
      <c r="AE164" s="198">
        <f>IF(AC157,AC172,IF(AE157,AE172,AB164))</f>
        <v>1528.2348060355885</v>
      </c>
      <c r="AF164" s="134"/>
      <c r="AG164" s="134"/>
      <c r="AJ164" s="134"/>
      <c r="AK164" s="134"/>
      <c r="AL164" s="134"/>
      <c r="AM164" s="134"/>
      <c r="AN164" s="134"/>
      <c r="AO164" s="134"/>
      <c r="AT164" s="193" t="str">
        <f>B164</f>
        <v>CSRA Heat 13 Red</v>
      </c>
      <c r="AU164" s="193">
        <f>AE164</f>
        <v>1528.2348060355885</v>
      </c>
      <c r="AW164" s="197"/>
      <c r="BB164" s="197"/>
    </row>
    <row r="165" spans="1:54" s="193" customFormat="1" hidden="1" x14ac:dyDescent="0.2">
      <c r="A165" s="198">
        <v>2</v>
      </c>
      <c r="B165" s="198" t="str">
        <f>E95</f>
        <v>RHVC 13 Club Jade</v>
      </c>
      <c r="C165" s="198">
        <f>VLOOKUP(B165,AU$3:AY$12,3,FALSE)</f>
        <v>1570.0470154155958</v>
      </c>
      <c r="D165" s="198">
        <f>IF(B158,B172,IF(D158,D172,C165))</f>
        <v>1594.6701125279637</v>
      </c>
      <c r="E165" s="198"/>
      <c r="F165" s="198"/>
      <c r="G165" s="198">
        <f>IF(E158,E172,IF(G158,G172,D165))</f>
        <v>1594.6701125279637</v>
      </c>
      <c r="H165" s="198"/>
      <c r="I165" s="198"/>
      <c r="J165" s="198">
        <f>IF(H158,H172,IF(J158,J172,G165))</f>
        <v>1613.0688079777651</v>
      </c>
      <c r="K165" s="198"/>
      <c r="L165" s="198"/>
      <c r="M165" s="198">
        <f>IF(K158,K172,IF(M158,M172,J165))</f>
        <v>1613.0688079777651</v>
      </c>
      <c r="N165" s="198"/>
      <c r="O165" s="198"/>
      <c r="P165" s="198">
        <f>IF(N158,N172,IF(P158,P172,M165))</f>
        <v>1613.0688079777651</v>
      </c>
      <c r="Q165" s="198"/>
      <c r="R165" s="198"/>
      <c r="S165" s="198">
        <f>IF(Q158,Q172,IF(S158,S172,P165))</f>
        <v>1639.7633992606277</v>
      </c>
      <c r="T165" s="198"/>
      <c r="U165" s="198"/>
      <c r="V165" s="198">
        <f>IF(T158,T172,IF(V158,V172,S165))</f>
        <v>1639.7633992606277</v>
      </c>
      <c r="W165" s="198"/>
      <c r="X165" s="198"/>
      <c r="Y165" s="198">
        <f>IF(W158,W172,IF(Y158,Y172,V165))</f>
        <v>1639.7633992606277</v>
      </c>
      <c r="Z165" s="198"/>
      <c r="AA165" s="198"/>
      <c r="AB165" s="198">
        <f>IF(Z158,Z172,IF(AB158,AB172,Y165))</f>
        <v>1639.7633992606277</v>
      </c>
      <c r="AC165" s="198"/>
      <c r="AD165" s="198"/>
      <c r="AE165" s="198">
        <f>IF(AC158,AC172,IF(AE158,AE172,AB165))</f>
        <v>1639.7633992606277</v>
      </c>
      <c r="AF165" s="134"/>
      <c r="AG165" s="134"/>
      <c r="AJ165" s="134"/>
      <c r="AL165" s="134"/>
      <c r="AM165" s="134"/>
      <c r="AN165" s="134"/>
      <c r="AO165" s="134"/>
      <c r="AT165" s="193" t="str">
        <f>B165</f>
        <v>RHVC 13 Club Jade</v>
      </c>
      <c r="AU165" s="193">
        <f>AE165</f>
        <v>1639.7633992606277</v>
      </c>
      <c r="AW165" s="197"/>
      <c r="BB165" s="197"/>
    </row>
    <row r="166" spans="1:54" s="193" customFormat="1" hidden="1" x14ac:dyDescent="0.2">
      <c r="A166" s="198">
        <v>3</v>
      </c>
      <c r="B166" s="198" t="str">
        <f>E97</f>
        <v>SC Midlands 13 Black</v>
      </c>
      <c r="C166" s="198">
        <f>VLOOKUP(B166,AU$3:AY$12,3,FALSE)</f>
        <v>1488.4874647585782</v>
      </c>
      <c r="D166" s="198">
        <f>IF(B159,B172,IF(D159,D172,C166))</f>
        <v>1463.8643676462102</v>
      </c>
      <c r="E166" s="198"/>
      <c r="F166" s="198"/>
      <c r="G166" s="198">
        <f>IF(E159,E172,IF(G159,G172,D166))</f>
        <v>1463.8643676462102</v>
      </c>
      <c r="H166" s="198"/>
      <c r="I166" s="198"/>
      <c r="J166" s="198">
        <f>IF(H159,H172,IF(J159,J172,G166))</f>
        <v>1463.8643676462102</v>
      </c>
      <c r="K166" s="198"/>
      <c r="L166" s="198"/>
      <c r="M166" s="198">
        <f>IF(K159,K172,IF(M159,M172,J166))</f>
        <v>1507.7003104586761</v>
      </c>
      <c r="N166" s="198"/>
      <c r="O166" s="198"/>
      <c r="P166" s="198">
        <f>IF(N159,N172,IF(P159,P172,M166))</f>
        <v>1479.6529847563386</v>
      </c>
      <c r="Q166" s="198"/>
      <c r="R166" s="198"/>
      <c r="S166" s="198">
        <f>IF(Q159,Q172,IF(S159,S172,P166))</f>
        <v>1479.6529847563386</v>
      </c>
      <c r="T166" s="198"/>
      <c r="U166" s="198"/>
      <c r="V166" s="198">
        <f>IF(T159,T172,IF(V159,V172,S166))</f>
        <v>1479.6529847563386</v>
      </c>
      <c r="W166" s="198"/>
      <c r="X166" s="198"/>
      <c r="Y166" s="198">
        <f>IF(W159,W172,IF(Y159,Y172,V166))</f>
        <v>1479.6529847563386</v>
      </c>
      <c r="Z166" s="198"/>
      <c r="AA166" s="198"/>
      <c r="AB166" s="198">
        <f>IF(Z159,Z172,IF(AB159,AB172,Y166))</f>
        <v>1479.6529847563386</v>
      </c>
      <c r="AC166" s="198"/>
      <c r="AD166" s="198"/>
      <c r="AE166" s="198">
        <f>IF(AC159,AC172,IF(AE159,AE172,AB166))</f>
        <v>1479.6529847563386</v>
      </c>
      <c r="AF166" s="134"/>
      <c r="AG166" s="134"/>
      <c r="AJ166" s="134"/>
      <c r="AL166" s="134"/>
      <c r="AM166" s="134"/>
      <c r="AN166" s="134"/>
      <c r="AO166" s="134"/>
      <c r="AT166" s="193" t="str">
        <f>B166</f>
        <v>SC Midlands 13 Black</v>
      </c>
      <c r="AU166" s="193">
        <f>AE166</f>
        <v>1479.6529847563386</v>
      </c>
      <c r="AW166" s="197"/>
      <c r="BB166" s="197"/>
    </row>
    <row r="167" spans="1:54" s="193" customFormat="1" hidden="1" x14ac:dyDescent="0.2">
      <c r="A167" s="198">
        <v>4</v>
      </c>
      <c r="B167" s="198" t="str">
        <f>E99</f>
        <v>Coastal 13 Wave</v>
      </c>
      <c r="C167" s="198">
        <f>VLOOKUP(B167,AU$3:AY$12,3,FALSE)</f>
        <v>1458.4555688261864</v>
      </c>
      <c r="D167" s="198">
        <f>IF(B160,B172,IF(D160,D172,C167))</f>
        <v>1458.4555688261864</v>
      </c>
      <c r="E167" s="198"/>
      <c r="F167" s="198"/>
      <c r="G167" s="198">
        <f>IF(E160,E172,IF(G160,G172,D167))</f>
        <v>1436.9940179861098</v>
      </c>
      <c r="H167" s="198"/>
      <c r="I167" s="198"/>
      <c r="J167" s="198">
        <f>IF(H160,H172,IF(J160,J172,G167))</f>
        <v>1418.5953225363087</v>
      </c>
      <c r="K167" s="198"/>
      <c r="L167" s="198"/>
      <c r="M167" s="198">
        <f>IF(K160,K172,IF(M160,M172,J167))</f>
        <v>1418.5953225363087</v>
      </c>
      <c r="N167" s="198"/>
      <c r="O167" s="198"/>
      <c r="P167" s="198">
        <f>IF(N160,N172,IF(P160,P172,M167))</f>
        <v>1446.6426482386462</v>
      </c>
      <c r="Q167" s="198"/>
      <c r="R167" s="198"/>
      <c r="S167" s="198">
        <f>IF(Q160,Q172,IF(S160,S172,P167))</f>
        <v>1446.6426482386462</v>
      </c>
      <c r="T167" s="198"/>
      <c r="U167" s="198"/>
      <c r="V167" s="198">
        <f>IF(T160,T172,IF(V160,V172,S167))</f>
        <v>1446.6426482386462</v>
      </c>
      <c r="W167" s="198"/>
      <c r="X167" s="198"/>
      <c r="Y167" s="198">
        <f>IF(W160,W172,IF(Y160,Y172,V167))</f>
        <v>1446.6426482386462</v>
      </c>
      <c r="Z167" s="198"/>
      <c r="AA167" s="198"/>
      <c r="AB167" s="198">
        <f>IF(Z160,Z172,IF(AB160,AB172,Y167))</f>
        <v>1446.6426482386462</v>
      </c>
      <c r="AC167" s="198"/>
      <c r="AD167" s="198"/>
      <c r="AE167" s="198">
        <f>IF(AC160,AC172,IF(AE160,AE172,AB167))</f>
        <v>1446.6426482386462</v>
      </c>
      <c r="AF167" s="134"/>
      <c r="AG167" s="134"/>
      <c r="AJ167" s="134"/>
      <c r="AL167" s="134"/>
      <c r="AM167" s="134"/>
      <c r="AN167" s="134"/>
      <c r="AO167" s="134"/>
      <c r="AT167" s="193" t="str">
        <f>B167</f>
        <v>Coastal 13 Wave</v>
      </c>
      <c r="AU167" s="193">
        <f>AE167</f>
        <v>1446.6426482386462</v>
      </c>
      <c r="AW167" s="197"/>
      <c r="BB167" s="197"/>
    </row>
    <row r="168" spans="1:54" s="193" customFormat="1" hidden="1" x14ac:dyDescent="0.2">
      <c r="A168" s="198">
        <v>5</v>
      </c>
      <c r="B168" s="198">
        <f>E101</f>
        <v>0</v>
      </c>
      <c r="C168" s="198" t="e">
        <f>VLOOKUP(B168,AU$3:AY$12,3,FALSE)</f>
        <v>#N/A</v>
      </c>
      <c r="D168" s="198" t="e">
        <f>IF(B161,B172,IF(D161,D172,C168))</f>
        <v>#N/A</v>
      </c>
      <c r="E168" s="198"/>
      <c r="F168" s="198"/>
      <c r="G168" s="198" t="e">
        <f>IF(E161,E172,IF(G161,G172,D168))</f>
        <v>#N/A</v>
      </c>
      <c r="H168" s="198"/>
      <c r="I168" s="198"/>
      <c r="J168" s="198" t="e">
        <f>IF(H161,H172,IF(J161,J172,G168))</f>
        <v>#N/A</v>
      </c>
      <c r="K168" s="198"/>
      <c r="L168" s="198"/>
      <c r="M168" s="198" t="e">
        <f>IF(K161,K172,IF(M161,M172,J168))</f>
        <v>#N/A</v>
      </c>
      <c r="N168" s="198"/>
      <c r="O168" s="198"/>
      <c r="P168" s="198" t="e">
        <f>IF(N161,N172,IF(P161,P172,M168))</f>
        <v>#N/A</v>
      </c>
      <c r="Q168" s="198"/>
      <c r="R168" s="198"/>
      <c r="S168" s="198" t="e">
        <f>IF(Q161,Q172,IF(S161,S172,P168))</f>
        <v>#N/A</v>
      </c>
      <c r="T168" s="198"/>
      <c r="U168" s="198"/>
      <c r="V168" s="198" t="e">
        <f>IF(T161,T172,IF(V161,V172,S168))</f>
        <v>#N/A</v>
      </c>
      <c r="W168" s="198"/>
      <c r="X168" s="198"/>
      <c r="Y168" s="198" t="e">
        <f>IF(W161,W172,IF(Y161,Y172,V168))</f>
        <v>#N/A</v>
      </c>
      <c r="Z168" s="198"/>
      <c r="AA168" s="198"/>
      <c r="AB168" s="198" t="e">
        <f>IF(Z161,Z172,IF(AB161,AB172,Y168))</f>
        <v>#N/A</v>
      </c>
      <c r="AC168" s="198"/>
      <c r="AD168" s="198"/>
      <c r="AE168" s="198" t="e">
        <f>IF(AC161,AC172,IF(AE161,AE172,AB168))</f>
        <v>#N/A</v>
      </c>
      <c r="AF168" s="134"/>
      <c r="AG168" s="134"/>
      <c r="AJ168" s="134"/>
      <c r="AL168" s="134"/>
      <c r="AM168" s="134"/>
      <c r="AN168" s="134"/>
      <c r="AO168" s="134"/>
      <c r="AT168" s="193">
        <f>B168</f>
        <v>0</v>
      </c>
      <c r="AU168" s="193" t="e">
        <f>AE168</f>
        <v>#N/A</v>
      </c>
      <c r="AW168" s="197"/>
      <c r="BB168" s="197"/>
    </row>
    <row r="169" spans="1:54" s="193" customFormat="1" hidden="1" x14ac:dyDescent="0.2">
      <c r="A169" s="198"/>
      <c r="B169" s="198"/>
      <c r="C169" s="198"/>
      <c r="D169" s="198"/>
      <c r="E169" s="198"/>
      <c r="F169" s="198"/>
      <c r="G169" s="198"/>
      <c r="H169" s="198"/>
      <c r="I169" s="198"/>
      <c r="J169" s="198"/>
      <c r="K169" s="198"/>
      <c r="L169" s="198"/>
      <c r="M169" s="198"/>
      <c r="N169" s="198"/>
      <c r="O169" s="198"/>
      <c r="P169" s="198"/>
      <c r="Q169" s="198"/>
      <c r="R169" s="198"/>
      <c r="S169" s="198"/>
      <c r="T169" s="198"/>
      <c r="U169" s="198"/>
      <c r="V169" s="198"/>
      <c r="W169" s="198"/>
      <c r="X169" s="198"/>
      <c r="Y169" s="198"/>
      <c r="Z169" s="198"/>
      <c r="AA169" s="198"/>
      <c r="AB169" s="198"/>
      <c r="AC169" s="198"/>
      <c r="AD169" s="198"/>
      <c r="AE169" s="198"/>
      <c r="AF169" s="134"/>
      <c r="AG169" s="134"/>
      <c r="AJ169" s="134"/>
      <c r="AL169" s="134"/>
      <c r="AM169" s="134"/>
      <c r="AN169" s="134"/>
      <c r="AO169" s="134"/>
      <c r="AW169" s="197"/>
      <c r="BB169" s="197"/>
    </row>
    <row r="170" spans="1:54" s="193" customFormat="1" hidden="1" x14ac:dyDescent="0.2">
      <c r="A170" s="198" t="s">
        <v>114</v>
      </c>
      <c r="B170" s="198">
        <f>VLOOKUP(B109,$A164:$AE168,3,FALSE)</f>
        <v>1570.0470154155958</v>
      </c>
      <c r="C170" s="198">
        <v>1</v>
      </c>
      <c r="D170" s="198">
        <f>VLOOKUP(D109,$A164:$AE168,3,FALSE)</f>
        <v>1488.4874647585782</v>
      </c>
      <c r="E170" s="198">
        <f>VLOOKUP(E109,$A164:$AE168,4,FALSE)</f>
        <v>1577.3037892908403</v>
      </c>
      <c r="F170" s="198">
        <v>2</v>
      </c>
      <c r="G170" s="198">
        <f>VLOOKUP(G109,$A164:$AE168,4,FALSE)</f>
        <v>1458.4555688261864</v>
      </c>
      <c r="H170" s="198">
        <f>VLOOKUP(H109,$A164:$AE168,7,FALSE)</f>
        <v>1594.6701125279637</v>
      </c>
      <c r="I170" s="198">
        <v>3</v>
      </c>
      <c r="J170" s="198">
        <f>VLOOKUP(J109,$A164:$AE168,7,FALSE)</f>
        <v>1436.9940179861098</v>
      </c>
      <c r="K170" s="198">
        <f>VLOOKUP(K109,$A164:$AE168,10,FALSE)</f>
        <v>1598.7653401309169</v>
      </c>
      <c r="L170" s="198">
        <v>4</v>
      </c>
      <c r="M170" s="198">
        <f>VLOOKUP(M109,$A164:$AE168,10,FALSE)</f>
        <v>1463.8643676462102</v>
      </c>
      <c r="N170" s="198">
        <f>VLOOKUP(N109,$A164:$AE168,13,FALSE)</f>
        <v>1507.7003104586761</v>
      </c>
      <c r="O170" s="198">
        <v>5</v>
      </c>
      <c r="P170" s="198">
        <f>VLOOKUP(P109,$A164:$AE168,13,FALSE)</f>
        <v>1418.5953225363087</v>
      </c>
      <c r="Q170" s="198">
        <f>VLOOKUP(Q109,$A164:$AE168,16,FALSE)</f>
        <v>1554.929397318451</v>
      </c>
      <c r="R170" s="198">
        <v>6</v>
      </c>
      <c r="S170" s="198">
        <f>VLOOKUP(S109,$A164:$AE168,16,FALSE)</f>
        <v>1613.0688079777651</v>
      </c>
      <c r="T170" s="198">
        <f>VLOOKUP(T109,$A164:$AE168,19,FALSE)</f>
        <v>1639.7633992606277</v>
      </c>
      <c r="U170" s="198">
        <v>7</v>
      </c>
      <c r="V170" s="198">
        <f>VLOOKUP(V109,$A164:$AE168,19,FALSE)</f>
        <v>1479.6529847563386</v>
      </c>
      <c r="W170" s="198">
        <f>VLOOKUP(W109,$A164:$AE168,22,FALSE)</f>
        <v>1528.2348060355885</v>
      </c>
      <c r="X170" s="198">
        <v>8</v>
      </c>
      <c r="Y170" s="198" t="e">
        <f>VLOOKUP(Y109,$A164:$AE168,22,FALSE)</f>
        <v>#N/A</v>
      </c>
      <c r="Z170" s="198">
        <f>VLOOKUP(Z109,$A164:$AE168,25,FALSE)</f>
        <v>1479.6529847563386</v>
      </c>
      <c r="AA170" s="198">
        <v>9</v>
      </c>
      <c r="AB170" s="198">
        <f>VLOOKUP(AB109,$A164:$AE168,25,FALSE)</f>
        <v>1446.6426482386462</v>
      </c>
      <c r="AC170" s="198">
        <f>VLOOKUP(AC109,$A164:$AE168,28,FALSE)</f>
        <v>1528.2348060355885</v>
      </c>
      <c r="AD170" s="198">
        <v>10</v>
      </c>
      <c r="AE170" s="198">
        <f>VLOOKUP(AE109,$A164:$AE168,28,FALSE)</f>
        <v>1639.7633992606277</v>
      </c>
      <c r="AF170" s="134"/>
      <c r="AG170" s="191"/>
      <c r="AH170" s="191"/>
      <c r="AI170" s="191"/>
      <c r="AJ170" s="191"/>
      <c r="AK170" s="191"/>
      <c r="AL170" s="191"/>
      <c r="AM170" s="191"/>
      <c r="AN170" s="192"/>
      <c r="AO170" s="192"/>
      <c r="AP170" s="192"/>
      <c r="AQ170" s="192"/>
      <c r="AW170" s="197"/>
      <c r="BB170" s="197"/>
    </row>
    <row r="171" spans="1:54" s="203" customFormat="1" hidden="1" x14ac:dyDescent="0.2">
      <c r="A171" s="199" t="s">
        <v>115</v>
      </c>
      <c r="B171" s="199">
        <f>1/(1+(10^-((B170-D170)/400)))*(B121+D121)</f>
        <v>1.230528215238504</v>
      </c>
      <c r="C171" s="199"/>
      <c r="D171" s="199">
        <f>1/(1+(10^-((D170-B170)/400)))*(B121+D121)</f>
        <v>0.76947178476149602</v>
      </c>
      <c r="E171" s="199">
        <f>1/(1+(10^-((E170-G170)/400)))*(E121+G121)</f>
        <v>1.3293265362476063</v>
      </c>
      <c r="F171" s="199"/>
      <c r="G171" s="199">
        <f>1/(1+(10^-((G170-E170)/400)))*(E121+G121)</f>
        <v>0.67067346375239367</v>
      </c>
      <c r="H171" s="199">
        <f>1/(1+(10^-((H170-J170)/400)))*(H121+J121)</f>
        <v>1.4250407671937102</v>
      </c>
      <c r="I171" s="199"/>
      <c r="J171" s="199">
        <f>1/(1+(10^-((J170-H170)/400)))*(H121+J121)</f>
        <v>0.57495923280628958</v>
      </c>
      <c r="K171" s="199">
        <f>1/(1+(10^-((K170-M170)/400)))*(K121+M121)</f>
        <v>1.3698732128895614</v>
      </c>
      <c r="L171" s="199"/>
      <c r="M171" s="199">
        <f>1/(1+(10^-((M170-K170)/400)))*(K121+M121)</f>
        <v>0.63012678711043846</v>
      </c>
      <c r="N171" s="199">
        <f>1/(1+(10^-((N170-P170)/400)))*(N121+P121)</f>
        <v>1.8764789281980478</v>
      </c>
      <c r="O171" s="199"/>
      <c r="P171" s="199">
        <f>1/(1+(10^-((P170-N170)/400)))*(N121+P121)</f>
        <v>1.1235210718019522</v>
      </c>
      <c r="Q171" s="199">
        <f>1/(1+(10^-((Q170-S170)/400)))*(Q121+S121)</f>
        <v>0.83420597758945769</v>
      </c>
      <c r="R171" s="199"/>
      <c r="S171" s="199">
        <f>1/(1+(10^-((S170-Q170)/400)))*(Q121+S121)</f>
        <v>1.1657940224105421</v>
      </c>
      <c r="T171" s="199">
        <f>1/(1+(10^-((T170-V170)/400)))*(T121+V121)</f>
        <v>0</v>
      </c>
      <c r="U171" s="199"/>
      <c r="V171" s="199">
        <f>1/(1+(10^-((V170-T170)/400)))*(T121+V121)</f>
        <v>0</v>
      </c>
      <c r="W171" s="199" t="e">
        <f>1/(1+(10^-((W170-Y170)/400)))*(W121+Y121)</f>
        <v>#N/A</v>
      </c>
      <c r="X171" s="199"/>
      <c r="Y171" s="199" t="e">
        <f>1/(1+(10^-((Y170-W170)/400)))*(W121+Y121)</f>
        <v>#N/A</v>
      </c>
      <c r="Z171" s="199">
        <f>1/(1+(10^-((Z170-AB170)/400)))*(Z121+AB121)</f>
        <v>0</v>
      </c>
      <c r="AA171" s="199"/>
      <c r="AB171" s="199">
        <f>1/(1+(10^-((AB170-Z170)/400)))*(Z121+AB121)</f>
        <v>0</v>
      </c>
      <c r="AC171" s="199">
        <f>1/(1+(10^-((AC170-AE170)/400)))*(AC121+AE121)</f>
        <v>0</v>
      </c>
      <c r="AD171" s="199"/>
      <c r="AE171" s="199">
        <f>1/(1+(10^-((AE170-AC170)/400)))*(AC121+AE121)</f>
        <v>0</v>
      </c>
      <c r="AF171" s="200"/>
      <c r="AG171" s="201"/>
      <c r="AH171" s="201"/>
      <c r="AI171" s="201"/>
      <c r="AJ171" s="201"/>
      <c r="AK171" s="201"/>
      <c r="AL171" s="201"/>
      <c r="AM171" s="201"/>
      <c r="AN171" s="202"/>
      <c r="AO171" s="202"/>
      <c r="AP171" s="202"/>
      <c r="AQ171" s="202"/>
      <c r="AW171" s="204"/>
      <c r="BB171" s="204"/>
    </row>
    <row r="172" spans="1:54" s="209" customFormat="1" hidden="1" x14ac:dyDescent="0.2">
      <c r="A172" s="205" t="s">
        <v>116</v>
      </c>
      <c r="B172" s="205">
        <f>B170+(B121-B171)*$BA$1</f>
        <v>1594.6701125279637</v>
      </c>
      <c r="C172" s="205"/>
      <c r="D172" s="205">
        <f>D170+(D121-D171)*$BA$1</f>
        <v>1463.8643676462102</v>
      </c>
      <c r="E172" s="205">
        <f>E170+(E121-E171)*$BA$1</f>
        <v>1598.7653401309169</v>
      </c>
      <c r="F172" s="205"/>
      <c r="G172" s="205">
        <f>G170+(G121-G171)*$BA$1</f>
        <v>1436.9940179861098</v>
      </c>
      <c r="H172" s="205">
        <f>H170+(H121-H171)*$BA$1</f>
        <v>1613.0688079777651</v>
      </c>
      <c r="I172" s="205"/>
      <c r="J172" s="205">
        <f>J170+(J121-J171)*$BA$1</f>
        <v>1418.5953225363087</v>
      </c>
      <c r="K172" s="205">
        <f>K170+(K121-K171)*$BA$1</f>
        <v>1554.929397318451</v>
      </c>
      <c r="L172" s="205"/>
      <c r="M172" s="205">
        <f>M170+(M121-M171)*$BA$1</f>
        <v>1507.7003104586761</v>
      </c>
      <c r="N172" s="205">
        <f>N170+(N121-N171)*$BA$1</f>
        <v>1479.6529847563386</v>
      </c>
      <c r="O172" s="205"/>
      <c r="P172" s="205">
        <f>P170+(P121-P171)*$BA$1</f>
        <v>1446.6426482386462</v>
      </c>
      <c r="Q172" s="205">
        <f>Q170+(Q121-Q171)*$BA$1</f>
        <v>1528.2348060355885</v>
      </c>
      <c r="R172" s="205"/>
      <c r="S172" s="205">
        <f>S170+(S121-S171)*$BA$1</f>
        <v>1639.7633992606277</v>
      </c>
      <c r="T172" s="205">
        <f>T170+(T121-T171)*$BA$1</f>
        <v>1639.7633992606277</v>
      </c>
      <c r="U172" s="205"/>
      <c r="V172" s="205">
        <f>V170+(V121-V171)*$BA$1</f>
        <v>1479.6529847563386</v>
      </c>
      <c r="W172" s="205" t="e">
        <f>W170+(W121-W171)*$BA$1</f>
        <v>#N/A</v>
      </c>
      <c r="X172" s="205"/>
      <c r="Y172" s="205" t="e">
        <f>Y170+(Y121-Y171)*$BA$1</f>
        <v>#N/A</v>
      </c>
      <c r="Z172" s="205">
        <f>Z170+(Z121-Z171)*$BA$1</f>
        <v>1479.6529847563386</v>
      </c>
      <c r="AA172" s="205"/>
      <c r="AB172" s="205">
        <f>AB170+(AB121-AB171)*$BA$1</f>
        <v>1446.6426482386462</v>
      </c>
      <c r="AC172" s="205">
        <f>AC170+(AC121-AC171)*$BA$1</f>
        <v>1528.2348060355885</v>
      </c>
      <c r="AD172" s="205"/>
      <c r="AE172" s="205">
        <f>AE170+(AE121-AE171)*$BA$1</f>
        <v>1639.7633992606277</v>
      </c>
      <c r="AF172" s="206"/>
      <c r="AG172" s="207"/>
      <c r="AH172" s="207"/>
      <c r="AI172" s="207"/>
      <c r="AJ172" s="207"/>
      <c r="AK172" s="207"/>
      <c r="AL172" s="207"/>
      <c r="AM172" s="207"/>
      <c r="AN172" s="208"/>
      <c r="AO172" s="208"/>
      <c r="AP172" s="208"/>
      <c r="AQ172" s="208"/>
      <c r="AW172" s="210"/>
      <c r="BB172" s="210"/>
    </row>
    <row r="173" spans="1:54" s="209" customFormat="1" hidden="1" x14ac:dyDescent="0.2">
      <c r="A173" s="205"/>
      <c r="B173" s="205"/>
      <c r="C173" s="205"/>
      <c r="D173" s="205"/>
      <c r="E173" s="205"/>
      <c r="F173" s="205"/>
      <c r="G173" s="205"/>
      <c r="H173" s="205"/>
      <c r="I173" s="205"/>
      <c r="J173" s="205"/>
      <c r="K173" s="205"/>
      <c r="L173" s="205"/>
      <c r="M173" s="205"/>
      <c r="N173" s="205"/>
      <c r="O173" s="205"/>
      <c r="P173" s="205"/>
      <c r="Q173" s="205"/>
      <c r="R173" s="205"/>
      <c r="S173" s="205"/>
      <c r="T173" s="205"/>
      <c r="U173" s="205"/>
      <c r="V173" s="205"/>
      <c r="W173" s="205"/>
      <c r="X173" s="205"/>
      <c r="Y173" s="205"/>
      <c r="Z173" s="205"/>
      <c r="AA173" s="205"/>
      <c r="AB173" s="205"/>
      <c r="AC173" s="205"/>
      <c r="AD173" s="205"/>
      <c r="AE173" s="205"/>
      <c r="AF173" s="206"/>
      <c r="AG173" s="207"/>
      <c r="AH173" s="207"/>
      <c r="AI173" s="207"/>
      <c r="AJ173" s="207"/>
      <c r="AK173" s="207"/>
      <c r="AL173" s="207"/>
      <c r="AM173" s="207"/>
      <c r="AN173" s="208"/>
      <c r="AO173" s="208"/>
      <c r="AP173" s="208"/>
      <c r="AQ173" s="208"/>
      <c r="AW173" s="210"/>
      <c r="BB173" s="210"/>
    </row>
    <row r="174" spans="1:54" s="193" customFormat="1" x14ac:dyDescent="0.2">
      <c r="A174" s="452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174" s="452"/>
      <c r="C174" s="452"/>
      <c r="D174" s="452"/>
      <c r="E174" s="452"/>
      <c r="F174" s="452"/>
      <c r="G174" s="452"/>
      <c r="H174" s="452"/>
      <c r="I174" s="452"/>
      <c r="J174" s="452"/>
      <c r="K174" s="452"/>
      <c r="L174" s="452"/>
      <c r="M174" s="452"/>
      <c r="N174" s="452"/>
      <c r="O174" s="452"/>
      <c r="P174" s="452"/>
      <c r="Q174" s="452"/>
      <c r="R174" s="452"/>
      <c r="S174" s="452"/>
      <c r="T174" s="452"/>
      <c r="U174" s="452"/>
      <c r="V174" s="452"/>
      <c r="W174" s="452"/>
      <c r="X174" s="452"/>
      <c r="Y174" s="452"/>
      <c r="Z174" s="452"/>
      <c r="AA174" s="452"/>
      <c r="AB174" s="452"/>
      <c r="AC174" s="452"/>
      <c r="AD174" s="452"/>
      <c r="AE174" s="452"/>
      <c r="AF174" s="452"/>
      <c r="AG174" s="452"/>
      <c r="AH174" s="452"/>
      <c r="AI174" s="452"/>
      <c r="AJ174" s="452"/>
      <c r="AK174" s="452"/>
      <c r="AL174" s="452"/>
      <c r="AM174" s="453"/>
      <c r="AN174" s="453"/>
      <c r="AO174" s="453"/>
      <c r="AP174" s="453"/>
    </row>
    <row r="175" spans="1:54" s="193" customFormat="1" x14ac:dyDescent="0.2">
      <c r="A175" s="454"/>
      <c r="B175" s="454"/>
      <c r="C175" s="454"/>
      <c r="D175" s="454"/>
      <c r="E175" s="454"/>
      <c r="F175" s="454"/>
      <c r="G175" s="454"/>
      <c r="H175" s="454"/>
      <c r="I175" s="454"/>
      <c r="J175" s="454"/>
      <c r="K175" s="454"/>
      <c r="L175" s="454"/>
      <c r="M175" s="454"/>
      <c r="N175" s="454"/>
      <c r="O175" s="454"/>
      <c r="P175" s="454"/>
      <c r="Q175" s="454"/>
      <c r="R175" s="454"/>
      <c r="S175" s="454"/>
      <c r="T175" s="454"/>
      <c r="U175" s="454"/>
      <c r="V175" s="454"/>
      <c r="W175" s="454"/>
      <c r="X175" s="454"/>
      <c r="Y175" s="454"/>
      <c r="Z175" s="454"/>
      <c r="AA175" s="454"/>
      <c r="AB175" s="454"/>
      <c r="AC175" s="454"/>
      <c r="AD175" s="454"/>
      <c r="AE175" s="454"/>
      <c r="AF175" s="454"/>
      <c r="AG175" s="454"/>
      <c r="AH175" s="454"/>
      <c r="AI175" s="454"/>
      <c r="AJ175" s="454"/>
      <c r="AK175" s="454"/>
      <c r="AL175" s="454"/>
      <c r="AM175" s="454"/>
      <c r="AN175" s="454"/>
      <c r="AO175" s="454"/>
      <c r="AP175" s="454"/>
      <c r="AQ175" s="454"/>
    </row>
    <row r="176" spans="1:54" ht="21" thickBot="1" x14ac:dyDescent="0.35">
      <c r="A176" s="455" t="s">
        <v>118</v>
      </c>
      <c r="B176" s="455"/>
      <c r="C176" s="455"/>
      <c r="D176" s="455"/>
      <c r="E176" s="455"/>
      <c r="F176" s="455"/>
      <c r="G176" s="455"/>
      <c r="H176" s="455"/>
      <c r="I176" s="455"/>
      <c r="J176" s="455"/>
      <c r="K176" s="455"/>
      <c r="L176" s="455"/>
      <c r="M176" s="455"/>
      <c r="N176" s="455"/>
      <c r="O176" s="455"/>
      <c r="P176" s="455"/>
      <c r="Q176" s="455"/>
      <c r="R176" s="455"/>
      <c r="S176" s="455"/>
      <c r="T176" s="455"/>
      <c r="U176" s="455"/>
      <c r="V176" s="455"/>
      <c r="W176" s="455"/>
      <c r="X176" s="455"/>
      <c r="Y176" s="455"/>
      <c r="Z176" s="455"/>
      <c r="AA176" s="455"/>
      <c r="AB176" s="455"/>
      <c r="AC176" s="455"/>
      <c r="AD176" s="455"/>
      <c r="AE176" s="455"/>
      <c r="AF176" s="455"/>
      <c r="AG176" s="455"/>
      <c r="AH176" s="455"/>
      <c r="AI176" s="455"/>
      <c r="AJ176" s="455"/>
      <c r="AK176" s="455"/>
      <c r="AL176" s="455"/>
      <c r="AM176" s="455"/>
      <c r="AN176" s="455"/>
      <c r="AO176" s="455"/>
      <c r="AP176" s="455"/>
      <c r="AQ176" s="455"/>
    </row>
    <row r="177" spans="1:53" ht="13.5" thickBot="1" x14ac:dyDescent="0.25">
      <c r="A177" s="456" t="s">
        <v>119</v>
      </c>
      <c r="B177" s="458" t="s">
        <v>120</v>
      </c>
      <c r="C177" s="459"/>
      <c r="D177" s="459"/>
      <c r="E177" s="459"/>
      <c r="F177" s="459"/>
      <c r="G177" s="459"/>
      <c r="H177" s="459"/>
      <c r="I177" s="459"/>
      <c r="J177" s="459"/>
      <c r="K177" s="460"/>
      <c r="L177" s="458" t="s">
        <v>121</v>
      </c>
      <c r="M177" s="459"/>
      <c r="N177" s="459"/>
      <c r="O177" s="459"/>
      <c r="P177" s="459"/>
      <c r="Q177" s="459"/>
      <c r="R177" s="459"/>
      <c r="S177" s="459"/>
      <c r="T177" s="459"/>
      <c r="U177" s="460"/>
      <c r="V177" s="458" t="s">
        <v>122</v>
      </c>
      <c r="W177" s="459"/>
      <c r="X177" s="459"/>
      <c r="Y177" s="459"/>
      <c r="Z177" s="459"/>
      <c r="AA177" s="459"/>
      <c r="AB177" s="459"/>
      <c r="AC177" s="459"/>
      <c r="AD177" s="459"/>
      <c r="AE177" s="460"/>
      <c r="AF177" s="458" t="s">
        <v>123</v>
      </c>
      <c r="AG177" s="459"/>
      <c r="AH177" s="459"/>
      <c r="AI177" s="459"/>
      <c r="AJ177" s="459"/>
      <c r="AK177" s="459"/>
      <c r="AL177" s="459"/>
      <c r="AM177" s="459"/>
      <c r="AN177" s="459"/>
      <c r="AO177" s="460"/>
    </row>
    <row r="178" spans="1:53" ht="13.5" thickBot="1" x14ac:dyDescent="0.25">
      <c r="A178" s="457"/>
      <c r="B178" s="461" t="s">
        <v>10</v>
      </c>
      <c r="C178" s="462"/>
      <c r="D178" s="462"/>
      <c r="E178" s="462"/>
      <c r="F178" s="462"/>
      <c r="G178" s="463"/>
      <c r="H178" s="461" t="s">
        <v>124</v>
      </c>
      <c r="I178" s="462"/>
      <c r="J178" s="462"/>
      <c r="K178" s="463"/>
      <c r="L178" s="461" t="s">
        <v>10</v>
      </c>
      <c r="M178" s="462"/>
      <c r="N178" s="462"/>
      <c r="O178" s="462"/>
      <c r="P178" s="462"/>
      <c r="Q178" s="463"/>
      <c r="R178" s="461" t="s">
        <v>124</v>
      </c>
      <c r="S178" s="462"/>
      <c r="T178" s="462"/>
      <c r="U178" s="463"/>
      <c r="V178" s="461" t="s">
        <v>10</v>
      </c>
      <c r="W178" s="462"/>
      <c r="X178" s="462"/>
      <c r="Y178" s="462"/>
      <c r="Z178" s="462"/>
      <c r="AA178" s="463"/>
      <c r="AB178" s="461" t="s">
        <v>124</v>
      </c>
      <c r="AC178" s="462"/>
      <c r="AD178" s="462"/>
      <c r="AE178" s="463"/>
      <c r="AF178" s="461" t="s">
        <v>10</v>
      </c>
      <c r="AG178" s="462"/>
      <c r="AH178" s="462"/>
      <c r="AI178" s="462"/>
      <c r="AJ178" s="462"/>
      <c r="AK178" s="463"/>
      <c r="AL178" s="461" t="s">
        <v>124</v>
      </c>
      <c r="AM178" s="462"/>
      <c r="AN178" s="462"/>
      <c r="AO178" s="463"/>
    </row>
    <row r="179" spans="1:53" x14ac:dyDescent="0.2">
      <c r="A179" s="290" t="s">
        <v>125</v>
      </c>
      <c r="B179" s="464" t="str">
        <f>IF($AF$8=1,$E$8,IF($AF$10=1,$E$10,IF($AF$12=1,$E$12,IF($AF$14=1,$E$14,IF($AF$16=1,$E$16,"1st Place "&amp;$A179)))))</f>
        <v>Chas Jrs 13 White</v>
      </c>
      <c r="C179" s="465"/>
      <c r="D179" s="465"/>
      <c r="E179" s="465"/>
      <c r="F179" s="465"/>
      <c r="G179" s="465"/>
      <c r="H179" s="466" t="str">
        <f>IF($AF$8=1,$E$9,IF($AF$10=1,$E$11,IF($AF$12=1,$E$13,IF($AF$14=1,$E$15,IF($AF$16=1,$E$17,"1st Place "&amp;$A179)))))</f>
        <v>fj3charl3pm</v>
      </c>
      <c r="I179" s="466"/>
      <c r="J179" s="466"/>
      <c r="K179" s="467"/>
      <c r="L179" s="464" t="str">
        <f>IF($AF$8=2,$E$8,IF($AF$10=2,$E$10,IF($AF$12=2,$E$12,IF($AF$14=2,$E$14,IF($AF$16=2,$E$16,"2nd Place "&amp;$A179)))))</f>
        <v>Sumter VBC 13</v>
      </c>
      <c r="M179" s="465"/>
      <c r="N179" s="465"/>
      <c r="O179" s="465"/>
      <c r="P179" s="465"/>
      <c r="Q179" s="465"/>
      <c r="R179" s="466" t="str">
        <f>IF($AF$8=2,$E$9,IF($AF$10=2,$E$11,IF($AF$12=2,$E$13,IF($AF$14=2,$E$15,IF($AF$16=2,$E$17,"2nd Place "&amp;$A179)))))</f>
        <v>fj3sumtr1pm</v>
      </c>
      <c r="S179" s="466"/>
      <c r="T179" s="466"/>
      <c r="U179" s="467"/>
      <c r="V179" s="464" t="str">
        <f>IF($AF$8=3,$E$8,IF($AF$10=3,$E$10,IF($AF$12=3,$E$12,IF($AF$14=3,$E$14,IF($AF$16=3,$E$16,"3rd Place "&amp;$A179)))))</f>
        <v>High Velocity 13's</v>
      </c>
      <c r="W179" s="465"/>
      <c r="X179" s="465"/>
      <c r="Y179" s="465"/>
      <c r="Z179" s="465"/>
      <c r="AA179" s="465"/>
      <c r="AB179" s="466" t="str">
        <f>IF($AF$8=3,$E$9,IF($AF$10=3,$E$11,IF($AF$12=3,$E$13,IF($AF$14=3,$E$15,IF($AF$16=3,$E$17,"3rd Place "&amp;$A179)))))</f>
        <v>fj3hvelo1pm</v>
      </c>
      <c r="AC179" s="466"/>
      <c r="AD179" s="466"/>
      <c r="AE179" s="467"/>
      <c r="AF179" s="464" t="str">
        <f>IF($AF$8=4,$E$8,IF($AF$10=4,$E$10,IF($AF$12=4,$E$12,IF($AF$14=4,$E$14,IF($AF$16=4,$E$16,"4th Place "&amp;$A179)))))</f>
        <v>SC Midlands 13 Garnet</v>
      </c>
      <c r="AG179" s="465"/>
      <c r="AH179" s="465"/>
      <c r="AI179" s="465"/>
      <c r="AJ179" s="465"/>
      <c r="AK179" s="465"/>
      <c r="AL179" s="466" t="str">
        <f>IF($AF$8=4,$E$9,IF($AF$10=4,$E$11,IF($AF$12=4,$E$13,IF($AF$14=4,$E$15,IF($AF$16=4,$E$17,"4th Place "&amp;$A179)))))</f>
        <v>fj3scmid3pm</v>
      </c>
      <c r="AM179" s="466"/>
      <c r="AN179" s="466"/>
      <c r="AO179" s="467"/>
    </row>
    <row r="180" spans="1:53" ht="13.5" thickBot="1" x14ac:dyDescent="0.25">
      <c r="A180" s="211" t="s">
        <v>126</v>
      </c>
      <c r="B180" s="468" t="str">
        <f>IF($AF$93=1,$E$93,IF($AF$95=1,$E$95,IF($AF$97=1,$E$97,IF($AF$99=1,$E$99,IF($AF$101=1,$E$101,"1st Place "&amp;$A180)))))</f>
        <v>RHVC 13 Club Jade</v>
      </c>
      <c r="C180" s="469"/>
      <c r="D180" s="469"/>
      <c r="E180" s="469"/>
      <c r="F180" s="469"/>
      <c r="G180" s="469"/>
      <c r="H180" s="470" t="str">
        <f>IF($AF$93=1,$E$94,IF($AF$95=1,$E$96,IF($AF$97=1,$E$98,IF($AF$99=1,$E$100,IF($AF$101=1,$E$102,"1st Place "&amp;$A180)))))</f>
        <v>fj3rockh1pm</v>
      </c>
      <c r="I180" s="470"/>
      <c r="J180" s="470"/>
      <c r="K180" s="471"/>
      <c r="L180" s="468" t="str">
        <f>IF($AF$93=2,$E$93,IF($AF$95=2,$E$95,IF($AF$97=2,$E$97,IF($AF$99=2,$E$99,IF($AF$101=2,$E$101,"2nd Place "&amp;$A180)))))</f>
        <v>SC Midlands 13 Black</v>
      </c>
      <c r="M180" s="469"/>
      <c r="N180" s="469"/>
      <c r="O180" s="469"/>
      <c r="P180" s="469"/>
      <c r="Q180" s="469"/>
      <c r="R180" s="470" t="str">
        <f>IF($AF$93=2,$E$94,IF($AF$95=2,$E$96,IF($AF$97=2,$E$98,IF($AF$99=2,$E$100,IF($AF$101=2,$E$102,"2nd Place "&amp;$A180)))))</f>
        <v>fj3scmid2pm</v>
      </c>
      <c r="S180" s="470"/>
      <c r="T180" s="470"/>
      <c r="U180" s="471"/>
      <c r="V180" s="468" t="str">
        <f>IF($AF$93=3,$E$93,IF($AF$95=3,$E$95,IF($AF$97=3,$E$97,IF($AF$99=3,$E$99,IF($AF$101=3,$E$101,"3rd Place "&amp;$A180)))))</f>
        <v>CSRA Heat 13 Red</v>
      </c>
      <c r="W180" s="469"/>
      <c r="X180" s="469"/>
      <c r="Y180" s="469"/>
      <c r="Z180" s="469"/>
      <c r="AA180" s="469"/>
      <c r="AB180" s="470" t="str">
        <f>IF($AF$93=3,$E$94,IF($AF$95=3,$E$96,IF($AF$97=3,$E$98,IF($AF$99=3,$E$100,IF($AF$101=3,$E$102,"3rd Place "&amp;$A180)))))</f>
        <v>fj3csrah3pm</v>
      </c>
      <c r="AC180" s="470"/>
      <c r="AD180" s="470"/>
      <c r="AE180" s="471"/>
      <c r="AF180" s="468" t="str">
        <f>IF($AF$93=4,$E$93,IF($AF$95=4,$E$95,IF($AF$97=4,$E$97,IF($AF$99=4,$E$99,IF($AF$101=4,$E$101,"4th Place "&amp;$A180)))))</f>
        <v>Coastal 13 Wave</v>
      </c>
      <c r="AG180" s="469"/>
      <c r="AH180" s="469"/>
      <c r="AI180" s="469"/>
      <c r="AJ180" s="469"/>
      <c r="AK180" s="469"/>
      <c r="AL180" s="470" t="str">
        <f>IF($AF$93=4,$E$94,IF($AF$95=4,$E$96,IF($AF$97=4,$E$98,IF($AF$99=4,$E$100,IF($AF$101=4,$E$102,"4th Place "&amp;$A180)))))</f>
        <v>fj3ccoas1pm</v>
      </c>
      <c r="AM180" s="470"/>
      <c r="AN180" s="470"/>
      <c r="AO180" s="471"/>
    </row>
    <row r="181" spans="1:53" s="133" customFormat="1" x14ac:dyDescent="0.2">
      <c r="A181" s="212"/>
      <c r="B181" s="213"/>
      <c r="C181" s="213"/>
      <c r="D181" s="213"/>
      <c r="E181" s="213"/>
      <c r="F181" s="213"/>
      <c r="G181" s="213"/>
      <c r="H181" s="213"/>
      <c r="I181" s="213"/>
      <c r="J181" s="213"/>
      <c r="K181" s="213"/>
      <c r="L181" s="213"/>
      <c r="M181" s="213"/>
      <c r="N181" s="213"/>
      <c r="O181" s="213"/>
      <c r="P181" s="213"/>
      <c r="Q181" s="213"/>
      <c r="R181" s="213"/>
      <c r="S181" s="213"/>
      <c r="T181" s="213"/>
      <c r="U181" s="213"/>
      <c r="V181" s="213"/>
      <c r="W181" s="213"/>
      <c r="X181" s="213"/>
      <c r="Y181" s="213"/>
      <c r="Z181" s="213"/>
      <c r="AA181" s="213"/>
      <c r="AB181" s="213"/>
      <c r="AC181" s="213"/>
      <c r="AD181" s="213"/>
      <c r="AE181" s="213"/>
      <c r="AF181" s="213"/>
      <c r="AG181" s="213"/>
      <c r="AH181" s="213"/>
      <c r="AI181" s="213"/>
      <c r="AJ181" s="213"/>
      <c r="AK181" s="213"/>
      <c r="AL181" s="213"/>
      <c r="AM181" s="213"/>
      <c r="AN181" s="213"/>
      <c r="AO181" s="213"/>
      <c r="AZ181" s="134"/>
      <c r="BA181" s="134"/>
    </row>
    <row r="182" spans="1:53" ht="15.75" x14ac:dyDescent="0.25">
      <c r="A182" s="472" t="s">
        <v>127</v>
      </c>
      <c r="B182" s="472"/>
      <c r="C182" s="472"/>
      <c r="D182" s="472"/>
      <c r="E182" s="472"/>
      <c r="F182" s="472"/>
      <c r="G182" s="472"/>
      <c r="H182" s="472"/>
      <c r="I182" s="472"/>
      <c r="J182" s="472"/>
      <c r="K182" s="472"/>
      <c r="L182" s="472"/>
      <c r="M182" s="472"/>
      <c r="N182" s="472"/>
      <c r="O182" s="472"/>
      <c r="P182" s="472"/>
      <c r="Q182" s="472"/>
      <c r="R182" s="472"/>
      <c r="S182" s="472"/>
      <c r="T182" s="472"/>
      <c r="U182" s="472"/>
      <c r="V182" s="472"/>
      <c r="W182" s="472"/>
      <c r="X182" s="472"/>
      <c r="Y182" s="472"/>
      <c r="Z182" s="472"/>
      <c r="AA182" s="472"/>
      <c r="AB182" s="472"/>
      <c r="AC182" s="472"/>
      <c r="AD182" s="472"/>
      <c r="AE182" s="472"/>
      <c r="AF182" s="472"/>
      <c r="AG182" s="472"/>
      <c r="AH182" s="472"/>
      <c r="AI182" s="472"/>
      <c r="AJ182" s="472"/>
      <c r="AK182" s="472"/>
      <c r="AL182" s="472"/>
      <c r="AM182" s="472"/>
      <c r="AN182" s="472"/>
      <c r="AO182" s="472"/>
      <c r="AP182" s="472"/>
      <c r="AQ182" s="472"/>
      <c r="AT182" s="214"/>
      <c r="AU182" s="214"/>
      <c r="AV182" s="214"/>
    </row>
    <row r="183" spans="1:53" ht="36" customHeight="1" x14ac:dyDescent="0.25">
      <c r="A183" s="473" t="s">
        <v>128</v>
      </c>
      <c r="B183" s="474"/>
      <c r="C183" s="474"/>
      <c r="D183" s="474"/>
      <c r="E183" s="474"/>
      <c r="F183" s="474"/>
      <c r="G183" s="474"/>
      <c r="H183" s="474"/>
      <c r="I183" s="474"/>
      <c r="J183" s="474"/>
      <c r="K183" s="474"/>
      <c r="L183" s="474"/>
      <c r="M183" s="474"/>
      <c r="N183" s="474"/>
      <c r="O183" s="474"/>
      <c r="P183" s="474"/>
      <c r="Q183" s="474"/>
      <c r="R183" s="474"/>
      <c r="S183" s="474"/>
      <c r="T183" s="474"/>
      <c r="U183" s="474"/>
      <c r="V183" s="474"/>
      <c r="W183" s="474"/>
      <c r="X183" s="474"/>
      <c r="Y183" s="474"/>
      <c r="Z183" s="474"/>
      <c r="AA183" s="474"/>
      <c r="AB183" s="474"/>
      <c r="AC183" s="474"/>
      <c r="AD183" s="474"/>
      <c r="AE183" s="474"/>
      <c r="AF183" s="474"/>
      <c r="AG183" s="474"/>
      <c r="AH183" s="474"/>
      <c r="AI183" s="474"/>
      <c r="AJ183" s="474"/>
      <c r="AK183" s="474"/>
      <c r="AL183" s="474"/>
      <c r="AM183" s="474"/>
      <c r="AN183" s="474"/>
      <c r="AO183" s="474"/>
      <c r="AP183" s="474"/>
      <c r="AQ183" s="474"/>
    </row>
    <row r="184" spans="1:53" x14ac:dyDescent="0.2">
      <c r="A184" s="475" t="s">
        <v>1116</v>
      </c>
      <c r="B184" s="475"/>
      <c r="C184" s="475"/>
      <c r="D184" s="475"/>
      <c r="E184" s="475"/>
      <c r="F184" s="475"/>
      <c r="G184" s="475"/>
      <c r="H184" s="475"/>
      <c r="I184" s="475"/>
      <c r="J184" s="475"/>
      <c r="K184" s="475"/>
      <c r="L184" s="475"/>
      <c r="M184" s="475"/>
      <c r="N184" s="475"/>
      <c r="O184" s="475"/>
      <c r="P184" s="475"/>
      <c r="Q184" s="475"/>
      <c r="R184" s="475"/>
      <c r="S184" s="475"/>
      <c r="T184" s="475"/>
      <c r="U184" s="475"/>
      <c r="V184" s="475"/>
      <c r="W184" s="475"/>
      <c r="X184" s="475"/>
      <c r="Y184" s="475"/>
      <c r="Z184" s="475"/>
      <c r="AA184" s="475"/>
      <c r="AB184" s="475"/>
      <c r="AC184" s="475"/>
      <c r="AD184" s="475"/>
      <c r="AE184" s="475"/>
      <c r="AF184" s="475"/>
      <c r="AG184" s="475"/>
      <c r="AH184" s="475"/>
      <c r="AI184" s="475"/>
      <c r="AJ184" s="475"/>
      <c r="AK184" s="475"/>
      <c r="AL184" s="475"/>
      <c r="AM184" s="475"/>
      <c r="AN184" s="475"/>
      <c r="AO184" s="475"/>
      <c r="AP184" s="475"/>
      <c r="AQ184" s="475"/>
    </row>
    <row r="185" spans="1:53" x14ac:dyDescent="0.2">
      <c r="A185" s="475"/>
      <c r="B185" s="475"/>
      <c r="C185" s="475"/>
      <c r="D185" s="475"/>
      <c r="E185" s="475"/>
      <c r="F185" s="475"/>
      <c r="G185" s="475"/>
      <c r="H185" s="475"/>
      <c r="I185" s="475"/>
      <c r="J185" s="475"/>
      <c r="K185" s="475"/>
      <c r="L185" s="475"/>
      <c r="M185" s="475"/>
      <c r="N185" s="475"/>
      <c r="O185" s="475"/>
      <c r="P185" s="475"/>
      <c r="Q185" s="475"/>
      <c r="R185" s="475"/>
      <c r="S185" s="475"/>
      <c r="T185" s="475"/>
      <c r="U185" s="475"/>
      <c r="V185" s="475"/>
      <c r="W185" s="475"/>
      <c r="X185" s="475"/>
      <c r="Y185" s="475"/>
      <c r="Z185" s="475"/>
      <c r="AA185" s="475"/>
      <c r="AB185" s="475"/>
      <c r="AC185" s="475"/>
      <c r="AD185" s="475"/>
      <c r="AE185" s="475"/>
      <c r="AF185" s="475"/>
      <c r="AG185" s="475"/>
      <c r="AH185" s="475"/>
      <c r="AI185" s="475"/>
      <c r="AJ185" s="475"/>
      <c r="AK185" s="475"/>
      <c r="AL185" s="475"/>
      <c r="AM185" s="475"/>
      <c r="AN185" s="475"/>
      <c r="AO185" s="475"/>
      <c r="AP185" s="475"/>
      <c r="AQ185" s="475"/>
    </row>
    <row r="186" spans="1:53" x14ac:dyDescent="0.2">
      <c r="A186" s="476" t="s">
        <v>130</v>
      </c>
      <c r="B186" s="476"/>
      <c r="C186" s="476"/>
      <c r="D186" s="476"/>
      <c r="E186" s="476"/>
      <c r="F186" s="476"/>
      <c r="G186" s="476"/>
      <c r="H186" s="476"/>
      <c r="I186" s="476"/>
      <c r="J186" s="476"/>
      <c r="K186" s="476"/>
      <c r="L186" s="215"/>
    </row>
    <row r="187" spans="1:53" x14ac:dyDescent="0.2">
      <c r="C187" s="133"/>
      <c r="D187" s="133"/>
      <c r="E187" s="133"/>
      <c r="L187" s="215"/>
    </row>
    <row r="188" spans="1:53" x14ac:dyDescent="0.2">
      <c r="A188" s="453" t="s">
        <v>131</v>
      </c>
      <c r="B188" s="453"/>
      <c r="C188" s="453"/>
      <c r="D188" s="453"/>
      <c r="E188" s="453"/>
      <c r="F188" s="453"/>
      <c r="G188" s="453"/>
      <c r="H188" s="453"/>
      <c r="I188" s="453"/>
      <c r="J188" s="453"/>
      <c r="K188" s="453"/>
      <c r="L188" s="453"/>
      <c r="M188" s="453"/>
      <c r="N188" s="453"/>
      <c r="O188" s="453"/>
      <c r="P188" s="194"/>
      <c r="R188" s="453" t="s">
        <v>132</v>
      </c>
      <c r="S188" s="453"/>
      <c r="T188" s="453"/>
      <c r="U188" s="453"/>
      <c r="V188" s="453"/>
      <c r="W188" s="453"/>
      <c r="X188" s="453"/>
      <c r="Y188" s="453"/>
      <c r="Z188" s="453"/>
      <c r="AA188" s="453"/>
      <c r="AB188" s="453"/>
      <c r="AC188" s="453"/>
      <c r="AD188" s="453"/>
      <c r="AE188" s="453"/>
      <c r="AF188" s="453"/>
    </row>
    <row r="190" spans="1:53" ht="13.5" thickBot="1" x14ac:dyDescent="0.25">
      <c r="A190" s="477" t="str">
        <f>IF(B218=1,B210,IF(B218=2,B211,IF(B218=3,B212,IF(B218=4,B213,IF(OR(B218="B",B218="b"),"BYE","invalid")))))</f>
        <v>Chas Jrs 13 White</v>
      </c>
      <c r="B190" s="477"/>
      <c r="C190" s="477"/>
      <c r="D190" s="477"/>
      <c r="E190" s="477"/>
      <c r="F190" s="219"/>
      <c r="G190" s="219"/>
      <c r="H190" s="219"/>
      <c r="I190" s="219"/>
      <c r="J190" s="219"/>
      <c r="K190" s="219"/>
      <c r="L190" s="219"/>
      <c r="M190" s="219"/>
      <c r="N190" s="219"/>
      <c r="S190" s="220"/>
      <c r="T190" s="220"/>
      <c r="U190" s="477" t="str">
        <f>IF(W218=1,X210,IF(W218=2,X211,IF(W218=3,X212,IF(W218=4,X213,IF(OR(W218="B",W218="b"),"BYE","invalid")))))</f>
        <v>High Velocity 13's</v>
      </c>
      <c r="V190" s="477"/>
      <c r="W190" s="477"/>
      <c r="X190" s="477"/>
      <c r="Y190" s="477"/>
      <c r="Z190" s="477"/>
      <c r="AA190" s="477"/>
      <c r="AB190" s="219"/>
      <c r="AC190" s="219"/>
      <c r="AD190" s="219"/>
      <c r="AE190" s="219"/>
    </row>
    <row r="191" spans="1:53" x14ac:dyDescent="0.2">
      <c r="A191" s="478" t="s">
        <v>133</v>
      </c>
      <c r="B191" s="478"/>
      <c r="C191" s="478"/>
      <c r="D191" s="478"/>
      <c r="E191" s="478"/>
      <c r="F191" s="222"/>
      <c r="G191" s="219"/>
      <c r="H191" s="219"/>
      <c r="I191" s="219"/>
      <c r="J191" s="219"/>
      <c r="K191" s="219"/>
      <c r="L191" s="219"/>
      <c r="M191" s="219"/>
      <c r="N191" s="219"/>
      <c r="S191" s="223"/>
      <c r="T191" s="223"/>
      <c r="U191" s="479" t="s">
        <v>134</v>
      </c>
      <c r="V191" s="479"/>
      <c r="W191" s="479"/>
      <c r="X191" s="479"/>
      <c r="Y191" s="479"/>
      <c r="Z191" s="479"/>
      <c r="AA191" s="480"/>
      <c r="AB191" s="219"/>
      <c r="AC191" s="219"/>
      <c r="AD191" s="219"/>
      <c r="AE191" s="219"/>
    </row>
    <row r="192" spans="1:53" x14ac:dyDescent="0.2">
      <c r="A192" s="219"/>
      <c r="B192" s="219"/>
      <c r="C192" s="219"/>
      <c r="D192" s="219"/>
      <c r="E192" s="219"/>
      <c r="F192" s="222"/>
      <c r="G192" s="219"/>
      <c r="H192" s="219"/>
      <c r="I192" s="219"/>
      <c r="J192" s="219"/>
      <c r="K192" s="219"/>
      <c r="L192" s="219"/>
      <c r="M192" s="219"/>
      <c r="N192" s="219"/>
      <c r="R192" s="219"/>
      <c r="S192" s="219"/>
      <c r="T192" s="219"/>
      <c r="U192" s="219"/>
      <c r="V192" s="219"/>
      <c r="W192" s="219"/>
      <c r="X192" s="219"/>
      <c r="Y192" s="219"/>
      <c r="Z192" s="219"/>
      <c r="AA192" s="286"/>
      <c r="AB192" s="219"/>
      <c r="AC192" s="219"/>
      <c r="AD192" s="219"/>
      <c r="AE192" s="219"/>
    </row>
    <row r="193" spans="1:53" ht="13.5" thickBot="1" x14ac:dyDescent="0.25">
      <c r="A193" s="479" t="str">
        <f>B212&amp;" ref"</f>
        <v>Sumter VBC 13 ref</v>
      </c>
      <c r="B193" s="479"/>
      <c r="C193" s="479"/>
      <c r="D193" s="479"/>
      <c r="E193" s="480"/>
      <c r="F193" s="481" t="str">
        <f>IF(H218=1,B210,IF(H218=2,B211,IF(H218=3,B212,IF(H218=4,B213,"Winner Match 1"))))</f>
        <v>Chas Jrs 13 White</v>
      </c>
      <c r="G193" s="482"/>
      <c r="H193" s="482"/>
      <c r="I193" s="482"/>
      <c r="J193" s="482"/>
      <c r="K193" s="482"/>
      <c r="L193" s="482"/>
      <c r="M193" s="482"/>
      <c r="N193" s="219"/>
      <c r="P193" s="227"/>
      <c r="Q193" s="227"/>
      <c r="R193" s="227"/>
      <c r="S193" s="227"/>
      <c r="T193" s="479" t="str">
        <f>X212&amp;" ref"</f>
        <v>SC Midlands 13 Garnet ref</v>
      </c>
      <c r="U193" s="479"/>
      <c r="V193" s="479"/>
      <c r="W193" s="479"/>
      <c r="X193" s="479"/>
      <c r="Y193" s="479"/>
      <c r="Z193" s="479"/>
      <c r="AA193" s="480"/>
      <c r="AB193" s="481" t="str">
        <f>IF(AC218=1,X210,IF(AC218=2,X211,IF(AC218=3,X212,IF(AC218=4,X213,"Winner Match 1"))))</f>
        <v>Coastal 13 Wave</v>
      </c>
      <c r="AC193" s="482"/>
      <c r="AD193" s="482"/>
      <c r="AE193" s="482"/>
      <c r="AF193" s="482"/>
      <c r="AG193" s="482"/>
      <c r="AH193" s="482"/>
    </row>
    <row r="194" spans="1:53" x14ac:dyDescent="0.2">
      <c r="A194" s="483" t="s">
        <v>135</v>
      </c>
      <c r="B194" s="483"/>
      <c r="C194" s="483"/>
      <c r="D194" s="483"/>
      <c r="E194" s="483"/>
      <c r="F194" s="484"/>
      <c r="G194" s="485"/>
      <c r="H194" s="485"/>
      <c r="I194" s="486"/>
      <c r="J194" s="487"/>
      <c r="K194" s="488"/>
      <c r="L194" s="488"/>
      <c r="M194" s="488"/>
      <c r="N194" s="219"/>
      <c r="O194" s="219"/>
      <c r="P194" s="226"/>
      <c r="Q194" s="137"/>
      <c r="R194" s="228"/>
      <c r="S194" s="228"/>
      <c r="T194" s="489" t="s">
        <v>136</v>
      </c>
      <c r="U194" s="489"/>
      <c r="V194" s="489"/>
      <c r="W194" s="489"/>
      <c r="X194" s="489"/>
      <c r="Y194" s="489"/>
      <c r="Z194" s="489"/>
      <c r="AA194" s="286"/>
      <c r="AB194" s="484"/>
      <c r="AC194" s="485"/>
      <c r="AD194" s="485"/>
      <c r="AE194" s="486"/>
      <c r="AF194" s="487"/>
      <c r="AG194" s="488"/>
      <c r="AH194" s="488"/>
    </row>
    <row r="195" spans="1:53" ht="13.5" thickBot="1" x14ac:dyDescent="0.25">
      <c r="A195" s="477" t="str">
        <f>IF(D218=1,B210,IF(D218=2,B211,IF(D218=3,B212,IF(D218=4,B213,IF(OR(D218="B",D218="b"),"BYE","invalid")))))</f>
        <v>SC Midlands 13 Black</v>
      </c>
      <c r="B195" s="477"/>
      <c r="C195" s="477"/>
      <c r="D195" s="477"/>
      <c r="E195" s="490"/>
      <c r="F195" s="222"/>
      <c r="G195" s="219"/>
      <c r="H195" s="219"/>
      <c r="I195" s="219"/>
      <c r="J195" s="222"/>
      <c r="K195" s="219"/>
      <c r="L195" s="219"/>
      <c r="M195" s="219"/>
      <c r="N195" s="219"/>
      <c r="O195" s="219"/>
      <c r="P195" s="219"/>
      <c r="T195" s="219"/>
      <c r="U195" s="477" t="str">
        <f>IF(Y218=1,X210,IF(Y218=2,X211,IF(Y218=3,X212,IF(Y218=4,X213,IF(OR(Y218="B",Y218="b"),"BYE","invalid")))))</f>
        <v>Coastal 13 Wave</v>
      </c>
      <c r="V195" s="477"/>
      <c r="W195" s="477"/>
      <c r="X195" s="477"/>
      <c r="Y195" s="477"/>
      <c r="Z195" s="477"/>
      <c r="AA195" s="490"/>
      <c r="AB195" s="219"/>
      <c r="AC195" s="219"/>
      <c r="AD195" s="219"/>
      <c r="AE195" s="286"/>
      <c r="AF195" s="219"/>
      <c r="AG195" s="219"/>
    </row>
    <row r="196" spans="1:53" x14ac:dyDescent="0.2">
      <c r="A196" s="478" t="s">
        <v>137</v>
      </c>
      <c r="B196" s="478"/>
      <c r="C196" s="478"/>
      <c r="D196" s="478"/>
      <c r="E196" s="478"/>
      <c r="F196" s="219"/>
      <c r="G196" s="219"/>
      <c r="H196" s="219"/>
      <c r="I196" s="219"/>
      <c r="J196" s="222"/>
      <c r="K196" s="219"/>
      <c r="L196" s="219"/>
      <c r="M196" s="219"/>
      <c r="N196" s="219"/>
      <c r="O196" s="219"/>
      <c r="P196" s="219"/>
      <c r="U196" s="491" t="s">
        <v>138</v>
      </c>
      <c r="V196" s="491"/>
      <c r="W196" s="491"/>
      <c r="X196" s="491"/>
      <c r="Y196" s="491"/>
      <c r="Z196" s="491"/>
      <c r="AA196" s="491"/>
      <c r="AB196" s="219"/>
      <c r="AC196" s="219"/>
      <c r="AD196" s="219"/>
      <c r="AE196" s="286"/>
      <c r="AF196" s="219"/>
      <c r="AG196" s="219"/>
      <c r="AQ196" s="230"/>
      <c r="AR196" s="230"/>
      <c r="AV196" s="230"/>
      <c r="AW196" s="230"/>
      <c r="AX196" s="230"/>
    </row>
    <row r="197" spans="1:53" x14ac:dyDescent="0.2">
      <c r="A197" s="219"/>
      <c r="B197" s="219"/>
      <c r="C197" s="219"/>
      <c r="D197" s="219"/>
      <c r="E197" s="219"/>
      <c r="F197" s="492" t="s">
        <v>139</v>
      </c>
      <c r="G197" s="492"/>
      <c r="H197" s="492"/>
      <c r="I197" s="493"/>
      <c r="J197" s="222"/>
      <c r="K197" s="219"/>
      <c r="L197" s="219"/>
      <c r="M197" s="219"/>
      <c r="N197" s="219"/>
      <c r="O197" s="219"/>
      <c r="P197" s="219"/>
      <c r="R197" s="219"/>
      <c r="S197" s="219"/>
      <c r="T197" s="219"/>
      <c r="U197" s="219"/>
      <c r="V197" s="219"/>
      <c r="W197" s="227"/>
      <c r="X197" s="227"/>
      <c r="Y197" s="227"/>
      <c r="AA197" s="227"/>
      <c r="AB197" s="492" t="s">
        <v>139</v>
      </c>
      <c r="AC197" s="492"/>
      <c r="AD197" s="492"/>
      <c r="AE197" s="493"/>
      <c r="AF197" s="219"/>
      <c r="AG197" s="219"/>
    </row>
    <row r="198" spans="1:53" ht="13.5" thickBot="1" x14ac:dyDescent="0.25">
      <c r="A198" s="219"/>
      <c r="B198" s="219"/>
      <c r="C198" s="219"/>
      <c r="D198" s="219"/>
      <c r="E198" s="219"/>
      <c r="F198" s="219"/>
      <c r="G198" s="219"/>
      <c r="H198" s="219"/>
      <c r="I198" s="219"/>
      <c r="J198" s="494" t="str">
        <f>IF(K223=1,B210,IF(K223=2,B211,IF(K223=3,B212,IF(K223=4,B213,"Division Winner"))))</f>
        <v>Chas Jrs 13 White</v>
      </c>
      <c r="K198" s="495"/>
      <c r="L198" s="495"/>
      <c r="M198" s="495"/>
      <c r="N198" s="495"/>
      <c r="O198" s="495"/>
      <c r="P198" s="495"/>
      <c r="Q198" s="220"/>
      <c r="R198" s="219"/>
      <c r="S198" s="219"/>
      <c r="T198" s="219"/>
      <c r="U198" s="219"/>
      <c r="V198" s="219"/>
      <c r="W198" s="219"/>
      <c r="X198" s="219"/>
      <c r="Y198" s="219"/>
      <c r="Z198" s="219"/>
      <c r="AA198" s="232"/>
      <c r="AB198" s="232"/>
      <c r="AC198" s="232"/>
      <c r="AD198" s="232"/>
      <c r="AE198" s="287"/>
      <c r="AF198" s="495" t="str">
        <f>IF(AF223=1,X210,IF(AF223=2,X211,IF(AF223=3,X212,IF(AF223=4,X213,"Division Winner"))))</f>
        <v>Coastal 13 Wave</v>
      </c>
      <c r="AG198" s="495"/>
      <c r="AH198" s="495"/>
      <c r="AI198" s="495"/>
      <c r="AJ198" s="495"/>
      <c r="AK198" s="232"/>
    </row>
    <row r="199" spans="1:53" ht="13.5" thickBot="1" x14ac:dyDescent="0.25">
      <c r="A199" s="477" t="str">
        <f>IF(E218=1,B210,IF(E218=2,B211,IF(E218=3,B212,IF(E218=4,B213,IF(OR(E218="B",E218="b"),"BYE","invalid")))))</f>
        <v>RHVC 13 Club Jade</v>
      </c>
      <c r="B199" s="477"/>
      <c r="C199" s="477"/>
      <c r="D199" s="477"/>
      <c r="E199" s="477"/>
      <c r="F199" s="483" t="s">
        <v>140</v>
      </c>
      <c r="G199" s="483"/>
      <c r="H199" s="483"/>
      <c r="I199" s="483"/>
      <c r="J199" s="496" t="s">
        <v>141</v>
      </c>
      <c r="K199" s="492"/>
      <c r="L199" s="492"/>
      <c r="M199" s="492"/>
      <c r="N199" s="492"/>
      <c r="O199" s="492"/>
      <c r="P199" s="492"/>
      <c r="R199" s="232"/>
      <c r="S199" s="232"/>
      <c r="T199" s="232"/>
      <c r="U199" s="477" t="str">
        <f>IF(Z218=1,X210,IF(Z218=2,X211,IF(Z218=3,X212,IF(Z218=4,X213,IF(OR(Z218="B",Z218="b"),"BYE","invalid")))))</f>
        <v>CSRA Heat 13 Red</v>
      </c>
      <c r="V199" s="477"/>
      <c r="W199" s="477"/>
      <c r="X199" s="477"/>
      <c r="Y199" s="477"/>
      <c r="Z199" s="477"/>
      <c r="AA199" s="477"/>
      <c r="AB199" s="483" t="s">
        <v>142</v>
      </c>
      <c r="AC199" s="483"/>
      <c r="AD199" s="483"/>
      <c r="AE199" s="497"/>
      <c r="AF199" s="498" t="s">
        <v>143</v>
      </c>
      <c r="AG199" s="499"/>
      <c r="AH199" s="499"/>
      <c r="AI199" s="499"/>
      <c r="AJ199" s="499"/>
    </row>
    <row r="200" spans="1:53" x14ac:dyDescent="0.2">
      <c r="A200" s="478" t="s">
        <v>144</v>
      </c>
      <c r="B200" s="478"/>
      <c r="C200" s="478"/>
      <c r="D200" s="478"/>
      <c r="E200" s="478"/>
      <c r="F200" s="222"/>
      <c r="G200" s="219"/>
      <c r="H200" s="219"/>
      <c r="I200" s="219"/>
      <c r="J200" s="496"/>
      <c r="K200" s="492"/>
      <c r="L200" s="492"/>
      <c r="M200" s="492"/>
      <c r="N200" s="492"/>
      <c r="O200" s="492"/>
      <c r="P200" s="492"/>
      <c r="Q200" s="219"/>
      <c r="R200" s="230"/>
      <c r="S200" s="230"/>
      <c r="T200" s="230"/>
      <c r="U200" s="479" t="s">
        <v>145</v>
      </c>
      <c r="V200" s="479"/>
      <c r="W200" s="479"/>
      <c r="X200" s="479"/>
      <c r="Y200" s="479"/>
      <c r="Z200" s="479"/>
      <c r="AA200" s="480"/>
      <c r="AB200" s="219"/>
      <c r="AC200" s="219"/>
      <c r="AD200" s="219"/>
      <c r="AE200" s="286"/>
      <c r="AF200" s="219"/>
      <c r="AG200" s="219"/>
    </row>
    <row r="201" spans="1:53" x14ac:dyDescent="0.2">
      <c r="A201" s="219"/>
      <c r="B201" s="219"/>
      <c r="C201" s="219"/>
      <c r="D201" s="219"/>
      <c r="E201" s="219"/>
      <c r="F201" s="222"/>
      <c r="G201" s="219"/>
      <c r="H201" s="219"/>
      <c r="I201" s="219"/>
      <c r="J201" s="222"/>
      <c r="K201" s="219"/>
      <c r="L201" s="219"/>
      <c r="M201" s="219"/>
      <c r="N201" s="219"/>
      <c r="P201" s="219"/>
      <c r="Q201" s="219"/>
      <c r="R201" s="219"/>
      <c r="S201" s="219"/>
      <c r="T201" s="219"/>
      <c r="U201" s="219"/>
      <c r="V201" s="219"/>
      <c r="W201" s="219"/>
      <c r="X201" s="219"/>
      <c r="Y201" s="219"/>
      <c r="Z201" s="219"/>
      <c r="AA201" s="286"/>
      <c r="AB201" s="222"/>
      <c r="AC201" s="219"/>
      <c r="AD201" s="219"/>
      <c r="AE201" s="286"/>
      <c r="AF201" s="219"/>
      <c r="AG201" s="219"/>
      <c r="AZ201" s="186"/>
      <c r="BA201" s="186"/>
    </row>
    <row r="202" spans="1:53" ht="13.5" thickBot="1" x14ac:dyDescent="0.25">
      <c r="A202" s="569" t="s">
        <v>146</v>
      </c>
      <c r="B202" s="569"/>
      <c r="C202" s="569"/>
      <c r="D202" s="569"/>
      <c r="E202" s="226"/>
      <c r="F202" s="500"/>
      <c r="G202" s="501"/>
      <c r="H202" s="501"/>
      <c r="I202" s="502"/>
      <c r="J202" s="487"/>
      <c r="K202" s="488"/>
      <c r="L202" s="488"/>
      <c r="M202" s="488"/>
      <c r="N202" s="219"/>
      <c r="Q202" s="227"/>
      <c r="R202" s="227"/>
      <c r="S202" s="227"/>
      <c r="T202" s="569" t="s">
        <v>146</v>
      </c>
      <c r="U202" s="569"/>
      <c r="V202" s="569"/>
      <c r="W202" s="569"/>
      <c r="X202" s="569"/>
      <c r="Y202" s="569"/>
      <c r="Z202" s="569"/>
      <c r="AA202" s="219"/>
      <c r="AB202" s="500"/>
      <c r="AC202" s="501"/>
      <c r="AD202" s="501"/>
      <c r="AE202" s="502"/>
      <c r="AF202" s="487"/>
      <c r="AG202" s="488"/>
      <c r="AH202" s="488"/>
      <c r="AZ202" s="186"/>
      <c r="BA202" s="186"/>
    </row>
    <row r="203" spans="1:53" x14ac:dyDescent="0.2">
      <c r="A203" s="570" t="s">
        <v>135</v>
      </c>
      <c r="B203" s="570"/>
      <c r="C203" s="570"/>
      <c r="D203" s="570"/>
      <c r="E203" s="571"/>
      <c r="F203" s="481" t="str">
        <f>IF(J218=1,B210,IF(J218=2,B211,IF(J218=3,B212,IF(J218=4,B213,"Winner Match 2"))))</f>
        <v>RHVC 13 Club Jade</v>
      </c>
      <c r="G203" s="482"/>
      <c r="H203" s="482"/>
      <c r="I203" s="482"/>
      <c r="J203" s="482"/>
      <c r="K203" s="482"/>
      <c r="L203" s="482"/>
      <c r="M203" s="482"/>
      <c r="N203" s="219"/>
      <c r="P203" s="226"/>
      <c r="Q203" s="226"/>
      <c r="S203" s="228"/>
      <c r="T203" s="483" t="s">
        <v>136</v>
      </c>
      <c r="U203" s="483"/>
      <c r="V203" s="483"/>
      <c r="W203" s="483"/>
      <c r="X203" s="483"/>
      <c r="Y203" s="483"/>
      <c r="Z203" s="483"/>
      <c r="AA203" s="286"/>
      <c r="AB203" s="481" t="str">
        <f>IF(AE218=1,X210,IF(AE218=2,X211,IF(AE218=3,X212,IF(AE218=4,X213,"Winner Match 2"))))</f>
        <v>SC Midlands 13 Garnet</v>
      </c>
      <c r="AC203" s="482"/>
      <c r="AD203" s="482"/>
      <c r="AE203" s="482"/>
      <c r="AF203" s="482"/>
      <c r="AG203" s="482"/>
      <c r="AH203" s="482"/>
      <c r="AZ203" s="186"/>
      <c r="BA203" s="186"/>
    </row>
    <row r="204" spans="1:53" ht="13.5" thickBot="1" x14ac:dyDescent="0.25">
      <c r="A204" s="477" t="str">
        <f>IF(G218=1,B210,IF(G218=2,B211,IF(G218=3,B212,IF(G218=4,B213,IF(OR(G218="B",G218="b"),"BYE","invalid")))))</f>
        <v>Sumter VBC 13</v>
      </c>
      <c r="B204" s="477"/>
      <c r="C204" s="477"/>
      <c r="D204" s="477"/>
      <c r="E204" s="490"/>
      <c r="F204" s="222"/>
      <c r="G204" s="219"/>
      <c r="H204" s="219"/>
      <c r="I204" s="219"/>
      <c r="J204" s="219"/>
      <c r="K204" s="219"/>
      <c r="L204" s="219"/>
      <c r="M204" s="219"/>
      <c r="N204" s="219"/>
      <c r="P204" s="219"/>
      <c r="Q204" s="219"/>
      <c r="R204" s="219"/>
      <c r="S204" s="232"/>
      <c r="T204" s="232"/>
      <c r="U204" s="477" t="str">
        <f>IF(AB218=1,X210,IF(AB218=2,X211,IF(AB218=3,X212,IF(AB218=4,X213,IF(OR(AB218="B",AB218="b"),"BYE","invalid")))))</f>
        <v>SC Midlands 13 Garnet</v>
      </c>
      <c r="V204" s="477"/>
      <c r="W204" s="477"/>
      <c r="X204" s="477"/>
      <c r="Y204" s="477"/>
      <c r="Z204" s="477"/>
      <c r="AA204" s="490"/>
      <c r="AB204" s="219"/>
      <c r="AC204" s="219"/>
      <c r="AD204" s="219"/>
      <c r="AE204" s="219"/>
      <c r="AZ204" s="186"/>
      <c r="BA204" s="186"/>
    </row>
    <row r="205" spans="1:53" x14ac:dyDescent="0.2">
      <c r="A205" s="478" t="s">
        <v>147</v>
      </c>
      <c r="B205" s="478"/>
      <c r="C205" s="478"/>
      <c r="D205" s="478"/>
      <c r="E205" s="478"/>
      <c r="S205" s="230"/>
      <c r="T205" s="230"/>
      <c r="U205" s="479" t="s">
        <v>148</v>
      </c>
      <c r="V205" s="479"/>
      <c r="W205" s="479"/>
      <c r="X205" s="479"/>
      <c r="Y205" s="479"/>
      <c r="Z205" s="479"/>
      <c r="AA205" s="479"/>
      <c r="AZ205" s="186"/>
      <c r="BA205" s="186"/>
    </row>
    <row r="206" spans="1:53" x14ac:dyDescent="0.2">
      <c r="AS206" s="186"/>
      <c r="AT206" s="186"/>
      <c r="AU206" s="186"/>
      <c r="AZ206" s="186"/>
      <c r="BA206" s="186"/>
    </row>
    <row r="207" spans="1:53" x14ac:dyDescent="0.2">
      <c r="AS207" s="186"/>
      <c r="AT207" s="186"/>
      <c r="AU207" s="186"/>
      <c r="AZ207" s="186"/>
      <c r="BA207" s="186"/>
    </row>
    <row r="208" spans="1:53" ht="16.5" thickBot="1" x14ac:dyDescent="0.3">
      <c r="A208" s="503" t="s">
        <v>149</v>
      </c>
      <c r="B208" s="503"/>
      <c r="C208" s="503"/>
      <c r="D208" s="503"/>
      <c r="E208" s="503"/>
      <c r="F208" s="503"/>
      <c r="G208" s="503"/>
      <c r="H208" s="503"/>
      <c r="I208" s="503"/>
      <c r="J208" s="503"/>
      <c r="Q208" s="234"/>
      <c r="R208" s="234"/>
      <c r="S208" s="234"/>
      <c r="U208" s="503" t="s">
        <v>150</v>
      </c>
      <c r="V208" s="503"/>
      <c r="W208" s="503"/>
      <c r="X208" s="503"/>
      <c r="Y208" s="503"/>
      <c r="Z208" s="503"/>
      <c r="AA208" s="503"/>
      <c r="AB208" s="503"/>
      <c r="AC208" s="503"/>
      <c r="AD208" s="503"/>
      <c r="AE208" s="503"/>
      <c r="AF208" s="503"/>
      <c r="AS208" s="186"/>
      <c r="AT208" s="186"/>
      <c r="AU208" s="186"/>
      <c r="AZ208" s="186"/>
      <c r="BA208" s="186"/>
    </row>
    <row r="209" spans="1:53" ht="13.5" thickBot="1" x14ac:dyDescent="0.25">
      <c r="A209" s="236" t="s">
        <v>151</v>
      </c>
      <c r="B209" s="504" t="s">
        <v>152</v>
      </c>
      <c r="C209" s="505"/>
      <c r="D209" s="505"/>
      <c r="E209" s="505"/>
      <c r="F209" s="505"/>
      <c r="G209" s="505"/>
      <c r="H209" s="505"/>
      <c r="I209" s="505"/>
      <c r="J209" s="506"/>
      <c r="K209" s="507" t="s">
        <v>153</v>
      </c>
      <c r="L209" s="508"/>
      <c r="M209" s="508"/>
      <c r="N209" s="508"/>
      <c r="O209" s="508"/>
      <c r="P209" s="508"/>
      <c r="Q209" s="509"/>
      <c r="U209" s="510" t="s">
        <v>151</v>
      </c>
      <c r="V209" s="511"/>
      <c r="W209" s="512"/>
      <c r="X209" s="504" t="s">
        <v>152</v>
      </c>
      <c r="Y209" s="505"/>
      <c r="Z209" s="505"/>
      <c r="AA209" s="505"/>
      <c r="AB209" s="505"/>
      <c r="AC209" s="505"/>
      <c r="AD209" s="505"/>
      <c r="AE209" s="505"/>
      <c r="AF209" s="506"/>
      <c r="AG209" s="507" t="s">
        <v>153</v>
      </c>
      <c r="AH209" s="508"/>
      <c r="AI209" s="508"/>
      <c r="AJ209" s="508"/>
      <c r="AK209" s="508"/>
      <c r="AL209" s="508"/>
      <c r="AM209" s="509"/>
      <c r="AS209" s="186"/>
      <c r="AT209" s="186"/>
      <c r="AU209" s="186"/>
      <c r="AZ209" s="186"/>
      <c r="BA209" s="186"/>
    </row>
    <row r="210" spans="1:53" ht="13.5" thickBot="1" x14ac:dyDescent="0.25">
      <c r="A210" s="236">
        <v>1</v>
      </c>
      <c r="B210" s="513" t="str">
        <f>B179</f>
        <v>Chas Jrs 13 White</v>
      </c>
      <c r="C210" s="514"/>
      <c r="D210" s="514"/>
      <c r="E210" s="514"/>
      <c r="F210" s="514"/>
      <c r="G210" s="514"/>
      <c r="H210" s="514"/>
      <c r="I210" s="514"/>
      <c r="J210" s="515"/>
      <c r="K210" s="516" t="str">
        <f>H179</f>
        <v>fj3charl3pm</v>
      </c>
      <c r="L210" s="517"/>
      <c r="M210" s="517"/>
      <c r="N210" s="517"/>
      <c r="O210" s="517"/>
      <c r="P210" s="517"/>
      <c r="Q210" s="518"/>
      <c r="U210" s="510">
        <v>1</v>
      </c>
      <c r="V210" s="511"/>
      <c r="W210" s="512"/>
      <c r="X210" s="513" t="str">
        <f>V179</f>
        <v>High Velocity 13's</v>
      </c>
      <c r="Y210" s="514"/>
      <c r="Z210" s="514"/>
      <c r="AA210" s="514"/>
      <c r="AB210" s="514"/>
      <c r="AC210" s="514"/>
      <c r="AD210" s="514"/>
      <c r="AE210" s="514"/>
      <c r="AF210" s="515"/>
      <c r="AG210" s="516" t="str">
        <f>AB179</f>
        <v>fj3hvelo1pm</v>
      </c>
      <c r="AH210" s="517"/>
      <c r="AI210" s="517"/>
      <c r="AJ210" s="517"/>
      <c r="AK210" s="517"/>
      <c r="AL210" s="517"/>
      <c r="AM210" s="518"/>
      <c r="AS210" s="186"/>
      <c r="AT210" s="186"/>
      <c r="AU210" s="186"/>
      <c r="AZ210" s="186"/>
      <c r="BA210" s="186"/>
    </row>
    <row r="211" spans="1:53" ht="13.5" thickBot="1" x14ac:dyDescent="0.25">
      <c r="A211" s="236">
        <v>2</v>
      </c>
      <c r="B211" s="513" t="str">
        <f>B180</f>
        <v>RHVC 13 Club Jade</v>
      </c>
      <c r="C211" s="514"/>
      <c r="D211" s="514"/>
      <c r="E211" s="514"/>
      <c r="F211" s="514"/>
      <c r="G211" s="514"/>
      <c r="H211" s="514"/>
      <c r="I211" s="514"/>
      <c r="J211" s="515"/>
      <c r="K211" s="516" t="str">
        <f>H180</f>
        <v>fj3rockh1pm</v>
      </c>
      <c r="L211" s="517"/>
      <c r="M211" s="517"/>
      <c r="N211" s="517"/>
      <c r="O211" s="517"/>
      <c r="P211" s="517"/>
      <c r="Q211" s="518"/>
      <c r="U211" s="510">
        <v>2</v>
      </c>
      <c r="V211" s="511"/>
      <c r="W211" s="512"/>
      <c r="X211" s="513" t="str">
        <f>V180</f>
        <v>CSRA Heat 13 Red</v>
      </c>
      <c r="Y211" s="514"/>
      <c r="Z211" s="514"/>
      <c r="AA211" s="514"/>
      <c r="AB211" s="514"/>
      <c r="AC211" s="514"/>
      <c r="AD211" s="514"/>
      <c r="AE211" s="514"/>
      <c r="AF211" s="515"/>
      <c r="AG211" s="516" t="str">
        <f>AB180</f>
        <v>fj3csrah3pm</v>
      </c>
      <c r="AH211" s="517"/>
      <c r="AI211" s="517"/>
      <c r="AJ211" s="517"/>
      <c r="AK211" s="517"/>
      <c r="AL211" s="517"/>
      <c r="AM211" s="518"/>
      <c r="AS211" s="186"/>
      <c r="AT211" s="186"/>
      <c r="AU211" s="186"/>
      <c r="AZ211" s="186"/>
      <c r="BA211" s="186"/>
    </row>
    <row r="212" spans="1:53" ht="13.5" thickBot="1" x14ac:dyDescent="0.25">
      <c r="A212" s="236">
        <v>3</v>
      </c>
      <c r="B212" s="513" t="str">
        <f>L179</f>
        <v>Sumter VBC 13</v>
      </c>
      <c r="C212" s="514"/>
      <c r="D212" s="514"/>
      <c r="E212" s="514"/>
      <c r="F212" s="514"/>
      <c r="G212" s="514"/>
      <c r="H212" s="514"/>
      <c r="I212" s="514"/>
      <c r="J212" s="515"/>
      <c r="K212" s="516" t="str">
        <f>R179</f>
        <v>fj3sumtr1pm</v>
      </c>
      <c r="L212" s="517"/>
      <c r="M212" s="517"/>
      <c r="N212" s="517"/>
      <c r="O212" s="517"/>
      <c r="P212" s="517"/>
      <c r="Q212" s="518"/>
      <c r="U212" s="510">
        <v>3</v>
      </c>
      <c r="V212" s="511"/>
      <c r="W212" s="512"/>
      <c r="X212" s="513" t="str">
        <f>AF179</f>
        <v>SC Midlands 13 Garnet</v>
      </c>
      <c r="Y212" s="514"/>
      <c r="Z212" s="514"/>
      <c r="AA212" s="514"/>
      <c r="AB212" s="514"/>
      <c r="AC212" s="514"/>
      <c r="AD212" s="514"/>
      <c r="AE212" s="514"/>
      <c r="AF212" s="515"/>
      <c r="AG212" s="516" t="str">
        <f>AL179</f>
        <v>fj3scmid3pm</v>
      </c>
      <c r="AH212" s="517"/>
      <c r="AI212" s="517"/>
      <c r="AJ212" s="517"/>
      <c r="AK212" s="517"/>
      <c r="AL212" s="517"/>
      <c r="AM212" s="518"/>
      <c r="AS212" s="186"/>
      <c r="AT212" s="186"/>
      <c r="AU212" s="186"/>
      <c r="AZ212" s="186"/>
      <c r="BA212" s="186"/>
    </row>
    <row r="213" spans="1:53" ht="13.5" thickBot="1" x14ac:dyDescent="0.25">
      <c r="A213" s="236">
        <v>4</v>
      </c>
      <c r="B213" s="513" t="str">
        <f>L180</f>
        <v>SC Midlands 13 Black</v>
      </c>
      <c r="C213" s="514"/>
      <c r="D213" s="514"/>
      <c r="E213" s="514"/>
      <c r="F213" s="514"/>
      <c r="G213" s="514"/>
      <c r="H213" s="514"/>
      <c r="I213" s="514"/>
      <c r="J213" s="515"/>
      <c r="K213" s="516" t="str">
        <f>R180</f>
        <v>fj3scmid2pm</v>
      </c>
      <c r="L213" s="517"/>
      <c r="M213" s="517"/>
      <c r="N213" s="517"/>
      <c r="O213" s="517"/>
      <c r="P213" s="517"/>
      <c r="Q213" s="518"/>
      <c r="U213" s="510">
        <v>4</v>
      </c>
      <c r="V213" s="511"/>
      <c r="W213" s="512"/>
      <c r="X213" s="513" t="str">
        <f>AF180</f>
        <v>Coastal 13 Wave</v>
      </c>
      <c r="Y213" s="514"/>
      <c r="Z213" s="514"/>
      <c r="AA213" s="514"/>
      <c r="AB213" s="514"/>
      <c r="AC213" s="514"/>
      <c r="AD213" s="514"/>
      <c r="AE213" s="514"/>
      <c r="AF213" s="515"/>
      <c r="AG213" s="516" t="str">
        <f>AL180</f>
        <v>fj3ccoas1pm</v>
      </c>
      <c r="AH213" s="517"/>
      <c r="AI213" s="517"/>
      <c r="AJ213" s="517"/>
      <c r="AK213" s="517"/>
      <c r="AL213" s="517"/>
      <c r="AM213" s="518"/>
      <c r="AS213" s="186"/>
      <c r="AT213" s="186"/>
      <c r="AU213" s="186"/>
      <c r="AZ213" s="186"/>
      <c r="BA213" s="186"/>
    </row>
    <row r="214" spans="1:53" ht="13.5" thickBot="1" x14ac:dyDescent="0.25">
      <c r="AS214" s="186"/>
      <c r="AT214" s="186"/>
      <c r="AU214" s="186"/>
      <c r="AZ214" s="186"/>
      <c r="BA214" s="186"/>
    </row>
    <row r="215" spans="1:53" x14ac:dyDescent="0.2">
      <c r="B215" s="519" t="s">
        <v>154</v>
      </c>
      <c r="C215" s="520"/>
      <c r="D215" s="521"/>
      <c r="E215" s="522" t="s">
        <v>154</v>
      </c>
      <c r="F215" s="520"/>
      <c r="G215" s="521"/>
      <c r="H215" s="522" t="s">
        <v>14</v>
      </c>
      <c r="I215" s="520"/>
      <c r="J215" s="523"/>
      <c r="K215" s="524" t="s">
        <v>155</v>
      </c>
      <c r="L215" s="525"/>
      <c r="M215" s="525"/>
      <c r="N215" s="525"/>
      <c r="O215" s="525"/>
      <c r="P215" s="525"/>
      <c r="Q215" s="526"/>
      <c r="R215" s="216"/>
      <c r="S215" s="216"/>
      <c r="T215" s="216"/>
      <c r="U215" s="216"/>
      <c r="W215" s="519" t="s">
        <v>154</v>
      </c>
      <c r="X215" s="520"/>
      <c r="Y215" s="521"/>
      <c r="Z215" s="522" t="s">
        <v>154</v>
      </c>
      <c r="AA215" s="520"/>
      <c r="AB215" s="521"/>
      <c r="AC215" s="522" t="s">
        <v>14</v>
      </c>
      <c r="AD215" s="520"/>
      <c r="AE215" s="523"/>
      <c r="AF215" s="524" t="s">
        <v>155</v>
      </c>
      <c r="AG215" s="533"/>
      <c r="AH215" s="533"/>
      <c r="AI215" s="533"/>
      <c r="AJ215" s="534"/>
      <c r="AZ215" s="186"/>
      <c r="BA215" s="186"/>
    </row>
    <row r="216" spans="1:53" x14ac:dyDescent="0.2">
      <c r="A216" s="173" t="s">
        <v>156</v>
      </c>
      <c r="B216" s="541">
        <v>3</v>
      </c>
      <c r="C216" s="542"/>
      <c r="D216" s="543"/>
      <c r="E216" s="544" t="s">
        <v>157</v>
      </c>
      <c r="F216" s="542"/>
      <c r="G216" s="543"/>
      <c r="H216" s="544" t="s">
        <v>158</v>
      </c>
      <c r="I216" s="542"/>
      <c r="J216" s="545"/>
      <c r="K216" s="527"/>
      <c r="L216" s="528"/>
      <c r="M216" s="528"/>
      <c r="N216" s="528"/>
      <c r="O216" s="528"/>
      <c r="P216" s="528"/>
      <c r="Q216" s="529"/>
      <c r="R216" s="216"/>
      <c r="S216" s="216"/>
      <c r="T216" s="546" t="s">
        <v>156</v>
      </c>
      <c r="U216" s="546"/>
      <c r="V216" s="547"/>
      <c r="W216" s="541">
        <v>3</v>
      </c>
      <c r="X216" s="542"/>
      <c r="Y216" s="543"/>
      <c r="Z216" s="544" t="s">
        <v>157</v>
      </c>
      <c r="AA216" s="542"/>
      <c r="AB216" s="543"/>
      <c r="AC216" s="544" t="s">
        <v>158</v>
      </c>
      <c r="AD216" s="542"/>
      <c r="AE216" s="545"/>
      <c r="AF216" s="535"/>
      <c r="AG216" s="536"/>
      <c r="AH216" s="536"/>
      <c r="AI216" s="536"/>
      <c r="AJ216" s="537"/>
      <c r="AZ216" s="186"/>
      <c r="BA216" s="186"/>
    </row>
    <row r="217" spans="1:53" ht="13.5" thickBot="1" x14ac:dyDescent="0.25">
      <c r="A217" s="138"/>
      <c r="B217" s="548" t="s">
        <v>68</v>
      </c>
      <c r="C217" s="446"/>
      <c r="D217" s="447"/>
      <c r="E217" s="445" t="s">
        <v>159</v>
      </c>
      <c r="F217" s="446"/>
      <c r="G217" s="447"/>
      <c r="H217" s="445" t="s">
        <v>160</v>
      </c>
      <c r="I217" s="446"/>
      <c r="J217" s="549"/>
      <c r="K217" s="530"/>
      <c r="L217" s="531"/>
      <c r="M217" s="531"/>
      <c r="N217" s="531"/>
      <c r="O217" s="531"/>
      <c r="P217" s="531"/>
      <c r="Q217" s="532"/>
      <c r="R217" s="216"/>
      <c r="S217" s="216"/>
      <c r="T217" s="550"/>
      <c r="U217" s="550"/>
      <c r="V217" s="551"/>
      <c r="W217" s="548" t="s">
        <v>68</v>
      </c>
      <c r="X217" s="446"/>
      <c r="Y217" s="447"/>
      <c r="Z217" s="445" t="s">
        <v>159</v>
      </c>
      <c r="AA217" s="446"/>
      <c r="AB217" s="447"/>
      <c r="AC217" s="445" t="s">
        <v>160</v>
      </c>
      <c r="AD217" s="446"/>
      <c r="AE217" s="549"/>
      <c r="AF217" s="538"/>
      <c r="AG217" s="539"/>
      <c r="AH217" s="539"/>
      <c r="AI217" s="539"/>
      <c r="AJ217" s="540"/>
      <c r="AZ217" s="186"/>
      <c r="BA217" s="186"/>
    </row>
    <row r="218" spans="1:53" ht="13.5" thickBot="1" x14ac:dyDescent="0.25">
      <c r="A218" s="138"/>
      <c r="B218" s="241">
        <v>1</v>
      </c>
      <c r="C218" s="242" t="s">
        <v>76</v>
      </c>
      <c r="D218" s="243">
        <v>4</v>
      </c>
      <c r="E218" s="244">
        <v>2</v>
      </c>
      <c r="F218" s="242" t="s">
        <v>76</v>
      </c>
      <c r="G218" s="243">
        <v>3</v>
      </c>
      <c r="H218" s="245">
        <f>IF(OR(AND(OR(B222&gt;0,D222&gt;0),B222&gt;D222),OR(D218="b",D218="B")),B218,IF(OR(AND(OR(B222&gt;0,D222&gt;0),D222&gt;B222),OR(B218="b",B218="B")),D218,"W1"))</f>
        <v>1</v>
      </c>
      <c r="I218" s="246" t="s">
        <v>76</v>
      </c>
      <c r="J218" s="247">
        <f>IF(OR(AND(OR(E222&gt;0,G222&gt;0),E222&gt;G222),OR(G218="b",G218="B")),E218,IF(OR(AND(OR(E222&gt;0,G222&gt;0),G222&gt;E222),OR(E218="b",E218="B")),G218,"W2"))</f>
        <v>2</v>
      </c>
      <c r="K218" s="552" t="s">
        <v>161</v>
      </c>
      <c r="L218" s="553"/>
      <c r="M218" s="553"/>
      <c r="N218" s="554"/>
      <c r="R218" s="216"/>
      <c r="S218" s="216"/>
      <c r="T218" s="550"/>
      <c r="U218" s="550"/>
      <c r="V218" s="551"/>
      <c r="W218" s="241">
        <v>1</v>
      </c>
      <c r="X218" s="242" t="s">
        <v>76</v>
      </c>
      <c r="Y218" s="243">
        <v>4</v>
      </c>
      <c r="Z218" s="244">
        <v>2</v>
      </c>
      <c r="AA218" s="242" t="s">
        <v>76</v>
      </c>
      <c r="AB218" s="243">
        <v>3</v>
      </c>
      <c r="AC218" s="245">
        <f>IF(OR(AND(OR(W222&gt;0,Y222&gt;0),W222&gt;Y222),OR(Y218="b",Y218="B")),W218,IF(OR(AND(OR(W222&gt;0,Y222&gt;0),Y222&gt;W222),OR(W218="b",W218="B")),Y218,"W1"))</f>
        <v>4</v>
      </c>
      <c r="AD218" s="246" t="s">
        <v>76</v>
      </c>
      <c r="AE218" s="247">
        <f>IF(OR(AND(OR(Z222&gt;0,AB222&gt;0),Z222&gt;AB222),OR(AB222="b",AB222="B")),Z218,IF(OR(AND(OR(Z222&gt;0,AB222&gt;0),AB222&gt;Z222),OR(Z222="b",Z222="B")),AB218,"W2"))</f>
        <v>3</v>
      </c>
      <c r="AF218" s="552" t="s">
        <v>161</v>
      </c>
      <c r="AG218" s="554"/>
      <c r="AH218" s="216"/>
      <c r="AI218" s="216"/>
      <c r="AJ218" s="216"/>
      <c r="AZ218" s="186"/>
      <c r="BA218" s="186"/>
    </row>
    <row r="219" spans="1:53" ht="13.5" hidden="1" customHeight="1" thickBot="1" x14ac:dyDescent="0.25">
      <c r="A219" s="138"/>
      <c r="B219" s="255">
        <f>IF(B223&gt;D223,1,0)</f>
        <v>1</v>
      </c>
      <c r="C219" s="256"/>
      <c r="D219" s="257">
        <f>IF(D223&gt;B223,1,0)</f>
        <v>0</v>
      </c>
      <c r="E219" s="255">
        <f>IF(E223&gt;G223,1,0)</f>
        <v>1</v>
      </c>
      <c r="F219" s="256"/>
      <c r="G219" s="257">
        <f>IF(G223&gt;E223,1,0)</f>
        <v>0</v>
      </c>
      <c r="H219" s="255">
        <f>IF(H223&gt;J223,1,0)</f>
        <v>1</v>
      </c>
      <c r="I219" s="256"/>
      <c r="J219" s="257">
        <f>IF(J223&gt;H223,1,0)</f>
        <v>0</v>
      </c>
      <c r="K219" s="258"/>
      <c r="L219" s="259"/>
      <c r="M219" s="259"/>
      <c r="N219" s="260"/>
      <c r="R219" s="216"/>
      <c r="S219" s="216"/>
      <c r="T219" s="550"/>
      <c r="U219" s="550"/>
      <c r="V219" s="551"/>
      <c r="W219" s="255">
        <f>IF(W223&gt;Y223,1,0)</f>
        <v>0</v>
      </c>
      <c r="X219" s="256"/>
      <c r="Y219" s="257">
        <f>IF(Y223&gt;W223,1,0)</f>
        <v>1</v>
      </c>
      <c r="Z219" s="255">
        <f>IF(Z223&gt;AB223,1,0)</f>
        <v>0</v>
      </c>
      <c r="AA219" s="256"/>
      <c r="AB219" s="257">
        <f>IF(AB223&gt;Z223,1,0)</f>
        <v>1</v>
      </c>
      <c r="AC219" s="255">
        <f>IF(AC223&gt;AE223,1,0)</f>
        <v>1</v>
      </c>
      <c r="AD219" s="256"/>
      <c r="AE219" s="257">
        <f>IF(AE223&gt;AC223,1,0)</f>
        <v>0</v>
      </c>
      <c r="AF219" s="285"/>
      <c r="AG219" s="284"/>
      <c r="AH219" s="216"/>
      <c r="AI219" s="216"/>
      <c r="AJ219" s="216"/>
      <c r="AZ219" s="186"/>
      <c r="BA219" s="186"/>
    </row>
    <row r="220" spans="1:53" ht="13.5" hidden="1" customHeight="1" thickBot="1" x14ac:dyDescent="0.25">
      <c r="A220" s="138"/>
      <c r="B220" s="255">
        <f>IF(B224&gt;D224,1,0)</f>
        <v>0</v>
      </c>
      <c r="C220" s="256"/>
      <c r="D220" s="257">
        <f>IF(D224&gt;B224,1,0)</f>
        <v>1</v>
      </c>
      <c r="E220" s="255">
        <f>IF(E224&gt;G224,1,0)</f>
        <v>1</v>
      </c>
      <c r="F220" s="256"/>
      <c r="G220" s="257">
        <f>IF(G224&gt;E224,1,0)</f>
        <v>0</v>
      </c>
      <c r="H220" s="255">
        <f>IF(H224&gt;J224,1,0)</f>
        <v>0</v>
      </c>
      <c r="I220" s="256"/>
      <c r="J220" s="257">
        <f>IF(J224&gt;H224,1,0)</f>
        <v>1</v>
      </c>
      <c r="K220" s="258"/>
      <c r="L220" s="259"/>
      <c r="M220" s="259"/>
      <c r="N220" s="260"/>
      <c r="R220" s="216"/>
      <c r="S220" s="216"/>
      <c r="T220" s="550"/>
      <c r="U220" s="550"/>
      <c r="V220" s="551"/>
      <c r="W220" s="255">
        <f>IF(W224&gt;Y224,1,0)</f>
        <v>1</v>
      </c>
      <c r="X220" s="256"/>
      <c r="Y220" s="257">
        <f>IF(Y224&gt;W224,1,0)</f>
        <v>0</v>
      </c>
      <c r="Z220" s="255">
        <f>IF(Z224&gt;AB224,1,0)</f>
        <v>0</v>
      </c>
      <c r="AA220" s="256"/>
      <c r="AB220" s="257">
        <f>IF(AB224&gt;Z224,1,0)</f>
        <v>1</v>
      </c>
      <c r="AC220" s="255">
        <f>IF(AC224&gt;AE224,1,0)</f>
        <v>0</v>
      </c>
      <c r="AD220" s="256"/>
      <c r="AE220" s="257">
        <f>IF(AE224&gt;AC224,1,0)</f>
        <v>1</v>
      </c>
      <c r="AF220" s="285"/>
      <c r="AG220" s="284"/>
      <c r="AH220" s="216"/>
      <c r="AI220" s="216"/>
      <c r="AJ220" s="216"/>
      <c r="AZ220" s="186"/>
      <c r="BA220" s="186"/>
    </row>
    <row r="221" spans="1:53" ht="13.5" hidden="1" customHeight="1" thickBot="1" x14ac:dyDescent="0.25">
      <c r="A221" s="138"/>
      <c r="B221" s="255">
        <f>IF(B225&gt;D225,1,0)</f>
        <v>1</v>
      </c>
      <c r="C221" s="256"/>
      <c r="D221" s="257">
        <f>IF(D225&gt;B225,1,0)</f>
        <v>0</v>
      </c>
      <c r="E221" s="255">
        <f>IF(E225&gt;G225,1,0)</f>
        <v>0</v>
      </c>
      <c r="F221" s="256"/>
      <c r="G221" s="257">
        <f>IF(G225&gt;E225,1,0)</f>
        <v>0</v>
      </c>
      <c r="H221" s="255">
        <f>IF(H225&gt;J225,1,0)</f>
        <v>1</v>
      </c>
      <c r="I221" s="256"/>
      <c r="J221" s="257">
        <f>IF(J225&gt;H225,1,0)</f>
        <v>0</v>
      </c>
      <c r="K221" s="258"/>
      <c r="L221" s="259"/>
      <c r="M221" s="259"/>
      <c r="N221" s="260"/>
      <c r="R221" s="216"/>
      <c r="S221" s="216"/>
      <c r="T221" s="550"/>
      <c r="U221" s="550"/>
      <c r="V221" s="551"/>
      <c r="W221" s="255">
        <f>IF(W225&gt;Y225,1,0)</f>
        <v>0</v>
      </c>
      <c r="X221" s="256"/>
      <c r="Y221" s="257">
        <f>IF(Y225&gt;W225,1,0)</f>
        <v>1</v>
      </c>
      <c r="Z221" s="255">
        <f>IF(Z225&gt;AB225,1,0)</f>
        <v>0</v>
      </c>
      <c r="AA221" s="256"/>
      <c r="AB221" s="257">
        <f>IF(AB225&gt;Z225,1,0)</f>
        <v>0</v>
      </c>
      <c r="AC221" s="255">
        <f>IF(AC225&gt;AE225,1,0)</f>
        <v>1</v>
      </c>
      <c r="AD221" s="256"/>
      <c r="AE221" s="257">
        <f>IF(AE225&gt;AC225,1,0)</f>
        <v>0</v>
      </c>
      <c r="AF221" s="285"/>
      <c r="AG221" s="284"/>
      <c r="AH221" s="216"/>
      <c r="AI221" s="216"/>
      <c r="AJ221" s="216"/>
      <c r="AZ221" s="186"/>
      <c r="BA221" s="186"/>
    </row>
    <row r="222" spans="1:53" ht="13.5" hidden="1" customHeight="1" thickBot="1" x14ac:dyDescent="0.25">
      <c r="A222" s="138"/>
      <c r="B222" s="255">
        <f>SUM(B219:B221)</f>
        <v>2</v>
      </c>
      <c r="C222" s="256"/>
      <c r="D222" s="255">
        <f>SUM(D219:D221)</f>
        <v>1</v>
      </c>
      <c r="E222" s="255">
        <f>SUM(E219:E221)</f>
        <v>2</v>
      </c>
      <c r="F222" s="256"/>
      <c r="G222" s="255">
        <f>SUM(G219:G221)</f>
        <v>0</v>
      </c>
      <c r="H222" s="255">
        <f>SUM(H219:H221)</f>
        <v>2</v>
      </c>
      <c r="I222" s="256"/>
      <c r="J222" s="255">
        <f>SUM(J219:J221)</f>
        <v>1</v>
      </c>
      <c r="K222" s="258"/>
      <c r="L222" s="259"/>
      <c r="M222" s="259"/>
      <c r="N222" s="260"/>
      <c r="R222" s="216"/>
      <c r="S222" s="216"/>
      <c r="T222" s="550"/>
      <c r="U222" s="550"/>
      <c r="V222" s="551"/>
      <c r="W222" s="255">
        <f>SUM(W219:W221)</f>
        <v>1</v>
      </c>
      <c r="X222" s="256"/>
      <c r="Y222" s="255">
        <f>SUM(Y219:Y221)</f>
        <v>2</v>
      </c>
      <c r="Z222" s="255">
        <f>SUM(Z219:Z221)</f>
        <v>0</v>
      </c>
      <c r="AA222" s="256"/>
      <c r="AB222" s="255">
        <f>SUM(AB219:AB221)</f>
        <v>2</v>
      </c>
      <c r="AC222" s="255">
        <f>SUM(AC219:AC221)</f>
        <v>2</v>
      </c>
      <c r="AD222" s="256"/>
      <c r="AE222" s="255">
        <f>SUM(AE219:AE221)</f>
        <v>1</v>
      </c>
      <c r="AF222" s="285"/>
      <c r="AG222" s="284"/>
      <c r="AH222" s="216"/>
      <c r="AI222" s="216"/>
      <c r="AJ222" s="216"/>
      <c r="AZ222" s="186"/>
      <c r="BA222" s="186"/>
    </row>
    <row r="223" spans="1:53" ht="12.75" customHeight="1" x14ac:dyDescent="0.2">
      <c r="A223" s="136" t="s">
        <v>77</v>
      </c>
      <c r="B223" s="261">
        <v>25</v>
      </c>
      <c r="C223" s="182" t="s">
        <v>78</v>
      </c>
      <c r="D223" s="262">
        <v>13</v>
      </c>
      <c r="E223" s="263">
        <v>25</v>
      </c>
      <c r="F223" s="182" t="s">
        <v>78</v>
      </c>
      <c r="G223" s="262">
        <v>13</v>
      </c>
      <c r="H223" s="263">
        <v>25</v>
      </c>
      <c r="I223" s="182" t="s">
        <v>78</v>
      </c>
      <c r="J223" s="264">
        <v>22</v>
      </c>
      <c r="K223" s="557">
        <f>IF(AND(OR(H222&gt;0,J222&gt;0),AND(1&lt;=H218,H218&lt;=4),AND(1&lt;=J218,J218&lt;=4)),IF(H222&gt;J222,H218,IF(J222&gt;H222,J218,"")),"")</f>
        <v>1</v>
      </c>
      <c r="L223" s="558"/>
      <c r="M223" s="558"/>
      <c r="N223" s="559"/>
      <c r="R223" s="216"/>
      <c r="S223" s="216"/>
      <c r="T223" s="217"/>
      <c r="U223" s="217"/>
      <c r="V223" s="136" t="s">
        <v>77</v>
      </c>
      <c r="W223" s="261">
        <v>23</v>
      </c>
      <c r="X223" s="182" t="s">
        <v>78</v>
      </c>
      <c r="Y223" s="262">
        <v>25</v>
      </c>
      <c r="Z223" s="263">
        <v>10</v>
      </c>
      <c r="AA223" s="182" t="s">
        <v>78</v>
      </c>
      <c r="AB223" s="262">
        <v>25</v>
      </c>
      <c r="AC223" s="263">
        <v>25</v>
      </c>
      <c r="AD223" s="182" t="s">
        <v>78</v>
      </c>
      <c r="AE223" s="264">
        <v>16</v>
      </c>
      <c r="AF223" s="557">
        <f>IF(AND(OR(AC222&gt;0,AE222&gt;0),AND(1&lt;=AC218,AC218&lt;=4),AND(1&lt;=AE218,AE218&lt;=4)),IF(AC222&gt;AE222,AC218,IF(AE222&gt;AC222,AE218,"")),"")</f>
        <v>4</v>
      </c>
      <c r="AG223" s="559"/>
      <c r="AH223" s="216"/>
      <c r="AI223" s="216"/>
      <c r="AJ223" s="216"/>
      <c r="AZ223" s="186"/>
      <c r="BA223" s="186"/>
    </row>
    <row r="224" spans="1:53" ht="12.75" customHeight="1" x14ac:dyDescent="0.2">
      <c r="A224" s="136" t="s">
        <v>162</v>
      </c>
      <c r="B224" s="261">
        <v>16</v>
      </c>
      <c r="C224" s="182" t="s">
        <v>78</v>
      </c>
      <c r="D224" s="262">
        <v>25</v>
      </c>
      <c r="E224" s="263">
        <v>25</v>
      </c>
      <c r="F224" s="182" t="s">
        <v>78</v>
      </c>
      <c r="G224" s="262">
        <v>20</v>
      </c>
      <c r="H224" s="263">
        <v>21</v>
      </c>
      <c r="I224" s="182" t="s">
        <v>78</v>
      </c>
      <c r="J224" s="264">
        <v>25</v>
      </c>
      <c r="K224" s="560"/>
      <c r="L224" s="561"/>
      <c r="M224" s="561"/>
      <c r="N224" s="562"/>
      <c r="R224" s="216"/>
      <c r="S224" s="216"/>
      <c r="T224" s="217"/>
      <c r="U224" s="217"/>
      <c r="V224" s="136" t="s">
        <v>162</v>
      </c>
      <c r="W224" s="261">
        <v>25</v>
      </c>
      <c r="X224" s="182" t="s">
        <v>78</v>
      </c>
      <c r="Y224" s="262">
        <v>13</v>
      </c>
      <c r="Z224" s="263">
        <v>17</v>
      </c>
      <c r="AA224" s="182" t="s">
        <v>78</v>
      </c>
      <c r="AB224" s="262">
        <v>25</v>
      </c>
      <c r="AC224" s="263">
        <v>21</v>
      </c>
      <c r="AD224" s="182" t="s">
        <v>78</v>
      </c>
      <c r="AE224" s="264">
        <v>25</v>
      </c>
      <c r="AF224" s="560"/>
      <c r="AG224" s="562"/>
      <c r="AH224" s="216"/>
      <c r="AI224" s="216"/>
      <c r="AJ224" s="216"/>
      <c r="AZ224" s="186"/>
      <c r="BA224" s="186"/>
    </row>
    <row r="225" spans="1:77" ht="13.5" customHeight="1" thickBot="1" x14ac:dyDescent="0.25">
      <c r="A225" s="136" t="s">
        <v>163</v>
      </c>
      <c r="B225" s="269">
        <v>15</v>
      </c>
      <c r="C225" s="270" t="s">
        <v>78</v>
      </c>
      <c r="D225" s="271">
        <v>8</v>
      </c>
      <c r="E225" s="272"/>
      <c r="F225" s="270" t="s">
        <v>78</v>
      </c>
      <c r="G225" s="271"/>
      <c r="H225" s="272">
        <v>15</v>
      </c>
      <c r="I225" s="270" t="s">
        <v>78</v>
      </c>
      <c r="J225" s="273">
        <v>13</v>
      </c>
      <c r="K225" s="563"/>
      <c r="L225" s="564"/>
      <c r="M225" s="564"/>
      <c r="N225" s="565"/>
      <c r="R225" s="216"/>
      <c r="S225" s="216"/>
      <c r="T225" s="217"/>
      <c r="U225" s="217"/>
      <c r="V225" s="136" t="s">
        <v>163</v>
      </c>
      <c r="W225" s="269">
        <v>8</v>
      </c>
      <c r="X225" s="270" t="s">
        <v>78</v>
      </c>
      <c r="Y225" s="271">
        <v>15</v>
      </c>
      <c r="Z225" s="272"/>
      <c r="AA225" s="270" t="s">
        <v>78</v>
      </c>
      <c r="AB225" s="271"/>
      <c r="AC225" s="272">
        <v>15</v>
      </c>
      <c r="AD225" s="270" t="s">
        <v>78</v>
      </c>
      <c r="AE225" s="273">
        <v>11</v>
      </c>
      <c r="AF225" s="563"/>
      <c r="AG225" s="565"/>
      <c r="AH225" s="216"/>
      <c r="AI225" s="216"/>
      <c r="AJ225" s="216"/>
      <c r="AZ225" s="186"/>
      <c r="BA225" s="186"/>
    </row>
    <row r="226" spans="1:77" hidden="1" x14ac:dyDescent="0.2">
      <c r="B226" s="133"/>
      <c r="C226" s="221" t="s">
        <v>112</v>
      </c>
      <c r="D226" s="133" t="s">
        <v>164</v>
      </c>
      <c r="E226" s="133"/>
      <c r="F226" s="221"/>
      <c r="G226" s="134" t="s">
        <v>165</v>
      </c>
      <c r="J226" s="134" t="s">
        <v>166</v>
      </c>
      <c r="W226" s="133"/>
      <c r="X226" s="221" t="s">
        <v>112</v>
      </c>
      <c r="Y226" s="133" t="s">
        <v>164</v>
      </c>
      <c r="Z226" s="133"/>
      <c r="AA226" s="221"/>
      <c r="AB226" s="134" t="s">
        <v>165</v>
      </c>
      <c r="AE226" s="134" t="s">
        <v>166</v>
      </c>
      <c r="AT226" s="134" t="str">
        <f>B227</f>
        <v>Chas Jrs 13 White</v>
      </c>
      <c r="AU226" s="134">
        <f>J227</f>
        <v>1605.5410773854333</v>
      </c>
      <c r="AW226" s="274"/>
      <c r="AX226" s="186"/>
      <c r="AY226" s="186"/>
      <c r="AZ226" s="186"/>
      <c r="BA226" s="186"/>
      <c r="BB226" s="274"/>
      <c r="BC226" s="186"/>
      <c r="BD226" s="186"/>
      <c r="BE226" s="274"/>
      <c r="BF226" s="186"/>
      <c r="BG226" s="186"/>
      <c r="BH226" s="274"/>
      <c r="BI226" s="186"/>
      <c r="BJ226" s="186"/>
      <c r="BK226" s="274"/>
      <c r="BL226" s="186"/>
      <c r="BM226" s="186"/>
      <c r="BN226" s="274"/>
      <c r="BO226" s="186"/>
      <c r="BP226" s="186"/>
      <c r="BQ226" s="274"/>
      <c r="BR226" s="186"/>
      <c r="BS226" s="186"/>
      <c r="BT226" s="274"/>
      <c r="BU226" s="186"/>
      <c r="BV226" s="186"/>
      <c r="BW226" s="274"/>
      <c r="BX226" s="186"/>
      <c r="BY226" s="186"/>
    </row>
    <row r="227" spans="1:77" hidden="1" x14ac:dyDescent="0.2">
      <c r="A227" s="134">
        <v>1</v>
      </c>
      <c r="B227" s="134" t="str">
        <f>B210</f>
        <v>Chas Jrs 13 White</v>
      </c>
      <c r="C227" s="134">
        <f>VLOOKUP(B227,AU$2:AY$22,4,FALSE)</f>
        <v>1593.0145067615651</v>
      </c>
      <c r="D227" s="134">
        <f>IF(A227=B218,B233,IF(A227=D218,D233,C227))</f>
        <v>1593.4503100873314</v>
      </c>
      <c r="G227" s="134">
        <f>IF(A227=E218,E233,IF(A227=G218,G233,D227))</f>
        <v>1593.4503100873314</v>
      </c>
      <c r="J227" s="134">
        <f>IF(A227=H218,H233,IF(A227=J218,J233,G227))</f>
        <v>1605.5410773854333</v>
      </c>
      <c r="U227" s="283"/>
      <c r="V227" s="283">
        <v>1</v>
      </c>
      <c r="W227" s="134" t="str">
        <f>X210</f>
        <v>High Velocity 13's</v>
      </c>
      <c r="X227" s="134">
        <f>VLOOKUP(W227,AU$2:AY$22,4,FALSE)</f>
        <v>1556.8834080920503</v>
      </c>
      <c r="Y227" s="134">
        <f>IF(V227=W218,W233,IF(V227=Y218,Y233,X227))</f>
        <v>1541.5139178594579</v>
      </c>
      <c r="AB227" s="134">
        <f>IF(V227=Z218,Z233,IF(V227=AB218,AB233,Y227))</f>
        <v>1541.5139178594579</v>
      </c>
      <c r="AE227" s="134">
        <f>IF(V227=AC218,AC233,IF(V227=AE218,AE233,AB227))</f>
        <v>1541.5139178594579</v>
      </c>
      <c r="AT227" s="134" t="str">
        <f>B228</f>
        <v>RHVC 13 Club Jade</v>
      </c>
      <c r="AU227" s="134">
        <f>J228</f>
        <v>1641.1631745399584</v>
      </c>
      <c r="AW227" s="274"/>
      <c r="AX227" s="186"/>
      <c r="AY227" s="186"/>
      <c r="AZ227" s="186"/>
      <c r="BA227" s="186"/>
      <c r="BB227" s="274"/>
      <c r="BC227" s="186"/>
      <c r="BD227" s="186"/>
      <c r="BE227" s="274"/>
      <c r="BF227" s="186"/>
      <c r="BG227" s="186"/>
      <c r="BH227" s="274"/>
      <c r="BI227" s="186"/>
      <c r="BJ227" s="186"/>
      <c r="BK227" s="274"/>
      <c r="BL227" s="186"/>
      <c r="BM227" s="186"/>
      <c r="BN227" s="274"/>
      <c r="BO227" s="186"/>
      <c r="BP227" s="186"/>
      <c r="BQ227" s="274"/>
      <c r="BR227" s="186"/>
      <c r="BS227" s="186"/>
      <c r="BT227" s="274"/>
      <c r="BU227" s="186"/>
      <c r="BV227" s="186"/>
      <c r="BW227" s="274"/>
      <c r="BX227" s="186"/>
      <c r="BY227" s="186"/>
    </row>
    <row r="228" spans="1:77" hidden="1" x14ac:dyDescent="0.2">
      <c r="A228" s="134">
        <v>2</v>
      </c>
      <c r="B228" s="134" t="str">
        <f>B211</f>
        <v>RHVC 13 Club Jade</v>
      </c>
      <c r="C228" s="134">
        <f>VLOOKUP(B228,AU$2:AY$22,4,FALSE)</f>
        <v>1639.7633992606277</v>
      </c>
      <c r="D228" s="134">
        <f>IF(A228=B218,B233,IF(A228=D218,D233,C228))</f>
        <v>1639.7633992606277</v>
      </c>
      <c r="G228" s="134">
        <f>IF(A228=E218,E233,IF(A228=G218,G233,D228))</f>
        <v>1653.2539418380602</v>
      </c>
      <c r="J228" s="134">
        <f>IF(A228=H218,H233,IF(A228=J218,J233,G228))</f>
        <v>1641.1631745399584</v>
      </c>
      <c r="U228" s="283"/>
      <c r="V228" s="283">
        <v>2</v>
      </c>
      <c r="W228" s="134" t="str">
        <f>X211</f>
        <v>CSRA Heat 13 Red</v>
      </c>
      <c r="X228" s="134">
        <f>VLOOKUP(W228,AU$2:AY$22,4,FALSE)</f>
        <v>1528.2348060355885</v>
      </c>
      <c r="Y228" s="134">
        <f>IF(V228=W218,W233,IF(V228=Y218,Y233,X228))</f>
        <v>1528.2348060355885</v>
      </c>
      <c r="AB228" s="134">
        <f>IF(V228=Z218,Z233,IF(V228=AB218,AB233,Y228))</f>
        <v>1506.9929479813056</v>
      </c>
      <c r="AE228" s="134">
        <f>IF(V228=AC218,AC233,IF(V228=AE218,AE233,AB228))</f>
        <v>1506.9929479813056</v>
      </c>
      <c r="AT228" s="134" t="str">
        <f>B229</f>
        <v>Sumter VBC 13</v>
      </c>
      <c r="AU228" s="134">
        <f>J229</f>
        <v>1571.3271481700851</v>
      </c>
      <c r="AW228" s="274"/>
      <c r="AX228" s="186"/>
      <c r="AY228" s="186"/>
      <c r="AZ228" s="186"/>
      <c r="BA228" s="186"/>
      <c r="BB228" s="274"/>
      <c r="BC228" s="186"/>
      <c r="BD228" s="186"/>
      <c r="BE228" s="274"/>
      <c r="BF228" s="186"/>
      <c r="BG228" s="186"/>
      <c r="BH228" s="274"/>
      <c r="BI228" s="186"/>
      <c r="BJ228" s="186"/>
      <c r="BK228" s="274"/>
      <c r="BL228" s="186"/>
      <c r="BM228" s="186"/>
      <c r="BN228" s="274"/>
      <c r="BO228" s="186"/>
      <c r="BP228" s="186"/>
      <c r="BQ228" s="274"/>
      <c r="BR228" s="186"/>
      <c r="BS228" s="186"/>
      <c r="BT228" s="274"/>
      <c r="BU228" s="186"/>
      <c r="BV228" s="186"/>
      <c r="BW228" s="274"/>
      <c r="BX228" s="186"/>
      <c r="BY228" s="186"/>
    </row>
    <row r="229" spans="1:77" hidden="1" x14ac:dyDescent="0.2">
      <c r="A229" s="134">
        <v>3</v>
      </c>
      <c r="B229" s="134" t="str">
        <f>B212</f>
        <v>Sumter VBC 13</v>
      </c>
      <c r="C229" s="134">
        <f>VLOOKUP(B229,AU$2:AY$22,4,FALSE)</f>
        <v>1584.8176907475176</v>
      </c>
      <c r="D229" s="134">
        <f>IF(A229=B218,B233,IF(A229=D218,D233,C229))</f>
        <v>1584.8176907475176</v>
      </c>
      <c r="G229" s="134">
        <f>IF(A229=E218,E233,IF(A229=G218,G233,D229))</f>
        <v>1571.3271481700851</v>
      </c>
      <c r="J229" s="134">
        <f>IF(A229=H218,H233,IF(A229=J218,J233,G229))</f>
        <v>1571.3271481700851</v>
      </c>
      <c r="U229" s="283"/>
      <c r="V229" s="283">
        <v>3</v>
      </c>
      <c r="W229" s="134" t="str">
        <f>X212</f>
        <v>SC Midlands 13 Garnet</v>
      </c>
      <c r="X229" s="134">
        <f>VLOOKUP(W229,AU$2:AY$22,4,FALSE)</f>
        <v>1410.052713146139</v>
      </c>
      <c r="Y229" s="134">
        <f>IF(V229=W218,W233,IF(V229=Y218,Y233,X229))</f>
        <v>1410.052713146139</v>
      </c>
      <c r="AB229" s="134">
        <f>IF(V229=Z218,Z233,IF(V229=AB218,AB233,Y229))</f>
        <v>1431.2945712004218</v>
      </c>
      <c r="AE229" s="134">
        <f>IF(V229=AC218,AC233,IF(V229=AE218,AE233,AB229))</f>
        <v>1425.4109540497846</v>
      </c>
      <c r="AT229" s="134" t="str">
        <f>B230</f>
        <v>SC Midlands 13 Black</v>
      </c>
      <c r="AU229" s="134">
        <f>J230</f>
        <v>1479.2171814305723</v>
      </c>
      <c r="AW229" s="274"/>
      <c r="AX229" s="186"/>
      <c r="AY229" s="186"/>
      <c r="AZ229" s="186"/>
      <c r="BA229" s="186"/>
      <c r="BB229" s="274"/>
      <c r="BC229" s="186"/>
      <c r="BD229" s="186"/>
      <c r="BE229" s="274"/>
      <c r="BF229" s="186"/>
      <c r="BG229" s="186"/>
      <c r="BH229" s="274"/>
      <c r="BI229" s="186"/>
      <c r="BJ229" s="186"/>
      <c r="BK229" s="274"/>
      <c r="BL229" s="186"/>
      <c r="BM229" s="186"/>
      <c r="BN229" s="274"/>
      <c r="BO229" s="186"/>
      <c r="BP229" s="186"/>
      <c r="BQ229" s="274"/>
      <c r="BR229" s="186"/>
      <c r="BS229" s="186"/>
      <c r="BT229" s="274"/>
      <c r="BU229" s="186"/>
      <c r="BV229" s="186"/>
      <c r="BW229" s="274"/>
      <c r="BX229" s="186"/>
      <c r="BY229" s="186"/>
    </row>
    <row r="230" spans="1:77" hidden="1" x14ac:dyDescent="0.2">
      <c r="A230" s="134">
        <v>4</v>
      </c>
      <c r="B230" s="134" t="str">
        <f>B213</f>
        <v>SC Midlands 13 Black</v>
      </c>
      <c r="C230" s="134">
        <f>VLOOKUP(B230,AU$2:AY$22,4,FALSE)</f>
        <v>1479.6529847563386</v>
      </c>
      <c r="D230" s="134">
        <f>IF(A230=B218,B233,IF(A230=D218,D233,C230))</f>
        <v>1479.2171814305723</v>
      </c>
      <c r="G230" s="134">
        <f>IF(A230=E218,E233,IF(A230=G218,G233,D230))</f>
        <v>1479.2171814305723</v>
      </c>
      <c r="J230" s="134">
        <f>IF(A230=H218,H233,IF(A230=J218,J233,G230))</f>
        <v>1479.2171814305723</v>
      </c>
      <c r="U230" s="283"/>
      <c r="V230" s="283">
        <v>4</v>
      </c>
      <c r="W230" s="134" t="str">
        <f>X213</f>
        <v>Coastal 13 Wave</v>
      </c>
      <c r="X230" s="134">
        <f>VLOOKUP(W230,AU$2:AY$22,4,FALSE)</f>
        <v>1446.6426482386462</v>
      </c>
      <c r="Y230" s="134">
        <f>IF(V230=W218,W233,IF(V230=Y218,Y233,X230))</f>
        <v>1462.0121384712386</v>
      </c>
      <c r="AB230" s="134">
        <f>IF(V230=Z218,Z233,IF(V230=AB218,AB233,Y230))</f>
        <v>1462.0121384712386</v>
      </c>
      <c r="AE230" s="134">
        <f>IF(V230=AC218,AC233,IF(V230=AE218,AE233,AB230))</f>
        <v>1467.8957556218759</v>
      </c>
      <c r="AT230" s="134" t="str">
        <f>W227</f>
        <v>High Velocity 13's</v>
      </c>
      <c r="AU230" s="134">
        <f>AE227</f>
        <v>1541.5139178594579</v>
      </c>
      <c r="AW230" s="274"/>
      <c r="AX230" s="186"/>
      <c r="AY230" s="186"/>
      <c r="AZ230" s="186"/>
      <c r="BA230" s="186"/>
      <c r="BB230" s="274"/>
      <c r="BC230" s="186"/>
      <c r="BD230" s="186"/>
      <c r="BE230" s="274"/>
      <c r="BF230" s="186"/>
      <c r="BG230" s="186"/>
      <c r="BH230" s="274"/>
      <c r="BI230" s="186"/>
      <c r="BJ230" s="186"/>
      <c r="BK230" s="274"/>
      <c r="BL230" s="186"/>
      <c r="BM230" s="186"/>
      <c r="BN230" s="274"/>
      <c r="BO230" s="186"/>
      <c r="BP230" s="186"/>
      <c r="BQ230" s="274"/>
      <c r="BR230" s="186"/>
      <c r="BS230" s="186"/>
      <c r="BT230" s="274"/>
      <c r="BU230" s="186"/>
      <c r="BV230" s="186"/>
      <c r="BW230" s="274"/>
      <c r="BX230" s="186"/>
      <c r="BY230" s="186"/>
    </row>
    <row r="231" spans="1:77" hidden="1" x14ac:dyDescent="0.2">
      <c r="A231" s="134" t="s">
        <v>114</v>
      </c>
      <c r="B231" s="134">
        <f>VLOOKUP(B218,$A227:$J230,3,FALSE)</f>
        <v>1593.0145067615651</v>
      </c>
      <c r="D231" s="134">
        <f>VLOOKUP(D218,$A227:$J230,3,FALSE)</f>
        <v>1479.6529847563386</v>
      </c>
      <c r="E231" s="134">
        <f>VLOOKUP(E218,$A227:$J230,4,FALSE)</f>
        <v>1639.7633992606277</v>
      </c>
      <c r="G231" s="134">
        <f>VLOOKUP(G218,$A227:$J230,4,FALSE)</f>
        <v>1584.8176907475176</v>
      </c>
      <c r="H231" s="134">
        <f>VLOOKUP(H218,$A227:$J230,7,FALSE)</f>
        <v>1593.4503100873314</v>
      </c>
      <c r="J231" s="134">
        <f>VLOOKUP(J218,$A227:$J230,7,FALSE)</f>
        <v>1653.2539418380602</v>
      </c>
      <c r="T231" s="566" t="s">
        <v>114</v>
      </c>
      <c r="U231" s="566"/>
      <c r="V231" s="566"/>
      <c r="W231" s="134">
        <f>VLOOKUP(W218,$V227:$AE230,3,FALSE)</f>
        <v>1556.8834080920503</v>
      </c>
      <c r="Y231" s="134">
        <f>VLOOKUP(Y218,$V227:$AE230,3,FALSE)</f>
        <v>1446.6426482386462</v>
      </c>
      <c r="Z231" s="134">
        <f>VLOOKUP(Z218,$V227:$AE230,4,FALSE)</f>
        <v>1528.2348060355885</v>
      </c>
      <c r="AB231" s="134">
        <f>VLOOKUP(AB218,$V227:$AE230,4,FALSE)</f>
        <v>1410.052713146139</v>
      </c>
      <c r="AC231" s="134">
        <f>VLOOKUP(AC218,$V227:$AE230,7,FALSE)</f>
        <v>1462.0121384712386</v>
      </c>
      <c r="AE231" s="134">
        <f>VLOOKUP(AE218,$V227:$AE230,7,FALSE)</f>
        <v>1431.2945712004218</v>
      </c>
      <c r="AT231" s="134" t="str">
        <f>W228</f>
        <v>CSRA Heat 13 Red</v>
      </c>
      <c r="AU231" s="134">
        <f>AE228</f>
        <v>1506.9929479813056</v>
      </c>
      <c r="AW231" s="274"/>
      <c r="AX231" s="186"/>
      <c r="AY231" s="186"/>
      <c r="AZ231" s="186"/>
      <c r="BA231" s="186"/>
      <c r="BB231" s="274"/>
      <c r="BC231" s="186"/>
      <c r="BD231" s="186"/>
      <c r="BE231" s="274"/>
      <c r="BF231" s="186"/>
      <c r="BG231" s="186"/>
      <c r="BH231" s="274"/>
      <c r="BI231" s="186"/>
      <c r="BJ231" s="186"/>
      <c r="BK231" s="274"/>
      <c r="BL231" s="186"/>
      <c r="BM231" s="186"/>
      <c r="BN231" s="274"/>
      <c r="BO231" s="186"/>
      <c r="BP231" s="186"/>
      <c r="BQ231" s="274"/>
      <c r="BR231" s="186"/>
      <c r="BS231" s="186"/>
      <c r="BT231" s="274"/>
      <c r="BU231" s="186"/>
      <c r="BV231" s="186"/>
      <c r="BW231" s="274"/>
      <c r="BX231" s="186"/>
      <c r="BY231" s="186"/>
    </row>
    <row r="232" spans="1:77" hidden="1" x14ac:dyDescent="0.2">
      <c r="A232" s="200" t="s">
        <v>115</v>
      </c>
      <c r="B232" s="200">
        <f>IF(OR(B222&gt;0,D222&gt;0),1/(1+(10^-((B231-D231)/400)))*(B222+D222),0)</f>
        <v>1.9727622921396022</v>
      </c>
      <c r="C232" s="200"/>
      <c r="D232" s="200">
        <f>IF(OR(B22&gt;0, D22&gt;0),1/(1+(10^-((D231-B231)/400)))*(B222+D222),0)</f>
        <v>1.027237707860398</v>
      </c>
      <c r="E232" s="200">
        <f>IF(OR(E222&gt;0,G222&gt;0),1/(1+(10^-((E231-G231)/400)))*(E222+G222),0)</f>
        <v>1.156841088910463</v>
      </c>
      <c r="F232" s="200"/>
      <c r="G232" s="200">
        <f>IF(OR(E22&gt;0, G22&gt;0),1/(1+(10^-((G231-E231)/400)))*(E222+G222),0)</f>
        <v>0.843158911089537</v>
      </c>
      <c r="H232" s="200">
        <f>IF(OR(H222&gt;0,J222&gt;0),1/(1+(10^-((H231-J231)/400)))*(H222+J222),0)</f>
        <v>1.2443270438686318</v>
      </c>
      <c r="I232" s="200"/>
      <c r="J232" s="200">
        <f>IF(OR(H22&gt;0, J22&gt;0),1/(1+(10^-((J231-H231)/400)))*(H222+J222),0)</f>
        <v>1.755672956131368</v>
      </c>
      <c r="T232" s="567" t="s">
        <v>115</v>
      </c>
      <c r="U232" s="567"/>
      <c r="V232" s="567"/>
      <c r="W232" s="200">
        <f>IF(OR(W222&gt;0,Y222&gt;0),1/(1+(10^-((W231-Y231)/400)))*(W222+Y222),0)</f>
        <v>1.9605931395370235</v>
      </c>
      <c r="X232" s="200"/>
      <c r="Y232" s="200">
        <f>IF(OR(W22&gt;0, Y22&gt;0),1/(1+(10^-((Y231-W231)/400)))*(W222+Y222),0)</f>
        <v>1.0394068604629767</v>
      </c>
      <c r="Z232" s="200">
        <f>IF(OR(Z222&gt;0,AB222&gt;0),1/(1+(10^-((Z231-AB231)/400)))*(Z222+AB222),0)</f>
        <v>1.3276161283926724</v>
      </c>
      <c r="AA232" s="200"/>
      <c r="AB232" s="200">
        <f>IF(OR(Z22&gt;0, AB22&gt;0),1/(1+(10^-((AB231-Z231)/400)))*(Z222+AB222),0)</f>
        <v>0.67238387160732749</v>
      </c>
      <c r="AC232" s="200">
        <f>IF(OR(AC222&gt;0,AE222&gt;0),1/(1+(10^-((AC231-AE231)/400)))*(AC222+AE222),0)</f>
        <v>1.632273928085173</v>
      </c>
      <c r="AD232" s="200"/>
      <c r="AE232" s="200">
        <f>IF(OR(AC22&gt;0, AE22&gt;0),1/(1+(10^-((AE231-AC231)/400)))*(AC222+AE222),0)</f>
        <v>1.3677260719148268</v>
      </c>
      <c r="AT232" s="134" t="str">
        <f>W229</f>
        <v>SC Midlands 13 Garnet</v>
      </c>
      <c r="AU232" s="134">
        <f>AE229</f>
        <v>1425.4109540497846</v>
      </c>
      <c r="AW232" s="274"/>
      <c r="AX232" s="186"/>
      <c r="AY232" s="186"/>
      <c r="AZ232" s="186"/>
      <c r="BA232" s="186"/>
      <c r="BB232" s="274"/>
      <c r="BC232" s="186"/>
      <c r="BD232" s="186"/>
      <c r="BE232" s="274"/>
      <c r="BF232" s="186"/>
      <c r="BG232" s="186"/>
      <c r="BH232" s="274"/>
      <c r="BI232" s="186"/>
      <c r="BJ232" s="186"/>
      <c r="BK232" s="274"/>
      <c r="BL232" s="186"/>
      <c r="BM232" s="186"/>
      <c r="BN232" s="274"/>
      <c r="BO232" s="186"/>
      <c r="BP232" s="186"/>
      <c r="BQ232" s="274"/>
      <c r="BR232" s="186"/>
      <c r="BS232" s="186"/>
      <c r="BT232" s="274"/>
      <c r="BU232" s="186"/>
      <c r="BV232" s="186"/>
      <c r="BW232" s="274"/>
      <c r="BX232" s="186"/>
      <c r="BY232" s="186"/>
    </row>
    <row r="233" spans="1:77" hidden="1" x14ac:dyDescent="0.2">
      <c r="A233" s="206" t="s">
        <v>116</v>
      </c>
      <c r="B233" s="206">
        <f>B231+(B222-B232)*$BA$2</f>
        <v>1593.4503100873314</v>
      </c>
      <c r="C233" s="206"/>
      <c r="D233" s="206">
        <f>D231+(D222-D232)*$BA$2</f>
        <v>1479.2171814305723</v>
      </c>
      <c r="E233" s="206">
        <f>E231+(E222-E232)*$BA$2</f>
        <v>1653.2539418380602</v>
      </c>
      <c r="G233" s="206">
        <f>G231+(G222-G232)*$BA$2</f>
        <v>1571.3271481700851</v>
      </c>
      <c r="H233" s="206">
        <f>H231+(H222-H232)*$BA$2</f>
        <v>1605.5410773854333</v>
      </c>
      <c r="J233" s="206">
        <f>J231+(J222-J232)*$BA$2</f>
        <v>1641.1631745399584</v>
      </c>
      <c r="T233" s="555" t="s">
        <v>116</v>
      </c>
      <c r="U233" s="555"/>
      <c r="V233" s="555"/>
      <c r="W233" s="206">
        <f>W231+(W222-W232)*$BA$2</f>
        <v>1541.5139178594579</v>
      </c>
      <c r="X233" s="206"/>
      <c r="Y233" s="206">
        <f>Y231+(Y222-Y232)*$BA$2</f>
        <v>1462.0121384712386</v>
      </c>
      <c r="Z233" s="206">
        <f>Z231+(Z222-Z232)*$BA$2</f>
        <v>1506.9929479813056</v>
      </c>
      <c r="AB233" s="206">
        <f>AB231+(AB222-AB232)*$BA$2</f>
        <v>1431.2945712004218</v>
      </c>
      <c r="AC233" s="206">
        <f>AC231+(AC222-AC232)*$BA$2</f>
        <v>1467.8957556218759</v>
      </c>
      <c r="AE233" s="206">
        <f>AE231+(AE222-AE232)*$BA$2</f>
        <v>1425.4109540497846</v>
      </c>
      <c r="AT233" s="134" t="str">
        <f>W230</f>
        <v>Coastal 13 Wave</v>
      </c>
      <c r="AU233" s="134">
        <f>AE230</f>
        <v>1467.8957556218759</v>
      </c>
      <c r="AW233" s="274"/>
      <c r="AX233" s="186"/>
      <c r="AY233" s="186"/>
      <c r="AZ233" s="186"/>
      <c r="BA233" s="186"/>
      <c r="BB233" s="274"/>
      <c r="BC233" s="186"/>
      <c r="BD233" s="186"/>
      <c r="BE233" s="274"/>
      <c r="BF233" s="186"/>
      <c r="BG233" s="186"/>
      <c r="BH233" s="274"/>
      <c r="BI233" s="186"/>
      <c r="BJ233" s="186"/>
      <c r="BK233" s="274"/>
      <c r="BL233" s="186"/>
      <c r="BM233" s="186"/>
      <c r="BN233" s="274"/>
      <c r="BO233" s="186"/>
      <c r="BP233" s="186"/>
      <c r="BQ233" s="274"/>
      <c r="BR233" s="186"/>
      <c r="BS233" s="186"/>
      <c r="BT233" s="274"/>
      <c r="BU233" s="186"/>
      <c r="BV233" s="186"/>
      <c r="BW233" s="274"/>
      <c r="BX233" s="186"/>
      <c r="BY233" s="186"/>
    </row>
    <row r="234" spans="1:77" x14ac:dyDescent="0.2">
      <c r="A234" s="556" t="s">
        <v>167</v>
      </c>
      <c r="B234" s="556"/>
      <c r="C234" s="556"/>
      <c r="D234" s="556"/>
      <c r="E234" s="556"/>
      <c r="F234" s="556"/>
      <c r="G234" s="556"/>
      <c r="H234" s="556"/>
      <c r="I234" s="556"/>
      <c r="J234" s="556"/>
      <c r="K234" s="556"/>
      <c r="L234" s="556"/>
      <c r="M234" s="556"/>
      <c r="R234" s="216"/>
      <c r="S234" s="216"/>
      <c r="T234" s="217"/>
      <c r="U234" s="217"/>
      <c r="V234" s="556" t="s">
        <v>167</v>
      </c>
      <c r="W234" s="556"/>
      <c r="X234" s="556"/>
      <c r="Y234" s="556"/>
      <c r="Z234" s="556"/>
      <c r="AA234" s="556"/>
      <c r="AB234" s="556"/>
      <c r="AC234" s="556"/>
      <c r="AD234" s="556"/>
      <c r="AE234" s="556"/>
      <c r="AF234" s="556"/>
      <c r="AG234" s="556"/>
      <c r="AH234" s="216"/>
      <c r="AI234" s="216"/>
      <c r="AJ234" s="216"/>
      <c r="AZ234" s="186"/>
      <c r="BA234" s="186"/>
    </row>
    <row r="235" spans="1:77" x14ac:dyDescent="0.2">
      <c r="AS235" s="186"/>
      <c r="AT235" s="186"/>
      <c r="AU235" s="186"/>
      <c r="AZ235" s="186"/>
      <c r="BA235" s="186"/>
    </row>
    <row r="236" spans="1:77" x14ac:dyDescent="0.2">
      <c r="AS236" s="186"/>
      <c r="AT236" s="186"/>
      <c r="AU236" s="186"/>
      <c r="AZ236" s="186"/>
      <c r="BA236" s="186"/>
    </row>
    <row r="237" spans="1:77" x14ac:dyDescent="0.2">
      <c r="AS237" s="186"/>
      <c r="AT237" s="186"/>
      <c r="AU237" s="186"/>
      <c r="AZ237" s="186"/>
      <c r="BA237" s="186"/>
    </row>
    <row r="238" spans="1:77" x14ac:dyDescent="0.2">
      <c r="AS238" s="186"/>
      <c r="AT238" s="186"/>
      <c r="AU238" s="186"/>
      <c r="AZ238" s="186"/>
      <c r="BA238" s="186"/>
    </row>
    <row r="239" spans="1:77" x14ac:dyDescent="0.2">
      <c r="AS239" s="186"/>
      <c r="AT239" s="186"/>
      <c r="AU239" s="186"/>
      <c r="AZ239" s="186"/>
      <c r="BA239" s="186"/>
    </row>
    <row r="240" spans="1:77" x14ac:dyDescent="0.2">
      <c r="AS240" s="186"/>
      <c r="AT240" s="186"/>
      <c r="AU240" s="186"/>
      <c r="AZ240" s="186"/>
      <c r="BA240" s="186"/>
    </row>
    <row r="241" spans="45:53" x14ac:dyDescent="0.2">
      <c r="AS241" s="186"/>
      <c r="AT241" s="186"/>
      <c r="AU241" s="186"/>
      <c r="AZ241" s="186"/>
      <c r="BA241" s="186"/>
    </row>
    <row r="242" spans="45:53" x14ac:dyDescent="0.2">
      <c r="AS242" s="186"/>
      <c r="AT242" s="186"/>
      <c r="AU242" s="186"/>
      <c r="AZ242" s="186"/>
      <c r="BA242" s="186"/>
    </row>
    <row r="243" spans="45:53" x14ac:dyDescent="0.2">
      <c r="AS243" s="186"/>
      <c r="AT243" s="186"/>
      <c r="AU243" s="186"/>
      <c r="AZ243" s="186"/>
      <c r="BA243" s="186"/>
    </row>
    <row r="244" spans="45:53" x14ac:dyDescent="0.2">
      <c r="AS244" s="186"/>
      <c r="AT244" s="186"/>
      <c r="AU244" s="186"/>
      <c r="AZ244" s="186"/>
      <c r="BA244" s="186"/>
    </row>
    <row r="245" spans="45:53" x14ac:dyDescent="0.2">
      <c r="AS245" s="186"/>
      <c r="AT245" s="186"/>
      <c r="AU245" s="186"/>
      <c r="AZ245" s="186"/>
      <c r="BA245" s="186"/>
    </row>
    <row r="246" spans="45:53" x14ac:dyDescent="0.2">
      <c r="AS246" s="186"/>
      <c r="AT246" s="186"/>
      <c r="AU246" s="186"/>
      <c r="AZ246" s="186"/>
      <c r="BA246" s="186"/>
    </row>
    <row r="247" spans="45:53" x14ac:dyDescent="0.2">
      <c r="AS247" s="186"/>
      <c r="AT247" s="186"/>
      <c r="AU247" s="186"/>
    </row>
    <row r="248" spans="45:53" x14ac:dyDescent="0.2">
      <c r="AS248" s="186"/>
      <c r="AT248" s="186"/>
      <c r="AU248" s="186"/>
      <c r="AZ248" s="193"/>
      <c r="BA248" s="193"/>
    </row>
    <row r="249" spans="45:53" x14ac:dyDescent="0.2">
      <c r="AS249" s="186"/>
      <c r="AT249" s="186"/>
      <c r="AU249" s="186"/>
      <c r="AZ249" s="193"/>
      <c r="BA249" s="193"/>
    </row>
    <row r="250" spans="45:53" x14ac:dyDescent="0.2">
      <c r="AS250" s="186"/>
      <c r="AT250" s="186"/>
      <c r="AU250" s="186"/>
      <c r="AZ250" s="193"/>
      <c r="BA250" s="193"/>
    </row>
    <row r="251" spans="45:53" x14ac:dyDescent="0.2">
      <c r="AS251" s="186"/>
      <c r="AT251" s="186"/>
      <c r="AU251" s="186"/>
      <c r="AZ251" s="193"/>
      <c r="BA251" s="193"/>
    </row>
    <row r="252" spans="45:53" x14ac:dyDescent="0.2">
      <c r="AS252" s="186"/>
      <c r="AT252" s="186"/>
      <c r="AU252" s="186"/>
      <c r="AZ252" s="193"/>
      <c r="BA252" s="193"/>
    </row>
    <row r="253" spans="45:53" x14ac:dyDescent="0.2">
      <c r="AS253" s="186"/>
      <c r="AT253" s="186"/>
      <c r="AU253" s="186"/>
      <c r="AZ253" s="193"/>
      <c r="BA253" s="193"/>
    </row>
    <row r="254" spans="45:53" x14ac:dyDescent="0.2">
      <c r="AS254" s="186"/>
      <c r="AT254" s="186"/>
      <c r="AU254" s="186"/>
      <c r="AZ254" s="193"/>
      <c r="BA254" s="193"/>
    </row>
    <row r="255" spans="45:53" x14ac:dyDescent="0.2">
      <c r="AS255" s="186"/>
      <c r="AT255" s="186"/>
      <c r="AU255" s="186"/>
      <c r="AZ255" s="193"/>
      <c r="BA255" s="193"/>
    </row>
    <row r="256" spans="45:53" x14ac:dyDescent="0.2">
      <c r="AS256" s="186"/>
      <c r="AT256" s="186"/>
      <c r="AU256" s="186"/>
      <c r="AZ256" s="203"/>
      <c r="BA256" s="203"/>
    </row>
    <row r="257" spans="45:53" x14ac:dyDescent="0.2">
      <c r="AS257" s="186"/>
      <c r="AT257" s="186"/>
      <c r="AU257" s="186"/>
      <c r="AZ257" s="209"/>
      <c r="BA257" s="209"/>
    </row>
    <row r="258" spans="45:53" x14ac:dyDescent="0.2">
      <c r="AS258" s="186"/>
      <c r="AT258" s="186"/>
      <c r="AU258" s="186"/>
      <c r="AZ258" s="209"/>
      <c r="BA258" s="209"/>
    </row>
    <row r="259" spans="45:53" x14ac:dyDescent="0.2">
      <c r="AS259" s="186"/>
      <c r="AT259" s="186"/>
      <c r="AU259" s="186"/>
      <c r="AZ259" s="193"/>
      <c r="BA259" s="193"/>
    </row>
    <row r="260" spans="45:53" x14ac:dyDescent="0.2">
      <c r="AS260" s="193"/>
      <c r="AT260" s="193"/>
      <c r="AU260" s="193"/>
      <c r="AZ260" s="193"/>
      <c r="BA260" s="193"/>
    </row>
    <row r="261" spans="45:53" x14ac:dyDescent="0.2">
      <c r="AS261" s="193"/>
      <c r="AT261" s="193"/>
      <c r="AU261" s="193"/>
    </row>
    <row r="286" spans="45:53" x14ac:dyDescent="0.2">
      <c r="AS286" s="186"/>
      <c r="AT286" s="186"/>
      <c r="AU286" s="186"/>
      <c r="AZ286" s="186"/>
      <c r="BA286" s="186"/>
    </row>
    <row r="287" spans="45:53" x14ac:dyDescent="0.2">
      <c r="AS287" s="186"/>
      <c r="AT287" s="186"/>
      <c r="AU287" s="186"/>
      <c r="AZ287" s="186"/>
      <c r="BA287" s="186"/>
    </row>
    <row r="288" spans="45:53" x14ac:dyDescent="0.2">
      <c r="AS288" s="186"/>
      <c r="AT288" s="186"/>
      <c r="AU288" s="186"/>
      <c r="AZ288" s="186"/>
      <c r="BA288" s="186"/>
    </row>
    <row r="289" spans="45:53" x14ac:dyDescent="0.2">
      <c r="AS289" s="186"/>
      <c r="AT289" s="186"/>
      <c r="AU289" s="186"/>
      <c r="AZ289" s="186"/>
      <c r="BA289" s="186"/>
    </row>
    <row r="290" spans="45:53" x14ac:dyDescent="0.2">
      <c r="AS290" s="186"/>
      <c r="AT290" s="186"/>
      <c r="AU290" s="186"/>
      <c r="AZ290" s="186"/>
      <c r="BA290" s="186"/>
    </row>
    <row r="291" spans="45:53" x14ac:dyDescent="0.2">
      <c r="AS291" s="186"/>
      <c r="AT291" s="186"/>
      <c r="AU291" s="186"/>
      <c r="AZ291" s="186"/>
      <c r="BA291" s="186"/>
    </row>
    <row r="292" spans="45:53" x14ac:dyDescent="0.2">
      <c r="AS292" s="186"/>
      <c r="AT292" s="186"/>
      <c r="AU292" s="186"/>
      <c r="AZ292" s="186"/>
      <c r="BA292" s="186"/>
    </row>
    <row r="293" spans="45:53" x14ac:dyDescent="0.2">
      <c r="AS293" s="186"/>
      <c r="AT293" s="186"/>
      <c r="AU293" s="186"/>
      <c r="AZ293" s="186"/>
      <c r="BA293" s="186"/>
    </row>
    <row r="294" spans="45:53" x14ac:dyDescent="0.2">
      <c r="AS294" s="186"/>
      <c r="AT294" s="186"/>
      <c r="AU294" s="186"/>
      <c r="AZ294" s="186"/>
      <c r="BA294" s="186"/>
    </row>
    <row r="295" spans="45:53" x14ac:dyDescent="0.2">
      <c r="AS295" s="186"/>
      <c r="AT295" s="186"/>
      <c r="AU295" s="186"/>
      <c r="AZ295" s="186"/>
      <c r="BA295" s="186"/>
    </row>
    <row r="296" spans="45:53" x14ac:dyDescent="0.2">
      <c r="AS296" s="186"/>
      <c r="AT296" s="186"/>
      <c r="AU296" s="186"/>
      <c r="AZ296" s="186"/>
      <c r="BA296" s="186"/>
    </row>
    <row r="297" spans="45:53" x14ac:dyDescent="0.2">
      <c r="AS297" s="186"/>
      <c r="AT297" s="186"/>
      <c r="AU297" s="186"/>
      <c r="AZ297" s="186"/>
      <c r="BA297" s="186"/>
    </row>
    <row r="298" spans="45:53" x14ac:dyDescent="0.2">
      <c r="AS298" s="186"/>
      <c r="AT298" s="186"/>
      <c r="AU298" s="186"/>
      <c r="AZ298" s="186"/>
      <c r="BA298" s="186"/>
    </row>
    <row r="299" spans="45:53" x14ac:dyDescent="0.2">
      <c r="AS299" s="186"/>
      <c r="AT299" s="186"/>
      <c r="AU299" s="186"/>
      <c r="AZ299" s="186"/>
      <c r="BA299" s="186"/>
    </row>
    <row r="300" spans="45:53" x14ac:dyDescent="0.2">
      <c r="AS300" s="186"/>
      <c r="AT300" s="186"/>
      <c r="AU300" s="186"/>
      <c r="AZ300" s="186"/>
      <c r="BA300" s="186"/>
    </row>
    <row r="301" spans="45:53" x14ac:dyDescent="0.2">
      <c r="AS301" s="186"/>
      <c r="AT301" s="186"/>
      <c r="AU301" s="186"/>
      <c r="AZ301" s="186"/>
      <c r="BA301" s="186"/>
    </row>
    <row r="302" spans="45:53" x14ac:dyDescent="0.2">
      <c r="AS302" s="186"/>
      <c r="AT302" s="186"/>
      <c r="AU302" s="186"/>
      <c r="AZ302" s="186"/>
      <c r="BA302" s="186"/>
    </row>
    <row r="303" spans="45:53" x14ac:dyDescent="0.2">
      <c r="AS303" s="186"/>
      <c r="AT303" s="186"/>
      <c r="AU303" s="186"/>
      <c r="AZ303" s="186"/>
      <c r="BA303" s="186"/>
    </row>
    <row r="304" spans="45:53" x14ac:dyDescent="0.2">
      <c r="AS304" s="186"/>
      <c r="AT304" s="186"/>
      <c r="AU304" s="186"/>
      <c r="AZ304" s="186"/>
      <c r="BA304" s="186"/>
    </row>
    <row r="305" spans="45:53" x14ac:dyDescent="0.2">
      <c r="AS305" s="186"/>
      <c r="AT305" s="186"/>
      <c r="AU305" s="186"/>
      <c r="AZ305" s="186"/>
      <c r="BA305" s="186"/>
    </row>
    <row r="306" spans="45:53" x14ac:dyDescent="0.2">
      <c r="AS306" s="186"/>
      <c r="AT306" s="186"/>
      <c r="AU306" s="186"/>
      <c r="AZ306" s="186"/>
      <c r="BA306" s="186"/>
    </row>
    <row r="307" spans="45:53" x14ac:dyDescent="0.2">
      <c r="AS307" s="186"/>
      <c r="AT307" s="186"/>
      <c r="AU307" s="186"/>
      <c r="AZ307" s="186"/>
      <c r="BA307" s="186"/>
    </row>
    <row r="308" spans="45:53" x14ac:dyDescent="0.2">
      <c r="AS308" s="186"/>
      <c r="AT308" s="186"/>
      <c r="AU308" s="186"/>
      <c r="AZ308" s="186"/>
      <c r="BA308" s="186"/>
    </row>
    <row r="309" spans="45:53" x14ac:dyDescent="0.2">
      <c r="AS309" s="186"/>
      <c r="AT309" s="186"/>
      <c r="AU309" s="186"/>
      <c r="AZ309" s="186"/>
      <c r="BA309" s="186"/>
    </row>
    <row r="310" spans="45:53" x14ac:dyDescent="0.2">
      <c r="AS310" s="186"/>
      <c r="AT310" s="186"/>
      <c r="AU310" s="186"/>
      <c r="AZ310" s="186"/>
      <c r="BA310" s="186"/>
    </row>
    <row r="311" spans="45:53" x14ac:dyDescent="0.2">
      <c r="AS311" s="186"/>
      <c r="AT311" s="186"/>
      <c r="AU311" s="186"/>
      <c r="AZ311" s="186"/>
      <c r="BA311" s="186"/>
    </row>
    <row r="312" spans="45:53" x14ac:dyDescent="0.2">
      <c r="AS312" s="186"/>
      <c r="AT312" s="186"/>
      <c r="AU312" s="186"/>
      <c r="AZ312" s="186"/>
      <c r="BA312" s="186"/>
    </row>
    <row r="313" spans="45:53" x14ac:dyDescent="0.2">
      <c r="AS313" s="186"/>
      <c r="AT313" s="186"/>
      <c r="AU313" s="186"/>
      <c r="AZ313" s="186"/>
      <c r="BA313" s="186"/>
    </row>
    <row r="314" spans="45:53" x14ac:dyDescent="0.2">
      <c r="AS314" s="186"/>
      <c r="AT314" s="186"/>
      <c r="AU314" s="186"/>
      <c r="AZ314" s="186"/>
      <c r="BA314" s="186"/>
    </row>
    <row r="315" spans="45:53" x14ac:dyDescent="0.2">
      <c r="AS315" s="186"/>
      <c r="AT315" s="186"/>
      <c r="AU315" s="186"/>
      <c r="AZ315" s="186"/>
      <c r="BA315" s="186"/>
    </row>
    <row r="316" spans="45:53" x14ac:dyDescent="0.2">
      <c r="AS316" s="186"/>
      <c r="AT316" s="186"/>
      <c r="AU316" s="186"/>
      <c r="AZ316" s="186"/>
      <c r="BA316" s="186"/>
    </row>
    <row r="317" spans="45:53" x14ac:dyDescent="0.2">
      <c r="AS317" s="186"/>
      <c r="AT317" s="186"/>
      <c r="AU317" s="186"/>
      <c r="AZ317" s="186"/>
      <c r="BA317" s="186"/>
    </row>
    <row r="318" spans="45:53" x14ac:dyDescent="0.2">
      <c r="AS318" s="186"/>
      <c r="AT318" s="186"/>
      <c r="AU318" s="186"/>
      <c r="AZ318" s="186"/>
      <c r="BA318" s="186"/>
    </row>
    <row r="319" spans="45:53" x14ac:dyDescent="0.2">
      <c r="AS319" s="186"/>
      <c r="AT319" s="186"/>
      <c r="AU319" s="186"/>
      <c r="AZ319" s="186"/>
      <c r="BA319" s="186"/>
    </row>
    <row r="320" spans="45:53" x14ac:dyDescent="0.2">
      <c r="AS320" s="186"/>
      <c r="AT320" s="186"/>
      <c r="AU320" s="186"/>
      <c r="AZ320" s="186"/>
      <c r="BA320" s="186"/>
    </row>
    <row r="321" spans="45:53" x14ac:dyDescent="0.2">
      <c r="AS321" s="186"/>
      <c r="AT321" s="186"/>
      <c r="AU321" s="186"/>
      <c r="AZ321" s="186"/>
      <c r="BA321" s="186"/>
    </row>
    <row r="322" spans="45:53" x14ac:dyDescent="0.2">
      <c r="AS322" s="186"/>
      <c r="AT322" s="186"/>
      <c r="AU322" s="186"/>
      <c r="AZ322" s="186"/>
      <c r="BA322" s="186"/>
    </row>
    <row r="323" spans="45:53" x14ac:dyDescent="0.2">
      <c r="AS323" s="186"/>
      <c r="AT323" s="186"/>
      <c r="AU323" s="186"/>
      <c r="AZ323" s="186"/>
      <c r="BA323" s="186"/>
    </row>
    <row r="324" spans="45:53" x14ac:dyDescent="0.2">
      <c r="AS324" s="186"/>
      <c r="AT324" s="186"/>
      <c r="AU324" s="186"/>
      <c r="AZ324" s="186"/>
      <c r="BA324" s="186"/>
    </row>
    <row r="325" spans="45:53" x14ac:dyDescent="0.2">
      <c r="AS325" s="186"/>
      <c r="AT325" s="186"/>
      <c r="AU325" s="186"/>
      <c r="AZ325" s="186"/>
      <c r="BA325" s="186"/>
    </row>
    <row r="326" spans="45:53" x14ac:dyDescent="0.2">
      <c r="AS326" s="186"/>
      <c r="AT326" s="186"/>
      <c r="AU326" s="186"/>
      <c r="AZ326" s="186"/>
      <c r="BA326" s="186"/>
    </row>
    <row r="327" spans="45:53" x14ac:dyDescent="0.2">
      <c r="AS327" s="186"/>
      <c r="AT327" s="186"/>
      <c r="AU327" s="186"/>
      <c r="AZ327" s="186"/>
      <c r="BA327" s="186"/>
    </row>
    <row r="328" spans="45:53" x14ac:dyDescent="0.2">
      <c r="AS328" s="186"/>
      <c r="AT328" s="186"/>
      <c r="AU328" s="186"/>
      <c r="AZ328" s="186"/>
      <c r="BA328" s="186"/>
    </row>
    <row r="329" spans="45:53" x14ac:dyDescent="0.2">
      <c r="AS329" s="186"/>
      <c r="AT329" s="186"/>
      <c r="AU329" s="186"/>
      <c r="AZ329" s="186"/>
      <c r="BA329" s="186"/>
    </row>
    <row r="330" spans="45:53" x14ac:dyDescent="0.2">
      <c r="AS330" s="186"/>
      <c r="AT330" s="186"/>
      <c r="AU330" s="186"/>
      <c r="AZ330" s="186"/>
      <c r="BA330" s="186"/>
    </row>
    <row r="331" spans="45:53" x14ac:dyDescent="0.2">
      <c r="AS331" s="186"/>
      <c r="AT331" s="186"/>
      <c r="AU331" s="186"/>
      <c r="AZ331" s="186"/>
      <c r="BA331" s="186"/>
    </row>
    <row r="332" spans="45:53" x14ac:dyDescent="0.2">
      <c r="AS332" s="193"/>
      <c r="AT332" s="193"/>
      <c r="AU332" s="193"/>
    </row>
    <row r="333" spans="45:53" x14ac:dyDescent="0.2">
      <c r="AS333" s="193"/>
      <c r="AT333" s="193"/>
      <c r="AU333" s="193"/>
      <c r="AZ333" s="193"/>
      <c r="BA333" s="193"/>
    </row>
    <row r="334" spans="45:53" x14ac:dyDescent="0.2">
      <c r="AZ334" s="193"/>
      <c r="BA334" s="193"/>
    </row>
    <row r="335" spans="45:53" x14ac:dyDescent="0.2">
      <c r="AZ335" s="193"/>
      <c r="BA335" s="193"/>
    </row>
    <row r="336" spans="45:53" x14ac:dyDescent="0.2">
      <c r="AZ336" s="193"/>
      <c r="BA336" s="193"/>
    </row>
    <row r="337" spans="45:53" x14ac:dyDescent="0.2">
      <c r="AZ337" s="193"/>
      <c r="BA337" s="193"/>
    </row>
    <row r="338" spans="45:53" x14ac:dyDescent="0.2">
      <c r="AZ338" s="193"/>
      <c r="BA338" s="193"/>
    </row>
    <row r="339" spans="45:53" x14ac:dyDescent="0.2">
      <c r="AZ339" s="193"/>
      <c r="BA339" s="193"/>
    </row>
    <row r="340" spans="45:53" x14ac:dyDescent="0.2">
      <c r="AZ340" s="193"/>
      <c r="BA340" s="193"/>
    </row>
    <row r="341" spans="45:53" x14ac:dyDescent="0.2">
      <c r="AZ341" s="203"/>
      <c r="BA341" s="203"/>
    </row>
    <row r="342" spans="45:53" x14ac:dyDescent="0.2">
      <c r="AZ342" s="209"/>
      <c r="BA342" s="209"/>
    </row>
    <row r="343" spans="45:53" x14ac:dyDescent="0.2">
      <c r="AZ343" s="209"/>
      <c r="BA343" s="209"/>
    </row>
    <row r="344" spans="45:53" x14ac:dyDescent="0.2">
      <c r="AZ344" s="193"/>
      <c r="BA344" s="193"/>
    </row>
    <row r="345" spans="45:53" x14ac:dyDescent="0.2">
      <c r="AZ345" s="193"/>
      <c r="BA345" s="193"/>
    </row>
    <row r="348" spans="45:53" x14ac:dyDescent="0.2">
      <c r="AS348" s="230"/>
      <c r="AT348" s="230"/>
    </row>
    <row r="371" spans="45:53" x14ac:dyDescent="0.2">
      <c r="AZ371" s="186"/>
      <c r="BA371" s="186"/>
    </row>
    <row r="372" spans="45:53" x14ac:dyDescent="0.2">
      <c r="AZ372" s="186"/>
      <c r="BA372" s="186"/>
    </row>
    <row r="373" spans="45:53" x14ac:dyDescent="0.2">
      <c r="AZ373" s="186"/>
      <c r="BA373" s="186"/>
    </row>
    <row r="374" spans="45:53" x14ac:dyDescent="0.2">
      <c r="AZ374" s="186"/>
      <c r="BA374" s="186"/>
    </row>
    <row r="375" spans="45:53" x14ac:dyDescent="0.2">
      <c r="AZ375" s="186"/>
      <c r="BA375" s="186"/>
    </row>
    <row r="376" spans="45:53" x14ac:dyDescent="0.2">
      <c r="AZ376" s="186"/>
      <c r="BA376" s="186"/>
    </row>
    <row r="377" spans="45:53" x14ac:dyDescent="0.2">
      <c r="AZ377" s="186"/>
      <c r="BA377" s="186"/>
    </row>
    <row r="378" spans="45:53" x14ac:dyDescent="0.2">
      <c r="AZ378" s="186"/>
      <c r="BA378" s="186"/>
    </row>
    <row r="379" spans="45:53" x14ac:dyDescent="0.2">
      <c r="AZ379" s="186"/>
      <c r="BA379" s="186"/>
    </row>
    <row r="380" spans="45:53" x14ac:dyDescent="0.2">
      <c r="AZ380" s="186"/>
      <c r="BA380" s="186"/>
    </row>
    <row r="381" spans="45:53" x14ac:dyDescent="0.2">
      <c r="AZ381" s="186"/>
      <c r="BA381" s="186"/>
    </row>
    <row r="382" spans="45:53" x14ac:dyDescent="0.2">
      <c r="AZ382" s="186"/>
      <c r="BA382" s="186"/>
    </row>
    <row r="383" spans="45:53" x14ac:dyDescent="0.2">
      <c r="AZ383" s="186"/>
      <c r="BA383" s="186"/>
    </row>
    <row r="384" spans="45:53" x14ac:dyDescent="0.2">
      <c r="AS384" s="230"/>
      <c r="AT384" s="230"/>
      <c r="AZ384" s="186"/>
      <c r="BA384" s="186"/>
    </row>
    <row r="385" spans="52:53" x14ac:dyDescent="0.2">
      <c r="AZ385" s="186"/>
      <c r="BA385" s="186"/>
    </row>
    <row r="386" spans="52:53" x14ac:dyDescent="0.2">
      <c r="AZ386" s="186"/>
      <c r="BA386" s="186"/>
    </row>
    <row r="387" spans="52:53" x14ac:dyDescent="0.2">
      <c r="AZ387" s="186"/>
      <c r="BA387" s="186"/>
    </row>
    <row r="388" spans="52:53" x14ac:dyDescent="0.2">
      <c r="AZ388" s="186"/>
      <c r="BA388" s="186"/>
    </row>
    <row r="389" spans="52:53" x14ac:dyDescent="0.2">
      <c r="AZ389" s="186"/>
      <c r="BA389" s="186"/>
    </row>
    <row r="390" spans="52:53" x14ac:dyDescent="0.2">
      <c r="AZ390" s="186"/>
      <c r="BA390" s="186"/>
    </row>
    <row r="391" spans="52:53" x14ac:dyDescent="0.2">
      <c r="AZ391" s="186"/>
      <c r="BA391" s="186"/>
    </row>
    <row r="392" spans="52:53" x14ac:dyDescent="0.2">
      <c r="AZ392" s="186"/>
      <c r="BA392" s="186"/>
    </row>
    <row r="393" spans="52:53" x14ac:dyDescent="0.2">
      <c r="AZ393" s="186"/>
      <c r="BA393" s="186"/>
    </row>
    <row r="394" spans="52:53" x14ac:dyDescent="0.2">
      <c r="AZ394" s="186"/>
      <c r="BA394" s="186"/>
    </row>
    <row r="395" spans="52:53" x14ac:dyDescent="0.2">
      <c r="AZ395" s="186"/>
      <c r="BA395" s="186"/>
    </row>
    <row r="396" spans="52:53" x14ac:dyDescent="0.2">
      <c r="AZ396" s="186"/>
      <c r="BA396" s="186"/>
    </row>
    <row r="397" spans="52:53" x14ac:dyDescent="0.2">
      <c r="AZ397" s="186"/>
      <c r="BA397" s="186"/>
    </row>
    <row r="398" spans="52:53" x14ac:dyDescent="0.2">
      <c r="AZ398" s="186"/>
      <c r="BA398" s="186"/>
    </row>
    <row r="399" spans="52:53" x14ac:dyDescent="0.2">
      <c r="AZ399" s="186"/>
      <c r="BA399" s="186"/>
    </row>
    <row r="400" spans="52:53" x14ac:dyDescent="0.2">
      <c r="AZ400" s="186"/>
      <c r="BA400" s="186"/>
    </row>
    <row r="401" spans="52:53" x14ac:dyDescent="0.2">
      <c r="AZ401" s="186"/>
      <c r="BA401" s="186"/>
    </row>
    <row r="402" spans="52:53" x14ac:dyDescent="0.2">
      <c r="AZ402" s="186"/>
      <c r="BA402" s="186"/>
    </row>
    <row r="403" spans="52:53" x14ac:dyDescent="0.2">
      <c r="AZ403" s="186"/>
      <c r="BA403" s="186"/>
    </row>
    <row r="404" spans="52:53" x14ac:dyDescent="0.2">
      <c r="AZ404" s="186"/>
      <c r="BA404" s="186"/>
    </row>
    <row r="405" spans="52:53" x14ac:dyDescent="0.2">
      <c r="AZ405" s="186"/>
      <c r="BA405" s="186"/>
    </row>
    <row r="406" spans="52:53" x14ac:dyDescent="0.2">
      <c r="AZ406" s="186"/>
      <c r="BA406" s="186"/>
    </row>
    <row r="407" spans="52:53" x14ac:dyDescent="0.2">
      <c r="AZ407" s="186"/>
      <c r="BA407" s="186"/>
    </row>
    <row r="408" spans="52:53" x14ac:dyDescent="0.2">
      <c r="AZ408" s="186"/>
      <c r="BA408" s="186"/>
    </row>
    <row r="409" spans="52:53" x14ac:dyDescent="0.2">
      <c r="AZ409" s="186"/>
      <c r="BA409" s="186"/>
    </row>
    <row r="410" spans="52:53" x14ac:dyDescent="0.2">
      <c r="AZ410" s="186"/>
      <c r="BA410" s="186"/>
    </row>
    <row r="411" spans="52:53" x14ac:dyDescent="0.2">
      <c r="AZ411" s="186"/>
      <c r="BA411" s="186"/>
    </row>
    <row r="412" spans="52:53" x14ac:dyDescent="0.2">
      <c r="AZ412" s="186"/>
      <c r="BA412" s="186"/>
    </row>
    <row r="413" spans="52:53" x14ac:dyDescent="0.2">
      <c r="AZ413" s="186"/>
      <c r="BA413" s="186"/>
    </row>
    <row r="414" spans="52:53" x14ac:dyDescent="0.2">
      <c r="AZ414" s="186"/>
      <c r="BA414" s="186"/>
    </row>
    <row r="415" spans="52:53" x14ac:dyDescent="0.2">
      <c r="AZ415" s="186"/>
      <c r="BA415" s="186"/>
    </row>
    <row r="416" spans="52:53" x14ac:dyDescent="0.2">
      <c r="AZ416" s="186"/>
      <c r="BA416" s="186"/>
    </row>
    <row r="418" spans="52:53" x14ac:dyDescent="0.2">
      <c r="AZ418" s="193"/>
      <c r="BA418" s="193"/>
    </row>
    <row r="419" spans="52:53" x14ac:dyDescent="0.2">
      <c r="AZ419" s="193"/>
      <c r="BA419" s="193"/>
    </row>
    <row r="420" spans="52:53" x14ac:dyDescent="0.2">
      <c r="AZ420" s="193"/>
      <c r="BA420" s="193"/>
    </row>
    <row r="421" spans="52:53" x14ac:dyDescent="0.2">
      <c r="AZ421" s="193"/>
      <c r="BA421" s="193"/>
    </row>
    <row r="422" spans="52:53" x14ac:dyDescent="0.2">
      <c r="AZ422" s="193"/>
      <c r="BA422" s="193"/>
    </row>
    <row r="423" spans="52:53" x14ac:dyDescent="0.2">
      <c r="AZ423" s="193"/>
      <c r="BA423" s="193"/>
    </row>
    <row r="424" spans="52:53" x14ac:dyDescent="0.2">
      <c r="AZ424" s="193"/>
      <c r="BA424" s="193"/>
    </row>
    <row r="425" spans="52:53" x14ac:dyDescent="0.2">
      <c r="AZ425" s="193"/>
      <c r="BA425" s="193"/>
    </row>
    <row r="426" spans="52:53" x14ac:dyDescent="0.2">
      <c r="AZ426" s="203"/>
      <c r="BA426" s="203"/>
    </row>
    <row r="427" spans="52:53" x14ac:dyDescent="0.2">
      <c r="AZ427" s="209"/>
      <c r="BA427" s="209"/>
    </row>
    <row r="428" spans="52:53" x14ac:dyDescent="0.2">
      <c r="AZ428" s="209"/>
      <c r="BA428" s="209"/>
    </row>
    <row r="429" spans="52:53" x14ac:dyDescent="0.2">
      <c r="AZ429" s="193"/>
      <c r="BA429" s="193"/>
    </row>
    <row r="430" spans="52:53" x14ac:dyDescent="0.2">
      <c r="AZ430" s="193"/>
      <c r="BA430" s="193"/>
    </row>
  </sheetData>
  <sheetProtection sheet="1" formatCells="0" selectLockedCells="1"/>
  <mergeCells count="431">
    <mergeCell ref="A234:M234"/>
    <mergeCell ref="V234:AG234"/>
    <mergeCell ref="T221:V221"/>
    <mergeCell ref="T222:V222"/>
    <mergeCell ref="K223:N225"/>
    <mergeCell ref="AF223:AG225"/>
    <mergeCell ref="T231:V231"/>
    <mergeCell ref="T232:V232"/>
    <mergeCell ref="W217:Y217"/>
    <mergeCell ref="Z217:AB217"/>
    <mergeCell ref="AC217:AE217"/>
    <mergeCell ref="K218:N218"/>
    <mergeCell ref="T218:V218"/>
    <mergeCell ref="AF218:AG218"/>
    <mergeCell ref="T219:V219"/>
    <mergeCell ref="T220:V220"/>
    <mergeCell ref="T233:V233"/>
    <mergeCell ref="B213:J213"/>
    <mergeCell ref="K213:Q213"/>
    <mergeCell ref="U213:W213"/>
    <mergeCell ref="X213:AF213"/>
    <mergeCell ref="AG213:AM213"/>
    <mergeCell ref="B215:D215"/>
    <mergeCell ref="E215:G215"/>
    <mergeCell ref="H215:J215"/>
    <mergeCell ref="K215:Q217"/>
    <mergeCell ref="W215:Y215"/>
    <mergeCell ref="Z215:AB215"/>
    <mergeCell ref="AC215:AE215"/>
    <mergeCell ref="AF215:AJ217"/>
    <mergeCell ref="B216:D216"/>
    <mergeCell ref="E216:G216"/>
    <mergeCell ref="H216:J216"/>
    <mergeCell ref="T216:V216"/>
    <mergeCell ref="W216:Y216"/>
    <mergeCell ref="Z216:AB216"/>
    <mergeCell ref="AC216:AE216"/>
    <mergeCell ref="B217:D217"/>
    <mergeCell ref="E217:G217"/>
    <mergeCell ref="H217:J217"/>
    <mergeCell ref="T217:V217"/>
    <mergeCell ref="B211:J211"/>
    <mergeCell ref="K211:Q211"/>
    <mergeCell ref="U211:W211"/>
    <mergeCell ref="X211:AF211"/>
    <mergeCell ref="AG211:AM211"/>
    <mergeCell ref="B212:J212"/>
    <mergeCell ref="K212:Q212"/>
    <mergeCell ref="U212:W212"/>
    <mergeCell ref="X212:AF212"/>
    <mergeCell ref="AG212:AM212"/>
    <mergeCell ref="B209:J209"/>
    <mergeCell ref="K209:Q209"/>
    <mergeCell ref="U209:W209"/>
    <mergeCell ref="X209:AF209"/>
    <mergeCell ref="AG209:AM209"/>
    <mergeCell ref="B210:J210"/>
    <mergeCell ref="K210:Q210"/>
    <mergeCell ref="U210:W210"/>
    <mergeCell ref="X210:AF210"/>
    <mergeCell ref="AG210:AM210"/>
    <mergeCell ref="A203:E203"/>
    <mergeCell ref="F203:M203"/>
    <mergeCell ref="T203:Z203"/>
    <mergeCell ref="AB203:AH203"/>
    <mergeCell ref="A204:E204"/>
    <mergeCell ref="U204:AA204"/>
    <mergeCell ref="A205:E205"/>
    <mergeCell ref="U205:AA205"/>
    <mergeCell ref="A208:J208"/>
    <mergeCell ref="U208:AF208"/>
    <mergeCell ref="A200:E200"/>
    <mergeCell ref="J200:P200"/>
    <mergeCell ref="U200:AA200"/>
    <mergeCell ref="A202:D202"/>
    <mergeCell ref="F202:I202"/>
    <mergeCell ref="J202:M202"/>
    <mergeCell ref="T202:Z202"/>
    <mergeCell ref="AB202:AE202"/>
    <mergeCell ref="AF202:AH202"/>
    <mergeCell ref="A195:E195"/>
    <mergeCell ref="U195:AA195"/>
    <mergeCell ref="A196:E196"/>
    <mergeCell ref="U196:AA196"/>
    <mergeCell ref="F197:I197"/>
    <mergeCell ref="AB197:AE197"/>
    <mergeCell ref="J198:P198"/>
    <mergeCell ref="AF198:AJ198"/>
    <mergeCell ref="A199:E199"/>
    <mergeCell ref="F199:I199"/>
    <mergeCell ref="J199:P199"/>
    <mergeCell ref="U199:AA199"/>
    <mergeCell ref="AB199:AE199"/>
    <mergeCell ref="AF199:AJ199"/>
    <mergeCell ref="A191:E191"/>
    <mergeCell ref="U191:AA191"/>
    <mergeCell ref="A193:E193"/>
    <mergeCell ref="F193:M193"/>
    <mergeCell ref="T193:AA193"/>
    <mergeCell ref="AB193:AH193"/>
    <mergeCell ref="A194:E194"/>
    <mergeCell ref="F194:I194"/>
    <mergeCell ref="J194:M194"/>
    <mergeCell ref="T194:Z194"/>
    <mergeCell ref="AB194:AE194"/>
    <mergeCell ref="AF194:AH194"/>
    <mergeCell ref="A182:AQ182"/>
    <mergeCell ref="A183:AQ183"/>
    <mergeCell ref="A184:AQ184"/>
    <mergeCell ref="A185:AQ185"/>
    <mergeCell ref="A186:K186"/>
    <mergeCell ref="A188:O188"/>
    <mergeCell ref="R188:AF188"/>
    <mergeCell ref="A190:E190"/>
    <mergeCell ref="U190:AA190"/>
    <mergeCell ref="B179:G179"/>
    <mergeCell ref="H179:K179"/>
    <mergeCell ref="L179:Q179"/>
    <mergeCell ref="R179:U179"/>
    <mergeCell ref="V179:AA179"/>
    <mergeCell ref="AB179:AE179"/>
    <mergeCell ref="AF179:AK179"/>
    <mergeCell ref="AL179:AO179"/>
    <mergeCell ref="B180:G180"/>
    <mergeCell ref="H180:K180"/>
    <mergeCell ref="L180:Q180"/>
    <mergeCell ref="R180:U180"/>
    <mergeCell ref="V180:AA180"/>
    <mergeCell ref="AB180:AE180"/>
    <mergeCell ref="AF180:AK180"/>
    <mergeCell ref="AL180:AO180"/>
    <mergeCell ref="AG142:AK142"/>
    <mergeCell ref="A174:AL174"/>
    <mergeCell ref="AM174:AP174"/>
    <mergeCell ref="A175:AQ175"/>
    <mergeCell ref="A176:AQ176"/>
    <mergeCell ref="A177:A178"/>
    <mergeCell ref="B177:K177"/>
    <mergeCell ref="L177:U177"/>
    <mergeCell ref="V177:AE177"/>
    <mergeCell ref="AF177:AO177"/>
    <mergeCell ref="B178:G178"/>
    <mergeCell ref="H178:K178"/>
    <mergeCell ref="L178:Q178"/>
    <mergeCell ref="R178:U178"/>
    <mergeCell ref="V178:AA178"/>
    <mergeCell ref="AB178:AE178"/>
    <mergeCell ref="AF178:AK178"/>
    <mergeCell ref="AL178:AO178"/>
    <mergeCell ref="AC107:AE107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Z108:AB108"/>
    <mergeCell ref="AC108:AE108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Z107:AB107"/>
    <mergeCell ref="Z105:AB105"/>
    <mergeCell ref="AC105:AE105"/>
    <mergeCell ref="B106:D106"/>
    <mergeCell ref="E106:G106"/>
    <mergeCell ref="H106:J106"/>
    <mergeCell ref="K106:M106"/>
    <mergeCell ref="N106:P106"/>
    <mergeCell ref="Q106:S106"/>
    <mergeCell ref="T106:V106"/>
    <mergeCell ref="W106:Y106"/>
    <mergeCell ref="Z106:AB106"/>
    <mergeCell ref="AC106:AE106"/>
    <mergeCell ref="AG101:AG102"/>
    <mergeCell ref="AH101:AI102"/>
    <mergeCell ref="B102:D102"/>
    <mergeCell ref="E102:K102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W104:Y104"/>
    <mergeCell ref="Z104:AB104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A101:A102"/>
    <mergeCell ref="B101:D101"/>
    <mergeCell ref="E101:K101"/>
    <mergeCell ref="L101:P102"/>
    <mergeCell ref="R101:V102"/>
    <mergeCell ref="W101:Y102"/>
    <mergeCell ref="Z101:AB102"/>
    <mergeCell ref="AC101:AE102"/>
    <mergeCell ref="AF101:AF102"/>
    <mergeCell ref="AG97:AG98"/>
    <mergeCell ref="AH97:AI98"/>
    <mergeCell ref="B98:D98"/>
    <mergeCell ref="E98:K98"/>
    <mergeCell ref="A99:A100"/>
    <mergeCell ref="B99:D99"/>
    <mergeCell ref="E99:K99"/>
    <mergeCell ref="L99:P100"/>
    <mergeCell ref="R99:V100"/>
    <mergeCell ref="W99:Y100"/>
    <mergeCell ref="Z99:AB100"/>
    <mergeCell ref="AC99:AE100"/>
    <mergeCell ref="AF99:AF100"/>
    <mergeCell ref="AG99:AG100"/>
    <mergeCell ref="AH99:AI100"/>
    <mergeCell ref="B100:D100"/>
    <mergeCell ref="E100:K100"/>
    <mergeCell ref="A97:A98"/>
    <mergeCell ref="B97:D97"/>
    <mergeCell ref="E97:K97"/>
    <mergeCell ref="L97:P98"/>
    <mergeCell ref="R97:V98"/>
    <mergeCell ref="W97:Y98"/>
    <mergeCell ref="Z97:AB98"/>
    <mergeCell ref="AC97:AE98"/>
    <mergeCell ref="AF97:AF98"/>
    <mergeCell ref="AG93:AG94"/>
    <mergeCell ref="AH93:AI94"/>
    <mergeCell ref="B94:D94"/>
    <mergeCell ref="E94:K94"/>
    <mergeCell ref="A95:A96"/>
    <mergeCell ref="B95:D95"/>
    <mergeCell ref="E95:K95"/>
    <mergeCell ref="L95:P96"/>
    <mergeCell ref="R95:V96"/>
    <mergeCell ref="W95:Y96"/>
    <mergeCell ref="Z95:AB96"/>
    <mergeCell ref="AC95:AE96"/>
    <mergeCell ref="AF95:AF96"/>
    <mergeCell ref="AG95:AG96"/>
    <mergeCell ref="AH95:AI96"/>
    <mergeCell ref="B96:D96"/>
    <mergeCell ref="E96:K96"/>
    <mergeCell ref="AG57:AK57"/>
    <mergeCell ref="A89:AL89"/>
    <mergeCell ref="AM89:AP89"/>
    <mergeCell ref="A90:AQ90"/>
    <mergeCell ref="C91:H91"/>
    <mergeCell ref="I91:J91"/>
    <mergeCell ref="K91:AI91"/>
    <mergeCell ref="B92:K92"/>
    <mergeCell ref="L92:P92"/>
    <mergeCell ref="Q92:Q102"/>
    <mergeCell ref="R92:V92"/>
    <mergeCell ref="W92:Y92"/>
    <mergeCell ref="Z92:AB92"/>
    <mergeCell ref="AC92:AE92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F93:AF94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Z23:AB23"/>
    <mergeCell ref="AC23:AE23"/>
    <mergeCell ref="B22:D22"/>
    <mergeCell ref="E22:G22"/>
    <mergeCell ref="H22:J22"/>
    <mergeCell ref="K22:M22"/>
    <mergeCell ref="N22:P22"/>
    <mergeCell ref="Q22:S22"/>
    <mergeCell ref="T22:V22"/>
    <mergeCell ref="W22:Y22"/>
    <mergeCell ref="Z22:AB22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Z21:AB21"/>
    <mergeCell ref="AC21:AE21"/>
    <mergeCell ref="AG16:AG17"/>
    <mergeCell ref="AH16:AI17"/>
    <mergeCell ref="B17:D17"/>
    <mergeCell ref="E17:K17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A16:A17"/>
    <mergeCell ref="B16:D16"/>
    <mergeCell ref="E16:K16"/>
    <mergeCell ref="L16:P17"/>
    <mergeCell ref="R16:V17"/>
    <mergeCell ref="W16:Y17"/>
    <mergeCell ref="Z16:AB17"/>
    <mergeCell ref="AC16:AE17"/>
    <mergeCell ref="AF16:AF17"/>
    <mergeCell ref="AG12:AG13"/>
    <mergeCell ref="AH12:AI13"/>
    <mergeCell ref="B13:D13"/>
    <mergeCell ref="E13:K13"/>
    <mergeCell ref="AT13:AY14"/>
    <mergeCell ref="A14:A15"/>
    <mergeCell ref="B14:D14"/>
    <mergeCell ref="E14:K14"/>
    <mergeCell ref="L14:P15"/>
    <mergeCell ref="R14:V15"/>
    <mergeCell ref="W14:Y15"/>
    <mergeCell ref="Z14:AB15"/>
    <mergeCell ref="AC14:AE15"/>
    <mergeCell ref="AF14:AF15"/>
    <mergeCell ref="AG14:AG15"/>
    <mergeCell ref="AH14:AI15"/>
    <mergeCell ref="B15:D15"/>
    <mergeCell ref="E15:K15"/>
    <mergeCell ref="A12:A13"/>
    <mergeCell ref="B12:D12"/>
    <mergeCell ref="E12:K12"/>
    <mergeCell ref="L12:P13"/>
    <mergeCell ref="R12:V13"/>
    <mergeCell ref="W12:Y13"/>
    <mergeCell ref="Z12:AB13"/>
    <mergeCell ref="AC12:AE13"/>
    <mergeCell ref="AF12:AF13"/>
    <mergeCell ref="L10:P11"/>
    <mergeCell ref="R10:V11"/>
    <mergeCell ref="W10:Y11"/>
    <mergeCell ref="Z10:AB11"/>
    <mergeCell ref="AC10:AE11"/>
    <mergeCell ref="AF10:AF11"/>
    <mergeCell ref="AG10:AG11"/>
    <mergeCell ref="AH10:AI11"/>
    <mergeCell ref="B11:D11"/>
    <mergeCell ref="E11:K11"/>
    <mergeCell ref="B7:K7"/>
    <mergeCell ref="L7:P7"/>
    <mergeCell ref="Q7:Q17"/>
    <mergeCell ref="R7:V7"/>
    <mergeCell ref="W7:Y7"/>
    <mergeCell ref="Z7:AB7"/>
    <mergeCell ref="AC7:AE7"/>
    <mergeCell ref="AH7:AI7"/>
    <mergeCell ref="A8:A9"/>
    <mergeCell ref="B8:D8"/>
    <mergeCell ref="E8:K8"/>
    <mergeCell ref="L8:P9"/>
    <mergeCell ref="R8:V9"/>
    <mergeCell ref="W8:Y9"/>
    <mergeCell ref="Z8:AB9"/>
    <mergeCell ref="AC8:AE9"/>
    <mergeCell ref="AF8:AF9"/>
    <mergeCell ref="AG8:AG9"/>
    <mergeCell ref="AH8:AI9"/>
    <mergeCell ref="B9:D9"/>
    <mergeCell ref="E9:K9"/>
    <mergeCell ref="A10:A11"/>
    <mergeCell ref="B10:D10"/>
    <mergeCell ref="E10:K10"/>
    <mergeCell ref="A4:D4"/>
    <mergeCell ref="E4:M4"/>
    <mergeCell ref="N4:Q4"/>
    <mergeCell ref="R4:AA4"/>
    <mergeCell ref="AB4:AE4"/>
    <mergeCell ref="AF4:AI4"/>
    <mergeCell ref="B5:J5"/>
    <mergeCell ref="K5:AE5"/>
    <mergeCell ref="C6:H6"/>
    <mergeCell ref="I6:J6"/>
    <mergeCell ref="K6:AI6"/>
    <mergeCell ref="A1:AI1"/>
    <mergeCell ref="AT1:AW1"/>
    <mergeCell ref="AX1:AY1"/>
    <mergeCell ref="A2:I2"/>
    <mergeCell ref="J2:X2"/>
    <mergeCell ref="Y2:AC2"/>
    <mergeCell ref="AD2:AI2"/>
    <mergeCell ref="B3:O3"/>
    <mergeCell ref="P3:R3"/>
    <mergeCell ref="S3:X3"/>
    <mergeCell ref="Y3:AD3"/>
    <mergeCell ref="AE3:AF3"/>
    <mergeCell ref="AG3:AI3"/>
  </mergeCells>
  <conditionalFormatting sqref="A8 A93">
    <cfRule type="expression" dxfId="2344" priority="4" stopIfTrue="1">
      <formula>IF(AK9&gt;0,0,1)</formula>
    </cfRule>
  </conditionalFormatting>
  <conditionalFormatting sqref="A10:A11 A95:A96">
    <cfRule type="expression" dxfId="2343" priority="5" stopIfTrue="1">
      <formula>IF(#REF!&gt;1,0,1)</formula>
    </cfRule>
  </conditionalFormatting>
  <conditionalFormatting sqref="A12:A13 A97:A98">
    <cfRule type="expression" dxfId="2342" priority="6" stopIfTrue="1">
      <formula>IF(#REF!&gt;2,0,1)</formula>
    </cfRule>
  </conditionalFormatting>
  <conditionalFormatting sqref="A14:A15 A99:A100">
    <cfRule type="expression" dxfId="2341" priority="7" stopIfTrue="1">
      <formula>IF(#REF!&gt;3,0,1)</formula>
    </cfRule>
  </conditionalFormatting>
  <conditionalFormatting sqref="A16:A17 A101:A102">
    <cfRule type="expression" dxfId="2340" priority="8" stopIfTrue="1">
      <formula>IF(#REF!&gt;4,0,1)</formula>
    </cfRule>
  </conditionalFormatting>
  <conditionalFormatting sqref="B8 B93">
    <cfRule type="expression" dxfId="2339" priority="9" stopIfTrue="1">
      <formula>IF(AK9&gt;0,0,1)</formula>
    </cfRule>
  </conditionalFormatting>
  <conditionalFormatting sqref="B9 B94">
    <cfRule type="expression" dxfId="2338" priority="10" stopIfTrue="1">
      <formula>IF(AK9&gt;0,0,1)</formula>
    </cfRule>
  </conditionalFormatting>
  <conditionalFormatting sqref="B10 B95">
    <cfRule type="expression" dxfId="2337" priority="11" stopIfTrue="1">
      <formula>IF(#REF!&gt;1,0,1)</formula>
    </cfRule>
  </conditionalFormatting>
  <conditionalFormatting sqref="B11:D11 B96:D96">
    <cfRule type="expression" dxfId="2336" priority="12" stopIfTrue="1">
      <formula>IF(#REF!&gt;1,0,1)</formula>
    </cfRule>
  </conditionalFormatting>
  <conditionalFormatting sqref="B12:D12 B97:D97">
    <cfRule type="expression" dxfId="2335" priority="13" stopIfTrue="1">
      <formula>IF(#REF!&gt;2,0,1)</formula>
    </cfRule>
  </conditionalFormatting>
  <conditionalFormatting sqref="B13:D13 B98:D98">
    <cfRule type="expression" dxfId="2334" priority="14" stopIfTrue="1">
      <formula>IF(#REF!&gt;2,0,1)</formula>
    </cfRule>
  </conditionalFormatting>
  <conditionalFormatting sqref="B14:D14 B99:D99">
    <cfRule type="expression" dxfId="2333" priority="15" stopIfTrue="1">
      <formula>IF(#REF!&gt;3,0,1)</formula>
    </cfRule>
  </conditionalFormatting>
  <conditionalFormatting sqref="B15:D15 B100:D100">
    <cfRule type="expression" dxfId="2332" priority="16" stopIfTrue="1">
      <formula>IF(#REF!&gt;3,0,1)</formula>
    </cfRule>
  </conditionalFormatting>
  <conditionalFormatting sqref="B16:D16 B101:D101">
    <cfRule type="expression" dxfId="2331" priority="17" stopIfTrue="1">
      <formula>IF(#REF!&gt;4,0,1)</formula>
    </cfRule>
  </conditionalFormatting>
  <conditionalFormatting sqref="B17:D17 B102:D102">
    <cfRule type="expression" dxfId="2330" priority="18" stopIfTrue="1">
      <formula>IF(#REF!&gt;4,0,1)</formula>
    </cfRule>
  </conditionalFormatting>
  <conditionalFormatting sqref="E8 E93">
    <cfRule type="expression" dxfId="2329" priority="19" stopIfTrue="1">
      <formula>IF(AK9&gt;0,0,1)</formula>
    </cfRule>
  </conditionalFormatting>
  <conditionalFormatting sqref="E9 E94">
    <cfRule type="expression" dxfId="2328" priority="20" stopIfTrue="1">
      <formula>IF(AK9&gt;0,0,1)</formula>
    </cfRule>
  </conditionalFormatting>
  <conditionalFormatting sqref="E10 E95">
    <cfRule type="expression" dxfId="2327" priority="21" stopIfTrue="1">
      <formula>IF(#REF!&gt;1,0,1)</formula>
    </cfRule>
  </conditionalFormatting>
  <conditionalFormatting sqref="E11 E96">
    <cfRule type="expression" dxfId="2326" priority="22" stopIfTrue="1">
      <formula>IF(#REF!&gt;1,0,1)</formula>
    </cfRule>
  </conditionalFormatting>
  <conditionalFormatting sqref="E12 E97">
    <cfRule type="expression" dxfId="2325" priority="23" stopIfTrue="1">
      <formula>IF(#REF!&gt;2,0,1)</formula>
    </cfRule>
  </conditionalFormatting>
  <conditionalFormatting sqref="E13 E98">
    <cfRule type="expression" dxfId="2324" priority="24" stopIfTrue="1">
      <formula>IF(#REF!&gt;2,0,1)</formula>
    </cfRule>
  </conditionalFormatting>
  <conditionalFormatting sqref="E14 E99">
    <cfRule type="expression" dxfId="2323" priority="25" stopIfTrue="1">
      <formula>IF(#REF!&gt;3,0,1)</formula>
    </cfRule>
  </conditionalFormatting>
  <conditionalFormatting sqref="E15 E100">
    <cfRule type="expression" dxfId="2322" priority="26" stopIfTrue="1">
      <formula>IF(#REF!&gt;3,0,1)</formula>
    </cfRule>
  </conditionalFormatting>
  <conditionalFormatting sqref="E16 E101">
    <cfRule type="expression" dxfId="2321" priority="27" stopIfTrue="1">
      <formula>IF(#REF!&gt;4,0,1)</formula>
    </cfRule>
  </conditionalFormatting>
  <conditionalFormatting sqref="E17 E102">
    <cfRule type="expression" dxfId="2320" priority="28" stopIfTrue="1">
      <formula>IF(#REF!&gt;4,0,1)</formula>
    </cfRule>
  </conditionalFormatting>
  <conditionalFormatting sqref="AC8 AC93">
    <cfRule type="expression" dxfId="2319" priority="29" stopIfTrue="1">
      <formula>IF(AK11=1,IF(AK9&gt;0,0,1),1)</formula>
    </cfRule>
  </conditionalFormatting>
  <conditionalFormatting sqref="AC10:AE11 AC95:AE96">
    <cfRule type="expression" dxfId="2318" priority="30" stopIfTrue="1">
      <formula>IF(AK11=1,IF(#REF!&gt;1,0,1),1)</formula>
    </cfRule>
  </conditionalFormatting>
  <conditionalFormatting sqref="AC12:AE13 AC97:AE98">
    <cfRule type="expression" dxfId="2317" priority="31" stopIfTrue="1">
      <formula>IF(#REF!=1,IF(#REF!&gt;2,0,1),1)</formula>
    </cfRule>
  </conditionalFormatting>
  <conditionalFormatting sqref="AC14:AE15 AC99:AE100">
    <cfRule type="expression" dxfId="2316" priority="32" stopIfTrue="1">
      <formula>IF(#REF!=1,IF(#REF!&gt;3,0,1),1)</formula>
    </cfRule>
  </conditionalFormatting>
  <conditionalFormatting sqref="AC16:AE17 AC101:AE102">
    <cfRule type="expression" dxfId="2315" priority="33" stopIfTrue="1">
      <formula>IF(#REF!=1,IF(#REF!&gt;4,0,1),1)</formula>
    </cfRule>
  </conditionalFormatting>
  <conditionalFormatting sqref="AH8 AH93">
    <cfRule type="expression" dxfId="2314" priority="34" stopIfTrue="1">
      <formula>IF(AK9&gt;0,0,1)</formula>
    </cfRule>
  </conditionalFormatting>
  <conditionalFormatting sqref="AH10:AI11 AH95:AI96">
    <cfRule type="expression" dxfId="2313" priority="35" stopIfTrue="1">
      <formula>IF(#REF!&gt;1,0,1)</formula>
    </cfRule>
  </conditionalFormatting>
  <conditionalFormatting sqref="AH12:AI13 AH97:AI98">
    <cfRule type="expression" dxfId="2312" priority="36" stopIfTrue="1">
      <formula>IF(#REF!&gt;2,0,1)</formula>
    </cfRule>
  </conditionalFormatting>
  <conditionalFormatting sqref="AH14:AI15 AH99:AI100">
    <cfRule type="expression" dxfId="2311" priority="37" stopIfTrue="1">
      <formula>IF(#REF!&gt;3,0,1)</formula>
    </cfRule>
  </conditionalFormatting>
  <conditionalFormatting sqref="AH16:AI17 AH101:AI102">
    <cfRule type="expression" dxfId="2310" priority="38" stopIfTrue="1">
      <formula>IF(#REF!&gt;4,0,1)</formula>
    </cfRule>
  </conditionalFormatting>
  <conditionalFormatting sqref="B19:D19 B104:D104">
    <cfRule type="expression" dxfId="2309" priority="39" stopIfTrue="1">
      <formula>IF(#REF!&gt;0,0,1)</formula>
    </cfRule>
  </conditionalFormatting>
  <conditionalFormatting sqref="E19:G19 E104:G104">
    <cfRule type="expression" dxfId="2308" priority="40" stopIfTrue="1">
      <formula>IF(#REF!&gt;1,0,1)</formula>
    </cfRule>
  </conditionalFormatting>
  <conditionalFormatting sqref="H19:J19 H104:J104">
    <cfRule type="expression" dxfId="2307" priority="41" stopIfTrue="1">
      <formula>IF(#REF!&gt;2,0,1)</formula>
    </cfRule>
  </conditionalFormatting>
  <conditionalFormatting sqref="K19:M19 K104:M104">
    <cfRule type="expression" dxfId="2306" priority="42" stopIfTrue="1">
      <formula>IF(#REF!&gt;3,0,1)</formula>
    </cfRule>
  </conditionalFormatting>
  <conditionalFormatting sqref="N19:P19 N104:P104">
    <cfRule type="expression" dxfId="2305" priority="43" stopIfTrue="1">
      <formula>IF(#REF!&gt;4,0,1)</formula>
    </cfRule>
  </conditionalFormatting>
  <conditionalFormatting sqref="Q19:S19 Q104:S104">
    <cfRule type="expression" dxfId="2304" priority="44" stopIfTrue="1">
      <formula>IF(#REF!&gt;5,0,1)</formula>
    </cfRule>
  </conditionalFormatting>
  <conditionalFormatting sqref="T19:V19 T104:V104">
    <cfRule type="expression" dxfId="2303" priority="45" stopIfTrue="1">
      <formula>IF(#REF!&gt;6,0,1)</formula>
    </cfRule>
  </conditionalFormatting>
  <conditionalFormatting sqref="W19:Y19 W104:Y104">
    <cfRule type="expression" dxfId="2302" priority="46" stopIfTrue="1">
      <formula>IF(#REF!&gt;7,0,1)</formula>
    </cfRule>
  </conditionalFormatting>
  <conditionalFormatting sqref="Z19:AB19 Z104:AB104">
    <cfRule type="expression" dxfId="2301" priority="47" stopIfTrue="1">
      <formula>IF(#REF!&gt;8,0,1)</formula>
    </cfRule>
  </conditionalFormatting>
  <conditionalFormatting sqref="AC19:AE19 AC104:AE104">
    <cfRule type="expression" dxfId="2300" priority="48" stopIfTrue="1">
      <formula>IF(#REF!&gt;9,0,1)</formula>
    </cfRule>
  </conditionalFormatting>
  <conditionalFormatting sqref="B20:D20 B105:D105">
    <cfRule type="expression" dxfId="2299" priority="49" stopIfTrue="1">
      <formula>IF(#REF!&gt;0,0,1)</formula>
    </cfRule>
  </conditionalFormatting>
  <conditionalFormatting sqref="E20:G20 E105:G105">
    <cfRule type="expression" dxfId="2298" priority="50" stopIfTrue="1">
      <formula>IF(#REF!&gt;1,0,1)</formula>
    </cfRule>
  </conditionalFormatting>
  <conditionalFormatting sqref="H20:J20 H105:J105">
    <cfRule type="expression" dxfId="2297" priority="51" stopIfTrue="1">
      <formula>IF(#REF!&gt;2,0,1)</formula>
    </cfRule>
  </conditionalFormatting>
  <conditionalFormatting sqref="K20:M20 K105:M105">
    <cfRule type="expression" dxfId="2296" priority="52" stopIfTrue="1">
      <formula>IF(#REF!&gt;3,0,1)</formula>
    </cfRule>
  </conditionalFormatting>
  <conditionalFormatting sqref="N20:P20 N105:P105">
    <cfRule type="expression" dxfId="2295" priority="53" stopIfTrue="1">
      <formula>IF(#REF!&gt;4,0,1)</formula>
    </cfRule>
  </conditionalFormatting>
  <conditionalFormatting sqref="Q20:S20 Q105:S105">
    <cfRule type="expression" dxfId="2294" priority="54" stopIfTrue="1">
      <formula>IF(#REF!&gt;5,0,1)</formula>
    </cfRule>
  </conditionalFormatting>
  <conditionalFormatting sqref="T20:V20 T105:V105">
    <cfRule type="expression" dxfId="2293" priority="55" stopIfTrue="1">
      <formula>IF(#REF!&gt;6,0,1)</formula>
    </cfRule>
  </conditionalFormatting>
  <conditionalFormatting sqref="W20:Y20 W105:Y105">
    <cfRule type="expression" dxfId="2292" priority="56" stopIfTrue="1">
      <formula>IF(#REF!&gt;7,0,1)</formula>
    </cfRule>
  </conditionalFormatting>
  <conditionalFormatting sqref="Z20:AB20 Z105:AB105">
    <cfRule type="expression" dxfId="2291" priority="57" stopIfTrue="1">
      <formula>IF(#REF!&gt;8,0,1)</formula>
    </cfRule>
  </conditionalFormatting>
  <conditionalFormatting sqref="AC20:AE20 AC105:AE105">
    <cfRule type="expression" dxfId="2290" priority="58" stopIfTrue="1">
      <formula>IF(#REF!&gt;9,0,1)</formula>
    </cfRule>
  </conditionalFormatting>
  <conditionalFormatting sqref="E22:G22 E107:G107">
    <cfRule type="expression" dxfId="2289" priority="59" stopIfTrue="1">
      <formula>IF(#REF!&gt;1,0,1)</formula>
    </cfRule>
  </conditionalFormatting>
  <conditionalFormatting sqref="H22:J22 H107:J107">
    <cfRule type="expression" dxfId="2288" priority="60" stopIfTrue="1">
      <formula>IF(#REF!&gt;2,0,1)</formula>
    </cfRule>
  </conditionalFormatting>
  <conditionalFormatting sqref="K22:M22 K107:M107">
    <cfRule type="expression" dxfId="2287" priority="61" stopIfTrue="1">
      <formula>IF(#REF!&gt;3,0,1)</formula>
    </cfRule>
  </conditionalFormatting>
  <conditionalFormatting sqref="N22:P22 N107:P107">
    <cfRule type="expression" dxfId="2286" priority="62" stopIfTrue="1">
      <formula>IF(#REF!&gt;4,0,1)</formula>
    </cfRule>
  </conditionalFormatting>
  <conditionalFormatting sqref="Q22:S22 Q107:S107">
    <cfRule type="expression" dxfId="2285" priority="63" stopIfTrue="1">
      <formula>IF(#REF!&gt;5,0,1)</formula>
    </cfRule>
  </conditionalFormatting>
  <conditionalFormatting sqref="T22:V22 T107:V107">
    <cfRule type="expression" dxfId="2284" priority="64" stopIfTrue="1">
      <formula>IF(#REF!&gt;6,0,1)</formula>
    </cfRule>
  </conditionalFormatting>
  <conditionalFormatting sqref="W22:Y22 W107:Y107">
    <cfRule type="expression" dxfId="2283" priority="65" stopIfTrue="1">
      <formula>IF(#REF!&gt;7,0,1)</formula>
    </cfRule>
  </conditionalFormatting>
  <conditionalFormatting sqref="Z22:AB22 Z107:AB107">
    <cfRule type="expression" dxfId="2282" priority="66" stopIfTrue="1">
      <formula>IF(#REF!&gt;8,0,1)</formula>
    </cfRule>
  </conditionalFormatting>
  <conditionalFormatting sqref="AC22:AE22 AC107:AE107">
    <cfRule type="expression" dxfId="2281" priority="67" stopIfTrue="1">
      <formula>IF(#REF!&gt;9,0,1)</formula>
    </cfRule>
  </conditionalFormatting>
  <conditionalFormatting sqref="B24 B109">
    <cfRule type="expression" dxfId="2280" priority="68" stopIfTrue="1">
      <formula>IF(#REF!&gt;0,0,1)</formula>
    </cfRule>
  </conditionalFormatting>
  <conditionalFormatting sqref="C24 C109">
    <cfRule type="expression" dxfId="2279" priority="69" stopIfTrue="1">
      <formula>IF(#REF!&gt;0,0,1)</formula>
    </cfRule>
  </conditionalFormatting>
  <conditionalFormatting sqref="D24 D109">
    <cfRule type="expression" dxfId="2278" priority="70" stopIfTrue="1">
      <formula>IF(#REF!&gt;0,0,1)</formula>
    </cfRule>
  </conditionalFormatting>
  <conditionalFormatting sqref="E23:G23 E108:G108">
    <cfRule type="expression" dxfId="2277" priority="71" stopIfTrue="1">
      <formula>IF(#REF!&gt;1,0,1)</formula>
    </cfRule>
  </conditionalFormatting>
  <conditionalFormatting sqref="F24 F109">
    <cfRule type="expression" dxfId="2276" priority="72" stopIfTrue="1">
      <formula>IF(#REF!&gt;1,0,1)</formula>
    </cfRule>
  </conditionalFormatting>
  <conditionalFormatting sqref="G24 G109">
    <cfRule type="expression" dxfId="2275" priority="73" stopIfTrue="1">
      <formula>IF(#REF!&gt;1,0,1)</formula>
    </cfRule>
  </conditionalFormatting>
  <conditionalFormatting sqref="H23:J23 H108:J108">
    <cfRule type="expression" dxfId="2274" priority="74" stopIfTrue="1">
      <formula>IF(#REF!&gt;2,0,1)</formula>
    </cfRule>
  </conditionalFormatting>
  <conditionalFormatting sqref="I24 I109">
    <cfRule type="expression" dxfId="2273" priority="75" stopIfTrue="1">
      <formula>IF(#REF!&gt;2,0,1)</formula>
    </cfRule>
  </conditionalFormatting>
  <conditionalFormatting sqref="J24 J109">
    <cfRule type="expression" dxfId="2272" priority="76" stopIfTrue="1">
      <formula>IF(#REF!&gt;2,0,1)</formula>
    </cfRule>
  </conditionalFormatting>
  <conditionalFormatting sqref="K23:M23 K108:M108">
    <cfRule type="expression" dxfId="2271" priority="77" stopIfTrue="1">
      <formula>IF(#REF!&gt;3,0,1)</formula>
    </cfRule>
  </conditionalFormatting>
  <conditionalFormatting sqref="L24 L109">
    <cfRule type="expression" dxfId="2270" priority="78" stopIfTrue="1">
      <formula>IF(#REF!&gt;3,0,1)</formula>
    </cfRule>
  </conditionalFormatting>
  <conditionalFormatting sqref="M24 M109">
    <cfRule type="expression" dxfId="2269" priority="79" stopIfTrue="1">
      <formula>IF(#REF!&gt;3,0,1)</formula>
    </cfRule>
  </conditionalFormatting>
  <conditionalFormatting sqref="N23:P23 N108:P108">
    <cfRule type="expression" dxfId="2268" priority="80" stopIfTrue="1">
      <formula>IF(#REF!&gt;4,0,1)</formula>
    </cfRule>
  </conditionalFormatting>
  <conditionalFormatting sqref="O24 O109">
    <cfRule type="expression" dxfId="2267" priority="81" stopIfTrue="1">
      <formula>IF(#REF!&gt;4,0,1)</formula>
    </cfRule>
  </conditionalFormatting>
  <conditionalFormatting sqref="P24 P109">
    <cfRule type="expression" dxfId="2266" priority="82" stopIfTrue="1">
      <formula>IF(#REF!&gt;4,0,1)</formula>
    </cfRule>
  </conditionalFormatting>
  <conditionalFormatting sqref="Q23:S23 Q108:S108">
    <cfRule type="expression" dxfId="2265" priority="83" stopIfTrue="1">
      <formula>IF(#REF!&gt;5,0,1)</formula>
    </cfRule>
  </conditionalFormatting>
  <conditionalFormatting sqref="R24 R109">
    <cfRule type="expression" dxfId="2264" priority="84" stopIfTrue="1">
      <formula>IF(#REF!&gt;5,0,1)</formula>
    </cfRule>
  </conditionalFormatting>
  <conditionalFormatting sqref="S24 S109">
    <cfRule type="expression" dxfId="2263" priority="85" stopIfTrue="1">
      <formula>IF(#REF!&gt;5,0,1)</formula>
    </cfRule>
  </conditionalFormatting>
  <conditionalFormatting sqref="T23:V23 T108:V108">
    <cfRule type="expression" dxfId="2262" priority="86" stopIfTrue="1">
      <formula>IF(#REF!&gt;6,0,1)</formula>
    </cfRule>
  </conditionalFormatting>
  <conditionalFormatting sqref="U24 U109">
    <cfRule type="expression" dxfId="2261" priority="87" stopIfTrue="1">
      <formula>IF(#REF!&gt;6,0,1)</formula>
    </cfRule>
  </conditionalFormatting>
  <conditionalFormatting sqref="V24 V109">
    <cfRule type="expression" dxfId="2260" priority="88" stopIfTrue="1">
      <formula>IF(#REF!&gt;6,0,1)</formula>
    </cfRule>
  </conditionalFormatting>
  <conditionalFormatting sqref="W23:Y23 W108:Y108">
    <cfRule type="expression" dxfId="2259" priority="89" stopIfTrue="1">
      <formula>IF(#REF!&gt;7,0,1)</formula>
    </cfRule>
  </conditionalFormatting>
  <conditionalFormatting sqref="X24 X109">
    <cfRule type="expression" dxfId="2258" priority="90" stopIfTrue="1">
      <formula>IF(#REF!&gt;7,0,1)</formula>
    </cfRule>
  </conditionalFormatting>
  <conditionalFormatting sqref="Y24 Y109">
    <cfRule type="expression" dxfId="2257" priority="91" stopIfTrue="1">
      <formula>IF(#REF!&gt;7,0,1)</formula>
    </cfRule>
  </conditionalFormatting>
  <conditionalFormatting sqref="Z23:AB23 Z108:AB108">
    <cfRule type="expression" dxfId="2256" priority="92" stopIfTrue="1">
      <formula>IF(#REF!&gt;8,0,1)</formula>
    </cfRule>
  </conditionalFormatting>
  <conditionalFormatting sqref="AA24 AA109">
    <cfRule type="expression" dxfId="2255" priority="93" stopIfTrue="1">
      <formula>IF(#REF!&gt;8,0,1)</formula>
    </cfRule>
  </conditionalFormatting>
  <conditionalFormatting sqref="AB24 AB109">
    <cfRule type="expression" dxfId="2254" priority="94" stopIfTrue="1">
      <formula>IF(#REF!&gt;8,0,1)</formula>
    </cfRule>
  </conditionalFormatting>
  <conditionalFormatting sqref="AC23:AE23 AC108:AE108">
    <cfRule type="expression" dxfId="2253" priority="95" stopIfTrue="1">
      <formula>IF(#REF!&gt;9,0,1)</formula>
    </cfRule>
  </conditionalFormatting>
  <conditionalFormatting sqref="AD24 AD109">
    <cfRule type="expression" dxfId="2252" priority="96" stopIfTrue="1">
      <formula>IF(#REF!&gt;9,0,1)</formula>
    </cfRule>
  </conditionalFormatting>
  <conditionalFormatting sqref="AE24 AE109">
    <cfRule type="expression" dxfId="2251" priority="97" stopIfTrue="1">
      <formula>IF(#REF!&gt;9,0,1)</formula>
    </cfRule>
  </conditionalFormatting>
  <conditionalFormatting sqref="A26 A111">
    <cfRule type="expression" dxfId="2250" priority="98" stopIfTrue="1">
      <formula>IF(#REF!&gt;1,0,1)</formula>
    </cfRule>
  </conditionalFormatting>
  <conditionalFormatting sqref="A27 A112">
    <cfRule type="expression" dxfId="2249" priority="99" stopIfTrue="1">
      <formula>IF(#REF!&gt;2,0,1)</formula>
    </cfRule>
  </conditionalFormatting>
  <conditionalFormatting sqref="A28 A113">
    <cfRule type="expression" dxfId="2248" priority="100" stopIfTrue="1">
      <formula>IF(#REF!&gt;3,0,1)</formula>
    </cfRule>
  </conditionalFormatting>
  <conditionalFormatting sqref="A29 A114">
    <cfRule type="expression" dxfId="2247" priority="101" stopIfTrue="1">
      <formula>IF(#REF!&gt;4,0,1)</formula>
    </cfRule>
  </conditionalFormatting>
  <conditionalFormatting sqref="B25:D25 B110:D110">
    <cfRule type="expression" dxfId="2246" priority="102" stopIfTrue="1">
      <formula>IF(#REF!&gt;0,0,1)</formula>
    </cfRule>
  </conditionalFormatting>
  <conditionalFormatting sqref="B26:D26 B111:D111">
    <cfRule type="expression" dxfId="2245" priority="103" stopIfTrue="1">
      <formula>IF(#REF!&lt;1,1,IF(#REF!&lt;2,1,0))</formula>
    </cfRule>
  </conditionalFormatting>
  <conditionalFormatting sqref="B27:D27 B112:D112">
    <cfRule type="expression" dxfId="2244" priority="104" stopIfTrue="1">
      <formula>IF(#REF!&lt;1,1,IF(#REF!&lt;3,1,0))</formula>
    </cfRule>
  </conditionalFormatting>
  <conditionalFormatting sqref="B28:D28 B113:D113">
    <cfRule type="expression" dxfId="2243" priority="105" stopIfTrue="1">
      <formula>IF(#REF!&lt;1,1,IF(#REF!&lt;4,1,0))</formula>
    </cfRule>
  </conditionalFormatting>
  <conditionalFormatting sqref="B29:D29 B114:D114">
    <cfRule type="expression" dxfId="2242" priority="106" stopIfTrue="1">
      <formula>IF(#REF!&lt;1,1,IF(#REF!&lt;5,1,0))</formula>
    </cfRule>
  </conditionalFormatting>
  <conditionalFormatting sqref="AG23 AG108">
    <cfRule type="expression" dxfId="2241" priority="107" stopIfTrue="1">
      <formula>IF(#REF!&lt;1,1,0)</formula>
    </cfRule>
  </conditionalFormatting>
  <conditionalFormatting sqref="AH23 AH108">
    <cfRule type="expression" dxfId="2240" priority="108" stopIfTrue="1">
      <formula>IF(#REF!&lt;2,1,0)</formula>
    </cfRule>
  </conditionalFormatting>
  <conditionalFormatting sqref="AI23 AI108">
    <cfRule type="expression" dxfId="2239" priority="109" stopIfTrue="1">
      <formula>IF(#REF!&lt;3,1,0)</formula>
    </cfRule>
  </conditionalFormatting>
  <conditionalFormatting sqref="AJ23 AJ108">
    <cfRule type="expression" dxfId="2238" priority="110" stopIfTrue="1">
      <formula>IF(#REF!&lt;4,1,0)</formula>
    </cfRule>
  </conditionalFormatting>
  <conditionalFormatting sqref="AK23 AK108">
    <cfRule type="expression" dxfId="2237" priority="111" stopIfTrue="1">
      <formula>IF(#REF!&lt;5,1,0)</formula>
    </cfRule>
  </conditionalFormatting>
  <conditionalFormatting sqref="AL23 AL108">
    <cfRule type="expression" dxfId="2236" priority="112" stopIfTrue="1">
      <formula>IF(#REF!&lt;6,1,0)</formula>
    </cfRule>
  </conditionalFormatting>
  <conditionalFormatting sqref="AM23 AM108">
    <cfRule type="expression" dxfId="2235" priority="113" stopIfTrue="1">
      <formula>IF(#REF!&lt;7,1,0)</formula>
    </cfRule>
  </conditionalFormatting>
  <conditionalFormatting sqref="AN23 AN108">
    <cfRule type="expression" dxfId="2234" priority="114" stopIfTrue="1">
      <formula>IF(#REF!&lt;8,1,0)</formula>
    </cfRule>
  </conditionalFormatting>
  <conditionalFormatting sqref="AO23 AO108">
    <cfRule type="expression" dxfId="2233" priority="115" stopIfTrue="1">
      <formula>IF(#REF!&lt;9,1,0)</formula>
    </cfRule>
  </conditionalFormatting>
  <conditionalFormatting sqref="AP23 AP108">
    <cfRule type="expression" dxfId="2232" priority="116" stopIfTrue="1">
      <formula>IF(#REF!&lt;10,1,0)</formula>
    </cfRule>
  </conditionalFormatting>
  <conditionalFormatting sqref="AQ24 AQ109">
    <cfRule type="expression" dxfId="2231" priority="117" stopIfTrue="1">
      <formula>IF(#REF!&gt;0,0,1)</formula>
    </cfRule>
  </conditionalFormatting>
  <conditionalFormatting sqref="AQ25 AQ110">
    <cfRule type="expression" dxfId="2230" priority="118" stopIfTrue="1">
      <formula>IF(#REF!&gt;1,0,1)</formula>
    </cfRule>
  </conditionalFormatting>
  <conditionalFormatting sqref="AQ26 H25:J25 AQ111 H110:J110">
    <cfRule type="expression" dxfId="2229" priority="119" stopIfTrue="1">
      <formula>IF(#REF!&gt;2,0,1)</formula>
    </cfRule>
  </conditionalFormatting>
  <conditionalFormatting sqref="K25:M25 K110:M110">
    <cfRule type="expression" dxfId="2228" priority="120" stopIfTrue="1">
      <formula>IF(#REF!&gt;3,0,1)</formula>
    </cfRule>
  </conditionalFormatting>
  <conditionalFormatting sqref="AQ28 AQ113">
    <cfRule type="expression" dxfId="2227" priority="121" stopIfTrue="1">
      <formula>IF(#REF!&gt;4,0,1)</formula>
    </cfRule>
  </conditionalFormatting>
  <conditionalFormatting sqref="E26:G26 E111:G111">
    <cfRule type="expression" dxfId="2226" priority="122" stopIfTrue="1">
      <formula>IF(#REF!&lt;2,1,IF(#REF!&lt;2,1,0))</formula>
    </cfRule>
  </conditionalFormatting>
  <conditionalFormatting sqref="E27:G27 E112:G112">
    <cfRule type="expression" dxfId="2225" priority="123" stopIfTrue="1">
      <formula>IF(#REF!&lt;2,1,IF(#REF!&lt;3,1,0))</formula>
    </cfRule>
  </conditionalFormatting>
  <conditionalFormatting sqref="E28:G28 E113:G113">
    <cfRule type="expression" dxfId="2224" priority="124" stopIfTrue="1">
      <formula>IF(#REF!&lt;2,1,IF(#REF!&lt;4,1,0))</formula>
    </cfRule>
  </conditionalFormatting>
  <conditionalFormatting sqref="E29:G29 E114:G114">
    <cfRule type="expression" dxfId="2223" priority="125" stopIfTrue="1">
      <formula>IF(#REF!&lt;2,1,IF(#REF!&lt;5,1,0))</formula>
    </cfRule>
  </conditionalFormatting>
  <conditionalFormatting sqref="N25:P25 N110:P110">
    <cfRule type="expression" dxfId="2222" priority="126" stopIfTrue="1">
      <formula>IF(#REF!&gt;4,0,1)</formula>
    </cfRule>
  </conditionalFormatting>
  <conditionalFormatting sqref="Q25:S25 Q110:S110">
    <cfRule type="expression" dxfId="2221" priority="127" stopIfTrue="1">
      <formula>IF(#REF!&gt;5,0,1)</formula>
    </cfRule>
  </conditionalFormatting>
  <conditionalFormatting sqref="T25:V25 T110:V110">
    <cfRule type="expression" dxfId="2220" priority="128" stopIfTrue="1">
      <formula>IF(#REF!&gt;6,0,1)</formula>
    </cfRule>
  </conditionalFormatting>
  <conditionalFormatting sqref="W25:Y25 W110:Y110">
    <cfRule type="expression" dxfId="2219" priority="129" stopIfTrue="1">
      <formula>IF(#REF!&gt;7,0,1)</formula>
    </cfRule>
  </conditionalFormatting>
  <conditionalFormatting sqref="Z25:AB25 Z110:AB110">
    <cfRule type="expression" dxfId="2218" priority="130" stopIfTrue="1">
      <formula>IF(#REF!&gt;8,0,1)</formula>
    </cfRule>
  </conditionalFormatting>
  <conditionalFormatting sqref="AC25:AE25 AC110:AE110">
    <cfRule type="expression" dxfId="2217" priority="131" stopIfTrue="1">
      <formula>IF(#REF!&gt;9,0,1)</formula>
    </cfRule>
  </conditionalFormatting>
  <conditionalFormatting sqref="H26:J26 H111:J111">
    <cfRule type="expression" dxfId="2216" priority="132" stopIfTrue="1">
      <formula>IF(#REF!&lt;3,1,IF(#REF!&lt;2,1,0))</formula>
    </cfRule>
  </conditionalFormatting>
  <conditionalFormatting sqref="K26:M26 K111:M111">
    <cfRule type="expression" dxfId="2215" priority="133" stopIfTrue="1">
      <formula>IF(#REF!&lt;4,1,IF(#REF!&lt;2,1,0))</formula>
    </cfRule>
  </conditionalFormatting>
  <conditionalFormatting sqref="N26:P26 N111:P111">
    <cfRule type="expression" dxfId="2214" priority="134" stopIfTrue="1">
      <formula>IF(#REF!&lt;5,1,IF(#REF!&lt;2,1,0))</formula>
    </cfRule>
  </conditionalFormatting>
  <conditionalFormatting sqref="Q26:S26 Q111:S111">
    <cfRule type="expression" dxfId="2213" priority="135" stopIfTrue="1">
      <formula>IF(#REF!&lt;6,1,IF(#REF!&lt;2,1,0))</formula>
    </cfRule>
  </conditionalFormatting>
  <conditionalFormatting sqref="T26:V26 T111:V111">
    <cfRule type="expression" dxfId="2212" priority="136" stopIfTrue="1">
      <formula>IF(#REF!&lt;7,1,IF(#REF!&lt;2,1,0))</formula>
    </cfRule>
  </conditionalFormatting>
  <conditionalFormatting sqref="W26:Y26 W111:Y111">
    <cfRule type="expression" dxfId="2211" priority="137" stopIfTrue="1">
      <formula>IF(#REF!&lt;8,1,IF(#REF!&lt;2,1,0))</formula>
    </cfRule>
  </conditionalFormatting>
  <conditionalFormatting sqref="Z26:AB26 Z111:AB111">
    <cfRule type="expression" dxfId="2210" priority="138" stopIfTrue="1">
      <formula>IF(#REF!&lt;9,1,IF(#REF!&lt;2,1,0))</formula>
    </cfRule>
  </conditionalFormatting>
  <conditionalFormatting sqref="AC26:AE26 AC111:AE111">
    <cfRule type="expression" dxfId="2209" priority="139" stopIfTrue="1">
      <formula>IF(#REF!&lt;10,1,IF(#REF!&lt;2,1,0))</formula>
    </cfRule>
  </conditionalFormatting>
  <conditionalFormatting sqref="H27:J27 H112:J112">
    <cfRule type="expression" dxfId="2208" priority="140" stopIfTrue="1">
      <formula>IF(#REF!&lt;3,1,IF(#REF!&lt;3,1,0))</formula>
    </cfRule>
  </conditionalFormatting>
  <conditionalFormatting sqref="K27:M27 K112:M112">
    <cfRule type="expression" dxfId="2207" priority="141" stopIfTrue="1">
      <formula>IF(#REF!&lt;4,1,IF(#REF!&lt;3,1,0))</formula>
    </cfRule>
  </conditionalFormatting>
  <conditionalFormatting sqref="N27:P27 N112:P112">
    <cfRule type="expression" dxfId="2206" priority="142" stopIfTrue="1">
      <formula>IF(#REF!&lt;5,1,IF(#REF!&lt;3,1,0))</formula>
    </cfRule>
  </conditionalFormatting>
  <conditionalFormatting sqref="Q27:S27 Q112:S112">
    <cfRule type="expression" dxfId="2205" priority="143" stopIfTrue="1">
      <formula>IF(#REF!&lt;6,1,IF(#REF!&lt;3,1,0))</formula>
    </cfRule>
  </conditionalFormatting>
  <conditionalFormatting sqref="T27:V27 T112:V112">
    <cfRule type="expression" dxfId="2204" priority="144" stopIfTrue="1">
      <formula>IF(#REF!&lt;7,1,IF(#REF!&lt;3,1,0))</formula>
    </cfRule>
  </conditionalFormatting>
  <conditionalFormatting sqref="W27:Y27 W112:Y112">
    <cfRule type="expression" dxfId="2203" priority="145" stopIfTrue="1">
      <formula>IF(#REF!&lt;8,1,IF(#REF!&lt;3,1,0))</formula>
    </cfRule>
  </conditionalFormatting>
  <conditionalFormatting sqref="Z27:AB27 Z112:AB112">
    <cfRule type="expression" dxfId="2202" priority="146" stopIfTrue="1">
      <formula>IF(#REF!&lt;9,1,IF(#REF!&lt;3,1,0))</formula>
    </cfRule>
  </conditionalFormatting>
  <conditionalFormatting sqref="AC27:AE27 AC112:AE112">
    <cfRule type="expression" dxfId="2201" priority="147" stopIfTrue="1">
      <formula>IF(#REF!&lt;10,1,IF(#REF!&lt;3,1,0))</formula>
    </cfRule>
  </conditionalFormatting>
  <conditionalFormatting sqref="H28:J28 H113:J113">
    <cfRule type="expression" dxfId="2200" priority="148" stopIfTrue="1">
      <formula>IF(#REF!&lt;3,1,IF(#REF!&lt;4,1,0))</formula>
    </cfRule>
  </conditionalFormatting>
  <conditionalFormatting sqref="K28:M28 K113:M113">
    <cfRule type="expression" dxfId="2199" priority="149" stopIfTrue="1">
      <formula>IF(#REF!&lt;4,1,IF(#REF!&lt;4,1,0))</formula>
    </cfRule>
  </conditionalFormatting>
  <conditionalFormatting sqref="N28:P28 N113:P113">
    <cfRule type="expression" dxfId="2198" priority="150" stopIfTrue="1">
      <formula>IF(#REF!&lt;5,1,IF(#REF!&lt;4,1,0))</formula>
    </cfRule>
  </conditionalFormatting>
  <conditionalFormatting sqref="Q28:S28 Q113:S113">
    <cfRule type="expression" dxfId="2197" priority="151" stopIfTrue="1">
      <formula>IF(#REF!&lt;6,1,IF(#REF!&lt;4,1,0))</formula>
    </cfRule>
  </conditionalFormatting>
  <conditionalFormatting sqref="T28:V28 T113:V113">
    <cfRule type="expression" dxfId="2196" priority="152" stopIfTrue="1">
      <formula>IF(#REF!&lt;7,1,IF(#REF!&lt;4,1,0))</formula>
    </cfRule>
  </conditionalFormatting>
  <conditionalFormatting sqref="W28:Y28 W113:Y113">
    <cfRule type="expression" dxfId="2195" priority="153" stopIfTrue="1">
      <formula>IF(#REF!&lt;8,1,IF(#REF!&lt;4,1,0))</formula>
    </cfRule>
  </conditionalFormatting>
  <conditionalFormatting sqref="Z28:AB28 Z113:AB113">
    <cfRule type="expression" dxfId="2194" priority="154" stopIfTrue="1">
      <formula>IF(#REF!&lt;9,1,IF(#REF!&lt;4,1,0))</formula>
    </cfRule>
  </conditionalFormatting>
  <conditionalFormatting sqref="AC28:AE28 AC113:AE113">
    <cfRule type="expression" dxfId="2193" priority="155" stopIfTrue="1">
      <formula>IF(#REF!&lt;10,1,IF(#REF!&lt;4,1,0))</formula>
    </cfRule>
  </conditionalFormatting>
  <conditionalFormatting sqref="H29:J29 H114:J114">
    <cfRule type="expression" dxfId="2192" priority="156" stopIfTrue="1">
      <formula>IF(#REF!&lt;3,1,IF(#REF!&lt;5,1,0))</formula>
    </cfRule>
  </conditionalFormatting>
  <conditionalFormatting sqref="K29:M29 K114:M114">
    <cfRule type="expression" dxfId="2191" priority="157" stopIfTrue="1">
      <formula>IF(#REF!&lt;4,1,IF(#REF!&lt;5,1,0))</formula>
    </cfRule>
  </conditionalFormatting>
  <conditionalFormatting sqref="N29:P29 N114:P114">
    <cfRule type="expression" dxfId="2190" priority="158" stopIfTrue="1">
      <formula>IF(#REF!&lt;5,1,IF(#REF!&lt;5,1,0))</formula>
    </cfRule>
  </conditionalFormatting>
  <conditionalFormatting sqref="Q29:S29 Q114:S114">
    <cfRule type="expression" dxfId="2189" priority="159" stopIfTrue="1">
      <formula>IF(#REF!&lt;6,1,IF(#REF!&lt;5,1,0))</formula>
    </cfRule>
  </conditionalFormatting>
  <conditionalFormatting sqref="T29:V29 T114:V114">
    <cfRule type="expression" dxfId="2188" priority="160" stopIfTrue="1">
      <formula>IF(#REF!&lt;7,1,IF(#REF!&lt;5,1,0))</formula>
    </cfRule>
  </conditionalFormatting>
  <conditionalFormatting sqref="W29:Y29 W114:Y114">
    <cfRule type="expression" dxfId="2187" priority="161" stopIfTrue="1">
      <formula>IF(#REF!&lt;8,1,IF(#REF!&lt;5,1,0))</formula>
    </cfRule>
  </conditionalFormatting>
  <conditionalFormatting sqref="Z29:AB29 Z114:AB114">
    <cfRule type="expression" dxfId="2186" priority="162" stopIfTrue="1">
      <formula>IF(#REF!&lt;9,1,IF(#REF!&lt;5,1,0))</formula>
    </cfRule>
  </conditionalFormatting>
  <conditionalFormatting sqref="AC29:AE29 AC114:AE114">
    <cfRule type="expression" dxfId="2185" priority="163" stopIfTrue="1">
      <formula>IF(#REF!&lt;10,1,IF(#REF!&lt;5,1,0))</formula>
    </cfRule>
  </conditionalFormatting>
  <conditionalFormatting sqref="R14:AB15 AF14:AF15 L14:P15 R99:AB100 AF99:AF100 L99:P100 AG14 AG99">
    <cfRule type="expression" dxfId="2184" priority="164" stopIfTrue="1">
      <formula>IF(#REF!&gt;3,0,1)</formula>
    </cfRule>
  </conditionalFormatting>
  <conditionalFormatting sqref="R16:AB17 AF16:AF17 L16:P17 R101:AB102 AF101:AF102 L101:P102 AG16 AG101">
    <cfRule type="expression" dxfId="2183" priority="165" stopIfTrue="1">
      <formula>IF(#REF!&gt;4,0,1)</formula>
    </cfRule>
  </conditionalFormatting>
  <conditionalFormatting sqref="R8:AB9 AF8:AF9 L8:P9 R93:AB94 AF93:AF94 L93:P94 AG8 AG93">
    <cfRule type="expression" dxfId="2182" priority="166" stopIfTrue="1">
      <formula>IF($AK9&gt;0,0,1)</formula>
    </cfRule>
  </conditionalFormatting>
  <conditionalFormatting sqref="R10:AB11 AF10:AF11 L10:P11 R95:AB96 AF95:AF96 L95:P96 AG10 AG95">
    <cfRule type="expression" dxfId="2181" priority="167" stopIfTrue="1">
      <formula>IF(#REF!&gt;1,0,1)</formula>
    </cfRule>
  </conditionalFormatting>
  <conditionalFormatting sqref="R12:AB13 AF12:AF13 L12:P13 R97:AB98 AF97:AF98 L97:P98 AG12 AG97">
    <cfRule type="expression" dxfId="2180" priority="168" stopIfTrue="1">
      <formula>IF(#REF!&gt;2,0,1)</formula>
    </cfRule>
  </conditionalFormatting>
  <conditionalFormatting sqref="E24 E109">
    <cfRule type="expression" dxfId="2179" priority="169" stopIfTrue="1">
      <formula>IF(#REF!&gt;1,0,1)</formula>
    </cfRule>
  </conditionalFormatting>
  <conditionalFormatting sqref="H24 H109">
    <cfRule type="expression" dxfId="2178" priority="170" stopIfTrue="1">
      <formula>IF(#REF!&gt;2,0,1)</formula>
    </cfRule>
  </conditionalFormatting>
  <conditionalFormatting sqref="K24 K109">
    <cfRule type="expression" dxfId="2177" priority="171" stopIfTrue="1">
      <formula>IF(#REF!&gt;3,0,1)</formula>
    </cfRule>
  </conditionalFormatting>
  <conditionalFormatting sqref="N24 N109">
    <cfRule type="expression" dxfId="2176" priority="172" stopIfTrue="1">
      <formula>IF(#REF!&gt;4,0,1)</formula>
    </cfRule>
  </conditionalFormatting>
  <conditionalFormatting sqref="Q24 Q109">
    <cfRule type="expression" dxfId="2175" priority="173" stopIfTrue="1">
      <formula>IF(#REF!&gt;5,0,1)</formula>
    </cfRule>
  </conditionalFormatting>
  <conditionalFormatting sqref="T24 T109">
    <cfRule type="expression" dxfId="2174" priority="174" stopIfTrue="1">
      <formula>IF(#REF!&gt;6,0,1)</formula>
    </cfRule>
  </conditionalFormatting>
  <conditionalFormatting sqref="W24 W109">
    <cfRule type="expression" dxfId="2173" priority="175" stopIfTrue="1">
      <formula>IF(#REF!&gt;7,0,1)</formula>
    </cfRule>
  </conditionalFormatting>
  <conditionalFormatting sqref="Z24 Z109">
    <cfRule type="expression" dxfId="2172" priority="176" stopIfTrue="1">
      <formula>IF(#REF!&gt;8,0,1)</formula>
    </cfRule>
  </conditionalFormatting>
  <conditionalFormatting sqref="AC24 AC109">
    <cfRule type="expression" dxfId="2171" priority="177" stopIfTrue="1">
      <formula>IF(#REF!&gt;9,0,1)</formula>
    </cfRule>
  </conditionalFormatting>
  <conditionalFormatting sqref="AQ27 AQ112">
    <cfRule type="expression" dxfId="2170" priority="178" stopIfTrue="1">
      <formula>IF(#REF!&gt;3,0,1)</formula>
    </cfRule>
  </conditionalFormatting>
  <conditionalFormatting sqref="E25:G25 E110:G110">
    <cfRule type="expression" dxfId="2169" priority="179" stopIfTrue="1">
      <formula>IF(#REF!&gt;1,0,1)</formula>
    </cfRule>
  </conditionalFormatting>
  <conditionalFormatting sqref="B21:D21 B106:D106">
    <cfRule type="expression" dxfId="2168" priority="180" stopIfTrue="1">
      <formula>IF(#REF!&gt;0,0,1)</formula>
    </cfRule>
  </conditionalFormatting>
  <conditionalFormatting sqref="E21:G21 E106:G106">
    <cfRule type="expression" dxfId="2167" priority="181" stopIfTrue="1">
      <formula>IF(#REF!&gt;1,0,1)</formula>
    </cfRule>
  </conditionalFormatting>
  <conditionalFormatting sqref="H21:J21 H106:J106">
    <cfRule type="expression" dxfId="2166" priority="182" stopIfTrue="1">
      <formula>IF(#REF!&gt;2,0,1)</formula>
    </cfRule>
  </conditionalFormatting>
  <conditionalFormatting sqref="K21:M21 K106:M106">
    <cfRule type="expression" dxfId="2165" priority="183" stopIfTrue="1">
      <formula>IF(#REF!&gt;3,0,1)</formula>
    </cfRule>
  </conditionalFormatting>
  <conditionalFormatting sqref="N21:P21 N106:P106">
    <cfRule type="expression" dxfId="2164" priority="184" stopIfTrue="1">
      <formula>IF(#REF!&gt;4,0,1)</formula>
    </cfRule>
  </conditionalFormatting>
  <conditionalFormatting sqref="Q21:S21 Q106:S106">
    <cfRule type="expression" dxfId="2163" priority="185" stopIfTrue="1">
      <formula>IF(#REF!&gt;5,0,1)</formula>
    </cfRule>
  </conditionalFormatting>
  <conditionalFormatting sqref="T21:V21 T106:V106">
    <cfRule type="expression" dxfId="2162" priority="186" stopIfTrue="1">
      <formula>IF(#REF!&gt;6,0,1)</formula>
    </cfRule>
  </conditionalFormatting>
  <conditionalFormatting sqref="W21:Y21 W106:Y106">
    <cfRule type="expression" dxfId="2161" priority="187" stopIfTrue="1">
      <formula>IF(#REF!&gt;7,0,1)</formula>
    </cfRule>
  </conditionalFormatting>
  <conditionalFormatting sqref="Z21:AB21 Z106:AB106">
    <cfRule type="expression" dxfId="2160" priority="188" stopIfTrue="1">
      <formula>IF(#REF!&gt;8,0,1)</formula>
    </cfRule>
  </conditionalFormatting>
  <conditionalFormatting sqref="AC21:AE21 AC106:AE106">
    <cfRule type="expression" dxfId="2159" priority="189" stopIfTrue="1">
      <formula>IF(#REF!&gt;9,0,1)</formula>
    </cfRule>
  </conditionalFormatting>
  <conditionalFormatting sqref="X224:X225 W215:W216 X215:Y215 W218:Y223 Z219:AE222 AA223:AA225 F223:F225 B215:B216 C215:D215 B218:D223 C224:C225 I223:I225 E219:J222 AD223:AD225">
    <cfRule type="expression" dxfId="2158" priority="190" stopIfTrue="1">
      <formula>IF(#REF!&gt;0,0,1)</formula>
    </cfRule>
  </conditionalFormatting>
  <conditionalFormatting sqref="AA215:AB215 AB223 AA218:AB218 Z223 Z215:Z218 G223 F218:G218 E223 E215:E218 F215:G215">
    <cfRule type="expression" dxfId="2157" priority="191" stopIfTrue="1">
      <formula>IF(#REF!&gt;1,0,1)</formula>
    </cfRule>
  </conditionalFormatting>
  <conditionalFormatting sqref="AC215:AC218 AD215:AE215 AE223 AD218:AE218 AC223 H223 H215:H218 I215:J215 I218:J218 J223">
    <cfRule type="expression" dxfId="2156" priority="192" stopIfTrue="1">
      <formula>IF(#REF!&gt;2,0,1)</formula>
    </cfRule>
  </conditionalFormatting>
  <conditionalFormatting sqref="W224 Y224 B224 D224">
    <cfRule type="expression" dxfId="2155" priority="193" stopIfTrue="1">
      <formula>IF(#REF!&lt;1,1,IF(#REF!&lt;2,1,0))</formula>
    </cfRule>
  </conditionalFormatting>
  <conditionalFormatting sqref="Z224 AB224 E224 G224">
    <cfRule type="expression" dxfId="2154" priority="194" stopIfTrue="1">
      <formula>IF(#REF!&lt;2,1,IF(#REF!&lt;2,1,0))</formula>
    </cfRule>
  </conditionalFormatting>
  <conditionalFormatting sqref="AC224 AE224 H224 J224">
    <cfRule type="expression" dxfId="2153" priority="195" stopIfTrue="1">
      <formula>IF(#REF!&lt;3,1,IF(#REF!&lt;2,1,0))</formula>
    </cfRule>
  </conditionalFormatting>
  <conditionalFormatting sqref="Y225 B225 D225 W225">
    <cfRule type="expression" dxfId="2152" priority="196" stopIfTrue="1">
      <formula>IF(#REF!&lt;1,1,IF(#REF!&lt;3,1,0))</formula>
    </cfRule>
  </conditionalFormatting>
  <conditionalFormatting sqref="AB225 E225 G225 Z225">
    <cfRule type="expression" dxfId="2151" priority="197" stopIfTrue="1">
      <formula>IF(#REF!&lt;2,1,IF(#REF!&lt;3,1,0))</formula>
    </cfRule>
  </conditionalFormatting>
  <conditionalFormatting sqref="AE225 H225 J225 AC225">
    <cfRule type="expression" dxfId="2150" priority="198" stopIfTrue="1">
      <formula>IF(#REF!&lt;3,1,IF(#REF!&lt;3,1,0))</formula>
    </cfRule>
  </conditionalFormatting>
  <conditionalFormatting sqref="AG24:AP28 AG109:AP113">
    <cfRule type="cellIs" dxfId="2149" priority="199" stopIfTrue="1" operator="notBetween">
      <formula>-9999</formula>
      <formula>9999</formula>
    </cfRule>
  </conditionalFormatting>
  <conditionalFormatting sqref="AC7 AC92">
    <cfRule type="expression" dxfId="2148" priority="200" stopIfTrue="1">
      <formula>IF($AK$11=0,1,0)</formula>
    </cfRule>
  </conditionalFormatting>
  <conditionalFormatting sqref="B18 B103">
    <cfRule type="expression" dxfId="2147" priority="201" stopIfTrue="1">
      <formula>IF($AK$9&gt;0,0,1)</formula>
    </cfRule>
  </conditionalFormatting>
  <conditionalFormatting sqref="B22:D23 B107:D108">
    <cfRule type="cellIs" dxfId="2146" priority="202" stopIfTrue="1" operator="equal">
      <formula>99</formula>
    </cfRule>
  </conditionalFormatting>
  <conditionalFormatting sqref="X226 AA226 C226 F226">
    <cfRule type="expression" dxfId="2145" priority="203" stopIfTrue="1">
      <formula>IF(#REF!&gt;0,0,1)</formula>
    </cfRule>
  </conditionalFormatting>
  <conditionalFormatting sqref="K215">
    <cfRule type="expression" dxfId="2144" priority="3" stopIfTrue="1">
      <formula>IF(#REF!&gt;2,0,1)</formula>
    </cfRule>
  </conditionalFormatting>
  <conditionalFormatting sqref="K215">
    <cfRule type="expression" dxfId="2143" priority="2" stopIfTrue="1">
      <formula>IF(ISNUMBER(K223),0,1)</formula>
    </cfRule>
  </conditionalFormatting>
  <conditionalFormatting sqref="AF215">
    <cfRule type="expression" dxfId="2142" priority="1" stopIfTrue="1">
      <formula>IF(ISNUMBER(AF223),0,1)</formula>
    </cfRule>
  </conditionalFormatting>
  <pageMargins left="0.25" right="0.25" top="0.25" bottom="0.25" header="0" footer="0"/>
  <pageSetup scale="78" fitToHeight="4" orientation="landscape"/>
  <headerFooter alignWithMargins="0"/>
  <rowBreaks count="2" manualBreakCount="2">
    <brk id="90" max="42" man="1"/>
    <brk id="175" max="42" man="1"/>
  </rowBreak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8">
    <tabColor indexed="11"/>
  </sheetPr>
  <dimension ref="A1:BY658"/>
  <sheetViews>
    <sheetView zoomScale="70" zoomScaleNormal="70" workbookViewId="0">
      <selection activeCell="AU21" sqref="AU21"/>
    </sheetView>
  </sheetViews>
  <sheetFormatPr defaultColWidth="8.7109375" defaultRowHeight="12.75" x14ac:dyDescent="0.2"/>
  <cols>
    <col min="1" max="1" width="8.7109375" style="4"/>
    <col min="2" max="2" width="3.7109375" style="4" customWidth="1"/>
    <col min="3" max="3" width="2.28515625" style="4" customWidth="1"/>
    <col min="4" max="5" width="3.7109375" style="4" customWidth="1"/>
    <col min="6" max="6" width="2.28515625" style="4" customWidth="1"/>
    <col min="7" max="8" width="3.7109375" style="4" customWidth="1"/>
    <col min="9" max="9" width="2.28515625" style="4" customWidth="1"/>
    <col min="10" max="11" width="3.7109375" style="4" customWidth="1"/>
    <col min="12" max="12" width="2.28515625" style="4" customWidth="1"/>
    <col min="13" max="14" width="3.7109375" style="4" customWidth="1"/>
    <col min="15" max="15" width="2.28515625" style="4" customWidth="1"/>
    <col min="16" max="17" width="3.7109375" style="4" customWidth="1"/>
    <col min="18" max="18" width="2.28515625" style="4" customWidth="1"/>
    <col min="19" max="20" width="3.7109375" style="4" customWidth="1"/>
    <col min="21" max="21" width="2.28515625" style="4" customWidth="1"/>
    <col min="22" max="23" width="3.7109375" style="4" customWidth="1"/>
    <col min="24" max="24" width="2.28515625" style="4" customWidth="1"/>
    <col min="25" max="26" width="3.7109375" style="4" customWidth="1"/>
    <col min="27" max="27" width="2.28515625" style="4" customWidth="1"/>
    <col min="28" max="29" width="3.7109375" style="4" customWidth="1"/>
    <col min="30" max="30" width="2.28515625" style="4" customWidth="1"/>
    <col min="31" max="31" width="3.7109375" style="4" customWidth="1"/>
    <col min="32" max="32" width="9.7109375" style="4" customWidth="1"/>
    <col min="33" max="42" width="3.7109375" style="4" customWidth="1"/>
    <col min="43" max="43" width="11" style="4" customWidth="1"/>
    <col min="44" max="46" width="8.7109375" style="4"/>
    <col min="47" max="47" width="21" style="4" customWidth="1"/>
    <col min="48" max="48" width="24.42578125" style="4" customWidth="1"/>
    <col min="49" max="49" width="15.28515625" style="129" customWidth="1"/>
    <col min="50" max="50" width="10.5703125" style="4" customWidth="1"/>
    <col min="51" max="51" width="11.28515625" style="4" customWidth="1"/>
    <col min="52" max="52" width="25" style="4" customWidth="1"/>
    <col min="53" max="53" width="6" style="4" customWidth="1"/>
    <col min="54" max="257" width="8.7109375" style="4"/>
    <col min="258" max="258" width="3.7109375" style="4" customWidth="1"/>
    <col min="259" max="259" width="2.28515625" style="4" customWidth="1"/>
    <col min="260" max="261" width="3.7109375" style="4" customWidth="1"/>
    <col min="262" max="262" width="2.28515625" style="4" customWidth="1"/>
    <col min="263" max="264" width="3.7109375" style="4" customWidth="1"/>
    <col min="265" max="265" width="2.28515625" style="4" customWidth="1"/>
    <col min="266" max="267" width="3.7109375" style="4" customWidth="1"/>
    <col min="268" max="268" width="2.28515625" style="4" customWidth="1"/>
    <col min="269" max="270" width="3.7109375" style="4" customWidth="1"/>
    <col min="271" max="271" width="2.28515625" style="4" customWidth="1"/>
    <col min="272" max="273" width="3.7109375" style="4" customWidth="1"/>
    <col min="274" max="274" width="2.28515625" style="4" customWidth="1"/>
    <col min="275" max="276" width="3.7109375" style="4" customWidth="1"/>
    <col min="277" max="277" width="2.28515625" style="4" customWidth="1"/>
    <col min="278" max="279" width="3.7109375" style="4" customWidth="1"/>
    <col min="280" max="280" width="2.28515625" style="4" customWidth="1"/>
    <col min="281" max="282" width="3.7109375" style="4" customWidth="1"/>
    <col min="283" max="283" width="2.28515625" style="4" customWidth="1"/>
    <col min="284" max="285" width="3.7109375" style="4" customWidth="1"/>
    <col min="286" max="286" width="2.28515625" style="4" customWidth="1"/>
    <col min="287" max="287" width="3.7109375" style="4" customWidth="1"/>
    <col min="288" max="288" width="9.7109375" style="4" customWidth="1"/>
    <col min="289" max="298" width="3.7109375" style="4" customWidth="1"/>
    <col min="299" max="299" width="11" style="4" customWidth="1"/>
    <col min="300" max="302" width="8.7109375" style="4"/>
    <col min="303" max="303" width="21" style="4" customWidth="1"/>
    <col min="304" max="304" width="24.42578125" style="4" customWidth="1"/>
    <col min="305" max="305" width="15.28515625" style="4" customWidth="1"/>
    <col min="306" max="306" width="10.5703125" style="4" customWidth="1"/>
    <col min="307" max="307" width="11.28515625" style="4" customWidth="1"/>
    <col min="308" max="308" width="25" style="4" customWidth="1"/>
    <col min="309" max="309" width="6" style="4" customWidth="1"/>
    <col min="310" max="513" width="8.7109375" style="4"/>
    <col min="514" max="514" width="3.7109375" style="4" customWidth="1"/>
    <col min="515" max="515" width="2.28515625" style="4" customWidth="1"/>
    <col min="516" max="517" width="3.7109375" style="4" customWidth="1"/>
    <col min="518" max="518" width="2.28515625" style="4" customWidth="1"/>
    <col min="519" max="520" width="3.7109375" style="4" customWidth="1"/>
    <col min="521" max="521" width="2.28515625" style="4" customWidth="1"/>
    <col min="522" max="523" width="3.7109375" style="4" customWidth="1"/>
    <col min="524" max="524" width="2.28515625" style="4" customWidth="1"/>
    <col min="525" max="526" width="3.7109375" style="4" customWidth="1"/>
    <col min="527" max="527" width="2.28515625" style="4" customWidth="1"/>
    <col min="528" max="529" width="3.7109375" style="4" customWidth="1"/>
    <col min="530" max="530" width="2.28515625" style="4" customWidth="1"/>
    <col min="531" max="532" width="3.7109375" style="4" customWidth="1"/>
    <col min="533" max="533" width="2.28515625" style="4" customWidth="1"/>
    <col min="534" max="535" width="3.7109375" style="4" customWidth="1"/>
    <col min="536" max="536" width="2.28515625" style="4" customWidth="1"/>
    <col min="537" max="538" width="3.7109375" style="4" customWidth="1"/>
    <col min="539" max="539" width="2.28515625" style="4" customWidth="1"/>
    <col min="540" max="541" width="3.7109375" style="4" customWidth="1"/>
    <col min="542" max="542" width="2.28515625" style="4" customWidth="1"/>
    <col min="543" max="543" width="3.7109375" style="4" customWidth="1"/>
    <col min="544" max="544" width="9.7109375" style="4" customWidth="1"/>
    <col min="545" max="554" width="3.7109375" style="4" customWidth="1"/>
    <col min="555" max="555" width="11" style="4" customWidth="1"/>
    <col min="556" max="558" width="8.7109375" style="4"/>
    <col min="559" max="559" width="21" style="4" customWidth="1"/>
    <col min="560" max="560" width="24.42578125" style="4" customWidth="1"/>
    <col min="561" max="561" width="15.28515625" style="4" customWidth="1"/>
    <col min="562" max="562" width="10.5703125" style="4" customWidth="1"/>
    <col min="563" max="563" width="11.28515625" style="4" customWidth="1"/>
    <col min="564" max="564" width="25" style="4" customWidth="1"/>
    <col min="565" max="565" width="6" style="4" customWidth="1"/>
    <col min="566" max="769" width="8.7109375" style="4"/>
    <col min="770" max="770" width="3.7109375" style="4" customWidth="1"/>
    <col min="771" max="771" width="2.28515625" style="4" customWidth="1"/>
    <col min="772" max="773" width="3.7109375" style="4" customWidth="1"/>
    <col min="774" max="774" width="2.28515625" style="4" customWidth="1"/>
    <col min="775" max="776" width="3.7109375" style="4" customWidth="1"/>
    <col min="777" max="777" width="2.28515625" style="4" customWidth="1"/>
    <col min="778" max="779" width="3.7109375" style="4" customWidth="1"/>
    <col min="780" max="780" width="2.28515625" style="4" customWidth="1"/>
    <col min="781" max="782" width="3.7109375" style="4" customWidth="1"/>
    <col min="783" max="783" width="2.28515625" style="4" customWidth="1"/>
    <col min="784" max="785" width="3.7109375" style="4" customWidth="1"/>
    <col min="786" max="786" width="2.28515625" style="4" customWidth="1"/>
    <col min="787" max="788" width="3.7109375" style="4" customWidth="1"/>
    <col min="789" max="789" width="2.28515625" style="4" customWidth="1"/>
    <col min="790" max="791" width="3.7109375" style="4" customWidth="1"/>
    <col min="792" max="792" width="2.28515625" style="4" customWidth="1"/>
    <col min="793" max="794" width="3.7109375" style="4" customWidth="1"/>
    <col min="795" max="795" width="2.28515625" style="4" customWidth="1"/>
    <col min="796" max="797" width="3.7109375" style="4" customWidth="1"/>
    <col min="798" max="798" width="2.28515625" style="4" customWidth="1"/>
    <col min="799" max="799" width="3.7109375" style="4" customWidth="1"/>
    <col min="800" max="800" width="9.7109375" style="4" customWidth="1"/>
    <col min="801" max="810" width="3.7109375" style="4" customWidth="1"/>
    <col min="811" max="811" width="11" style="4" customWidth="1"/>
    <col min="812" max="814" width="8.7109375" style="4"/>
    <col min="815" max="815" width="21" style="4" customWidth="1"/>
    <col min="816" max="816" width="24.42578125" style="4" customWidth="1"/>
    <col min="817" max="817" width="15.28515625" style="4" customWidth="1"/>
    <col min="818" max="818" width="10.5703125" style="4" customWidth="1"/>
    <col min="819" max="819" width="11.28515625" style="4" customWidth="1"/>
    <col min="820" max="820" width="25" style="4" customWidth="1"/>
    <col min="821" max="821" width="6" style="4" customWidth="1"/>
    <col min="822" max="1025" width="8.7109375" style="4"/>
    <col min="1026" max="1026" width="3.7109375" style="4" customWidth="1"/>
    <col min="1027" max="1027" width="2.28515625" style="4" customWidth="1"/>
    <col min="1028" max="1029" width="3.7109375" style="4" customWidth="1"/>
    <col min="1030" max="1030" width="2.28515625" style="4" customWidth="1"/>
    <col min="1031" max="1032" width="3.7109375" style="4" customWidth="1"/>
    <col min="1033" max="1033" width="2.28515625" style="4" customWidth="1"/>
    <col min="1034" max="1035" width="3.7109375" style="4" customWidth="1"/>
    <col min="1036" max="1036" width="2.28515625" style="4" customWidth="1"/>
    <col min="1037" max="1038" width="3.7109375" style="4" customWidth="1"/>
    <col min="1039" max="1039" width="2.28515625" style="4" customWidth="1"/>
    <col min="1040" max="1041" width="3.7109375" style="4" customWidth="1"/>
    <col min="1042" max="1042" width="2.28515625" style="4" customWidth="1"/>
    <col min="1043" max="1044" width="3.7109375" style="4" customWidth="1"/>
    <col min="1045" max="1045" width="2.28515625" style="4" customWidth="1"/>
    <col min="1046" max="1047" width="3.7109375" style="4" customWidth="1"/>
    <col min="1048" max="1048" width="2.28515625" style="4" customWidth="1"/>
    <col min="1049" max="1050" width="3.7109375" style="4" customWidth="1"/>
    <col min="1051" max="1051" width="2.28515625" style="4" customWidth="1"/>
    <col min="1052" max="1053" width="3.7109375" style="4" customWidth="1"/>
    <col min="1054" max="1054" width="2.28515625" style="4" customWidth="1"/>
    <col min="1055" max="1055" width="3.7109375" style="4" customWidth="1"/>
    <col min="1056" max="1056" width="9.7109375" style="4" customWidth="1"/>
    <col min="1057" max="1066" width="3.7109375" style="4" customWidth="1"/>
    <col min="1067" max="1067" width="11" style="4" customWidth="1"/>
    <col min="1068" max="1070" width="8.7109375" style="4"/>
    <col min="1071" max="1071" width="21" style="4" customWidth="1"/>
    <col min="1072" max="1072" width="24.42578125" style="4" customWidth="1"/>
    <col min="1073" max="1073" width="15.28515625" style="4" customWidth="1"/>
    <col min="1074" max="1074" width="10.5703125" style="4" customWidth="1"/>
    <col min="1075" max="1075" width="11.28515625" style="4" customWidth="1"/>
    <col min="1076" max="1076" width="25" style="4" customWidth="1"/>
    <col min="1077" max="1077" width="6" style="4" customWidth="1"/>
    <col min="1078" max="1281" width="8.7109375" style="4"/>
    <col min="1282" max="1282" width="3.7109375" style="4" customWidth="1"/>
    <col min="1283" max="1283" width="2.28515625" style="4" customWidth="1"/>
    <col min="1284" max="1285" width="3.7109375" style="4" customWidth="1"/>
    <col min="1286" max="1286" width="2.28515625" style="4" customWidth="1"/>
    <col min="1287" max="1288" width="3.7109375" style="4" customWidth="1"/>
    <col min="1289" max="1289" width="2.28515625" style="4" customWidth="1"/>
    <col min="1290" max="1291" width="3.7109375" style="4" customWidth="1"/>
    <col min="1292" max="1292" width="2.28515625" style="4" customWidth="1"/>
    <col min="1293" max="1294" width="3.7109375" style="4" customWidth="1"/>
    <col min="1295" max="1295" width="2.28515625" style="4" customWidth="1"/>
    <col min="1296" max="1297" width="3.7109375" style="4" customWidth="1"/>
    <col min="1298" max="1298" width="2.28515625" style="4" customWidth="1"/>
    <col min="1299" max="1300" width="3.7109375" style="4" customWidth="1"/>
    <col min="1301" max="1301" width="2.28515625" style="4" customWidth="1"/>
    <col min="1302" max="1303" width="3.7109375" style="4" customWidth="1"/>
    <col min="1304" max="1304" width="2.28515625" style="4" customWidth="1"/>
    <col min="1305" max="1306" width="3.7109375" style="4" customWidth="1"/>
    <col min="1307" max="1307" width="2.28515625" style="4" customWidth="1"/>
    <col min="1308" max="1309" width="3.7109375" style="4" customWidth="1"/>
    <col min="1310" max="1310" width="2.28515625" style="4" customWidth="1"/>
    <col min="1311" max="1311" width="3.7109375" style="4" customWidth="1"/>
    <col min="1312" max="1312" width="9.7109375" style="4" customWidth="1"/>
    <col min="1313" max="1322" width="3.7109375" style="4" customWidth="1"/>
    <col min="1323" max="1323" width="11" style="4" customWidth="1"/>
    <col min="1324" max="1326" width="8.7109375" style="4"/>
    <col min="1327" max="1327" width="21" style="4" customWidth="1"/>
    <col min="1328" max="1328" width="24.42578125" style="4" customWidth="1"/>
    <col min="1329" max="1329" width="15.28515625" style="4" customWidth="1"/>
    <col min="1330" max="1330" width="10.5703125" style="4" customWidth="1"/>
    <col min="1331" max="1331" width="11.28515625" style="4" customWidth="1"/>
    <col min="1332" max="1332" width="25" style="4" customWidth="1"/>
    <col min="1333" max="1333" width="6" style="4" customWidth="1"/>
    <col min="1334" max="1537" width="8.7109375" style="4"/>
    <col min="1538" max="1538" width="3.7109375" style="4" customWidth="1"/>
    <col min="1539" max="1539" width="2.28515625" style="4" customWidth="1"/>
    <col min="1540" max="1541" width="3.7109375" style="4" customWidth="1"/>
    <col min="1542" max="1542" width="2.28515625" style="4" customWidth="1"/>
    <col min="1543" max="1544" width="3.7109375" style="4" customWidth="1"/>
    <col min="1545" max="1545" width="2.28515625" style="4" customWidth="1"/>
    <col min="1546" max="1547" width="3.7109375" style="4" customWidth="1"/>
    <col min="1548" max="1548" width="2.28515625" style="4" customWidth="1"/>
    <col min="1549" max="1550" width="3.7109375" style="4" customWidth="1"/>
    <col min="1551" max="1551" width="2.28515625" style="4" customWidth="1"/>
    <col min="1552" max="1553" width="3.7109375" style="4" customWidth="1"/>
    <col min="1554" max="1554" width="2.28515625" style="4" customWidth="1"/>
    <col min="1555" max="1556" width="3.7109375" style="4" customWidth="1"/>
    <col min="1557" max="1557" width="2.28515625" style="4" customWidth="1"/>
    <col min="1558" max="1559" width="3.7109375" style="4" customWidth="1"/>
    <col min="1560" max="1560" width="2.28515625" style="4" customWidth="1"/>
    <col min="1561" max="1562" width="3.7109375" style="4" customWidth="1"/>
    <col min="1563" max="1563" width="2.28515625" style="4" customWidth="1"/>
    <col min="1564" max="1565" width="3.7109375" style="4" customWidth="1"/>
    <col min="1566" max="1566" width="2.28515625" style="4" customWidth="1"/>
    <col min="1567" max="1567" width="3.7109375" style="4" customWidth="1"/>
    <col min="1568" max="1568" width="9.7109375" style="4" customWidth="1"/>
    <col min="1569" max="1578" width="3.7109375" style="4" customWidth="1"/>
    <col min="1579" max="1579" width="11" style="4" customWidth="1"/>
    <col min="1580" max="1582" width="8.7109375" style="4"/>
    <col min="1583" max="1583" width="21" style="4" customWidth="1"/>
    <col min="1584" max="1584" width="24.42578125" style="4" customWidth="1"/>
    <col min="1585" max="1585" width="15.28515625" style="4" customWidth="1"/>
    <col min="1586" max="1586" width="10.5703125" style="4" customWidth="1"/>
    <col min="1587" max="1587" width="11.28515625" style="4" customWidth="1"/>
    <col min="1588" max="1588" width="25" style="4" customWidth="1"/>
    <col min="1589" max="1589" width="6" style="4" customWidth="1"/>
    <col min="1590" max="1793" width="8.7109375" style="4"/>
    <col min="1794" max="1794" width="3.7109375" style="4" customWidth="1"/>
    <col min="1795" max="1795" width="2.28515625" style="4" customWidth="1"/>
    <col min="1796" max="1797" width="3.7109375" style="4" customWidth="1"/>
    <col min="1798" max="1798" width="2.28515625" style="4" customWidth="1"/>
    <col min="1799" max="1800" width="3.7109375" style="4" customWidth="1"/>
    <col min="1801" max="1801" width="2.28515625" style="4" customWidth="1"/>
    <col min="1802" max="1803" width="3.7109375" style="4" customWidth="1"/>
    <col min="1804" max="1804" width="2.28515625" style="4" customWidth="1"/>
    <col min="1805" max="1806" width="3.7109375" style="4" customWidth="1"/>
    <col min="1807" max="1807" width="2.28515625" style="4" customWidth="1"/>
    <col min="1808" max="1809" width="3.7109375" style="4" customWidth="1"/>
    <col min="1810" max="1810" width="2.28515625" style="4" customWidth="1"/>
    <col min="1811" max="1812" width="3.7109375" style="4" customWidth="1"/>
    <col min="1813" max="1813" width="2.28515625" style="4" customWidth="1"/>
    <col min="1814" max="1815" width="3.7109375" style="4" customWidth="1"/>
    <col min="1816" max="1816" width="2.28515625" style="4" customWidth="1"/>
    <col min="1817" max="1818" width="3.7109375" style="4" customWidth="1"/>
    <col min="1819" max="1819" width="2.28515625" style="4" customWidth="1"/>
    <col min="1820" max="1821" width="3.7109375" style="4" customWidth="1"/>
    <col min="1822" max="1822" width="2.28515625" style="4" customWidth="1"/>
    <col min="1823" max="1823" width="3.7109375" style="4" customWidth="1"/>
    <col min="1824" max="1824" width="9.7109375" style="4" customWidth="1"/>
    <col min="1825" max="1834" width="3.7109375" style="4" customWidth="1"/>
    <col min="1835" max="1835" width="11" style="4" customWidth="1"/>
    <col min="1836" max="1838" width="8.7109375" style="4"/>
    <col min="1839" max="1839" width="21" style="4" customWidth="1"/>
    <col min="1840" max="1840" width="24.42578125" style="4" customWidth="1"/>
    <col min="1841" max="1841" width="15.28515625" style="4" customWidth="1"/>
    <col min="1842" max="1842" width="10.5703125" style="4" customWidth="1"/>
    <col min="1843" max="1843" width="11.28515625" style="4" customWidth="1"/>
    <col min="1844" max="1844" width="25" style="4" customWidth="1"/>
    <col min="1845" max="1845" width="6" style="4" customWidth="1"/>
    <col min="1846" max="2049" width="8.7109375" style="4"/>
    <col min="2050" max="2050" width="3.7109375" style="4" customWidth="1"/>
    <col min="2051" max="2051" width="2.28515625" style="4" customWidth="1"/>
    <col min="2052" max="2053" width="3.7109375" style="4" customWidth="1"/>
    <col min="2054" max="2054" width="2.28515625" style="4" customWidth="1"/>
    <col min="2055" max="2056" width="3.7109375" style="4" customWidth="1"/>
    <col min="2057" max="2057" width="2.28515625" style="4" customWidth="1"/>
    <col min="2058" max="2059" width="3.7109375" style="4" customWidth="1"/>
    <col min="2060" max="2060" width="2.28515625" style="4" customWidth="1"/>
    <col min="2061" max="2062" width="3.7109375" style="4" customWidth="1"/>
    <col min="2063" max="2063" width="2.28515625" style="4" customWidth="1"/>
    <col min="2064" max="2065" width="3.7109375" style="4" customWidth="1"/>
    <col min="2066" max="2066" width="2.28515625" style="4" customWidth="1"/>
    <col min="2067" max="2068" width="3.7109375" style="4" customWidth="1"/>
    <col min="2069" max="2069" width="2.28515625" style="4" customWidth="1"/>
    <col min="2070" max="2071" width="3.7109375" style="4" customWidth="1"/>
    <col min="2072" max="2072" width="2.28515625" style="4" customWidth="1"/>
    <col min="2073" max="2074" width="3.7109375" style="4" customWidth="1"/>
    <col min="2075" max="2075" width="2.28515625" style="4" customWidth="1"/>
    <col min="2076" max="2077" width="3.7109375" style="4" customWidth="1"/>
    <col min="2078" max="2078" width="2.28515625" style="4" customWidth="1"/>
    <col min="2079" max="2079" width="3.7109375" style="4" customWidth="1"/>
    <col min="2080" max="2080" width="9.7109375" style="4" customWidth="1"/>
    <col min="2081" max="2090" width="3.7109375" style="4" customWidth="1"/>
    <col min="2091" max="2091" width="11" style="4" customWidth="1"/>
    <col min="2092" max="2094" width="8.7109375" style="4"/>
    <col min="2095" max="2095" width="21" style="4" customWidth="1"/>
    <col min="2096" max="2096" width="24.42578125" style="4" customWidth="1"/>
    <col min="2097" max="2097" width="15.28515625" style="4" customWidth="1"/>
    <col min="2098" max="2098" width="10.5703125" style="4" customWidth="1"/>
    <col min="2099" max="2099" width="11.28515625" style="4" customWidth="1"/>
    <col min="2100" max="2100" width="25" style="4" customWidth="1"/>
    <col min="2101" max="2101" width="6" style="4" customWidth="1"/>
    <col min="2102" max="2305" width="8.7109375" style="4"/>
    <col min="2306" max="2306" width="3.7109375" style="4" customWidth="1"/>
    <col min="2307" max="2307" width="2.28515625" style="4" customWidth="1"/>
    <col min="2308" max="2309" width="3.7109375" style="4" customWidth="1"/>
    <col min="2310" max="2310" width="2.28515625" style="4" customWidth="1"/>
    <col min="2311" max="2312" width="3.7109375" style="4" customWidth="1"/>
    <col min="2313" max="2313" width="2.28515625" style="4" customWidth="1"/>
    <col min="2314" max="2315" width="3.7109375" style="4" customWidth="1"/>
    <col min="2316" max="2316" width="2.28515625" style="4" customWidth="1"/>
    <col min="2317" max="2318" width="3.7109375" style="4" customWidth="1"/>
    <col min="2319" max="2319" width="2.28515625" style="4" customWidth="1"/>
    <col min="2320" max="2321" width="3.7109375" style="4" customWidth="1"/>
    <col min="2322" max="2322" width="2.28515625" style="4" customWidth="1"/>
    <col min="2323" max="2324" width="3.7109375" style="4" customWidth="1"/>
    <col min="2325" max="2325" width="2.28515625" style="4" customWidth="1"/>
    <col min="2326" max="2327" width="3.7109375" style="4" customWidth="1"/>
    <col min="2328" max="2328" width="2.28515625" style="4" customWidth="1"/>
    <col min="2329" max="2330" width="3.7109375" style="4" customWidth="1"/>
    <col min="2331" max="2331" width="2.28515625" style="4" customWidth="1"/>
    <col min="2332" max="2333" width="3.7109375" style="4" customWidth="1"/>
    <col min="2334" max="2334" width="2.28515625" style="4" customWidth="1"/>
    <col min="2335" max="2335" width="3.7109375" style="4" customWidth="1"/>
    <col min="2336" max="2336" width="9.7109375" style="4" customWidth="1"/>
    <col min="2337" max="2346" width="3.7109375" style="4" customWidth="1"/>
    <col min="2347" max="2347" width="11" style="4" customWidth="1"/>
    <col min="2348" max="2350" width="8.7109375" style="4"/>
    <col min="2351" max="2351" width="21" style="4" customWidth="1"/>
    <col min="2352" max="2352" width="24.42578125" style="4" customWidth="1"/>
    <col min="2353" max="2353" width="15.28515625" style="4" customWidth="1"/>
    <col min="2354" max="2354" width="10.5703125" style="4" customWidth="1"/>
    <col min="2355" max="2355" width="11.28515625" style="4" customWidth="1"/>
    <col min="2356" max="2356" width="25" style="4" customWidth="1"/>
    <col min="2357" max="2357" width="6" style="4" customWidth="1"/>
    <col min="2358" max="2561" width="8.7109375" style="4"/>
    <col min="2562" max="2562" width="3.7109375" style="4" customWidth="1"/>
    <col min="2563" max="2563" width="2.28515625" style="4" customWidth="1"/>
    <col min="2564" max="2565" width="3.7109375" style="4" customWidth="1"/>
    <col min="2566" max="2566" width="2.28515625" style="4" customWidth="1"/>
    <col min="2567" max="2568" width="3.7109375" style="4" customWidth="1"/>
    <col min="2569" max="2569" width="2.28515625" style="4" customWidth="1"/>
    <col min="2570" max="2571" width="3.7109375" style="4" customWidth="1"/>
    <col min="2572" max="2572" width="2.28515625" style="4" customWidth="1"/>
    <col min="2573" max="2574" width="3.7109375" style="4" customWidth="1"/>
    <col min="2575" max="2575" width="2.28515625" style="4" customWidth="1"/>
    <col min="2576" max="2577" width="3.7109375" style="4" customWidth="1"/>
    <col min="2578" max="2578" width="2.28515625" style="4" customWidth="1"/>
    <col min="2579" max="2580" width="3.7109375" style="4" customWidth="1"/>
    <col min="2581" max="2581" width="2.28515625" style="4" customWidth="1"/>
    <col min="2582" max="2583" width="3.7109375" style="4" customWidth="1"/>
    <col min="2584" max="2584" width="2.28515625" style="4" customWidth="1"/>
    <col min="2585" max="2586" width="3.7109375" style="4" customWidth="1"/>
    <col min="2587" max="2587" width="2.28515625" style="4" customWidth="1"/>
    <col min="2588" max="2589" width="3.7109375" style="4" customWidth="1"/>
    <col min="2590" max="2590" width="2.28515625" style="4" customWidth="1"/>
    <col min="2591" max="2591" width="3.7109375" style="4" customWidth="1"/>
    <col min="2592" max="2592" width="9.7109375" style="4" customWidth="1"/>
    <col min="2593" max="2602" width="3.7109375" style="4" customWidth="1"/>
    <col min="2603" max="2603" width="11" style="4" customWidth="1"/>
    <col min="2604" max="2606" width="8.7109375" style="4"/>
    <col min="2607" max="2607" width="21" style="4" customWidth="1"/>
    <col min="2608" max="2608" width="24.42578125" style="4" customWidth="1"/>
    <col min="2609" max="2609" width="15.28515625" style="4" customWidth="1"/>
    <col min="2610" max="2610" width="10.5703125" style="4" customWidth="1"/>
    <col min="2611" max="2611" width="11.28515625" style="4" customWidth="1"/>
    <col min="2612" max="2612" width="25" style="4" customWidth="1"/>
    <col min="2613" max="2613" width="6" style="4" customWidth="1"/>
    <col min="2614" max="2817" width="8.7109375" style="4"/>
    <col min="2818" max="2818" width="3.7109375" style="4" customWidth="1"/>
    <col min="2819" max="2819" width="2.28515625" style="4" customWidth="1"/>
    <col min="2820" max="2821" width="3.7109375" style="4" customWidth="1"/>
    <col min="2822" max="2822" width="2.28515625" style="4" customWidth="1"/>
    <col min="2823" max="2824" width="3.7109375" style="4" customWidth="1"/>
    <col min="2825" max="2825" width="2.28515625" style="4" customWidth="1"/>
    <col min="2826" max="2827" width="3.7109375" style="4" customWidth="1"/>
    <col min="2828" max="2828" width="2.28515625" style="4" customWidth="1"/>
    <col min="2829" max="2830" width="3.7109375" style="4" customWidth="1"/>
    <col min="2831" max="2831" width="2.28515625" style="4" customWidth="1"/>
    <col min="2832" max="2833" width="3.7109375" style="4" customWidth="1"/>
    <col min="2834" max="2834" width="2.28515625" style="4" customWidth="1"/>
    <col min="2835" max="2836" width="3.7109375" style="4" customWidth="1"/>
    <col min="2837" max="2837" width="2.28515625" style="4" customWidth="1"/>
    <col min="2838" max="2839" width="3.7109375" style="4" customWidth="1"/>
    <col min="2840" max="2840" width="2.28515625" style="4" customWidth="1"/>
    <col min="2841" max="2842" width="3.7109375" style="4" customWidth="1"/>
    <col min="2843" max="2843" width="2.28515625" style="4" customWidth="1"/>
    <col min="2844" max="2845" width="3.7109375" style="4" customWidth="1"/>
    <col min="2846" max="2846" width="2.28515625" style="4" customWidth="1"/>
    <col min="2847" max="2847" width="3.7109375" style="4" customWidth="1"/>
    <col min="2848" max="2848" width="9.7109375" style="4" customWidth="1"/>
    <col min="2849" max="2858" width="3.7109375" style="4" customWidth="1"/>
    <col min="2859" max="2859" width="11" style="4" customWidth="1"/>
    <col min="2860" max="2862" width="8.7109375" style="4"/>
    <col min="2863" max="2863" width="21" style="4" customWidth="1"/>
    <col min="2864" max="2864" width="24.42578125" style="4" customWidth="1"/>
    <col min="2865" max="2865" width="15.28515625" style="4" customWidth="1"/>
    <col min="2866" max="2866" width="10.5703125" style="4" customWidth="1"/>
    <col min="2867" max="2867" width="11.28515625" style="4" customWidth="1"/>
    <col min="2868" max="2868" width="25" style="4" customWidth="1"/>
    <col min="2869" max="2869" width="6" style="4" customWidth="1"/>
    <col min="2870" max="3073" width="8.7109375" style="4"/>
    <col min="3074" max="3074" width="3.7109375" style="4" customWidth="1"/>
    <col min="3075" max="3075" width="2.28515625" style="4" customWidth="1"/>
    <col min="3076" max="3077" width="3.7109375" style="4" customWidth="1"/>
    <col min="3078" max="3078" width="2.28515625" style="4" customWidth="1"/>
    <col min="3079" max="3080" width="3.7109375" style="4" customWidth="1"/>
    <col min="3081" max="3081" width="2.28515625" style="4" customWidth="1"/>
    <col min="3082" max="3083" width="3.7109375" style="4" customWidth="1"/>
    <col min="3084" max="3084" width="2.28515625" style="4" customWidth="1"/>
    <col min="3085" max="3086" width="3.7109375" style="4" customWidth="1"/>
    <col min="3087" max="3087" width="2.28515625" style="4" customWidth="1"/>
    <col min="3088" max="3089" width="3.7109375" style="4" customWidth="1"/>
    <col min="3090" max="3090" width="2.28515625" style="4" customWidth="1"/>
    <col min="3091" max="3092" width="3.7109375" style="4" customWidth="1"/>
    <col min="3093" max="3093" width="2.28515625" style="4" customWidth="1"/>
    <col min="3094" max="3095" width="3.7109375" style="4" customWidth="1"/>
    <col min="3096" max="3096" width="2.28515625" style="4" customWidth="1"/>
    <col min="3097" max="3098" width="3.7109375" style="4" customWidth="1"/>
    <col min="3099" max="3099" width="2.28515625" style="4" customWidth="1"/>
    <col min="3100" max="3101" width="3.7109375" style="4" customWidth="1"/>
    <col min="3102" max="3102" width="2.28515625" style="4" customWidth="1"/>
    <col min="3103" max="3103" width="3.7109375" style="4" customWidth="1"/>
    <col min="3104" max="3104" width="9.7109375" style="4" customWidth="1"/>
    <col min="3105" max="3114" width="3.7109375" style="4" customWidth="1"/>
    <col min="3115" max="3115" width="11" style="4" customWidth="1"/>
    <col min="3116" max="3118" width="8.7109375" style="4"/>
    <col min="3119" max="3119" width="21" style="4" customWidth="1"/>
    <col min="3120" max="3120" width="24.42578125" style="4" customWidth="1"/>
    <col min="3121" max="3121" width="15.28515625" style="4" customWidth="1"/>
    <col min="3122" max="3122" width="10.5703125" style="4" customWidth="1"/>
    <col min="3123" max="3123" width="11.28515625" style="4" customWidth="1"/>
    <col min="3124" max="3124" width="25" style="4" customWidth="1"/>
    <col min="3125" max="3125" width="6" style="4" customWidth="1"/>
    <col min="3126" max="3329" width="8.7109375" style="4"/>
    <col min="3330" max="3330" width="3.7109375" style="4" customWidth="1"/>
    <col min="3331" max="3331" width="2.28515625" style="4" customWidth="1"/>
    <col min="3332" max="3333" width="3.7109375" style="4" customWidth="1"/>
    <col min="3334" max="3334" width="2.28515625" style="4" customWidth="1"/>
    <col min="3335" max="3336" width="3.7109375" style="4" customWidth="1"/>
    <col min="3337" max="3337" width="2.28515625" style="4" customWidth="1"/>
    <col min="3338" max="3339" width="3.7109375" style="4" customWidth="1"/>
    <col min="3340" max="3340" width="2.28515625" style="4" customWidth="1"/>
    <col min="3341" max="3342" width="3.7109375" style="4" customWidth="1"/>
    <col min="3343" max="3343" width="2.28515625" style="4" customWidth="1"/>
    <col min="3344" max="3345" width="3.7109375" style="4" customWidth="1"/>
    <col min="3346" max="3346" width="2.28515625" style="4" customWidth="1"/>
    <col min="3347" max="3348" width="3.7109375" style="4" customWidth="1"/>
    <col min="3349" max="3349" width="2.28515625" style="4" customWidth="1"/>
    <col min="3350" max="3351" width="3.7109375" style="4" customWidth="1"/>
    <col min="3352" max="3352" width="2.28515625" style="4" customWidth="1"/>
    <col min="3353" max="3354" width="3.7109375" style="4" customWidth="1"/>
    <col min="3355" max="3355" width="2.28515625" style="4" customWidth="1"/>
    <col min="3356" max="3357" width="3.7109375" style="4" customWidth="1"/>
    <col min="3358" max="3358" width="2.28515625" style="4" customWidth="1"/>
    <col min="3359" max="3359" width="3.7109375" style="4" customWidth="1"/>
    <col min="3360" max="3360" width="9.7109375" style="4" customWidth="1"/>
    <col min="3361" max="3370" width="3.7109375" style="4" customWidth="1"/>
    <col min="3371" max="3371" width="11" style="4" customWidth="1"/>
    <col min="3372" max="3374" width="8.7109375" style="4"/>
    <col min="3375" max="3375" width="21" style="4" customWidth="1"/>
    <col min="3376" max="3376" width="24.42578125" style="4" customWidth="1"/>
    <col min="3377" max="3377" width="15.28515625" style="4" customWidth="1"/>
    <col min="3378" max="3378" width="10.5703125" style="4" customWidth="1"/>
    <col min="3379" max="3379" width="11.28515625" style="4" customWidth="1"/>
    <col min="3380" max="3380" width="25" style="4" customWidth="1"/>
    <col min="3381" max="3381" width="6" style="4" customWidth="1"/>
    <col min="3382" max="3585" width="8.7109375" style="4"/>
    <col min="3586" max="3586" width="3.7109375" style="4" customWidth="1"/>
    <col min="3587" max="3587" width="2.28515625" style="4" customWidth="1"/>
    <col min="3588" max="3589" width="3.7109375" style="4" customWidth="1"/>
    <col min="3590" max="3590" width="2.28515625" style="4" customWidth="1"/>
    <col min="3591" max="3592" width="3.7109375" style="4" customWidth="1"/>
    <col min="3593" max="3593" width="2.28515625" style="4" customWidth="1"/>
    <col min="3594" max="3595" width="3.7109375" style="4" customWidth="1"/>
    <col min="3596" max="3596" width="2.28515625" style="4" customWidth="1"/>
    <col min="3597" max="3598" width="3.7109375" style="4" customWidth="1"/>
    <col min="3599" max="3599" width="2.28515625" style="4" customWidth="1"/>
    <col min="3600" max="3601" width="3.7109375" style="4" customWidth="1"/>
    <col min="3602" max="3602" width="2.28515625" style="4" customWidth="1"/>
    <col min="3603" max="3604" width="3.7109375" style="4" customWidth="1"/>
    <col min="3605" max="3605" width="2.28515625" style="4" customWidth="1"/>
    <col min="3606" max="3607" width="3.7109375" style="4" customWidth="1"/>
    <col min="3608" max="3608" width="2.28515625" style="4" customWidth="1"/>
    <col min="3609" max="3610" width="3.7109375" style="4" customWidth="1"/>
    <col min="3611" max="3611" width="2.28515625" style="4" customWidth="1"/>
    <col min="3612" max="3613" width="3.7109375" style="4" customWidth="1"/>
    <col min="3614" max="3614" width="2.28515625" style="4" customWidth="1"/>
    <col min="3615" max="3615" width="3.7109375" style="4" customWidth="1"/>
    <col min="3616" max="3616" width="9.7109375" style="4" customWidth="1"/>
    <col min="3617" max="3626" width="3.7109375" style="4" customWidth="1"/>
    <col min="3627" max="3627" width="11" style="4" customWidth="1"/>
    <col min="3628" max="3630" width="8.7109375" style="4"/>
    <col min="3631" max="3631" width="21" style="4" customWidth="1"/>
    <col min="3632" max="3632" width="24.42578125" style="4" customWidth="1"/>
    <col min="3633" max="3633" width="15.28515625" style="4" customWidth="1"/>
    <col min="3634" max="3634" width="10.5703125" style="4" customWidth="1"/>
    <col min="3635" max="3635" width="11.28515625" style="4" customWidth="1"/>
    <col min="3636" max="3636" width="25" style="4" customWidth="1"/>
    <col min="3637" max="3637" width="6" style="4" customWidth="1"/>
    <col min="3638" max="3841" width="8.7109375" style="4"/>
    <col min="3842" max="3842" width="3.7109375" style="4" customWidth="1"/>
    <col min="3843" max="3843" width="2.28515625" style="4" customWidth="1"/>
    <col min="3844" max="3845" width="3.7109375" style="4" customWidth="1"/>
    <col min="3846" max="3846" width="2.28515625" style="4" customWidth="1"/>
    <col min="3847" max="3848" width="3.7109375" style="4" customWidth="1"/>
    <col min="3849" max="3849" width="2.28515625" style="4" customWidth="1"/>
    <col min="3850" max="3851" width="3.7109375" style="4" customWidth="1"/>
    <col min="3852" max="3852" width="2.28515625" style="4" customWidth="1"/>
    <col min="3853" max="3854" width="3.7109375" style="4" customWidth="1"/>
    <col min="3855" max="3855" width="2.28515625" style="4" customWidth="1"/>
    <col min="3856" max="3857" width="3.7109375" style="4" customWidth="1"/>
    <col min="3858" max="3858" width="2.28515625" style="4" customWidth="1"/>
    <col min="3859" max="3860" width="3.7109375" style="4" customWidth="1"/>
    <col min="3861" max="3861" width="2.28515625" style="4" customWidth="1"/>
    <col min="3862" max="3863" width="3.7109375" style="4" customWidth="1"/>
    <col min="3864" max="3864" width="2.28515625" style="4" customWidth="1"/>
    <col min="3865" max="3866" width="3.7109375" style="4" customWidth="1"/>
    <col min="3867" max="3867" width="2.28515625" style="4" customWidth="1"/>
    <col min="3868" max="3869" width="3.7109375" style="4" customWidth="1"/>
    <col min="3870" max="3870" width="2.28515625" style="4" customWidth="1"/>
    <col min="3871" max="3871" width="3.7109375" style="4" customWidth="1"/>
    <col min="3872" max="3872" width="9.7109375" style="4" customWidth="1"/>
    <col min="3873" max="3882" width="3.7109375" style="4" customWidth="1"/>
    <col min="3883" max="3883" width="11" style="4" customWidth="1"/>
    <col min="3884" max="3886" width="8.7109375" style="4"/>
    <col min="3887" max="3887" width="21" style="4" customWidth="1"/>
    <col min="3888" max="3888" width="24.42578125" style="4" customWidth="1"/>
    <col min="3889" max="3889" width="15.28515625" style="4" customWidth="1"/>
    <col min="3890" max="3890" width="10.5703125" style="4" customWidth="1"/>
    <col min="3891" max="3891" width="11.28515625" style="4" customWidth="1"/>
    <col min="3892" max="3892" width="25" style="4" customWidth="1"/>
    <col min="3893" max="3893" width="6" style="4" customWidth="1"/>
    <col min="3894" max="4097" width="8.7109375" style="4"/>
    <col min="4098" max="4098" width="3.7109375" style="4" customWidth="1"/>
    <col min="4099" max="4099" width="2.28515625" style="4" customWidth="1"/>
    <col min="4100" max="4101" width="3.7109375" style="4" customWidth="1"/>
    <col min="4102" max="4102" width="2.28515625" style="4" customWidth="1"/>
    <col min="4103" max="4104" width="3.7109375" style="4" customWidth="1"/>
    <col min="4105" max="4105" width="2.28515625" style="4" customWidth="1"/>
    <col min="4106" max="4107" width="3.7109375" style="4" customWidth="1"/>
    <col min="4108" max="4108" width="2.28515625" style="4" customWidth="1"/>
    <col min="4109" max="4110" width="3.7109375" style="4" customWidth="1"/>
    <col min="4111" max="4111" width="2.28515625" style="4" customWidth="1"/>
    <col min="4112" max="4113" width="3.7109375" style="4" customWidth="1"/>
    <col min="4114" max="4114" width="2.28515625" style="4" customWidth="1"/>
    <col min="4115" max="4116" width="3.7109375" style="4" customWidth="1"/>
    <col min="4117" max="4117" width="2.28515625" style="4" customWidth="1"/>
    <col min="4118" max="4119" width="3.7109375" style="4" customWidth="1"/>
    <col min="4120" max="4120" width="2.28515625" style="4" customWidth="1"/>
    <col min="4121" max="4122" width="3.7109375" style="4" customWidth="1"/>
    <col min="4123" max="4123" width="2.28515625" style="4" customWidth="1"/>
    <col min="4124" max="4125" width="3.7109375" style="4" customWidth="1"/>
    <col min="4126" max="4126" width="2.28515625" style="4" customWidth="1"/>
    <col min="4127" max="4127" width="3.7109375" style="4" customWidth="1"/>
    <col min="4128" max="4128" width="9.7109375" style="4" customWidth="1"/>
    <col min="4129" max="4138" width="3.7109375" style="4" customWidth="1"/>
    <col min="4139" max="4139" width="11" style="4" customWidth="1"/>
    <col min="4140" max="4142" width="8.7109375" style="4"/>
    <col min="4143" max="4143" width="21" style="4" customWidth="1"/>
    <col min="4144" max="4144" width="24.42578125" style="4" customWidth="1"/>
    <col min="4145" max="4145" width="15.28515625" style="4" customWidth="1"/>
    <col min="4146" max="4146" width="10.5703125" style="4" customWidth="1"/>
    <col min="4147" max="4147" width="11.28515625" style="4" customWidth="1"/>
    <col min="4148" max="4148" width="25" style="4" customWidth="1"/>
    <col min="4149" max="4149" width="6" style="4" customWidth="1"/>
    <col min="4150" max="4353" width="8.7109375" style="4"/>
    <col min="4354" max="4354" width="3.7109375" style="4" customWidth="1"/>
    <col min="4355" max="4355" width="2.28515625" style="4" customWidth="1"/>
    <col min="4356" max="4357" width="3.7109375" style="4" customWidth="1"/>
    <col min="4358" max="4358" width="2.28515625" style="4" customWidth="1"/>
    <col min="4359" max="4360" width="3.7109375" style="4" customWidth="1"/>
    <col min="4361" max="4361" width="2.28515625" style="4" customWidth="1"/>
    <col min="4362" max="4363" width="3.7109375" style="4" customWidth="1"/>
    <col min="4364" max="4364" width="2.28515625" style="4" customWidth="1"/>
    <col min="4365" max="4366" width="3.7109375" style="4" customWidth="1"/>
    <col min="4367" max="4367" width="2.28515625" style="4" customWidth="1"/>
    <col min="4368" max="4369" width="3.7109375" style="4" customWidth="1"/>
    <col min="4370" max="4370" width="2.28515625" style="4" customWidth="1"/>
    <col min="4371" max="4372" width="3.7109375" style="4" customWidth="1"/>
    <col min="4373" max="4373" width="2.28515625" style="4" customWidth="1"/>
    <col min="4374" max="4375" width="3.7109375" style="4" customWidth="1"/>
    <col min="4376" max="4376" width="2.28515625" style="4" customWidth="1"/>
    <col min="4377" max="4378" width="3.7109375" style="4" customWidth="1"/>
    <col min="4379" max="4379" width="2.28515625" style="4" customWidth="1"/>
    <col min="4380" max="4381" width="3.7109375" style="4" customWidth="1"/>
    <col min="4382" max="4382" width="2.28515625" style="4" customWidth="1"/>
    <col min="4383" max="4383" width="3.7109375" style="4" customWidth="1"/>
    <col min="4384" max="4384" width="9.7109375" style="4" customWidth="1"/>
    <col min="4385" max="4394" width="3.7109375" style="4" customWidth="1"/>
    <col min="4395" max="4395" width="11" style="4" customWidth="1"/>
    <col min="4396" max="4398" width="8.7109375" style="4"/>
    <col min="4399" max="4399" width="21" style="4" customWidth="1"/>
    <col min="4400" max="4400" width="24.42578125" style="4" customWidth="1"/>
    <col min="4401" max="4401" width="15.28515625" style="4" customWidth="1"/>
    <col min="4402" max="4402" width="10.5703125" style="4" customWidth="1"/>
    <col min="4403" max="4403" width="11.28515625" style="4" customWidth="1"/>
    <col min="4404" max="4404" width="25" style="4" customWidth="1"/>
    <col min="4405" max="4405" width="6" style="4" customWidth="1"/>
    <col min="4406" max="4609" width="8.7109375" style="4"/>
    <col min="4610" max="4610" width="3.7109375" style="4" customWidth="1"/>
    <col min="4611" max="4611" width="2.28515625" style="4" customWidth="1"/>
    <col min="4612" max="4613" width="3.7109375" style="4" customWidth="1"/>
    <col min="4614" max="4614" width="2.28515625" style="4" customWidth="1"/>
    <col min="4615" max="4616" width="3.7109375" style="4" customWidth="1"/>
    <col min="4617" max="4617" width="2.28515625" style="4" customWidth="1"/>
    <col min="4618" max="4619" width="3.7109375" style="4" customWidth="1"/>
    <col min="4620" max="4620" width="2.28515625" style="4" customWidth="1"/>
    <col min="4621" max="4622" width="3.7109375" style="4" customWidth="1"/>
    <col min="4623" max="4623" width="2.28515625" style="4" customWidth="1"/>
    <col min="4624" max="4625" width="3.7109375" style="4" customWidth="1"/>
    <col min="4626" max="4626" width="2.28515625" style="4" customWidth="1"/>
    <col min="4627" max="4628" width="3.7109375" style="4" customWidth="1"/>
    <col min="4629" max="4629" width="2.28515625" style="4" customWidth="1"/>
    <col min="4630" max="4631" width="3.7109375" style="4" customWidth="1"/>
    <col min="4632" max="4632" width="2.28515625" style="4" customWidth="1"/>
    <col min="4633" max="4634" width="3.7109375" style="4" customWidth="1"/>
    <col min="4635" max="4635" width="2.28515625" style="4" customWidth="1"/>
    <col min="4636" max="4637" width="3.7109375" style="4" customWidth="1"/>
    <col min="4638" max="4638" width="2.28515625" style="4" customWidth="1"/>
    <col min="4639" max="4639" width="3.7109375" style="4" customWidth="1"/>
    <col min="4640" max="4640" width="9.7109375" style="4" customWidth="1"/>
    <col min="4641" max="4650" width="3.7109375" style="4" customWidth="1"/>
    <col min="4651" max="4651" width="11" style="4" customWidth="1"/>
    <col min="4652" max="4654" width="8.7109375" style="4"/>
    <col min="4655" max="4655" width="21" style="4" customWidth="1"/>
    <col min="4656" max="4656" width="24.42578125" style="4" customWidth="1"/>
    <col min="4657" max="4657" width="15.28515625" style="4" customWidth="1"/>
    <col min="4658" max="4658" width="10.5703125" style="4" customWidth="1"/>
    <col min="4659" max="4659" width="11.28515625" style="4" customWidth="1"/>
    <col min="4660" max="4660" width="25" style="4" customWidth="1"/>
    <col min="4661" max="4661" width="6" style="4" customWidth="1"/>
    <col min="4662" max="4865" width="8.7109375" style="4"/>
    <col min="4866" max="4866" width="3.7109375" style="4" customWidth="1"/>
    <col min="4867" max="4867" width="2.28515625" style="4" customWidth="1"/>
    <col min="4868" max="4869" width="3.7109375" style="4" customWidth="1"/>
    <col min="4870" max="4870" width="2.28515625" style="4" customWidth="1"/>
    <col min="4871" max="4872" width="3.7109375" style="4" customWidth="1"/>
    <col min="4873" max="4873" width="2.28515625" style="4" customWidth="1"/>
    <col min="4874" max="4875" width="3.7109375" style="4" customWidth="1"/>
    <col min="4876" max="4876" width="2.28515625" style="4" customWidth="1"/>
    <col min="4877" max="4878" width="3.7109375" style="4" customWidth="1"/>
    <col min="4879" max="4879" width="2.28515625" style="4" customWidth="1"/>
    <col min="4880" max="4881" width="3.7109375" style="4" customWidth="1"/>
    <col min="4882" max="4882" width="2.28515625" style="4" customWidth="1"/>
    <col min="4883" max="4884" width="3.7109375" style="4" customWidth="1"/>
    <col min="4885" max="4885" width="2.28515625" style="4" customWidth="1"/>
    <col min="4886" max="4887" width="3.7109375" style="4" customWidth="1"/>
    <col min="4888" max="4888" width="2.28515625" style="4" customWidth="1"/>
    <col min="4889" max="4890" width="3.7109375" style="4" customWidth="1"/>
    <col min="4891" max="4891" width="2.28515625" style="4" customWidth="1"/>
    <col min="4892" max="4893" width="3.7109375" style="4" customWidth="1"/>
    <col min="4894" max="4894" width="2.28515625" style="4" customWidth="1"/>
    <col min="4895" max="4895" width="3.7109375" style="4" customWidth="1"/>
    <col min="4896" max="4896" width="9.7109375" style="4" customWidth="1"/>
    <col min="4897" max="4906" width="3.7109375" style="4" customWidth="1"/>
    <col min="4907" max="4907" width="11" style="4" customWidth="1"/>
    <col min="4908" max="4910" width="8.7109375" style="4"/>
    <col min="4911" max="4911" width="21" style="4" customWidth="1"/>
    <col min="4912" max="4912" width="24.42578125" style="4" customWidth="1"/>
    <col min="4913" max="4913" width="15.28515625" style="4" customWidth="1"/>
    <col min="4914" max="4914" width="10.5703125" style="4" customWidth="1"/>
    <col min="4915" max="4915" width="11.28515625" style="4" customWidth="1"/>
    <col min="4916" max="4916" width="25" style="4" customWidth="1"/>
    <col min="4917" max="4917" width="6" style="4" customWidth="1"/>
    <col min="4918" max="5121" width="8.7109375" style="4"/>
    <col min="5122" max="5122" width="3.7109375" style="4" customWidth="1"/>
    <col min="5123" max="5123" width="2.28515625" style="4" customWidth="1"/>
    <col min="5124" max="5125" width="3.7109375" style="4" customWidth="1"/>
    <col min="5126" max="5126" width="2.28515625" style="4" customWidth="1"/>
    <col min="5127" max="5128" width="3.7109375" style="4" customWidth="1"/>
    <col min="5129" max="5129" width="2.28515625" style="4" customWidth="1"/>
    <col min="5130" max="5131" width="3.7109375" style="4" customWidth="1"/>
    <col min="5132" max="5132" width="2.28515625" style="4" customWidth="1"/>
    <col min="5133" max="5134" width="3.7109375" style="4" customWidth="1"/>
    <col min="5135" max="5135" width="2.28515625" style="4" customWidth="1"/>
    <col min="5136" max="5137" width="3.7109375" style="4" customWidth="1"/>
    <col min="5138" max="5138" width="2.28515625" style="4" customWidth="1"/>
    <col min="5139" max="5140" width="3.7109375" style="4" customWidth="1"/>
    <col min="5141" max="5141" width="2.28515625" style="4" customWidth="1"/>
    <col min="5142" max="5143" width="3.7109375" style="4" customWidth="1"/>
    <col min="5144" max="5144" width="2.28515625" style="4" customWidth="1"/>
    <col min="5145" max="5146" width="3.7109375" style="4" customWidth="1"/>
    <col min="5147" max="5147" width="2.28515625" style="4" customWidth="1"/>
    <col min="5148" max="5149" width="3.7109375" style="4" customWidth="1"/>
    <col min="5150" max="5150" width="2.28515625" style="4" customWidth="1"/>
    <col min="5151" max="5151" width="3.7109375" style="4" customWidth="1"/>
    <col min="5152" max="5152" width="9.7109375" style="4" customWidth="1"/>
    <col min="5153" max="5162" width="3.7109375" style="4" customWidth="1"/>
    <col min="5163" max="5163" width="11" style="4" customWidth="1"/>
    <col min="5164" max="5166" width="8.7109375" style="4"/>
    <col min="5167" max="5167" width="21" style="4" customWidth="1"/>
    <col min="5168" max="5168" width="24.42578125" style="4" customWidth="1"/>
    <col min="5169" max="5169" width="15.28515625" style="4" customWidth="1"/>
    <col min="5170" max="5170" width="10.5703125" style="4" customWidth="1"/>
    <col min="5171" max="5171" width="11.28515625" style="4" customWidth="1"/>
    <col min="5172" max="5172" width="25" style="4" customWidth="1"/>
    <col min="5173" max="5173" width="6" style="4" customWidth="1"/>
    <col min="5174" max="5377" width="8.7109375" style="4"/>
    <col min="5378" max="5378" width="3.7109375" style="4" customWidth="1"/>
    <col min="5379" max="5379" width="2.28515625" style="4" customWidth="1"/>
    <col min="5380" max="5381" width="3.7109375" style="4" customWidth="1"/>
    <col min="5382" max="5382" width="2.28515625" style="4" customWidth="1"/>
    <col min="5383" max="5384" width="3.7109375" style="4" customWidth="1"/>
    <col min="5385" max="5385" width="2.28515625" style="4" customWidth="1"/>
    <col min="5386" max="5387" width="3.7109375" style="4" customWidth="1"/>
    <col min="5388" max="5388" width="2.28515625" style="4" customWidth="1"/>
    <col min="5389" max="5390" width="3.7109375" style="4" customWidth="1"/>
    <col min="5391" max="5391" width="2.28515625" style="4" customWidth="1"/>
    <col min="5392" max="5393" width="3.7109375" style="4" customWidth="1"/>
    <col min="5394" max="5394" width="2.28515625" style="4" customWidth="1"/>
    <col min="5395" max="5396" width="3.7109375" style="4" customWidth="1"/>
    <col min="5397" max="5397" width="2.28515625" style="4" customWidth="1"/>
    <col min="5398" max="5399" width="3.7109375" style="4" customWidth="1"/>
    <col min="5400" max="5400" width="2.28515625" style="4" customWidth="1"/>
    <col min="5401" max="5402" width="3.7109375" style="4" customWidth="1"/>
    <col min="5403" max="5403" width="2.28515625" style="4" customWidth="1"/>
    <col min="5404" max="5405" width="3.7109375" style="4" customWidth="1"/>
    <col min="5406" max="5406" width="2.28515625" style="4" customWidth="1"/>
    <col min="5407" max="5407" width="3.7109375" style="4" customWidth="1"/>
    <col min="5408" max="5408" width="9.7109375" style="4" customWidth="1"/>
    <col min="5409" max="5418" width="3.7109375" style="4" customWidth="1"/>
    <col min="5419" max="5419" width="11" style="4" customWidth="1"/>
    <col min="5420" max="5422" width="8.7109375" style="4"/>
    <col min="5423" max="5423" width="21" style="4" customWidth="1"/>
    <col min="5424" max="5424" width="24.42578125" style="4" customWidth="1"/>
    <col min="5425" max="5425" width="15.28515625" style="4" customWidth="1"/>
    <col min="5426" max="5426" width="10.5703125" style="4" customWidth="1"/>
    <col min="5427" max="5427" width="11.28515625" style="4" customWidth="1"/>
    <col min="5428" max="5428" width="25" style="4" customWidth="1"/>
    <col min="5429" max="5429" width="6" style="4" customWidth="1"/>
    <col min="5430" max="5633" width="8.7109375" style="4"/>
    <col min="5634" max="5634" width="3.7109375" style="4" customWidth="1"/>
    <col min="5635" max="5635" width="2.28515625" style="4" customWidth="1"/>
    <col min="5636" max="5637" width="3.7109375" style="4" customWidth="1"/>
    <col min="5638" max="5638" width="2.28515625" style="4" customWidth="1"/>
    <col min="5639" max="5640" width="3.7109375" style="4" customWidth="1"/>
    <col min="5641" max="5641" width="2.28515625" style="4" customWidth="1"/>
    <col min="5642" max="5643" width="3.7109375" style="4" customWidth="1"/>
    <col min="5644" max="5644" width="2.28515625" style="4" customWidth="1"/>
    <col min="5645" max="5646" width="3.7109375" style="4" customWidth="1"/>
    <col min="5647" max="5647" width="2.28515625" style="4" customWidth="1"/>
    <col min="5648" max="5649" width="3.7109375" style="4" customWidth="1"/>
    <col min="5650" max="5650" width="2.28515625" style="4" customWidth="1"/>
    <col min="5651" max="5652" width="3.7109375" style="4" customWidth="1"/>
    <col min="5653" max="5653" width="2.28515625" style="4" customWidth="1"/>
    <col min="5654" max="5655" width="3.7109375" style="4" customWidth="1"/>
    <col min="5656" max="5656" width="2.28515625" style="4" customWidth="1"/>
    <col min="5657" max="5658" width="3.7109375" style="4" customWidth="1"/>
    <col min="5659" max="5659" width="2.28515625" style="4" customWidth="1"/>
    <col min="5660" max="5661" width="3.7109375" style="4" customWidth="1"/>
    <col min="5662" max="5662" width="2.28515625" style="4" customWidth="1"/>
    <col min="5663" max="5663" width="3.7109375" style="4" customWidth="1"/>
    <col min="5664" max="5664" width="9.7109375" style="4" customWidth="1"/>
    <col min="5665" max="5674" width="3.7109375" style="4" customWidth="1"/>
    <col min="5675" max="5675" width="11" style="4" customWidth="1"/>
    <col min="5676" max="5678" width="8.7109375" style="4"/>
    <col min="5679" max="5679" width="21" style="4" customWidth="1"/>
    <col min="5680" max="5680" width="24.42578125" style="4" customWidth="1"/>
    <col min="5681" max="5681" width="15.28515625" style="4" customWidth="1"/>
    <col min="5682" max="5682" width="10.5703125" style="4" customWidth="1"/>
    <col min="5683" max="5683" width="11.28515625" style="4" customWidth="1"/>
    <col min="5684" max="5684" width="25" style="4" customWidth="1"/>
    <col min="5685" max="5685" width="6" style="4" customWidth="1"/>
    <col min="5686" max="5889" width="8.7109375" style="4"/>
    <col min="5890" max="5890" width="3.7109375" style="4" customWidth="1"/>
    <col min="5891" max="5891" width="2.28515625" style="4" customWidth="1"/>
    <col min="5892" max="5893" width="3.7109375" style="4" customWidth="1"/>
    <col min="5894" max="5894" width="2.28515625" style="4" customWidth="1"/>
    <col min="5895" max="5896" width="3.7109375" style="4" customWidth="1"/>
    <col min="5897" max="5897" width="2.28515625" style="4" customWidth="1"/>
    <col min="5898" max="5899" width="3.7109375" style="4" customWidth="1"/>
    <col min="5900" max="5900" width="2.28515625" style="4" customWidth="1"/>
    <col min="5901" max="5902" width="3.7109375" style="4" customWidth="1"/>
    <col min="5903" max="5903" width="2.28515625" style="4" customWidth="1"/>
    <col min="5904" max="5905" width="3.7109375" style="4" customWidth="1"/>
    <col min="5906" max="5906" width="2.28515625" style="4" customWidth="1"/>
    <col min="5907" max="5908" width="3.7109375" style="4" customWidth="1"/>
    <col min="5909" max="5909" width="2.28515625" style="4" customWidth="1"/>
    <col min="5910" max="5911" width="3.7109375" style="4" customWidth="1"/>
    <col min="5912" max="5912" width="2.28515625" style="4" customWidth="1"/>
    <col min="5913" max="5914" width="3.7109375" style="4" customWidth="1"/>
    <col min="5915" max="5915" width="2.28515625" style="4" customWidth="1"/>
    <col min="5916" max="5917" width="3.7109375" style="4" customWidth="1"/>
    <col min="5918" max="5918" width="2.28515625" style="4" customWidth="1"/>
    <col min="5919" max="5919" width="3.7109375" style="4" customWidth="1"/>
    <col min="5920" max="5920" width="9.7109375" style="4" customWidth="1"/>
    <col min="5921" max="5930" width="3.7109375" style="4" customWidth="1"/>
    <col min="5931" max="5931" width="11" style="4" customWidth="1"/>
    <col min="5932" max="5934" width="8.7109375" style="4"/>
    <col min="5935" max="5935" width="21" style="4" customWidth="1"/>
    <col min="5936" max="5936" width="24.42578125" style="4" customWidth="1"/>
    <col min="5937" max="5937" width="15.28515625" style="4" customWidth="1"/>
    <col min="5938" max="5938" width="10.5703125" style="4" customWidth="1"/>
    <col min="5939" max="5939" width="11.28515625" style="4" customWidth="1"/>
    <col min="5940" max="5940" width="25" style="4" customWidth="1"/>
    <col min="5941" max="5941" width="6" style="4" customWidth="1"/>
    <col min="5942" max="6145" width="8.7109375" style="4"/>
    <col min="6146" max="6146" width="3.7109375" style="4" customWidth="1"/>
    <col min="6147" max="6147" width="2.28515625" style="4" customWidth="1"/>
    <col min="6148" max="6149" width="3.7109375" style="4" customWidth="1"/>
    <col min="6150" max="6150" width="2.28515625" style="4" customWidth="1"/>
    <col min="6151" max="6152" width="3.7109375" style="4" customWidth="1"/>
    <col min="6153" max="6153" width="2.28515625" style="4" customWidth="1"/>
    <col min="6154" max="6155" width="3.7109375" style="4" customWidth="1"/>
    <col min="6156" max="6156" width="2.28515625" style="4" customWidth="1"/>
    <col min="6157" max="6158" width="3.7109375" style="4" customWidth="1"/>
    <col min="6159" max="6159" width="2.28515625" style="4" customWidth="1"/>
    <col min="6160" max="6161" width="3.7109375" style="4" customWidth="1"/>
    <col min="6162" max="6162" width="2.28515625" style="4" customWidth="1"/>
    <col min="6163" max="6164" width="3.7109375" style="4" customWidth="1"/>
    <col min="6165" max="6165" width="2.28515625" style="4" customWidth="1"/>
    <col min="6166" max="6167" width="3.7109375" style="4" customWidth="1"/>
    <col min="6168" max="6168" width="2.28515625" style="4" customWidth="1"/>
    <col min="6169" max="6170" width="3.7109375" style="4" customWidth="1"/>
    <col min="6171" max="6171" width="2.28515625" style="4" customWidth="1"/>
    <col min="6172" max="6173" width="3.7109375" style="4" customWidth="1"/>
    <col min="6174" max="6174" width="2.28515625" style="4" customWidth="1"/>
    <col min="6175" max="6175" width="3.7109375" style="4" customWidth="1"/>
    <col min="6176" max="6176" width="9.7109375" style="4" customWidth="1"/>
    <col min="6177" max="6186" width="3.7109375" style="4" customWidth="1"/>
    <col min="6187" max="6187" width="11" style="4" customWidth="1"/>
    <col min="6188" max="6190" width="8.7109375" style="4"/>
    <col min="6191" max="6191" width="21" style="4" customWidth="1"/>
    <col min="6192" max="6192" width="24.42578125" style="4" customWidth="1"/>
    <col min="6193" max="6193" width="15.28515625" style="4" customWidth="1"/>
    <col min="6194" max="6194" width="10.5703125" style="4" customWidth="1"/>
    <col min="6195" max="6195" width="11.28515625" style="4" customWidth="1"/>
    <col min="6196" max="6196" width="25" style="4" customWidth="1"/>
    <col min="6197" max="6197" width="6" style="4" customWidth="1"/>
    <col min="6198" max="6401" width="8.7109375" style="4"/>
    <col min="6402" max="6402" width="3.7109375" style="4" customWidth="1"/>
    <col min="6403" max="6403" width="2.28515625" style="4" customWidth="1"/>
    <col min="6404" max="6405" width="3.7109375" style="4" customWidth="1"/>
    <col min="6406" max="6406" width="2.28515625" style="4" customWidth="1"/>
    <col min="6407" max="6408" width="3.7109375" style="4" customWidth="1"/>
    <col min="6409" max="6409" width="2.28515625" style="4" customWidth="1"/>
    <col min="6410" max="6411" width="3.7109375" style="4" customWidth="1"/>
    <col min="6412" max="6412" width="2.28515625" style="4" customWidth="1"/>
    <col min="6413" max="6414" width="3.7109375" style="4" customWidth="1"/>
    <col min="6415" max="6415" width="2.28515625" style="4" customWidth="1"/>
    <col min="6416" max="6417" width="3.7109375" style="4" customWidth="1"/>
    <col min="6418" max="6418" width="2.28515625" style="4" customWidth="1"/>
    <col min="6419" max="6420" width="3.7109375" style="4" customWidth="1"/>
    <col min="6421" max="6421" width="2.28515625" style="4" customWidth="1"/>
    <col min="6422" max="6423" width="3.7109375" style="4" customWidth="1"/>
    <col min="6424" max="6424" width="2.28515625" style="4" customWidth="1"/>
    <col min="6425" max="6426" width="3.7109375" style="4" customWidth="1"/>
    <col min="6427" max="6427" width="2.28515625" style="4" customWidth="1"/>
    <col min="6428" max="6429" width="3.7109375" style="4" customWidth="1"/>
    <col min="6430" max="6430" width="2.28515625" style="4" customWidth="1"/>
    <col min="6431" max="6431" width="3.7109375" style="4" customWidth="1"/>
    <col min="6432" max="6432" width="9.7109375" style="4" customWidth="1"/>
    <col min="6433" max="6442" width="3.7109375" style="4" customWidth="1"/>
    <col min="6443" max="6443" width="11" style="4" customWidth="1"/>
    <col min="6444" max="6446" width="8.7109375" style="4"/>
    <col min="6447" max="6447" width="21" style="4" customWidth="1"/>
    <col min="6448" max="6448" width="24.42578125" style="4" customWidth="1"/>
    <col min="6449" max="6449" width="15.28515625" style="4" customWidth="1"/>
    <col min="6450" max="6450" width="10.5703125" style="4" customWidth="1"/>
    <col min="6451" max="6451" width="11.28515625" style="4" customWidth="1"/>
    <col min="6452" max="6452" width="25" style="4" customWidth="1"/>
    <col min="6453" max="6453" width="6" style="4" customWidth="1"/>
    <col min="6454" max="6657" width="8.7109375" style="4"/>
    <col min="6658" max="6658" width="3.7109375" style="4" customWidth="1"/>
    <col min="6659" max="6659" width="2.28515625" style="4" customWidth="1"/>
    <col min="6660" max="6661" width="3.7109375" style="4" customWidth="1"/>
    <col min="6662" max="6662" width="2.28515625" style="4" customWidth="1"/>
    <col min="6663" max="6664" width="3.7109375" style="4" customWidth="1"/>
    <col min="6665" max="6665" width="2.28515625" style="4" customWidth="1"/>
    <col min="6666" max="6667" width="3.7109375" style="4" customWidth="1"/>
    <col min="6668" max="6668" width="2.28515625" style="4" customWidth="1"/>
    <col min="6669" max="6670" width="3.7109375" style="4" customWidth="1"/>
    <col min="6671" max="6671" width="2.28515625" style="4" customWidth="1"/>
    <col min="6672" max="6673" width="3.7109375" style="4" customWidth="1"/>
    <col min="6674" max="6674" width="2.28515625" style="4" customWidth="1"/>
    <col min="6675" max="6676" width="3.7109375" style="4" customWidth="1"/>
    <col min="6677" max="6677" width="2.28515625" style="4" customWidth="1"/>
    <col min="6678" max="6679" width="3.7109375" style="4" customWidth="1"/>
    <col min="6680" max="6680" width="2.28515625" style="4" customWidth="1"/>
    <col min="6681" max="6682" width="3.7109375" style="4" customWidth="1"/>
    <col min="6683" max="6683" width="2.28515625" style="4" customWidth="1"/>
    <col min="6684" max="6685" width="3.7109375" style="4" customWidth="1"/>
    <col min="6686" max="6686" width="2.28515625" style="4" customWidth="1"/>
    <col min="6687" max="6687" width="3.7109375" style="4" customWidth="1"/>
    <col min="6688" max="6688" width="9.7109375" style="4" customWidth="1"/>
    <col min="6689" max="6698" width="3.7109375" style="4" customWidth="1"/>
    <col min="6699" max="6699" width="11" style="4" customWidth="1"/>
    <col min="6700" max="6702" width="8.7109375" style="4"/>
    <col min="6703" max="6703" width="21" style="4" customWidth="1"/>
    <col min="6704" max="6704" width="24.42578125" style="4" customWidth="1"/>
    <col min="6705" max="6705" width="15.28515625" style="4" customWidth="1"/>
    <col min="6706" max="6706" width="10.5703125" style="4" customWidth="1"/>
    <col min="6707" max="6707" width="11.28515625" style="4" customWidth="1"/>
    <col min="6708" max="6708" width="25" style="4" customWidth="1"/>
    <col min="6709" max="6709" width="6" style="4" customWidth="1"/>
    <col min="6710" max="6913" width="8.7109375" style="4"/>
    <col min="6914" max="6914" width="3.7109375" style="4" customWidth="1"/>
    <col min="6915" max="6915" width="2.28515625" style="4" customWidth="1"/>
    <col min="6916" max="6917" width="3.7109375" style="4" customWidth="1"/>
    <col min="6918" max="6918" width="2.28515625" style="4" customWidth="1"/>
    <col min="6919" max="6920" width="3.7109375" style="4" customWidth="1"/>
    <col min="6921" max="6921" width="2.28515625" style="4" customWidth="1"/>
    <col min="6922" max="6923" width="3.7109375" style="4" customWidth="1"/>
    <col min="6924" max="6924" width="2.28515625" style="4" customWidth="1"/>
    <col min="6925" max="6926" width="3.7109375" style="4" customWidth="1"/>
    <col min="6927" max="6927" width="2.28515625" style="4" customWidth="1"/>
    <col min="6928" max="6929" width="3.7109375" style="4" customWidth="1"/>
    <col min="6930" max="6930" width="2.28515625" style="4" customWidth="1"/>
    <col min="6931" max="6932" width="3.7109375" style="4" customWidth="1"/>
    <col min="6933" max="6933" width="2.28515625" style="4" customWidth="1"/>
    <col min="6934" max="6935" width="3.7109375" style="4" customWidth="1"/>
    <col min="6936" max="6936" width="2.28515625" style="4" customWidth="1"/>
    <col min="6937" max="6938" width="3.7109375" style="4" customWidth="1"/>
    <col min="6939" max="6939" width="2.28515625" style="4" customWidth="1"/>
    <col min="6940" max="6941" width="3.7109375" style="4" customWidth="1"/>
    <col min="6942" max="6942" width="2.28515625" style="4" customWidth="1"/>
    <col min="6943" max="6943" width="3.7109375" style="4" customWidth="1"/>
    <col min="6944" max="6944" width="9.7109375" style="4" customWidth="1"/>
    <col min="6945" max="6954" width="3.7109375" style="4" customWidth="1"/>
    <col min="6955" max="6955" width="11" style="4" customWidth="1"/>
    <col min="6956" max="6958" width="8.7109375" style="4"/>
    <col min="6959" max="6959" width="21" style="4" customWidth="1"/>
    <col min="6960" max="6960" width="24.42578125" style="4" customWidth="1"/>
    <col min="6961" max="6961" width="15.28515625" style="4" customWidth="1"/>
    <col min="6962" max="6962" width="10.5703125" style="4" customWidth="1"/>
    <col min="6963" max="6963" width="11.28515625" style="4" customWidth="1"/>
    <col min="6964" max="6964" width="25" style="4" customWidth="1"/>
    <col min="6965" max="6965" width="6" style="4" customWidth="1"/>
    <col min="6966" max="7169" width="8.7109375" style="4"/>
    <col min="7170" max="7170" width="3.7109375" style="4" customWidth="1"/>
    <col min="7171" max="7171" width="2.28515625" style="4" customWidth="1"/>
    <col min="7172" max="7173" width="3.7109375" style="4" customWidth="1"/>
    <col min="7174" max="7174" width="2.28515625" style="4" customWidth="1"/>
    <col min="7175" max="7176" width="3.7109375" style="4" customWidth="1"/>
    <col min="7177" max="7177" width="2.28515625" style="4" customWidth="1"/>
    <col min="7178" max="7179" width="3.7109375" style="4" customWidth="1"/>
    <col min="7180" max="7180" width="2.28515625" style="4" customWidth="1"/>
    <col min="7181" max="7182" width="3.7109375" style="4" customWidth="1"/>
    <col min="7183" max="7183" width="2.28515625" style="4" customWidth="1"/>
    <col min="7184" max="7185" width="3.7109375" style="4" customWidth="1"/>
    <col min="7186" max="7186" width="2.28515625" style="4" customWidth="1"/>
    <col min="7187" max="7188" width="3.7109375" style="4" customWidth="1"/>
    <col min="7189" max="7189" width="2.28515625" style="4" customWidth="1"/>
    <col min="7190" max="7191" width="3.7109375" style="4" customWidth="1"/>
    <col min="7192" max="7192" width="2.28515625" style="4" customWidth="1"/>
    <col min="7193" max="7194" width="3.7109375" style="4" customWidth="1"/>
    <col min="7195" max="7195" width="2.28515625" style="4" customWidth="1"/>
    <col min="7196" max="7197" width="3.7109375" style="4" customWidth="1"/>
    <col min="7198" max="7198" width="2.28515625" style="4" customWidth="1"/>
    <col min="7199" max="7199" width="3.7109375" style="4" customWidth="1"/>
    <col min="7200" max="7200" width="9.7109375" style="4" customWidth="1"/>
    <col min="7201" max="7210" width="3.7109375" style="4" customWidth="1"/>
    <col min="7211" max="7211" width="11" style="4" customWidth="1"/>
    <col min="7212" max="7214" width="8.7109375" style="4"/>
    <col min="7215" max="7215" width="21" style="4" customWidth="1"/>
    <col min="7216" max="7216" width="24.42578125" style="4" customWidth="1"/>
    <col min="7217" max="7217" width="15.28515625" style="4" customWidth="1"/>
    <col min="7218" max="7218" width="10.5703125" style="4" customWidth="1"/>
    <col min="7219" max="7219" width="11.28515625" style="4" customWidth="1"/>
    <col min="7220" max="7220" width="25" style="4" customWidth="1"/>
    <col min="7221" max="7221" width="6" style="4" customWidth="1"/>
    <col min="7222" max="7425" width="8.7109375" style="4"/>
    <col min="7426" max="7426" width="3.7109375" style="4" customWidth="1"/>
    <col min="7427" max="7427" width="2.28515625" style="4" customWidth="1"/>
    <col min="7428" max="7429" width="3.7109375" style="4" customWidth="1"/>
    <col min="7430" max="7430" width="2.28515625" style="4" customWidth="1"/>
    <col min="7431" max="7432" width="3.7109375" style="4" customWidth="1"/>
    <col min="7433" max="7433" width="2.28515625" style="4" customWidth="1"/>
    <col min="7434" max="7435" width="3.7109375" style="4" customWidth="1"/>
    <col min="7436" max="7436" width="2.28515625" style="4" customWidth="1"/>
    <col min="7437" max="7438" width="3.7109375" style="4" customWidth="1"/>
    <col min="7439" max="7439" width="2.28515625" style="4" customWidth="1"/>
    <col min="7440" max="7441" width="3.7109375" style="4" customWidth="1"/>
    <col min="7442" max="7442" width="2.28515625" style="4" customWidth="1"/>
    <col min="7443" max="7444" width="3.7109375" style="4" customWidth="1"/>
    <col min="7445" max="7445" width="2.28515625" style="4" customWidth="1"/>
    <col min="7446" max="7447" width="3.7109375" style="4" customWidth="1"/>
    <col min="7448" max="7448" width="2.28515625" style="4" customWidth="1"/>
    <col min="7449" max="7450" width="3.7109375" style="4" customWidth="1"/>
    <col min="7451" max="7451" width="2.28515625" style="4" customWidth="1"/>
    <col min="7452" max="7453" width="3.7109375" style="4" customWidth="1"/>
    <col min="7454" max="7454" width="2.28515625" style="4" customWidth="1"/>
    <col min="7455" max="7455" width="3.7109375" style="4" customWidth="1"/>
    <col min="7456" max="7456" width="9.7109375" style="4" customWidth="1"/>
    <col min="7457" max="7466" width="3.7109375" style="4" customWidth="1"/>
    <col min="7467" max="7467" width="11" style="4" customWidth="1"/>
    <col min="7468" max="7470" width="8.7109375" style="4"/>
    <col min="7471" max="7471" width="21" style="4" customWidth="1"/>
    <col min="7472" max="7472" width="24.42578125" style="4" customWidth="1"/>
    <col min="7473" max="7473" width="15.28515625" style="4" customWidth="1"/>
    <col min="7474" max="7474" width="10.5703125" style="4" customWidth="1"/>
    <col min="7475" max="7475" width="11.28515625" style="4" customWidth="1"/>
    <col min="7476" max="7476" width="25" style="4" customWidth="1"/>
    <col min="7477" max="7477" width="6" style="4" customWidth="1"/>
    <col min="7478" max="7681" width="8.7109375" style="4"/>
    <col min="7682" max="7682" width="3.7109375" style="4" customWidth="1"/>
    <col min="7683" max="7683" width="2.28515625" style="4" customWidth="1"/>
    <col min="7684" max="7685" width="3.7109375" style="4" customWidth="1"/>
    <col min="7686" max="7686" width="2.28515625" style="4" customWidth="1"/>
    <col min="7687" max="7688" width="3.7109375" style="4" customWidth="1"/>
    <col min="7689" max="7689" width="2.28515625" style="4" customWidth="1"/>
    <col min="7690" max="7691" width="3.7109375" style="4" customWidth="1"/>
    <col min="7692" max="7692" width="2.28515625" style="4" customWidth="1"/>
    <col min="7693" max="7694" width="3.7109375" style="4" customWidth="1"/>
    <col min="7695" max="7695" width="2.28515625" style="4" customWidth="1"/>
    <col min="7696" max="7697" width="3.7109375" style="4" customWidth="1"/>
    <col min="7698" max="7698" width="2.28515625" style="4" customWidth="1"/>
    <col min="7699" max="7700" width="3.7109375" style="4" customWidth="1"/>
    <col min="7701" max="7701" width="2.28515625" style="4" customWidth="1"/>
    <col min="7702" max="7703" width="3.7109375" style="4" customWidth="1"/>
    <col min="7704" max="7704" width="2.28515625" style="4" customWidth="1"/>
    <col min="7705" max="7706" width="3.7109375" style="4" customWidth="1"/>
    <col min="7707" max="7707" width="2.28515625" style="4" customWidth="1"/>
    <col min="7708" max="7709" width="3.7109375" style="4" customWidth="1"/>
    <col min="7710" max="7710" width="2.28515625" style="4" customWidth="1"/>
    <col min="7711" max="7711" width="3.7109375" style="4" customWidth="1"/>
    <col min="7712" max="7712" width="9.7109375" style="4" customWidth="1"/>
    <col min="7713" max="7722" width="3.7109375" style="4" customWidth="1"/>
    <col min="7723" max="7723" width="11" style="4" customWidth="1"/>
    <col min="7724" max="7726" width="8.7109375" style="4"/>
    <col min="7727" max="7727" width="21" style="4" customWidth="1"/>
    <col min="7728" max="7728" width="24.42578125" style="4" customWidth="1"/>
    <col min="7729" max="7729" width="15.28515625" style="4" customWidth="1"/>
    <col min="7730" max="7730" width="10.5703125" style="4" customWidth="1"/>
    <col min="7731" max="7731" width="11.28515625" style="4" customWidth="1"/>
    <col min="7732" max="7732" width="25" style="4" customWidth="1"/>
    <col min="7733" max="7733" width="6" style="4" customWidth="1"/>
    <col min="7734" max="7937" width="8.7109375" style="4"/>
    <col min="7938" max="7938" width="3.7109375" style="4" customWidth="1"/>
    <col min="7939" max="7939" width="2.28515625" style="4" customWidth="1"/>
    <col min="7940" max="7941" width="3.7109375" style="4" customWidth="1"/>
    <col min="7942" max="7942" width="2.28515625" style="4" customWidth="1"/>
    <col min="7943" max="7944" width="3.7109375" style="4" customWidth="1"/>
    <col min="7945" max="7945" width="2.28515625" style="4" customWidth="1"/>
    <col min="7946" max="7947" width="3.7109375" style="4" customWidth="1"/>
    <col min="7948" max="7948" width="2.28515625" style="4" customWidth="1"/>
    <col min="7949" max="7950" width="3.7109375" style="4" customWidth="1"/>
    <col min="7951" max="7951" width="2.28515625" style="4" customWidth="1"/>
    <col min="7952" max="7953" width="3.7109375" style="4" customWidth="1"/>
    <col min="7954" max="7954" width="2.28515625" style="4" customWidth="1"/>
    <col min="7955" max="7956" width="3.7109375" style="4" customWidth="1"/>
    <col min="7957" max="7957" width="2.28515625" style="4" customWidth="1"/>
    <col min="7958" max="7959" width="3.7109375" style="4" customWidth="1"/>
    <col min="7960" max="7960" width="2.28515625" style="4" customWidth="1"/>
    <col min="7961" max="7962" width="3.7109375" style="4" customWidth="1"/>
    <col min="7963" max="7963" width="2.28515625" style="4" customWidth="1"/>
    <col min="7964" max="7965" width="3.7109375" style="4" customWidth="1"/>
    <col min="7966" max="7966" width="2.28515625" style="4" customWidth="1"/>
    <col min="7967" max="7967" width="3.7109375" style="4" customWidth="1"/>
    <col min="7968" max="7968" width="9.7109375" style="4" customWidth="1"/>
    <col min="7969" max="7978" width="3.7109375" style="4" customWidth="1"/>
    <col min="7979" max="7979" width="11" style="4" customWidth="1"/>
    <col min="7980" max="7982" width="8.7109375" style="4"/>
    <col min="7983" max="7983" width="21" style="4" customWidth="1"/>
    <col min="7984" max="7984" width="24.42578125" style="4" customWidth="1"/>
    <col min="7985" max="7985" width="15.28515625" style="4" customWidth="1"/>
    <col min="7986" max="7986" width="10.5703125" style="4" customWidth="1"/>
    <col min="7987" max="7987" width="11.28515625" style="4" customWidth="1"/>
    <col min="7988" max="7988" width="25" style="4" customWidth="1"/>
    <col min="7989" max="7989" width="6" style="4" customWidth="1"/>
    <col min="7990" max="8193" width="8.7109375" style="4"/>
    <col min="8194" max="8194" width="3.7109375" style="4" customWidth="1"/>
    <col min="8195" max="8195" width="2.28515625" style="4" customWidth="1"/>
    <col min="8196" max="8197" width="3.7109375" style="4" customWidth="1"/>
    <col min="8198" max="8198" width="2.28515625" style="4" customWidth="1"/>
    <col min="8199" max="8200" width="3.7109375" style="4" customWidth="1"/>
    <col min="8201" max="8201" width="2.28515625" style="4" customWidth="1"/>
    <col min="8202" max="8203" width="3.7109375" style="4" customWidth="1"/>
    <col min="8204" max="8204" width="2.28515625" style="4" customWidth="1"/>
    <col min="8205" max="8206" width="3.7109375" style="4" customWidth="1"/>
    <col min="8207" max="8207" width="2.28515625" style="4" customWidth="1"/>
    <col min="8208" max="8209" width="3.7109375" style="4" customWidth="1"/>
    <col min="8210" max="8210" width="2.28515625" style="4" customWidth="1"/>
    <col min="8211" max="8212" width="3.7109375" style="4" customWidth="1"/>
    <col min="8213" max="8213" width="2.28515625" style="4" customWidth="1"/>
    <col min="8214" max="8215" width="3.7109375" style="4" customWidth="1"/>
    <col min="8216" max="8216" width="2.28515625" style="4" customWidth="1"/>
    <col min="8217" max="8218" width="3.7109375" style="4" customWidth="1"/>
    <col min="8219" max="8219" width="2.28515625" style="4" customWidth="1"/>
    <col min="8220" max="8221" width="3.7109375" style="4" customWidth="1"/>
    <col min="8222" max="8222" width="2.28515625" style="4" customWidth="1"/>
    <col min="8223" max="8223" width="3.7109375" style="4" customWidth="1"/>
    <col min="8224" max="8224" width="9.7109375" style="4" customWidth="1"/>
    <col min="8225" max="8234" width="3.7109375" style="4" customWidth="1"/>
    <col min="8235" max="8235" width="11" style="4" customWidth="1"/>
    <col min="8236" max="8238" width="8.7109375" style="4"/>
    <col min="8239" max="8239" width="21" style="4" customWidth="1"/>
    <col min="8240" max="8240" width="24.42578125" style="4" customWidth="1"/>
    <col min="8241" max="8241" width="15.28515625" style="4" customWidth="1"/>
    <col min="8242" max="8242" width="10.5703125" style="4" customWidth="1"/>
    <col min="8243" max="8243" width="11.28515625" style="4" customWidth="1"/>
    <col min="8244" max="8244" width="25" style="4" customWidth="1"/>
    <col min="8245" max="8245" width="6" style="4" customWidth="1"/>
    <col min="8246" max="8449" width="8.7109375" style="4"/>
    <col min="8450" max="8450" width="3.7109375" style="4" customWidth="1"/>
    <col min="8451" max="8451" width="2.28515625" style="4" customWidth="1"/>
    <col min="8452" max="8453" width="3.7109375" style="4" customWidth="1"/>
    <col min="8454" max="8454" width="2.28515625" style="4" customWidth="1"/>
    <col min="8455" max="8456" width="3.7109375" style="4" customWidth="1"/>
    <col min="8457" max="8457" width="2.28515625" style="4" customWidth="1"/>
    <col min="8458" max="8459" width="3.7109375" style="4" customWidth="1"/>
    <col min="8460" max="8460" width="2.28515625" style="4" customWidth="1"/>
    <col min="8461" max="8462" width="3.7109375" style="4" customWidth="1"/>
    <col min="8463" max="8463" width="2.28515625" style="4" customWidth="1"/>
    <col min="8464" max="8465" width="3.7109375" style="4" customWidth="1"/>
    <col min="8466" max="8466" width="2.28515625" style="4" customWidth="1"/>
    <col min="8467" max="8468" width="3.7109375" style="4" customWidth="1"/>
    <col min="8469" max="8469" width="2.28515625" style="4" customWidth="1"/>
    <col min="8470" max="8471" width="3.7109375" style="4" customWidth="1"/>
    <col min="8472" max="8472" width="2.28515625" style="4" customWidth="1"/>
    <col min="8473" max="8474" width="3.7109375" style="4" customWidth="1"/>
    <col min="8475" max="8475" width="2.28515625" style="4" customWidth="1"/>
    <col min="8476" max="8477" width="3.7109375" style="4" customWidth="1"/>
    <col min="8478" max="8478" width="2.28515625" style="4" customWidth="1"/>
    <col min="8479" max="8479" width="3.7109375" style="4" customWidth="1"/>
    <col min="8480" max="8480" width="9.7109375" style="4" customWidth="1"/>
    <col min="8481" max="8490" width="3.7109375" style="4" customWidth="1"/>
    <col min="8491" max="8491" width="11" style="4" customWidth="1"/>
    <col min="8492" max="8494" width="8.7109375" style="4"/>
    <col min="8495" max="8495" width="21" style="4" customWidth="1"/>
    <col min="8496" max="8496" width="24.42578125" style="4" customWidth="1"/>
    <col min="8497" max="8497" width="15.28515625" style="4" customWidth="1"/>
    <col min="8498" max="8498" width="10.5703125" style="4" customWidth="1"/>
    <col min="8499" max="8499" width="11.28515625" style="4" customWidth="1"/>
    <col min="8500" max="8500" width="25" style="4" customWidth="1"/>
    <col min="8501" max="8501" width="6" style="4" customWidth="1"/>
    <col min="8502" max="8705" width="8.7109375" style="4"/>
    <col min="8706" max="8706" width="3.7109375" style="4" customWidth="1"/>
    <col min="8707" max="8707" width="2.28515625" style="4" customWidth="1"/>
    <col min="8708" max="8709" width="3.7109375" style="4" customWidth="1"/>
    <col min="8710" max="8710" width="2.28515625" style="4" customWidth="1"/>
    <col min="8711" max="8712" width="3.7109375" style="4" customWidth="1"/>
    <col min="8713" max="8713" width="2.28515625" style="4" customWidth="1"/>
    <col min="8714" max="8715" width="3.7109375" style="4" customWidth="1"/>
    <col min="8716" max="8716" width="2.28515625" style="4" customWidth="1"/>
    <col min="8717" max="8718" width="3.7109375" style="4" customWidth="1"/>
    <col min="8719" max="8719" width="2.28515625" style="4" customWidth="1"/>
    <col min="8720" max="8721" width="3.7109375" style="4" customWidth="1"/>
    <col min="8722" max="8722" width="2.28515625" style="4" customWidth="1"/>
    <col min="8723" max="8724" width="3.7109375" style="4" customWidth="1"/>
    <col min="8725" max="8725" width="2.28515625" style="4" customWidth="1"/>
    <col min="8726" max="8727" width="3.7109375" style="4" customWidth="1"/>
    <col min="8728" max="8728" width="2.28515625" style="4" customWidth="1"/>
    <col min="8729" max="8730" width="3.7109375" style="4" customWidth="1"/>
    <col min="8731" max="8731" width="2.28515625" style="4" customWidth="1"/>
    <col min="8732" max="8733" width="3.7109375" style="4" customWidth="1"/>
    <col min="8734" max="8734" width="2.28515625" style="4" customWidth="1"/>
    <col min="8735" max="8735" width="3.7109375" style="4" customWidth="1"/>
    <col min="8736" max="8736" width="9.7109375" style="4" customWidth="1"/>
    <col min="8737" max="8746" width="3.7109375" style="4" customWidth="1"/>
    <col min="8747" max="8747" width="11" style="4" customWidth="1"/>
    <col min="8748" max="8750" width="8.7109375" style="4"/>
    <col min="8751" max="8751" width="21" style="4" customWidth="1"/>
    <col min="8752" max="8752" width="24.42578125" style="4" customWidth="1"/>
    <col min="8753" max="8753" width="15.28515625" style="4" customWidth="1"/>
    <col min="8754" max="8754" width="10.5703125" style="4" customWidth="1"/>
    <col min="8755" max="8755" width="11.28515625" style="4" customWidth="1"/>
    <col min="8756" max="8756" width="25" style="4" customWidth="1"/>
    <col min="8757" max="8757" width="6" style="4" customWidth="1"/>
    <col min="8758" max="8961" width="8.7109375" style="4"/>
    <col min="8962" max="8962" width="3.7109375" style="4" customWidth="1"/>
    <col min="8963" max="8963" width="2.28515625" style="4" customWidth="1"/>
    <col min="8964" max="8965" width="3.7109375" style="4" customWidth="1"/>
    <col min="8966" max="8966" width="2.28515625" style="4" customWidth="1"/>
    <col min="8967" max="8968" width="3.7109375" style="4" customWidth="1"/>
    <col min="8969" max="8969" width="2.28515625" style="4" customWidth="1"/>
    <col min="8970" max="8971" width="3.7109375" style="4" customWidth="1"/>
    <col min="8972" max="8972" width="2.28515625" style="4" customWidth="1"/>
    <col min="8973" max="8974" width="3.7109375" style="4" customWidth="1"/>
    <col min="8975" max="8975" width="2.28515625" style="4" customWidth="1"/>
    <col min="8976" max="8977" width="3.7109375" style="4" customWidth="1"/>
    <col min="8978" max="8978" width="2.28515625" style="4" customWidth="1"/>
    <col min="8979" max="8980" width="3.7109375" style="4" customWidth="1"/>
    <col min="8981" max="8981" width="2.28515625" style="4" customWidth="1"/>
    <col min="8982" max="8983" width="3.7109375" style="4" customWidth="1"/>
    <col min="8984" max="8984" width="2.28515625" style="4" customWidth="1"/>
    <col min="8985" max="8986" width="3.7109375" style="4" customWidth="1"/>
    <col min="8987" max="8987" width="2.28515625" style="4" customWidth="1"/>
    <col min="8988" max="8989" width="3.7109375" style="4" customWidth="1"/>
    <col min="8990" max="8990" width="2.28515625" style="4" customWidth="1"/>
    <col min="8991" max="8991" width="3.7109375" style="4" customWidth="1"/>
    <col min="8992" max="8992" width="9.7109375" style="4" customWidth="1"/>
    <col min="8993" max="9002" width="3.7109375" style="4" customWidth="1"/>
    <col min="9003" max="9003" width="11" style="4" customWidth="1"/>
    <col min="9004" max="9006" width="8.7109375" style="4"/>
    <col min="9007" max="9007" width="21" style="4" customWidth="1"/>
    <col min="9008" max="9008" width="24.42578125" style="4" customWidth="1"/>
    <col min="9009" max="9009" width="15.28515625" style="4" customWidth="1"/>
    <col min="9010" max="9010" width="10.5703125" style="4" customWidth="1"/>
    <col min="9011" max="9011" width="11.28515625" style="4" customWidth="1"/>
    <col min="9012" max="9012" width="25" style="4" customWidth="1"/>
    <col min="9013" max="9013" width="6" style="4" customWidth="1"/>
    <col min="9014" max="9217" width="8.7109375" style="4"/>
    <col min="9218" max="9218" width="3.7109375" style="4" customWidth="1"/>
    <col min="9219" max="9219" width="2.28515625" style="4" customWidth="1"/>
    <col min="9220" max="9221" width="3.7109375" style="4" customWidth="1"/>
    <col min="9222" max="9222" width="2.28515625" style="4" customWidth="1"/>
    <col min="9223" max="9224" width="3.7109375" style="4" customWidth="1"/>
    <col min="9225" max="9225" width="2.28515625" style="4" customWidth="1"/>
    <col min="9226" max="9227" width="3.7109375" style="4" customWidth="1"/>
    <col min="9228" max="9228" width="2.28515625" style="4" customWidth="1"/>
    <col min="9229" max="9230" width="3.7109375" style="4" customWidth="1"/>
    <col min="9231" max="9231" width="2.28515625" style="4" customWidth="1"/>
    <col min="9232" max="9233" width="3.7109375" style="4" customWidth="1"/>
    <col min="9234" max="9234" width="2.28515625" style="4" customWidth="1"/>
    <col min="9235" max="9236" width="3.7109375" style="4" customWidth="1"/>
    <col min="9237" max="9237" width="2.28515625" style="4" customWidth="1"/>
    <col min="9238" max="9239" width="3.7109375" style="4" customWidth="1"/>
    <col min="9240" max="9240" width="2.28515625" style="4" customWidth="1"/>
    <col min="9241" max="9242" width="3.7109375" style="4" customWidth="1"/>
    <col min="9243" max="9243" width="2.28515625" style="4" customWidth="1"/>
    <col min="9244" max="9245" width="3.7109375" style="4" customWidth="1"/>
    <col min="9246" max="9246" width="2.28515625" style="4" customWidth="1"/>
    <col min="9247" max="9247" width="3.7109375" style="4" customWidth="1"/>
    <col min="9248" max="9248" width="9.7109375" style="4" customWidth="1"/>
    <col min="9249" max="9258" width="3.7109375" style="4" customWidth="1"/>
    <col min="9259" max="9259" width="11" style="4" customWidth="1"/>
    <col min="9260" max="9262" width="8.7109375" style="4"/>
    <col min="9263" max="9263" width="21" style="4" customWidth="1"/>
    <col min="9264" max="9264" width="24.42578125" style="4" customWidth="1"/>
    <col min="9265" max="9265" width="15.28515625" style="4" customWidth="1"/>
    <col min="9266" max="9266" width="10.5703125" style="4" customWidth="1"/>
    <col min="9267" max="9267" width="11.28515625" style="4" customWidth="1"/>
    <col min="9268" max="9268" width="25" style="4" customWidth="1"/>
    <col min="9269" max="9269" width="6" style="4" customWidth="1"/>
    <col min="9270" max="9473" width="8.7109375" style="4"/>
    <col min="9474" max="9474" width="3.7109375" style="4" customWidth="1"/>
    <col min="9475" max="9475" width="2.28515625" style="4" customWidth="1"/>
    <col min="9476" max="9477" width="3.7109375" style="4" customWidth="1"/>
    <col min="9478" max="9478" width="2.28515625" style="4" customWidth="1"/>
    <col min="9479" max="9480" width="3.7109375" style="4" customWidth="1"/>
    <col min="9481" max="9481" width="2.28515625" style="4" customWidth="1"/>
    <col min="9482" max="9483" width="3.7109375" style="4" customWidth="1"/>
    <col min="9484" max="9484" width="2.28515625" style="4" customWidth="1"/>
    <col min="9485" max="9486" width="3.7109375" style="4" customWidth="1"/>
    <col min="9487" max="9487" width="2.28515625" style="4" customWidth="1"/>
    <col min="9488" max="9489" width="3.7109375" style="4" customWidth="1"/>
    <col min="9490" max="9490" width="2.28515625" style="4" customWidth="1"/>
    <col min="9491" max="9492" width="3.7109375" style="4" customWidth="1"/>
    <col min="9493" max="9493" width="2.28515625" style="4" customWidth="1"/>
    <col min="9494" max="9495" width="3.7109375" style="4" customWidth="1"/>
    <col min="9496" max="9496" width="2.28515625" style="4" customWidth="1"/>
    <col min="9497" max="9498" width="3.7109375" style="4" customWidth="1"/>
    <col min="9499" max="9499" width="2.28515625" style="4" customWidth="1"/>
    <col min="9500" max="9501" width="3.7109375" style="4" customWidth="1"/>
    <col min="9502" max="9502" width="2.28515625" style="4" customWidth="1"/>
    <col min="9503" max="9503" width="3.7109375" style="4" customWidth="1"/>
    <col min="9504" max="9504" width="9.7109375" style="4" customWidth="1"/>
    <col min="9505" max="9514" width="3.7109375" style="4" customWidth="1"/>
    <col min="9515" max="9515" width="11" style="4" customWidth="1"/>
    <col min="9516" max="9518" width="8.7109375" style="4"/>
    <col min="9519" max="9519" width="21" style="4" customWidth="1"/>
    <col min="9520" max="9520" width="24.42578125" style="4" customWidth="1"/>
    <col min="9521" max="9521" width="15.28515625" style="4" customWidth="1"/>
    <col min="9522" max="9522" width="10.5703125" style="4" customWidth="1"/>
    <col min="9523" max="9523" width="11.28515625" style="4" customWidth="1"/>
    <col min="9524" max="9524" width="25" style="4" customWidth="1"/>
    <col min="9525" max="9525" width="6" style="4" customWidth="1"/>
    <col min="9526" max="9729" width="8.7109375" style="4"/>
    <col min="9730" max="9730" width="3.7109375" style="4" customWidth="1"/>
    <col min="9731" max="9731" width="2.28515625" style="4" customWidth="1"/>
    <col min="9732" max="9733" width="3.7109375" style="4" customWidth="1"/>
    <col min="9734" max="9734" width="2.28515625" style="4" customWidth="1"/>
    <col min="9735" max="9736" width="3.7109375" style="4" customWidth="1"/>
    <col min="9737" max="9737" width="2.28515625" style="4" customWidth="1"/>
    <col min="9738" max="9739" width="3.7109375" style="4" customWidth="1"/>
    <col min="9740" max="9740" width="2.28515625" style="4" customWidth="1"/>
    <col min="9741" max="9742" width="3.7109375" style="4" customWidth="1"/>
    <col min="9743" max="9743" width="2.28515625" style="4" customWidth="1"/>
    <col min="9744" max="9745" width="3.7109375" style="4" customWidth="1"/>
    <col min="9746" max="9746" width="2.28515625" style="4" customWidth="1"/>
    <col min="9747" max="9748" width="3.7109375" style="4" customWidth="1"/>
    <col min="9749" max="9749" width="2.28515625" style="4" customWidth="1"/>
    <col min="9750" max="9751" width="3.7109375" style="4" customWidth="1"/>
    <col min="9752" max="9752" width="2.28515625" style="4" customWidth="1"/>
    <col min="9753" max="9754" width="3.7109375" style="4" customWidth="1"/>
    <col min="9755" max="9755" width="2.28515625" style="4" customWidth="1"/>
    <col min="9756" max="9757" width="3.7109375" style="4" customWidth="1"/>
    <col min="9758" max="9758" width="2.28515625" style="4" customWidth="1"/>
    <col min="9759" max="9759" width="3.7109375" style="4" customWidth="1"/>
    <col min="9760" max="9760" width="9.7109375" style="4" customWidth="1"/>
    <col min="9761" max="9770" width="3.7109375" style="4" customWidth="1"/>
    <col min="9771" max="9771" width="11" style="4" customWidth="1"/>
    <col min="9772" max="9774" width="8.7109375" style="4"/>
    <col min="9775" max="9775" width="21" style="4" customWidth="1"/>
    <col min="9776" max="9776" width="24.42578125" style="4" customWidth="1"/>
    <col min="9777" max="9777" width="15.28515625" style="4" customWidth="1"/>
    <col min="9778" max="9778" width="10.5703125" style="4" customWidth="1"/>
    <col min="9779" max="9779" width="11.28515625" style="4" customWidth="1"/>
    <col min="9780" max="9780" width="25" style="4" customWidth="1"/>
    <col min="9781" max="9781" width="6" style="4" customWidth="1"/>
    <col min="9782" max="9985" width="8.7109375" style="4"/>
    <col min="9986" max="9986" width="3.7109375" style="4" customWidth="1"/>
    <col min="9987" max="9987" width="2.28515625" style="4" customWidth="1"/>
    <col min="9988" max="9989" width="3.7109375" style="4" customWidth="1"/>
    <col min="9990" max="9990" width="2.28515625" style="4" customWidth="1"/>
    <col min="9991" max="9992" width="3.7109375" style="4" customWidth="1"/>
    <col min="9993" max="9993" width="2.28515625" style="4" customWidth="1"/>
    <col min="9994" max="9995" width="3.7109375" style="4" customWidth="1"/>
    <col min="9996" max="9996" width="2.28515625" style="4" customWidth="1"/>
    <col min="9997" max="9998" width="3.7109375" style="4" customWidth="1"/>
    <col min="9999" max="9999" width="2.28515625" style="4" customWidth="1"/>
    <col min="10000" max="10001" width="3.7109375" style="4" customWidth="1"/>
    <col min="10002" max="10002" width="2.28515625" style="4" customWidth="1"/>
    <col min="10003" max="10004" width="3.7109375" style="4" customWidth="1"/>
    <col min="10005" max="10005" width="2.28515625" style="4" customWidth="1"/>
    <col min="10006" max="10007" width="3.7109375" style="4" customWidth="1"/>
    <col min="10008" max="10008" width="2.28515625" style="4" customWidth="1"/>
    <col min="10009" max="10010" width="3.7109375" style="4" customWidth="1"/>
    <col min="10011" max="10011" width="2.28515625" style="4" customWidth="1"/>
    <col min="10012" max="10013" width="3.7109375" style="4" customWidth="1"/>
    <col min="10014" max="10014" width="2.28515625" style="4" customWidth="1"/>
    <col min="10015" max="10015" width="3.7109375" style="4" customWidth="1"/>
    <col min="10016" max="10016" width="9.7109375" style="4" customWidth="1"/>
    <col min="10017" max="10026" width="3.7109375" style="4" customWidth="1"/>
    <col min="10027" max="10027" width="11" style="4" customWidth="1"/>
    <col min="10028" max="10030" width="8.7109375" style="4"/>
    <col min="10031" max="10031" width="21" style="4" customWidth="1"/>
    <col min="10032" max="10032" width="24.42578125" style="4" customWidth="1"/>
    <col min="10033" max="10033" width="15.28515625" style="4" customWidth="1"/>
    <col min="10034" max="10034" width="10.5703125" style="4" customWidth="1"/>
    <col min="10035" max="10035" width="11.28515625" style="4" customWidth="1"/>
    <col min="10036" max="10036" width="25" style="4" customWidth="1"/>
    <col min="10037" max="10037" width="6" style="4" customWidth="1"/>
    <col min="10038" max="10241" width="8.7109375" style="4"/>
    <col min="10242" max="10242" width="3.7109375" style="4" customWidth="1"/>
    <col min="10243" max="10243" width="2.28515625" style="4" customWidth="1"/>
    <col min="10244" max="10245" width="3.7109375" style="4" customWidth="1"/>
    <col min="10246" max="10246" width="2.28515625" style="4" customWidth="1"/>
    <col min="10247" max="10248" width="3.7109375" style="4" customWidth="1"/>
    <col min="10249" max="10249" width="2.28515625" style="4" customWidth="1"/>
    <col min="10250" max="10251" width="3.7109375" style="4" customWidth="1"/>
    <col min="10252" max="10252" width="2.28515625" style="4" customWidth="1"/>
    <col min="10253" max="10254" width="3.7109375" style="4" customWidth="1"/>
    <col min="10255" max="10255" width="2.28515625" style="4" customWidth="1"/>
    <col min="10256" max="10257" width="3.7109375" style="4" customWidth="1"/>
    <col min="10258" max="10258" width="2.28515625" style="4" customWidth="1"/>
    <col min="10259" max="10260" width="3.7109375" style="4" customWidth="1"/>
    <col min="10261" max="10261" width="2.28515625" style="4" customWidth="1"/>
    <col min="10262" max="10263" width="3.7109375" style="4" customWidth="1"/>
    <col min="10264" max="10264" width="2.28515625" style="4" customWidth="1"/>
    <col min="10265" max="10266" width="3.7109375" style="4" customWidth="1"/>
    <col min="10267" max="10267" width="2.28515625" style="4" customWidth="1"/>
    <col min="10268" max="10269" width="3.7109375" style="4" customWidth="1"/>
    <col min="10270" max="10270" width="2.28515625" style="4" customWidth="1"/>
    <col min="10271" max="10271" width="3.7109375" style="4" customWidth="1"/>
    <col min="10272" max="10272" width="9.7109375" style="4" customWidth="1"/>
    <col min="10273" max="10282" width="3.7109375" style="4" customWidth="1"/>
    <col min="10283" max="10283" width="11" style="4" customWidth="1"/>
    <col min="10284" max="10286" width="8.7109375" style="4"/>
    <col min="10287" max="10287" width="21" style="4" customWidth="1"/>
    <col min="10288" max="10288" width="24.42578125" style="4" customWidth="1"/>
    <col min="10289" max="10289" width="15.28515625" style="4" customWidth="1"/>
    <col min="10290" max="10290" width="10.5703125" style="4" customWidth="1"/>
    <col min="10291" max="10291" width="11.28515625" style="4" customWidth="1"/>
    <col min="10292" max="10292" width="25" style="4" customWidth="1"/>
    <col min="10293" max="10293" width="6" style="4" customWidth="1"/>
    <col min="10294" max="10497" width="8.7109375" style="4"/>
    <col min="10498" max="10498" width="3.7109375" style="4" customWidth="1"/>
    <col min="10499" max="10499" width="2.28515625" style="4" customWidth="1"/>
    <col min="10500" max="10501" width="3.7109375" style="4" customWidth="1"/>
    <col min="10502" max="10502" width="2.28515625" style="4" customWidth="1"/>
    <col min="10503" max="10504" width="3.7109375" style="4" customWidth="1"/>
    <col min="10505" max="10505" width="2.28515625" style="4" customWidth="1"/>
    <col min="10506" max="10507" width="3.7109375" style="4" customWidth="1"/>
    <col min="10508" max="10508" width="2.28515625" style="4" customWidth="1"/>
    <col min="10509" max="10510" width="3.7109375" style="4" customWidth="1"/>
    <col min="10511" max="10511" width="2.28515625" style="4" customWidth="1"/>
    <col min="10512" max="10513" width="3.7109375" style="4" customWidth="1"/>
    <col min="10514" max="10514" width="2.28515625" style="4" customWidth="1"/>
    <col min="10515" max="10516" width="3.7109375" style="4" customWidth="1"/>
    <col min="10517" max="10517" width="2.28515625" style="4" customWidth="1"/>
    <col min="10518" max="10519" width="3.7109375" style="4" customWidth="1"/>
    <col min="10520" max="10520" width="2.28515625" style="4" customWidth="1"/>
    <col min="10521" max="10522" width="3.7109375" style="4" customWidth="1"/>
    <col min="10523" max="10523" width="2.28515625" style="4" customWidth="1"/>
    <col min="10524" max="10525" width="3.7109375" style="4" customWidth="1"/>
    <col min="10526" max="10526" width="2.28515625" style="4" customWidth="1"/>
    <col min="10527" max="10527" width="3.7109375" style="4" customWidth="1"/>
    <col min="10528" max="10528" width="9.7109375" style="4" customWidth="1"/>
    <col min="10529" max="10538" width="3.7109375" style="4" customWidth="1"/>
    <col min="10539" max="10539" width="11" style="4" customWidth="1"/>
    <col min="10540" max="10542" width="8.7109375" style="4"/>
    <col min="10543" max="10543" width="21" style="4" customWidth="1"/>
    <col min="10544" max="10544" width="24.42578125" style="4" customWidth="1"/>
    <col min="10545" max="10545" width="15.28515625" style="4" customWidth="1"/>
    <col min="10546" max="10546" width="10.5703125" style="4" customWidth="1"/>
    <col min="10547" max="10547" width="11.28515625" style="4" customWidth="1"/>
    <col min="10548" max="10548" width="25" style="4" customWidth="1"/>
    <col min="10549" max="10549" width="6" style="4" customWidth="1"/>
    <col min="10550" max="10753" width="8.7109375" style="4"/>
    <col min="10754" max="10754" width="3.7109375" style="4" customWidth="1"/>
    <col min="10755" max="10755" width="2.28515625" style="4" customWidth="1"/>
    <col min="10756" max="10757" width="3.7109375" style="4" customWidth="1"/>
    <col min="10758" max="10758" width="2.28515625" style="4" customWidth="1"/>
    <col min="10759" max="10760" width="3.7109375" style="4" customWidth="1"/>
    <col min="10761" max="10761" width="2.28515625" style="4" customWidth="1"/>
    <col min="10762" max="10763" width="3.7109375" style="4" customWidth="1"/>
    <col min="10764" max="10764" width="2.28515625" style="4" customWidth="1"/>
    <col min="10765" max="10766" width="3.7109375" style="4" customWidth="1"/>
    <col min="10767" max="10767" width="2.28515625" style="4" customWidth="1"/>
    <col min="10768" max="10769" width="3.7109375" style="4" customWidth="1"/>
    <col min="10770" max="10770" width="2.28515625" style="4" customWidth="1"/>
    <col min="10771" max="10772" width="3.7109375" style="4" customWidth="1"/>
    <col min="10773" max="10773" width="2.28515625" style="4" customWidth="1"/>
    <col min="10774" max="10775" width="3.7109375" style="4" customWidth="1"/>
    <col min="10776" max="10776" width="2.28515625" style="4" customWidth="1"/>
    <col min="10777" max="10778" width="3.7109375" style="4" customWidth="1"/>
    <col min="10779" max="10779" width="2.28515625" style="4" customWidth="1"/>
    <col min="10780" max="10781" width="3.7109375" style="4" customWidth="1"/>
    <col min="10782" max="10782" width="2.28515625" style="4" customWidth="1"/>
    <col min="10783" max="10783" width="3.7109375" style="4" customWidth="1"/>
    <col min="10784" max="10784" width="9.7109375" style="4" customWidth="1"/>
    <col min="10785" max="10794" width="3.7109375" style="4" customWidth="1"/>
    <col min="10795" max="10795" width="11" style="4" customWidth="1"/>
    <col min="10796" max="10798" width="8.7109375" style="4"/>
    <col min="10799" max="10799" width="21" style="4" customWidth="1"/>
    <col min="10800" max="10800" width="24.42578125" style="4" customWidth="1"/>
    <col min="10801" max="10801" width="15.28515625" style="4" customWidth="1"/>
    <col min="10802" max="10802" width="10.5703125" style="4" customWidth="1"/>
    <col min="10803" max="10803" width="11.28515625" style="4" customWidth="1"/>
    <col min="10804" max="10804" width="25" style="4" customWidth="1"/>
    <col min="10805" max="10805" width="6" style="4" customWidth="1"/>
    <col min="10806" max="11009" width="8.7109375" style="4"/>
    <col min="11010" max="11010" width="3.7109375" style="4" customWidth="1"/>
    <col min="11011" max="11011" width="2.28515625" style="4" customWidth="1"/>
    <col min="11012" max="11013" width="3.7109375" style="4" customWidth="1"/>
    <col min="11014" max="11014" width="2.28515625" style="4" customWidth="1"/>
    <col min="11015" max="11016" width="3.7109375" style="4" customWidth="1"/>
    <col min="11017" max="11017" width="2.28515625" style="4" customWidth="1"/>
    <col min="11018" max="11019" width="3.7109375" style="4" customWidth="1"/>
    <col min="11020" max="11020" width="2.28515625" style="4" customWidth="1"/>
    <col min="11021" max="11022" width="3.7109375" style="4" customWidth="1"/>
    <col min="11023" max="11023" width="2.28515625" style="4" customWidth="1"/>
    <col min="11024" max="11025" width="3.7109375" style="4" customWidth="1"/>
    <col min="11026" max="11026" width="2.28515625" style="4" customWidth="1"/>
    <col min="11027" max="11028" width="3.7109375" style="4" customWidth="1"/>
    <col min="11029" max="11029" width="2.28515625" style="4" customWidth="1"/>
    <col min="11030" max="11031" width="3.7109375" style="4" customWidth="1"/>
    <col min="11032" max="11032" width="2.28515625" style="4" customWidth="1"/>
    <col min="11033" max="11034" width="3.7109375" style="4" customWidth="1"/>
    <col min="11035" max="11035" width="2.28515625" style="4" customWidth="1"/>
    <col min="11036" max="11037" width="3.7109375" style="4" customWidth="1"/>
    <col min="11038" max="11038" width="2.28515625" style="4" customWidth="1"/>
    <col min="11039" max="11039" width="3.7109375" style="4" customWidth="1"/>
    <col min="11040" max="11040" width="9.7109375" style="4" customWidth="1"/>
    <col min="11041" max="11050" width="3.7109375" style="4" customWidth="1"/>
    <col min="11051" max="11051" width="11" style="4" customWidth="1"/>
    <col min="11052" max="11054" width="8.7109375" style="4"/>
    <col min="11055" max="11055" width="21" style="4" customWidth="1"/>
    <col min="11056" max="11056" width="24.42578125" style="4" customWidth="1"/>
    <col min="11057" max="11057" width="15.28515625" style="4" customWidth="1"/>
    <col min="11058" max="11058" width="10.5703125" style="4" customWidth="1"/>
    <col min="11059" max="11059" width="11.28515625" style="4" customWidth="1"/>
    <col min="11060" max="11060" width="25" style="4" customWidth="1"/>
    <col min="11061" max="11061" width="6" style="4" customWidth="1"/>
    <col min="11062" max="11265" width="8.7109375" style="4"/>
    <col min="11266" max="11266" width="3.7109375" style="4" customWidth="1"/>
    <col min="11267" max="11267" width="2.28515625" style="4" customWidth="1"/>
    <col min="11268" max="11269" width="3.7109375" style="4" customWidth="1"/>
    <col min="11270" max="11270" width="2.28515625" style="4" customWidth="1"/>
    <col min="11271" max="11272" width="3.7109375" style="4" customWidth="1"/>
    <col min="11273" max="11273" width="2.28515625" style="4" customWidth="1"/>
    <col min="11274" max="11275" width="3.7109375" style="4" customWidth="1"/>
    <col min="11276" max="11276" width="2.28515625" style="4" customWidth="1"/>
    <col min="11277" max="11278" width="3.7109375" style="4" customWidth="1"/>
    <col min="11279" max="11279" width="2.28515625" style="4" customWidth="1"/>
    <col min="11280" max="11281" width="3.7109375" style="4" customWidth="1"/>
    <col min="11282" max="11282" width="2.28515625" style="4" customWidth="1"/>
    <col min="11283" max="11284" width="3.7109375" style="4" customWidth="1"/>
    <col min="11285" max="11285" width="2.28515625" style="4" customWidth="1"/>
    <col min="11286" max="11287" width="3.7109375" style="4" customWidth="1"/>
    <col min="11288" max="11288" width="2.28515625" style="4" customWidth="1"/>
    <col min="11289" max="11290" width="3.7109375" style="4" customWidth="1"/>
    <col min="11291" max="11291" width="2.28515625" style="4" customWidth="1"/>
    <col min="11292" max="11293" width="3.7109375" style="4" customWidth="1"/>
    <col min="11294" max="11294" width="2.28515625" style="4" customWidth="1"/>
    <col min="11295" max="11295" width="3.7109375" style="4" customWidth="1"/>
    <col min="11296" max="11296" width="9.7109375" style="4" customWidth="1"/>
    <col min="11297" max="11306" width="3.7109375" style="4" customWidth="1"/>
    <col min="11307" max="11307" width="11" style="4" customWidth="1"/>
    <col min="11308" max="11310" width="8.7109375" style="4"/>
    <col min="11311" max="11311" width="21" style="4" customWidth="1"/>
    <col min="11312" max="11312" width="24.42578125" style="4" customWidth="1"/>
    <col min="11313" max="11313" width="15.28515625" style="4" customWidth="1"/>
    <col min="11314" max="11314" width="10.5703125" style="4" customWidth="1"/>
    <col min="11315" max="11315" width="11.28515625" style="4" customWidth="1"/>
    <col min="11316" max="11316" width="25" style="4" customWidth="1"/>
    <col min="11317" max="11317" width="6" style="4" customWidth="1"/>
    <col min="11318" max="11521" width="8.7109375" style="4"/>
    <col min="11522" max="11522" width="3.7109375" style="4" customWidth="1"/>
    <col min="11523" max="11523" width="2.28515625" style="4" customWidth="1"/>
    <col min="11524" max="11525" width="3.7109375" style="4" customWidth="1"/>
    <col min="11526" max="11526" width="2.28515625" style="4" customWidth="1"/>
    <col min="11527" max="11528" width="3.7109375" style="4" customWidth="1"/>
    <col min="11529" max="11529" width="2.28515625" style="4" customWidth="1"/>
    <col min="11530" max="11531" width="3.7109375" style="4" customWidth="1"/>
    <col min="11532" max="11532" width="2.28515625" style="4" customWidth="1"/>
    <col min="11533" max="11534" width="3.7109375" style="4" customWidth="1"/>
    <col min="11535" max="11535" width="2.28515625" style="4" customWidth="1"/>
    <col min="11536" max="11537" width="3.7109375" style="4" customWidth="1"/>
    <col min="11538" max="11538" width="2.28515625" style="4" customWidth="1"/>
    <col min="11539" max="11540" width="3.7109375" style="4" customWidth="1"/>
    <col min="11541" max="11541" width="2.28515625" style="4" customWidth="1"/>
    <col min="11542" max="11543" width="3.7109375" style="4" customWidth="1"/>
    <col min="11544" max="11544" width="2.28515625" style="4" customWidth="1"/>
    <col min="11545" max="11546" width="3.7109375" style="4" customWidth="1"/>
    <col min="11547" max="11547" width="2.28515625" style="4" customWidth="1"/>
    <col min="11548" max="11549" width="3.7109375" style="4" customWidth="1"/>
    <col min="11550" max="11550" width="2.28515625" style="4" customWidth="1"/>
    <col min="11551" max="11551" width="3.7109375" style="4" customWidth="1"/>
    <col min="11552" max="11552" width="9.7109375" style="4" customWidth="1"/>
    <col min="11553" max="11562" width="3.7109375" style="4" customWidth="1"/>
    <col min="11563" max="11563" width="11" style="4" customWidth="1"/>
    <col min="11564" max="11566" width="8.7109375" style="4"/>
    <col min="11567" max="11567" width="21" style="4" customWidth="1"/>
    <col min="11568" max="11568" width="24.42578125" style="4" customWidth="1"/>
    <col min="11569" max="11569" width="15.28515625" style="4" customWidth="1"/>
    <col min="11570" max="11570" width="10.5703125" style="4" customWidth="1"/>
    <col min="11571" max="11571" width="11.28515625" style="4" customWidth="1"/>
    <col min="11572" max="11572" width="25" style="4" customWidth="1"/>
    <col min="11573" max="11573" width="6" style="4" customWidth="1"/>
    <col min="11574" max="11777" width="8.7109375" style="4"/>
    <col min="11778" max="11778" width="3.7109375" style="4" customWidth="1"/>
    <col min="11779" max="11779" width="2.28515625" style="4" customWidth="1"/>
    <col min="11780" max="11781" width="3.7109375" style="4" customWidth="1"/>
    <col min="11782" max="11782" width="2.28515625" style="4" customWidth="1"/>
    <col min="11783" max="11784" width="3.7109375" style="4" customWidth="1"/>
    <col min="11785" max="11785" width="2.28515625" style="4" customWidth="1"/>
    <col min="11786" max="11787" width="3.7109375" style="4" customWidth="1"/>
    <col min="11788" max="11788" width="2.28515625" style="4" customWidth="1"/>
    <col min="11789" max="11790" width="3.7109375" style="4" customWidth="1"/>
    <col min="11791" max="11791" width="2.28515625" style="4" customWidth="1"/>
    <col min="11792" max="11793" width="3.7109375" style="4" customWidth="1"/>
    <col min="11794" max="11794" width="2.28515625" style="4" customWidth="1"/>
    <col min="11795" max="11796" width="3.7109375" style="4" customWidth="1"/>
    <col min="11797" max="11797" width="2.28515625" style="4" customWidth="1"/>
    <col min="11798" max="11799" width="3.7109375" style="4" customWidth="1"/>
    <col min="11800" max="11800" width="2.28515625" style="4" customWidth="1"/>
    <col min="11801" max="11802" width="3.7109375" style="4" customWidth="1"/>
    <col min="11803" max="11803" width="2.28515625" style="4" customWidth="1"/>
    <col min="11804" max="11805" width="3.7109375" style="4" customWidth="1"/>
    <col min="11806" max="11806" width="2.28515625" style="4" customWidth="1"/>
    <col min="11807" max="11807" width="3.7109375" style="4" customWidth="1"/>
    <col min="11808" max="11808" width="9.7109375" style="4" customWidth="1"/>
    <col min="11809" max="11818" width="3.7109375" style="4" customWidth="1"/>
    <col min="11819" max="11819" width="11" style="4" customWidth="1"/>
    <col min="11820" max="11822" width="8.7109375" style="4"/>
    <col min="11823" max="11823" width="21" style="4" customWidth="1"/>
    <col min="11824" max="11824" width="24.42578125" style="4" customWidth="1"/>
    <col min="11825" max="11825" width="15.28515625" style="4" customWidth="1"/>
    <col min="11826" max="11826" width="10.5703125" style="4" customWidth="1"/>
    <col min="11827" max="11827" width="11.28515625" style="4" customWidth="1"/>
    <col min="11828" max="11828" width="25" style="4" customWidth="1"/>
    <col min="11829" max="11829" width="6" style="4" customWidth="1"/>
    <col min="11830" max="12033" width="8.7109375" style="4"/>
    <col min="12034" max="12034" width="3.7109375" style="4" customWidth="1"/>
    <col min="12035" max="12035" width="2.28515625" style="4" customWidth="1"/>
    <col min="12036" max="12037" width="3.7109375" style="4" customWidth="1"/>
    <col min="12038" max="12038" width="2.28515625" style="4" customWidth="1"/>
    <col min="12039" max="12040" width="3.7109375" style="4" customWidth="1"/>
    <col min="12041" max="12041" width="2.28515625" style="4" customWidth="1"/>
    <col min="12042" max="12043" width="3.7109375" style="4" customWidth="1"/>
    <col min="12044" max="12044" width="2.28515625" style="4" customWidth="1"/>
    <col min="12045" max="12046" width="3.7109375" style="4" customWidth="1"/>
    <col min="12047" max="12047" width="2.28515625" style="4" customWidth="1"/>
    <col min="12048" max="12049" width="3.7109375" style="4" customWidth="1"/>
    <col min="12050" max="12050" width="2.28515625" style="4" customWidth="1"/>
    <col min="12051" max="12052" width="3.7109375" style="4" customWidth="1"/>
    <col min="12053" max="12053" width="2.28515625" style="4" customWidth="1"/>
    <col min="12054" max="12055" width="3.7109375" style="4" customWidth="1"/>
    <col min="12056" max="12056" width="2.28515625" style="4" customWidth="1"/>
    <col min="12057" max="12058" width="3.7109375" style="4" customWidth="1"/>
    <col min="12059" max="12059" width="2.28515625" style="4" customWidth="1"/>
    <col min="12060" max="12061" width="3.7109375" style="4" customWidth="1"/>
    <col min="12062" max="12062" width="2.28515625" style="4" customWidth="1"/>
    <col min="12063" max="12063" width="3.7109375" style="4" customWidth="1"/>
    <col min="12064" max="12064" width="9.7109375" style="4" customWidth="1"/>
    <col min="12065" max="12074" width="3.7109375" style="4" customWidth="1"/>
    <col min="12075" max="12075" width="11" style="4" customWidth="1"/>
    <col min="12076" max="12078" width="8.7109375" style="4"/>
    <col min="12079" max="12079" width="21" style="4" customWidth="1"/>
    <col min="12080" max="12080" width="24.42578125" style="4" customWidth="1"/>
    <col min="12081" max="12081" width="15.28515625" style="4" customWidth="1"/>
    <col min="12082" max="12082" width="10.5703125" style="4" customWidth="1"/>
    <col min="12083" max="12083" width="11.28515625" style="4" customWidth="1"/>
    <col min="12084" max="12084" width="25" style="4" customWidth="1"/>
    <col min="12085" max="12085" width="6" style="4" customWidth="1"/>
    <col min="12086" max="12289" width="8.7109375" style="4"/>
    <col min="12290" max="12290" width="3.7109375" style="4" customWidth="1"/>
    <col min="12291" max="12291" width="2.28515625" style="4" customWidth="1"/>
    <col min="12292" max="12293" width="3.7109375" style="4" customWidth="1"/>
    <col min="12294" max="12294" width="2.28515625" style="4" customWidth="1"/>
    <col min="12295" max="12296" width="3.7109375" style="4" customWidth="1"/>
    <col min="12297" max="12297" width="2.28515625" style="4" customWidth="1"/>
    <col min="12298" max="12299" width="3.7109375" style="4" customWidth="1"/>
    <col min="12300" max="12300" width="2.28515625" style="4" customWidth="1"/>
    <col min="12301" max="12302" width="3.7109375" style="4" customWidth="1"/>
    <col min="12303" max="12303" width="2.28515625" style="4" customWidth="1"/>
    <col min="12304" max="12305" width="3.7109375" style="4" customWidth="1"/>
    <col min="12306" max="12306" width="2.28515625" style="4" customWidth="1"/>
    <col min="12307" max="12308" width="3.7109375" style="4" customWidth="1"/>
    <col min="12309" max="12309" width="2.28515625" style="4" customWidth="1"/>
    <col min="12310" max="12311" width="3.7109375" style="4" customWidth="1"/>
    <col min="12312" max="12312" width="2.28515625" style="4" customWidth="1"/>
    <col min="12313" max="12314" width="3.7109375" style="4" customWidth="1"/>
    <col min="12315" max="12315" width="2.28515625" style="4" customWidth="1"/>
    <col min="12316" max="12317" width="3.7109375" style="4" customWidth="1"/>
    <col min="12318" max="12318" width="2.28515625" style="4" customWidth="1"/>
    <col min="12319" max="12319" width="3.7109375" style="4" customWidth="1"/>
    <col min="12320" max="12320" width="9.7109375" style="4" customWidth="1"/>
    <col min="12321" max="12330" width="3.7109375" style="4" customWidth="1"/>
    <col min="12331" max="12331" width="11" style="4" customWidth="1"/>
    <col min="12332" max="12334" width="8.7109375" style="4"/>
    <col min="12335" max="12335" width="21" style="4" customWidth="1"/>
    <col min="12336" max="12336" width="24.42578125" style="4" customWidth="1"/>
    <col min="12337" max="12337" width="15.28515625" style="4" customWidth="1"/>
    <col min="12338" max="12338" width="10.5703125" style="4" customWidth="1"/>
    <col min="12339" max="12339" width="11.28515625" style="4" customWidth="1"/>
    <col min="12340" max="12340" width="25" style="4" customWidth="1"/>
    <col min="12341" max="12341" width="6" style="4" customWidth="1"/>
    <col min="12342" max="12545" width="8.7109375" style="4"/>
    <col min="12546" max="12546" width="3.7109375" style="4" customWidth="1"/>
    <col min="12547" max="12547" width="2.28515625" style="4" customWidth="1"/>
    <col min="12548" max="12549" width="3.7109375" style="4" customWidth="1"/>
    <col min="12550" max="12550" width="2.28515625" style="4" customWidth="1"/>
    <col min="12551" max="12552" width="3.7109375" style="4" customWidth="1"/>
    <col min="12553" max="12553" width="2.28515625" style="4" customWidth="1"/>
    <col min="12554" max="12555" width="3.7109375" style="4" customWidth="1"/>
    <col min="12556" max="12556" width="2.28515625" style="4" customWidth="1"/>
    <col min="12557" max="12558" width="3.7109375" style="4" customWidth="1"/>
    <col min="12559" max="12559" width="2.28515625" style="4" customWidth="1"/>
    <col min="12560" max="12561" width="3.7109375" style="4" customWidth="1"/>
    <col min="12562" max="12562" width="2.28515625" style="4" customWidth="1"/>
    <col min="12563" max="12564" width="3.7109375" style="4" customWidth="1"/>
    <col min="12565" max="12565" width="2.28515625" style="4" customWidth="1"/>
    <col min="12566" max="12567" width="3.7109375" style="4" customWidth="1"/>
    <col min="12568" max="12568" width="2.28515625" style="4" customWidth="1"/>
    <col min="12569" max="12570" width="3.7109375" style="4" customWidth="1"/>
    <col min="12571" max="12571" width="2.28515625" style="4" customWidth="1"/>
    <col min="12572" max="12573" width="3.7109375" style="4" customWidth="1"/>
    <col min="12574" max="12574" width="2.28515625" style="4" customWidth="1"/>
    <col min="12575" max="12575" width="3.7109375" style="4" customWidth="1"/>
    <col min="12576" max="12576" width="9.7109375" style="4" customWidth="1"/>
    <col min="12577" max="12586" width="3.7109375" style="4" customWidth="1"/>
    <col min="12587" max="12587" width="11" style="4" customWidth="1"/>
    <col min="12588" max="12590" width="8.7109375" style="4"/>
    <col min="12591" max="12591" width="21" style="4" customWidth="1"/>
    <col min="12592" max="12592" width="24.42578125" style="4" customWidth="1"/>
    <col min="12593" max="12593" width="15.28515625" style="4" customWidth="1"/>
    <col min="12594" max="12594" width="10.5703125" style="4" customWidth="1"/>
    <col min="12595" max="12595" width="11.28515625" style="4" customWidth="1"/>
    <col min="12596" max="12596" width="25" style="4" customWidth="1"/>
    <col min="12597" max="12597" width="6" style="4" customWidth="1"/>
    <col min="12598" max="12801" width="8.7109375" style="4"/>
    <col min="12802" max="12802" width="3.7109375" style="4" customWidth="1"/>
    <col min="12803" max="12803" width="2.28515625" style="4" customWidth="1"/>
    <col min="12804" max="12805" width="3.7109375" style="4" customWidth="1"/>
    <col min="12806" max="12806" width="2.28515625" style="4" customWidth="1"/>
    <col min="12807" max="12808" width="3.7109375" style="4" customWidth="1"/>
    <col min="12809" max="12809" width="2.28515625" style="4" customWidth="1"/>
    <col min="12810" max="12811" width="3.7109375" style="4" customWidth="1"/>
    <col min="12812" max="12812" width="2.28515625" style="4" customWidth="1"/>
    <col min="12813" max="12814" width="3.7109375" style="4" customWidth="1"/>
    <col min="12815" max="12815" width="2.28515625" style="4" customWidth="1"/>
    <col min="12816" max="12817" width="3.7109375" style="4" customWidth="1"/>
    <col min="12818" max="12818" width="2.28515625" style="4" customWidth="1"/>
    <col min="12819" max="12820" width="3.7109375" style="4" customWidth="1"/>
    <col min="12821" max="12821" width="2.28515625" style="4" customWidth="1"/>
    <col min="12822" max="12823" width="3.7109375" style="4" customWidth="1"/>
    <col min="12824" max="12824" width="2.28515625" style="4" customWidth="1"/>
    <col min="12825" max="12826" width="3.7109375" style="4" customWidth="1"/>
    <col min="12827" max="12827" width="2.28515625" style="4" customWidth="1"/>
    <col min="12828" max="12829" width="3.7109375" style="4" customWidth="1"/>
    <col min="12830" max="12830" width="2.28515625" style="4" customWidth="1"/>
    <col min="12831" max="12831" width="3.7109375" style="4" customWidth="1"/>
    <col min="12832" max="12832" width="9.7109375" style="4" customWidth="1"/>
    <col min="12833" max="12842" width="3.7109375" style="4" customWidth="1"/>
    <col min="12843" max="12843" width="11" style="4" customWidth="1"/>
    <col min="12844" max="12846" width="8.7109375" style="4"/>
    <col min="12847" max="12847" width="21" style="4" customWidth="1"/>
    <col min="12848" max="12848" width="24.42578125" style="4" customWidth="1"/>
    <col min="12849" max="12849" width="15.28515625" style="4" customWidth="1"/>
    <col min="12850" max="12850" width="10.5703125" style="4" customWidth="1"/>
    <col min="12851" max="12851" width="11.28515625" style="4" customWidth="1"/>
    <col min="12852" max="12852" width="25" style="4" customWidth="1"/>
    <col min="12853" max="12853" width="6" style="4" customWidth="1"/>
    <col min="12854" max="13057" width="8.7109375" style="4"/>
    <col min="13058" max="13058" width="3.7109375" style="4" customWidth="1"/>
    <col min="13059" max="13059" width="2.28515625" style="4" customWidth="1"/>
    <col min="13060" max="13061" width="3.7109375" style="4" customWidth="1"/>
    <col min="13062" max="13062" width="2.28515625" style="4" customWidth="1"/>
    <col min="13063" max="13064" width="3.7109375" style="4" customWidth="1"/>
    <col min="13065" max="13065" width="2.28515625" style="4" customWidth="1"/>
    <col min="13066" max="13067" width="3.7109375" style="4" customWidth="1"/>
    <col min="13068" max="13068" width="2.28515625" style="4" customWidth="1"/>
    <col min="13069" max="13070" width="3.7109375" style="4" customWidth="1"/>
    <col min="13071" max="13071" width="2.28515625" style="4" customWidth="1"/>
    <col min="13072" max="13073" width="3.7109375" style="4" customWidth="1"/>
    <col min="13074" max="13074" width="2.28515625" style="4" customWidth="1"/>
    <col min="13075" max="13076" width="3.7109375" style="4" customWidth="1"/>
    <col min="13077" max="13077" width="2.28515625" style="4" customWidth="1"/>
    <col min="13078" max="13079" width="3.7109375" style="4" customWidth="1"/>
    <col min="13080" max="13080" width="2.28515625" style="4" customWidth="1"/>
    <col min="13081" max="13082" width="3.7109375" style="4" customWidth="1"/>
    <col min="13083" max="13083" width="2.28515625" style="4" customWidth="1"/>
    <col min="13084" max="13085" width="3.7109375" style="4" customWidth="1"/>
    <col min="13086" max="13086" width="2.28515625" style="4" customWidth="1"/>
    <col min="13087" max="13087" width="3.7109375" style="4" customWidth="1"/>
    <col min="13088" max="13088" width="9.7109375" style="4" customWidth="1"/>
    <col min="13089" max="13098" width="3.7109375" style="4" customWidth="1"/>
    <col min="13099" max="13099" width="11" style="4" customWidth="1"/>
    <col min="13100" max="13102" width="8.7109375" style="4"/>
    <col min="13103" max="13103" width="21" style="4" customWidth="1"/>
    <col min="13104" max="13104" width="24.42578125" style="4" customWidth="1"/>
    <col min="13105" max="13105" width="15.28515625" style="4" customWidth="1"/>
    <col min="13106" max="13106" width="10.5703125" style="4" customWidth="1"/>
    <col min="13107" max="13107" width="11.28515625" style="4" customWidth="1"/>
    <col min="13108" max="13108" width="25" style="4" customWidth="1"/>
    <col min="13109" max="13109" width="6" style="4" customWidth="1"/>
    <col min="13110" max="13313" width="8.7109375" style="4"/>
    <col min="13314" max="13314" width="3.7109375" style="4" customWidth="1"/>
    <col min="13315" max="13315" width="2.28515625" style="4" customWidth="1"/>
    <col min="13316" max="13317" width="3.7109375" style="4" customWidth="1"/>
    <col min="13318" max="13318" width="2.28515625" style="4" customWidth="1"/>
    <col min="13319" max="13320" width="3.7109375" style="4" customWidth="1"/>
    <col min="13321" max="13321" width="2.28515625" style="4" customWidth="1"/>
    <col min="13322" max="13323" width="3.7109375" style="4" customWidth="1"/>
    <col min="13324" max="13324" width="2.28515625" style="4" customWidth="1"/>
    <col min="13325" max="13326" width="3.7109375" style="4" customWidth="1"/>
    <col min="13327" max="13327" width="2.28515625" style="4" customWidth="1"/>
    <col min="13328" max="13329" width="3.7109375" style="4" customWidth="1"/>
    <col min="13330" max="13330" width="2.28515625" style="4" customWidth="1"/>
    <col min="13331" max="13332" width="3.7109375" style="4" customWidth="1"/>
    <col min="13333" max="13333" width="2.28515625" style="4" customWidth="1"/>
    <col min="13334" max="13335" width="3.7109375" style="4" customWidth="1"/>
    <col min="13336" max="13336" width="2.28515625" style="4" customWidth="1"/>
    <col min="13337" max="13338" width="3.7109375" style="4" customWidth="1"/>
    <col min="13339" max="13339" width="2.28515625" style="4" customWidth="1"/>
    <col min="13340" max="13341" width="3.7109375" style="4" customWidth="1"/>
    <col min="13342" max="13342" width="2.28515625" style="4" customWidth="1"/>
    <col min="13343" max="13343" width="3.7109375" style="4" customWidth="1"/>
    <col min="13344" max="13344" width="9.7109375" style="4" customWidth="1"/>
    <col min="13345" max="13354" width="3.7109375" style="4" customWidth="1"/>
    <col min="13355" max="13355" width="11" style="4" customWidth="1"/>
    <col min="13356" max="13358" width="8.7109375" style="4"/>
    <col min="13359" max="13359" width="21" style="4" customWidth="1"/>
    <col min="13360" max="13360" width="24.42578125" style="4" customWidth="1"/>
    <col min="13361" max="13361" width="15.28515625" style="4" customWidth="1"/>
    <col min="13362" max="13362" width="10.5703125" style="4" customWidth="1"/>
    <col min="13363" max="13363" width="11.28515625" style="4" customWidth="1"/>
    <col min="13364" max="13364" width="25" style="4" customWidth="1"/>
    <col min="13365" max="13365" width="6" style="4" customWidth="1"/>
    <col min="13366" max="13569" width="8.7109375" style="4"/>
    <col min="13570" max="13570" width="3.7109375" style="4" customWidth="1"/>
    <col min="13571" max="13571" width="2.28515625" style="4" customWidth="1"/>
    <col min="13572" max="13573" width="3.7109375" style="4" customWidth="1"/>
    <col min="13574" max="13574" width="2.28515625" style="4" customWidth="1"/>
    <col min="13575" max="13576" width="3.7109375" style="4" customWidth="1"/>
    <col min="13577" max="13577" width="2.28515625" style="4" customWidth="1"/>
    <col min="13578" max="13579" width="3.7109375" style="4" customWidth="1"/>
    <col min="13580" max="13580" width="2.28515625" style="4" customWidth="1"/>
    <col min="13581" max="13582" width="3.7109375" style="4" customWidth="1"/>
    <col min="13583" max="13583" width="2.28515625" style="4" customWidth="1"/>
    <col min="13584" max="13585" width="3.7109375" style="4" customWidth="1"/>
    <col min="13586" max="13586" width="2.28515625" style="4" customWidth="1"/>
    <col min="13587" max="13588" width="3.7109375" style="4" customWidth="1"/>
    <col min="13589" max="13589" width="2.28515625" style="4" customWidth="1"/>
    <col min="13590" max="13591" width="3.7109375" style="4" customWidth="1"/>
    <col min="13592" max="13592" width="2.28515625" style="4" customWidth="1"/>
    <col min="13593" max="13594" width="3.7109375" style="4" customWidth="1"/>
    <col min="13595" max="13595" width="2.28515625" style="4" customWidth="1"/>
    <col min="13596" max="13597" width="3.7109375" style="4" customWidth="1"/>
    <col min="13598" max="13598" width="2.28515625" style="4" customWidth="1"/>
    <col min="13599" max="13599" width="3.7109375" style="4" customWidth="1"/>
    <col min="13600" max="13600" width="9.7109375" style="4" customWidth="1"/>
    <col min="13601" max="13610" width="3.7109375" style="4" customWidth="1"/>
    <col min="13611" max="13611" width="11" style="4" customWidth="1"/>
    <col min="13612" max="13614" width="8.7109375" style="4"/>
    <col min="13615" max="13615" width="21" style="4" customWidth="1"/>
    <col min="13616" max="13616" width="24.42578125" style="4" customWidth="1"/>
    <col min="13617" max="13617" width="15.28515625" style="4" customWidth="1"/>
    <col min="13618" max="13618" width="10.5703125" style="4" customWidth="1"/>
    <col min="13619" max="13619" width="11.28515625" style="4" customWidth="1"/>
    <col min="13620" max="13620" width="25" style="4" customWidth="1"/>
    <col min="13621" max="13621" width="6" style="4" customWidth="1"/>
    <col min="13622" max="13825" width="8.7109375" style="4"/>
    <col min="13826" max="13826" width="3.7109375" style="4" customWidth="1"/>
    <col min="13827" max="13827" width="2.28515625" style="4" customWidth="1"/>
    <col min="13828" max="13829" width="3.7109375" style="4" customWidth="1"/>
    <col min="13830" max="13830" width="2.28515625" style="4" customWidth="1"/>
    <col min="13831" max="13832" width="3.7109375" style="4" customWidth="1"/>
    <col min="13833" max="13833" width="2.28515625" style="4" customWidth="1"/>
    <col min="13834" max="13835" width="3.7109375" style="4" customWidth="1"/>
    <col min="13836" max="13836" width="2.28515625" style="4" customWidth="1"/>
    <col min="13837" max="13838" width="3.7109375" style="4" customWidth="1"/>
    <col min="13839" max="13839" width="2.28515625" style="4" customWidth="1"/>
    <col min="13840" max="13841" width="3.7109375" style="4" customWidth="1"/>
    <col min="13842" max="13842" width="2.28515625" style="4" customWidth="1"/>
    <col min="13843" max="13844" width="3.7109375" style="4" customWidth="1"/>
    <col min="13845" max="13845" width="2.28515625" style="4" customWidth="1"/>
    <col min="13846" max="13847" width="3.7109375" style="4" customWidth="1"/>
    <col min="13848" max="13848" width="2.28515625" style="4" customWidth="1"/>
    <col min="13849" max="13850" width="3.7109375" style="4" customWidth="1"/>
    <col min="13851" max="13851" width="2.28515625" style="4" customWidth="1"/>
    <col min="13852" max="13853" width="3.7109375" style="4" customWidth="1"/>
    <col min="13854" max="13854" width="2.28515625" style="4" customWidth="1"/>
    <col min="13855" max="13855" width="3.7109375" style="4" customWidth="1"/>
    <col min="13856" max="13856" width="9.7109375" style="4" customWidth="1"/>
    <col min="13857" max="13866" width="3.7109375" style="4" customWidth="1"/>
    <col min="13867" max="13867" width="11" style="4" customWidth="1"/>
    <col min="13868" max="13870" width="8.7109375" style="4"/>
    <col min="13871" max="13871" width="21" style="4" customWidth="1"/>
    <col min="13872" max="13872" width="24.42578125" style="4" customWidth="1"/>
    <col min="13873" max="13873" width="15.28515625" style="4" customWidth="1"/>
    <col min="13874" max="13874" width="10.5703125" style="4" customWidth="1"/>
    <col min="13875" max="13875" width="11.28515625" style="4" customWidth="1"/>
    <col min="13876" max="13876" width="25" style="4" customWidth="1"/>
    <col min="13877" max="13877" width="6" style="4" customWidth="1"/>
    <col min="13878" max="14081" width="8.7109375" style="4"/>
    <col min="14082" max="14082" width="3.7109375" style="4" customWidth="1"/>
    <col min="14083" max="14083" width="2.28515625" style="4" customWidth="1"/>
    <col min="14084" max="14085" width="3.7109375" style="4" customWidth="1"/>
    <col min="14086" max="14086" width="2.28515625" style="4" customWidth="1"/>
    <col min="14087" max="14088" width="3.7109375" style="4" customWidth="1"/>
    <col min="14089" max="14089" width="2.28515625" style="4" customWidth="1"/>
    <col min="14090" max="14091" width="3.7109375" style="4" customWidth="1"/>
    <col min="14092" max="14092" width="2.28515625" style="4" customWidth="1"/>
    <col min="14093" max="14094" width="3.7109375" style="4" customWidth="1"/>
    <col min="14095" max="14095" width="2.28515625" style="4" customWidth="1"/>
    <col min="14096" max="14097" width="3.7109375" style="4" customWidth="1"/>
    <col min="14098" max="14098" width="2.28515625" style="4" customWidth="1"/>
    <col min="14099" max="14100" width="3.7109375" style="4" customWidth="1"/>
    <col min="14101" max="14101" width="2.28515625" style="4" customWidth="1"/>
    <col min="14102" max="14103" width="3.7109375" style="4" customWidth="1"/>
    <col min="14104" max="14104" width="2.28515625" style="4" customWidth="1"/>
    <col min="14105" max="14106" width="3.7109375" style="4" customWidth="1"/>
    <col min="14107" max="14107" width="2.28515625" style="4" customWidth="1"/>
    <col min="14108" max="14109" width="3.7109375" style="4" customWidth="1"/>
    <col min="14110" max="14110" width="2.28515625" style="4" customWidth="1"/>
    <col min="14111" max="14111" width="3.7109375" style="4" customWidth="1"/>
    <col min="14112" max="14112" width="9.7109375" style="4" customWidth="1"/>
    <col min="14113" max="14122" width="3.7109375" style="4" customWidth="1"/>
    <col min="14123" max="14123" width="11" style="4" customWidth="1"/>
    <col min="14124" max="14126" width="8.7109375" style="4"/>
    <col min="14127" max="14127" width="21" style="4" customWidth="1"/>
    <col min="14128" max="14128" width="24.42578125" style="4" customWidth="1"/>
    <col min="14129" max="14129" width="15.28515625" style="4" customWidth="1"/>
    <col min="14130" max="14130" width="10.5703125" style="4" customWidth="1"/>
    <col min="14131" max="14131" width="11.28515625" style="4" customWidth="1"/>
    <col min="14132" max="14132" width="25" style="4" customWidth="1"/>
    <col min="14133" max="14133" width="6" style="4" customWidth="1"/>
    <col min="14134" max="14337" width="8.7109375" style="4"/>
    <col min="14338" max="14338" width="3.7109375" style="4" customWidth="1"/>
    <col min="14339" max="14339" width="2.28515625" style="4" customWidth="1"/>
    <col min="14340" max="14341" width="3.7109375" style="4" customWidth="1"/>
    <col min="14342" max="14342" width="2.28515625" style="4" customWidth="1"/>
    <col min="14343" max="14344" width="3.7109375" style="4" customWidth="1"/>
    <col min="14345" max="14345" width="2.28515625" style="4" customWidth="1"/>
    <col min="14346" max="14347" width="3.7109375" style="4" customWidth="1"/>
    <col min="14348" max="14348" width="2.28515625" style="4" customWidth="1"/>
    <col min="14349" max="14350" width="3.7109375" style="4" customWidth="1"/>
    <col min="14351" max="14351" width="2.28515625" style="4" customWidth="1"/>
    <col min="14352" max="14353" width="3.7109375" style="4" customWidth="1"/>
    <col min="14354" max="14354" width="2.28515625" style="4" customWidth="1"/>
    <col min="14355" max="14356" width="3.7109375" style="4" customWidth="1"/>
    <col min="14357" max="14357" width="2.28515625" style="4" customWidth="1"/>
    <col min="14358" max="14359" width="3.7109375" style="4" customWidth="1"/>
    <col min="14360" max="14360" width="2.28515625" style="4" customWidth="1"/>
    <col min="14361" max="14362" width="3.7109375" style="4" customWidth="1"/>
    <col min="14363" max="14363" width="2.28515625" style="4" customWidth="1"/>
    <col min="14364" max="14365" width="3.7109375" style="4" customWidth="1"/>
    <col min="14366" max="14366" width="2.28515625" style="4" customWidth="1"/>
    <col min="14367" max="14367" width="3.7109375" style="4" customWidth="1"/>
    <col min="14368" max="14368" width="9.7109375" style="4" customWidth="1"/>
    <col min="14369" max="14378" width="3.7109375" style="4" customWidth="1"/>
    <col min="14379" max="14379" width="11" style="4" customWidth="1"/>
    <col min="14380" max="14382" width="8.7109375" style="4"/>
    <col min="14383" max="14383" width="21" style="4" customWidth="1"/>
    <col min="14384" max="14384" width="24.42578125" style="4" customWidth="1"/>
    <col min="14385" max="14385" width="15.28515625" style="4" customWidth="1"/>
    <col min="14386" max="14386" width="10.5703125" style="4" customWidth="1"/>
    <col min="14387" max="14387" width="11.28515625" style="4" customWidth="1"/>
    <col min="14388" max="14388" width="25" style="4" customWidth="1"/>
    <col min="14389" max="14389" width="6" style="4" customWidth="1"/>
    <col min="14390" max="14593" width="8.7109375" style="4"/>
    <col min="14594" max="14594" width="3.7109375" style="4" customWidth="1"/>
    <col min="14595" max="14595" width="2.28515625" style="4" customWidth="1"/>
    <col min="14596" max="14597" width="3.7109375" style="4" customWidth="1"/>
    <col min="14598" max="14598" width="2.28515625" style="4" customWidth="1"/>
    <col min="14599" max="14600" width="3.7109375" style="4" customWidth="1"/>
    <col min="14601" max="14601" width="2.28515625" style="4" customWidth="1"/>
    <col min="14602" max="14603" width="3.7109375" style="4" customWidth="1"/>
    <col min="14604" max="14604" width="2.28515625" style="4" customWidth="1"/>
    <col min="14605" max="14606" width="3.7109375" style="4" customWidth="1"/>
    <col min="14607" max="14607" width="2.28515625" style="4" customWidth="1"/>
    <col min="14608" max="14609" width="3.7109375" style="4" customWidth="1"/>
    <col min="14610" max="14610" width="2.28515625" style="4" customWidth="1"/>
    <col min="14611" max="14612" width="3.7109375" style="4" customWidth="1"/>
    <col min="14613" max="14613" width="2.28515625" style="4" customWidth="1"/>
    <col min="14614" max="14615" width="3.7109375" style="4" customWidth="1"/>
    <col min="14616" max="14616" width="2.28515625" style="4" customWidth="1"/>
    <col min="14617" max="14618" width="3.7109375" style="4" customWidth="1"/>
    <col min="14619" max="14619" width="2.28515625" style="4" customWidth="1"/>
    <col min="14620" max="14621" width="3.7109375" style="4" customWidth="1"/>
    <col min="14622" max="14622" width="2.28515625" style="4" customWidth="1"/>
    <col min="14623" max="14623" width="3.7109375" style="4" customWidth="1"/>
    <col min="14624" max="14624" width="9.7109375" style="4" customWidth="1"/>
    <col min="14625" max="14634" width="3.7109375" style="4" customWidth="1"/>
    <col min="14635" max="14635" width="11" style="4" customWidth="1"/>
    <col min="14636" max="14638" width="8.7109375" style="4"/>
    <col min="14639" max="14639" width="21" style="4" customWidth="1"/>
    <col min="14640" max="14640" width="24.42578125" style="4" customWidth="1"/>
    <col min="14641" max="14641" width="15.28515625" style="4" customWidth="1"/>
    <col min="14642" max="14642" width="10.5703125" style="4" customWidth="1"/>
    <col min="14643" max="14643" width="11.28515625" style="4" customWidth="1"/>
    <col min="14644" max="14644" width="25" style="4" customWidth="1"/>
    <col min="14645" max="14645" width="6" style="4" customWidth="1"/>
    <col min="14646" max="14849" width="8.7109375" style="4"/>
    <col min="14850" max="14850" width="3.7109375" style="4" customWidth="1"/>
    <col min="14851" max="14851" width="2.28515625" style="4" customWidth="1"/>
    <col min="14852" max="14853" width="3.7109375" style="4" customWidth="1"/>
    <col min="14854" max="14854" width="2.28515625" style="4" customWidth="1"/>
    <col min="14855" max="14856" width="3.7109375" style="4" customWidth="1"/>
    <col min="14857" max="14857" width="2.28515625" style="4" customWidth="1"/>
    <col min="14858" max="14859" width="3.7109375" style="4" customWidth="1"/>
    <col min="14860" max="14860" width="2.28515625" style="4" customWidth="1"/>
    <col min="14861" max="14862" width="3.7109375" style="4" customWidth="1"/>
    <col min="14863" max="14863" width="2.28515625" style="4" customWidth="1"/>
    <col min="14864" max="14865" width="3.7109375" style="4" customWidth="1"/>
    <col min="14866" max="14866" width="2.28515625" style="4" customWidth="1"/>
    <col min="14867" max="14868" width="3.7109375" style="4" customWidth="1"/>
    <col min="14869" max="14869" width="2.28515625" style="4" customWidth="1"/>
    <col min="14870" max="14871" width="3.7109375" style="4" customWidth="1"/>
    <col min="14872" max="14872" width="2.28515625" style="4" customWidth="1"/>
    <col min="14873" max="14874" width="3.7109375" style="4" customWidth="1"/>
    <col min="14875" max="14875" width="2.28515625" style="4" customWidth="1"/>
    <col min="14876" max="14877" width="3.7109375" style="4" customWidth="1"/>
    <col min="14878" max="14878" width="2.28515625" style="4" customWidth="1"/>
    <col min="14879" max="14879" width="3.7109375" style="4" customWidth="1"/>
    <col min="14880" max="14880" width="9.7109375" style="4" customWidth="1"/>
    <col min="14881" max="14890" width="3.7109375" style="4" customWidth="1"/>
    <col min="14891" max="14891" width="11" style="4" customWidth="1"/>
    <col min="14892" max="14894" width="8.7109375" style="4"/>
    <col min="14895" max="14895" width="21" style="4" customWidth="1"/>
    <col min="14896" max="14896" width="24.42578125" style="4" customWidth="1"/>
    <col min="14897" max="14897" width="15.28515625" style="4" customWidth="1"/>
    <col min="14898" max="14898" width="10.5703125" style="4" customWidth="1"/>
    <col min="14899" max="14899" width="11.28515625" style="4" customWidth="1"/>
    <col min="14900" max="14900" width="25" style="4" customWidth="1"/>
    <col min="14901" max="14901" width="6" style="4" customWidth="1"/>
    <col min="14902" max="15105" width="8.7109375" style="4"/>
    <col min="15106" max="15106" width="3.7109375" style="4" customWidth="1"/>
    <col min="15107" max="15107" width="2.28515625" style="4" customWidth="1"/>
    <col min="15108" max="15109" width="3.7109375" style="4" customWidth="1"/>
    <col min="15110" max="15110" width="2.28515625" style="4" customWidth="1"/>
    <col min="15111" max="15112" width="3.7109375" style="4" customWidth="1"/>
    <col min="15113" max="15113" width="2.28515625" style="4" customWidth="1"/>
    <col min="15114" max="15115" width="3.7109375" style="4" customWidth="1"/>
    <col min="15116" max="15116" width="2.28515625" style="4" customWidth="1"/>
    <col min="15117" max="15118" width="3.7109375" style="4" customWidth="1"/>
    <col min="15119" max="15119" width="2.28515625" style="4" customWidth="1"/>
    <col min="15120" max="15121" width="3.7109375" style="4" customWidth="1"/>
    <col min="15122" max="15122" width="2.28515625" style="4" customWidth="1"/>
    <col min="15123" max="15124" width="3.7109375" style="4" customWidth="1"/>
    <col min="15125" max="15125" width="2.28515625" style="4" customWidth="1"/>
    <col min="15126" max="15127" width="3.7109375" style="4" customWidth="1"/>
    <col min="15128" max="15128" width="2.28515625" style="4" customWidth="1"/>
    <col min="15129" max="15130" width="3.7109375" style="4" customWidth="1"/>
    <col min="15131" max="15131" width="2.28515625" style="4" customWidth="1"/>
    <col min="15132" max="15133" width="3.7109375" style="4" customWidth="1"/>
    <col min="15134" max="15134" width="2.28515625" style="4" customWidth="1"/>
    <col min="15135" max="15135" width="3.7109375" style="4" customWidth="1"/>
    <col min="15136" max="15136" width="9.7109375" style="4" customWidth="1"/>
    <col min="15137" max="15146" width="3.7109375" style="4" customWidth="1"/>
    <col min="15147" max="15147" width="11" style="4" customWidth="1"/>
    <col min="15148" max="15150" width="8.7109375" style="4"/>
    <col min="15151" max="15151" width="21" style="4" customWidth="1"/>
    <col min="15152" max="15152" width="24.42578125" style="4" customWidth="1"/>
    <col min="15153" max="15153" width="15.28515625" style="4" customWidth="1"/>
    <col min="15154" max="15154" width="10.5703125" style="4" customWidth="1"/>
    <col min="15155" max="15155" width="11.28515625" style="4" customWidth="1"/>
    <col min="15156" max="15156" width="25" style="4" customWidth="1"/>
    <col min="15157" max="15157" width="6" style="4" customWidth="1"/>
    <col min="15158" max="15361" width="8.7109375" style="4"/>
    <col min="15362" max="15362" width="3.7109375" style="4" customWidth="1"/>
    <col min="15363" max="15363" width="2.28515625" style="4" customWidth="1"/>
    <col min="15364" max="15365" width="3.7109375" style="4" customWidth="1"/>
    <col min="15366" max="15366" width="2.28515625" style="4" customWidth="1"/>
    <col min="15367" max="15368" width="3.7109375" style="4" customWidth="1"/>
    <col min="15369" max="15369" width="2.28515625" style="4" customWidth="1"/>
    <col min="15370" max="15371" width="3.7109375" style="4" customWidth="1"/>
    <col min="15372" max="15372" width="2.28515625" style="4" customWidth="1"/>
    <col min="15373" max="15374" width="3.7109375" style="4" customWidth="1"/>
    <col min="15375" max="15375" width="2.28515625" style="4" customWidth="1"/>
    <col min="15376" max="15377" width="3.7109375" style="4" customWidth="1"/>
    <col min="15378" max="15378" width="2.28515625" style="4" customWidth="1"/>
    <col min="15379" max="15380" width="3.7109375" style="4" customWidth="1"/>
    <col min="15381" max="15381" width="2.28515625" style="4" customWidth="1"/>
    <col min="15382" max="15383" width="3.7109375" style="4" customWidth="1"/>
    <col min="15384" max="15384" width="2.28515625" style="4" customWidth="1"/>
    <col min="15385" max="15386" width="3.7109375" style="4" customWidth="1"/>
    <col min="15387" max="15387" width="2.28515625" style="4" customWidth="1"/>
    <col min="15388" max="15389" width="3.7109375" style="4" customWidth="1"/>
    <col min="15390" max="15390" width="2.28515625" style="4" customWidth="1"/>
    <col min="15391" max="15391" width="3.7109375" style="4" customWidth="1"/>
    <col min="15392" max="15392" width="9.7109375" style="4" customWidth="1"/>
    <col min="15393" max="15402" width="3.7109375" style="4" customWidth="1"/>
    <col min="15403" max="15403" width="11" style="4" customWidth="1"/>
    <col min="15404" max="15406" width="8.7109375" style="4"/>
    <col min="15407" max="15407" width="21" style="4" customWidth="1"/>
    <col min="15408" max="15408" width="24.42578125" style="4" customWidth="1"/>
    <col min="15409" max="15409" width="15.28515625" style="4" customWidth="1"/>
    <col min="15410" max="15410" width="10.5703125" style="4" customWidth="1"/>
    <col min="15411" max="15411" width="11.28515625" style="4" customWidth="1"/>
    <col min="15412" max="15412" width="25" style="4" customWidth="1"/>
    <col min="15413" max="15413" width="6" style="4" customWidth="1"/>
    <col min="15414" max="15617" width="8.7109375" style="4"/>
    <col min="15618" max="15618" width="3.7109375" style="4" customWidth="1"/>
    <col min="15619" max="15619" width="2.28515625" style="4" customWidth="1"/>
    <col min="15620" max="15621" width="3.7109375" style="4" customWidth="1"/>
    <col min="15622" max="15622" width="2.28515625" style="4" customWidth="1"/>
    <col min="15623" max="15624" width="3.7109375" style="4" customWidth="1"/>
    <col min="15625" max="15625" width="2.28515625" style="4" customWidth="1"/>
    <col min="15626" max="15627" width="3.7109375" style="4" customWidth="1"/>
    <col min="15628" max="15628" width="2.28515625" style="4" customWidth="1"/>
    <col min="15629" max="15630" width="3.7109375" style="4" customWidth="1"/>
    <col min="15631" max="15631" width="2.28515625" style="4" customWidth="1"/>
    <col min="15632" max="15633" width="3.7109375" style="4" customWidth="1"/>
    <col min="15634" max="15634" width="2.28515625" style="4" customWidth="1"/>
    <col min="15635" max="15636" width="3.7109375" style="4" customWidth="1"/>
    <col min="15637" max="15637" width="2.28515625" style="4" customWidth="1"/>
    <col min="15638" max="15639" width="3.7109375" style="4" customWidth="1"/>
    <col min="15640" max="15640" width="2.28515625" style="4" customWidth="1"/>
    <col min="15641" max="15642" width="3.7109375" style="4" customWidth="1"/>
    <col min="15643" max="15643" width="2.28515625" style="4" customWidth="1"/>
    <col min="15644" max="15645" width="3.7109375" style="4" customWidth="1"/>
    <col min="15646" max="15646" width="2.28515625" style="4" customWidth="1"/>
    <col min="15647" max="15647" width="3.7109375" style="4" customWidth="1"/>
    <col min="15648" max="15648" width="9.7109375" style="4" customWidth="1"/>
    <col min="15649" max="15658" width="3.7109375" style="4" customWidth="1"/>
    <col min="15659" max="15659" width="11" style="4" customWidth="1"/>
    <col min="15660" max="15662" width="8.7109375" style="4"/>
    <col min="15663" max="15663" width="21" style="4" customWidth="1"/>
    <col min="15664" max="15664" width="24.42578125" style="4" customWidth="1"/>
    <col min="15665" max="15665" width="15.28515625" style="4" customWidth="1"/>
    <col min="15666" max="15666" width="10.5703125" style="4" customWidth="1"/>
    <col min="15667" max="15667" width="11.28515625" style="4" customWidth="1"/>
    <col min="15668" max="15668" width="25" style="4" customWidth="1"/>
    <col min="15669" max="15669" width="6" style="4" customWidth="1"/>
    <col min="15670" max="15873" width="8.7109375" style="4"/>
    <col min="15874" max="15874" width="3.7109375" style="4" customWidth="1"/>
    <col min="15875" max="15875" width="2.28515625" style="4" customWidth="1"/>
    <col min="15876" max="15877" width="3.7109375" style="4" customWidth="1"/>
    <col min="15878" max="15878" width="2.28515625" style="4" customWidth="1"/>
    <col min="15879" max="15880" width="3.7109375" style="4" customWidth="1"/>
    <col min="15881" max="15881" width="2.28515625" style="4" customWidth="1"/>
    <col min="15882" max="15883" width="3.7109375" style="4" customWidth="1"/>
    <col min="15884" max="15884" width="2.28515625" style="4" customWidth="1"/>
    <col min="15885" max="15886" width="3.7109375" style="4" customWidth="1"/>
    <col min="15887" max="15887" width="2.28515625" style="4" customWidth="1"/>
    <col min="15888" max="15889" width="3.7109375" style="4" customWidth="1"/>
    <col min="15890" max="15890" width="2.28515625" style="4" customWidth="1"/>
    <col min="15891" max="15892" width="3.7109375" style="4" customWidth="1"/>
    <col min="15893" max="15893" width="2.28515625" style="4" customWidth="1"/>
    <col min="15894" max="15895" width="3.7109375" style="4" customWidth="1"/>
    <col min="15896" max="15896" width="2.28515625" style="4" customWidth="1"/>
    <col min="15897" max="15898" width="3.7109375" style="4" customWidth="1"/>
    <col min="15899" max="15899" width="2.28515625" style="4" customWidth="1"/>
    <col min="15900" max="15901" width="3.7109375" style="4" customWidth="1"/>
    <col min="15902" max="15902" width="2.28515625" style="4" customWidth="1"/>
    <col min="15903" max="15903" width="3.7109375" style="4" customWidth="1"/>
    <col min="15904" max="15904" width="9.7109375" style="4" customWidth="1"/>
    <col min="15905" max="15914" width="3.7109375" style="4" customWidth="1"/>
    <col min="15915" max="15915" width="11" style="4" customWidth="1"/>
    <col min="15916" max="15918" width="8.7109375" style="4"/>
    <col min="15919" max="15919" width="21" style="4" customWidth="1"/>
    <col min="15920" max="15920" width="24.42578125" style="4" customWidth="1"/>
    <col min="15921" max="15921" width="15.28515625" style="4" customWidth="1"/>
    <col min="15922" max="15922" width="10.5703125" style="4" customWidth="1"/>
    <col min="15923" max="15923" width="11.28515625" style="4" customWidth="1"/>
    <col min="15924" max="15924" width="25" style="4" customWidth="1"/>
    <col min="15925" max="15925" width="6" style="4" customWidth="1"/>
    <col min="15926" max="16129" width="8.7109375" style="4"/>
    <col min="16130" max="16130" width="3.7109375" style="4" customWidth="1"/>
    <col min="16131" max="16131" width="2.28515625" style="4" customWidth="1"/>
    <col min="16132" max="16133" width="3.7109375" style="4" customWidth="1"/>
    <col min="16134" max="16134" width="2.28515625" style="4" customWidth="1"/>
    <col min="16135" max="16136" width="3.7109375" style="4" customWidth="1"/>
    <col min="16137" max="16137" width="2.28515625" style="4" customWidth="1"/>
    <col min="16138" max="16139" width="3.7109375" style="4" customWidth="1"/>
    <col min="16140" max="16140" width="2.28515625" style="4" customWidth="1"/>
    <col min="16141" max="16142" width="3.7109375" style="4" customWidth="1"/>
    <col min="16143" max="16143" width="2.28515625" style="4" customWidth="1"/>
    <col min="16144" max="16145" width="3.7109375" style="4" customWidth="1"/>
    <col min="16146" max="16146" width="2.28515625" style="4" customWidth="1"/>
    <col min="16147" max="16148" width="3.7109375" style="4" customWidth="1"/>
    <col min="16149" max="16149" width="2.28515625" style="4" customWidth="1"/>
    <col min="16150" max="16151" width="3.7109375" style="4" customWidth="1"/>
    <col min="16152" max="16152" width="2.28515625" style="4" customWidth="1"/>
    <col min="16153" max="16154" width="3.7109375" style="4" customWidth="1"/>
    <col min="16155" max="16155" width="2.28515625" style="4" customWidth="1"/>
    <col min="16156" max="16157" width="3.7109375" style="4" customWidth="1"/>
    <col min="16158" max="16158" width="2.28515625" style="4" customWidth="1"/>
    <col min="16159" max="16159" width="3.7109375" style="4" customWidth="1"/>
    <col min="16160" max="16160" width="9.7109375" style="4" customWidth="1"/>
    <col min="16161" max="16170" width="3.7109375" style="4" customWidth="1"/>
    <col min="16171" max="16171" width="11" style="4" customWidth="1"/>
    <col min="16172" max="16174" width="8.7109375" style="4"/>
    <col min="16175" max="16175" width="21" style="4" customWidth="1"/>
    <col min="16176" max="16176" width="24.42578125" style="4" customWidth="1"/>
    <col min="16177" max="16177" width="15.28515625" style="4" customWidth="1"/>
    <col min="16178" max="16178" width="10.5703125" style="4" customWidth="1"/>
    <col min="16179" max="16179" width="11.28515625" style="4" customWidth="1"/>
    <col min="16180" max="16180" width="25" style="4" customWidth="1"/>
    <col min="16181" max="16181" width="6" style="4" customWidth="1"/>
    <col min="16182" max="16384" width="8.7109375" style="4"/>
  </cols>
  <sheetData>
    <row r="1" spans="1:53" ht="13.5" thickBot="1" x14ac:dyDescent="0.25">
      <c r="A1" s="827" t="s">
        <v>0</v>
      </c>
      <c r="B1" s="827"/>
      <c r="C1" s="827"/>
      <c r="D1" s="827"/>
      <c r="E1" s="827"/>
      <c r="F1" s="827"/>
      <c r="G1" s="827"/>
      <c r="H1" s="827"/>
      <c r="I1" s="827"/>
      <c r="J1" s="827"/>
      <c r="K1" s="827"/>
      <c r="L1" s="827"/>
      <c r="M1" s="827"/>
      <c r="N1" s="827"/>
      <c r="O1" s="827"/>
      <c r="P1" s="827"/>
      <c r="Q1" s="827"/>
      <c r="R1" s="827"/>
      <c r="S1" s="827"/>
      <c r="T1" s="827"/>
      <c r="U1" s="827"/>
      <c r="V1" s="827"/>
      <c r="W1" s="827"/>
      <c r="X1" s="827"/>
      <c r="Y1" s="827"/>
      <c r="Z1" s="827"/>
      <c r="AA1" s="827"/>
      <c r="AB1" s="827"/>
      <c r="AC1" s="827"/>
      <c r="AD1" s="827"/>
      <c r="AE1" s="827"/>
      <c r="AF1" s="827"/>
      <c r="AG1" s="827"/>
      <c r="AH1" s="827"/>
      <c r="AI1" s="827"/>
      <c r="AJ1" s="1"/>
      <c r="AK1" s="1"/>
      <c r="AL1" s="1"/>
      <c r="AM1" s="1"/>
      <c r="AN1" s="1"/>
      <c r="AO1" s="1"/>
      <c r="AP1" s="1"/>
      <c r="AQ1" s="2" t="s">
        <v>1</v>
      </c>
      <c r="AR1" s="3"/>
      <c r="AT1" s="828" t="s">
        <v>2</v>
      </c>
      <c r="AU1" s="829"/>
      <c r="AV1" s="829"/>
      <c r="AW1" s="830"/>
      <c r="AX1" s="831" t="s">
        <v>3</v>
      </c>
      <c r="AY1" s="832"/>
      <c r="AZ1" s="5" t="s">
        <v>4</v>
      </c>
      <c r="BA1" s="6">
        <v>32</v>
      </c>
    </row>
    <row r="2" spans="1:53" ht="18.75" customHeight="1" thickBot="1" x14ac:dyDescent="0.3">
      <c r="A2" s="833" t="s">
        <v>5</v>
      </c>
      <c r="B2" s="834"/>
      <c r="C2" s="834"/>
      <c r="D2" s="834"/>
      <c r="E2" s="834"/>
      <c r="F2" s="834"/>
      <c r="G2" s="834"/>
      <c r="H2" s="834"/>
      <c r="I2" s="835"/>
      <c r="J2" s="836" t="s">
        <v>6</v>
      </c>
      <c r="K2" s="837"/>
      <c r="L2" s="837"/>
      <c r="M2" s="837"/>
      <c r="N2" s="837"/>
      <c r="O2" s="837"/>
      <c r="P2" s="837"/>
      <c r="Q2" s="837"/>
      <c r="R2" s="837"/>
      <c r="S2" s="837"/>
      <c r="T2" s="837"/>
      <c r="U2" s="837"/>
      <c r="V2" s="837"/>
      <c r="W2" s="837"/>
      <c r="X2" s="838"/>
      <c r="Y2" s="839" t="s">
        <v>7</v>
      </c>
      <c r="Z2" s="840"/>
      <c r="AA2" s="840"/>
      <c r="AB2" s="840"/>
      <c r="AC2" s="841"/>
      <c r="AD2" s="810" t="s">
        <v>168</v>
      </c>
      <c r="AE2" s="810"/>
      <c r="AF2" s="810"/>
      <c r="AG2" s="810"/>
      <c r="AH2" s="810"/>
      <c r="AI2" s="811"/>
      <c r="AJ2" s="7"/>
      <c r="AK2" s="7"/>
      <c r="AL2" s="7"/>
      <c r="AM2" s="7"/>
      <c r="AN2" s="7"/>
      <c r="AO2" s="7"/>
      <c r="AP2" s="7"/>
      <c r="AQ2" s="7"/>
      <c r="AR2" s="3"/>
      <c r="AT2" s="8" t="s">
        <v>9</v>
      </c>
      <c r="AU2" s="9" t="s">
        <v>10</v>
      </c>
      <c r="AV2" s="10" t="s">
        <v>11</v>
      </c>
      <c r="AW2" s="11" t="s">
        <v>12</v>
      </c>
      <c r="AX2" s="12" t="s">
        <v>13</v>
      </c>
      <c r="AY2" s="11" t="s">
        <v>14</v>
      </c>
      <c r="AZ2" s="5" t="s">
        <v>15</v>
      </c>
      <c r="BA2" s="6">
        <v>16</v>
      </c>
    </row>
    <row r="3" spans="1:53" ht="18.75" customHeight="1" thickBot="1" x14ac:dyDescent="0.3">
      <c r="A3" s="13" t="s">
        <v>16</v>
      </c>
      <c r="B3" s="812" t="s">
        <v>1137</v>
      </c>
      <c r="C3" s="813"/>
      <c r="D3" s="813"/>
      <c r="E3" s="813"/>
      <c r="F3" s="813"/>
      <c r="G3" s="813"/>
      <c r="H3" s="813"/>
      <c r="I3" s="813"/>
      <c r="J3" s="813"/>
      <c r="K3" s="813"/>
      <c r="L3" s="813"/>
      <c r="M3" s="813"/>
      <c r="N3" s="813"/>
      <c r="O3" s="814"/>
      <c r="P3" s="815" t="s">
        <v>18</v>
      </c>
      <c r="Q3" s="816"/>
      <c r="R3" s="816"/>
      <c r="S3" s="817" t="s">
        <v>1138</v>
      </c>
      <c r="T3" s="818"/>
      <c r="U3" s="818"/>
      <c r="V3" s="818"/>
      <c r="W3" s="818"/>
      <c r="X3" s="819"/>
      <c r="Y3" s="820" t="s">
        <v>19</v>
      </c>
      <c r="Z3" s="821"/>
      <c r="AA3" s="821"/>
      <c r="AB3" s="821"/>
      <c r="AC3" s="821"/>
      <c r="AD3" s="822"/>
      <c r="AE3" s="823" t="s">
        <v>20</v>
      </c>
      <c r="AF3" s="824"/>
      <c r="AG3" s="825" t="s">
        <v>21</v>
      </c>
      <c r="AH3" s="825"/>
      <c r="AI3" s="826"/>
      <c r="AJ3" s="7"/>
      <c r="AK3" s="7"/>
      <c r="AL3" s="7"/>
      <c r="AM3" s="7"/>
      <c r="AN3" s="7"/>
      <c r="AO3" s="7"/>
      <c r="AP3" s="7"/>
      <c r="AQ3" s="7"/>
      <c r="AR3" s="3"/>
      <c r="AT3" s="14">
        <v>1</v>
      </c>
      <c r="AU3" s="1245" t="s">
        <v>644</v>
      </c>
      <c r="AV3" s="1245" t="s">
        <v>643</v>
      </c>
      <c r="AW3" s="147">
        <f>VLOOKUP(AV3,Initial!G:K,5,FALSE)</f>
        <v>1925.0434236172341</v>
      </c>
      <c r="AX3" s="16">
        <f t="shared" ref="AX3:AX12" si="0">VLOOKUP(AU3,AT$79:AU$174,2,FALSE)</f>
        <v>1949.5189145317133</v>
      </c>
      <c r="AY3" s="17">
        <f t="shared" ref="AY3:AY12" si="1">IF(ISNA(VLOOKUP(AU3,AT$182:AU$234,2,FALSE)),AX3,VLOOKUP(AU3,AT$182:AU$234,2,FALSE))</f>
        <v>1963.0509671228099</v>
      </c>
    </row>
    <row r="4" spans="1:53" ht="24" customHeight="1" thickBot="1" x14ac:dyDescent="0.25">
      <c r="A4" s="803" t="s">
        <v>24</v>
      </c>
      <c r="B4" s="804"/>
      <c r="C4" s="804"/>
      <c r="D4" s="805"/>
      <c r="E4" s="806" t="s">
        <v>25</v>
      </c>
      <c r="F4" s="807"/>
      <c r="G4" s="807"/>
      <c r="H4" s="807"/>
      <c r="I4" s="807"/>
      <c r="J4" s="807"/>
      <c r="K4" s="807"/>
      <c r="L4" s="807"/>
      <c r="M4" s="808"/>
      <c r="N4" s="803" t="s">
        <v>26</v>
      </c>
      <c r="O4" s="804"/>
      <c r="P4" s="804"/>
      <c r="Q4" s="805"/>
      <c r="R4" s="809"/>
      <c r="S4" s="810"/>
      <c r="T4" s="810"/>
      <c r="U4" s="810"/>
      <c r="V4" s="810"/>
      <c r="W4" s="810"/>
      <c r="X4" s="810"/>
      <c r="Y4" s="810"/>
      <c r="Z4" s="810"/>
      <c r="AA4" s="811"/>
      <c r="AB4" s="803" t="s">
        <v>27</v>
      </c>
      <c r="AC4" s="804"/>
      <c r="AD4" s="804"/>
      <c r="AE4" s="805"/>
      <c r="AF4" s="809"/>
      <c r="AG4" s="810"/>
      <c r="AH4" s="810"/>
      <c r="AI4" s="811"/>
      <c r="AJ4" s="7"/>
      <c r="AK4" s="7"/>
      <c r="AL4" s="7"/>
      <c r="AM4" s="7"/>
      <c r="AN4" s="7"/>
      <c r="AO4" s="7"/>
      <c r="AP4" s="7"/>
      <c r="AQ4" s="7"/>
      <c r="AR4" s="3"/>
      <c r="AT4" s="18">
        <v>2</v>
      </c>
      <c r="AU4" s="1245" t="s">
        <v>638</v>
      </c>
      <c r="AV4" s="1245" t="s">
        <v>637</v>
      </c>
      <c r="AW4" s="147">
        <f>VLOOKUP(AV4,Initial!G:K,5,FALSE)</f>
        <v>1907.7374614602916</v>
      </c>
      <c r="AX4" s="19">
        <f t="shared" si="0"/>
        <v>1912.3556491393326</v>
      </c>
      <c r="AY4" s="20">
        <f t="shared" si="1"/>
        <v>1914.8405147891358</v>
      </c>
    </row>
    <row r="5" spans="1:53" ht="15.75" thickBot="1" x14ac:dyDescent="0.25">
      <c r="A5" s="1" t="s">
        <v>30</v>
      </c>
      <c r="B5" s="800" t="s">
        <v>30</v>
      </c>
      <c r="C5" s="801"/>
      <c r="D5" s="801"/>
      <c r="E5" s="801"/>
      <c r="F5" s="801"/>
      <c r="G5" s="801"/>
      <c r="H5" s="801"/>
      <c r="I5" s="801"/>
      <c r="J5" s="801"/>
      <c r="K5" s="802" t="s">
        <v>30</v>
      </c>
      <c r="L5" s="802"/>
      <c r="M5" s="802"/>
      <c r="N5" s="802"/>
      <c r="O5" s="802"/>
      <c r="P5" s="802"/>
      <c r="Q5" s="802"/>
      <c r="R5" s="802"/>
      <c r="S5" s="802"/>
      <c r="T5" s="802"/>
      <c r="U5" s="802"/>
      <c r="V5" s="802"/>
      <c r="W5" s="802"/>
      <c r="X5" s="802"/>
      <c r="Y5" s="802"/>
      <c r="Z5" s="802"/>
      <c r="AA5" s="802"/>
      <c r="AB5" s="802"/>
      <c r="AC5" s="802"/>
      <c r="AD5" s="802"/>
      <c r="AE5" s="802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3"/>
      <c r="AT5" s="18">
        <v>3</v>
      </c>
      <c r="AU5" s="1245" t="s">
        <v>614</v>
      </c>
      <c r="AV5" s="1245" t="s">
        <v>613</v>
      </c>
      <c r="AW5" s="147">
        <f>VLOOKUP(AV5,Initial!G:K,5,FALSE)</f>
        <v>1899.6480727597882</v>
      </c>
      <c r="AX5" s="19">
        <f t="shared" si="0"/>
        <v>1859.449024617413</v>
      </c>
      <c r="AY5" s="20">
        <f t="shared" si="1"/>
        <v>1850.7380858738534</v>
      </c>
    </row>
    <row r="6" spans="1:53" ht="24" customHeight="1" thickBot="1" x14ac:dyDescent="0.25">
      <c r="A6" s="21" t="s">
        <v>33</v>
      </c>
      <c r="B6" s="22" t="s">
        <v>34</v>
      </c>
      <c r="C6" s="775" t="s">
        <v>35</v>
      </c>
      <c r="D6" s="776"/>
      <c r="E6" s="776"/>
      <c r="F6" s="776"/>
      <c r="G6" s="776"/>
      <c r="H6" s="777"/>
      <c r="I6" s="778">
        <v>1</v>
      </c>
      <c r="J6" s="779"/>
      <c r="K6" s="780" t="str">
        <f>"Pool "&amp;B6&amp;" - Round 1 - Court "&amp;I6</f>
        <v>Pool A - Round 1 - Court 1</v>
      </c>
      <c r="L6" s="781"/>
      <c r="M6" s="781"/>
      <c r="N6" s="781"/>
      <c r="O6" s="781"/>
      <c r="P6" s="781"/>
      <c r="Q6" s="781"/>
      <c r="R6" s="781"/>
      <c r="S6" s="781"/>
      <c r="T6" s="781"/>
      <c r="U6" s="781"/>
      <c r="V6" s="781"/>
      <c r="W6" s="781"/>
      <c r="X6" s="781"/>
      <c r="Y6" s="781"/>
      <c r="Z6" s="781"/>
      <c r="AA6" s="781"/>
      <c r="AB6" s="781"/>
      <c r="AC6" s="781"/>
      <c r="AD6" s="781"/>
      <c r="AE6" s="781"/>
      <c r="AF6" s="781"/>
      <c r="AG6" s="781"/>
      <c r="AH6" s="781"/>
      <c r="AI6" s="782"/>
      <c r="AJ6" s="7"/>
      <c r="AK6" s="7"/>
      <c r="AL6" s="7"/>
      <c r="AM6" s="7"/>
      <c r="AN6" s="7"/>
      <c r="AO6" s="7"/>
      <c r="AP6" s="7"/>
      <c r="AQ6" s="7"/>
      <c r="AT6" s="18">
        <v>4</v>
      </c>
      <c r="AU6" s="1245" t="s">
        <v>654</v>
      </c>
      <c r="AV6" s="1245" t="s">
        <v>653</v>
      </c>
      <c r="AW6" s="147">
        <f>VLOOKUP(AV6,Initial!G:K,5,FALSE)</f>
        <v>1800</v>
      </c>
      <c r="AX6" s="19">
        <f t="shared" si="0"/>
        <v>1908.6489005204339</v>
      </c>
      <c r="AY6" s="20">
        <f t="shared" si="1"/>
        <v>1900.734248323354</v>
      </c>
    </row>
    <row r="7" spans="1:53" ht="27" customHeight="1" thickBot="1" x14ac:dyDescent="0.25">
      <c r="A7" s="23" t="s">
        <v>38</v>
      </c>
      <c r="B7" s="783" t="s">
        <v>10</v>
      </c>
      <c r="C7" s="784"/>
      <c r="D7" s="784"/>
      <c r="E7" s="784"/>
      <c r="F7" s="784"/>
      <c r="G7" s="784"/>
      <c r="H7" s="784"/>
      <c r="I7" s="784"/>
      <c r="J7" s="784"/>
      <c r="K7" s="784"/>
      <c r="L7" s="783" t="str">
        <f>IF($AK10=0,"Games Won","Matches Won")</f>
        <v>Games Won</v>
      </c>
      <c r="M7" s="784"/>
      <c r="N7" s="784"/>
      <c r="O7" s="784"/>
      <c r="P7" s="784"/>
      <c r="Q7" s="785"/>
      <c r="R7" s="783" t="str">
        <f>IF($AK10=0,"Games Lost","Matches Lost")</f>
        <v>Games Lost</v>
      </c>
      <c r="S7" s="786"/>
      <c r="T7" s="786"/>
      <c r="U7" s="786"/>
      <c r="V7" s="787"/>
      <c r="W7" s="788" t="s">
        <v>39</v>
      </c>
      <c r="X7" s="789"/>
      <c r="Y7" s="790"/>
      <c r="Z7" s="788" t="s">
        <v>40</v>
      </c>
      <c r="AA7" s="789"/>
      <c r="AB7" s="790"/>
      <c r="AC7" s="791" t="s">
        <v>41</v>
      </c>
      <c r="AD7" s="792"/>
      <c r="AE7" s="793"/>
      <c r="AF7" s="24" t="s">
        <v>42</v>
      </c>
      <c r="AG7" s="25" t="s">
        <v>9</v>
      </c>
      <c r="AH7" s="773" t="s">
        <v>43</v>
      </c>
      <c r="AI7" s="774"/>
      <c r="AJ7" s="26"/>
      <c r="AK7" s="27">
        <v>2</v>
      </c>
      <c r="AL7" s="28" t="s">
        <v>44</v>
      </c>
      <c r="AM7" s="28"/>
      <c r="AN7" s="28"/>
      <c r="AO7" s="28"/>
      <c r="AP7" s="28"/>
      <c r="AQ7" s="28"/>
      <c r="AR7" s="29"/>
      <c r="AT7" s="18">
        <v>5</v>
      </c>
      <c r="AU7" s="1245" t="s">
        <v>625</v>
      </c>
      <c r="AV7" s="1245" t="s">
        <v>624</v>
      </c>
      <c r="AW7" s="147">
        <f>VLOOKUP(AV7,Initial!G:K,5,FALSE)</f>
        <v>1880.3757698226127</v>
      </c>
      <c r="AX7" s="19">
        <f t="shared" si="0"/>
        <v>1839.3904604185559</v>
      </c>
      <c r="AY7" s="20">
        <f t="shared" si="1"/>
        <v>1830.5436089119114</v>
      </c>
    </row>
    <row r="8" spans="1:53" ht="18.75" customHeight="1" thickBot="1" x14ac:dyDescent="0.25">
      <c r="A8" s="742" t="str">
        <f>IF($AK9&gt;0,"1","")</f>
        <v>1</v>
      </c>
      <c r="B8" s="770" t="s">
        <v>10</v>
      </c>
      <c r="C8" s="771"/>
      <c r="D8" s="772"/>
      <c r="E8" s="746" t="str">
        <f>AU3</f>
        <v>Foothills 14 Holland</v>
      </c>
      <c r="F8" s="747"/>
      <c r="G8" s="747"/>
      <c r="H8" s="747"/>
      <c r="I8" s="747"/>
      <c r="J8" s="747"/>
      <c r="K8" s="748"/>
      <c r="L8" s="749">
        <f>IF($AK10=0,AF64,AF46)</f>
        <v>6</v>
      </c>
      <c r="M8" s="750"/>
      <c r="N8" s="750"/>
      <c r="O8" s="750"/>
      <c r="P8" s="750"/>
      <c r="Q8" s="785"/>
      <c r="R8" s="749">
        <f>IF($AK10=0,AG64,AG46)</f>
        <v>2</v>
      </c>
      <c r="S8" s="750"/>
      <c r="T8" s="750"/>
      <c r="U8" s="750"/>
      <c r="V8" s="750"/>
      <c r="W8" s="749">
        <f>AQ24</f>
        <v>20</v>
      </c>
      <c r="X8" s="750"/>
      <c r="Y8" s="750"/>
      <c r="Z8" s="722">
        <f>IF(AF58&gt;0,(AQ24/AF58),0)</f>
        <v>0.1</v>
      </c>
      <c r="AA8" s="723"/>
      <c r="AB8" s="723"/>
      <c r="AC8" s="726">
        <f>IF(AF72=0,0,(AF64/AF72))</f>
        <v>0.75</v>
      </c>
      <c r="AD8" s="727"/>
      <c r="AE8" s="728"/>
      <c r="AF8" s="732">
        <v>2</v>
      </c>
      <c r="AG8" s="732">
        <v>1</v>
      </c>
      <c r="AH8" s="734"/>
      <c r="AI8" s="735"/>
      <c r="AJ8" s="26"/>
      <c r="AK8" s="27">
        <v>10</v>
      </c>
      <c r="AL8" s="28" t="s">
        <v>47</v>
      </c>
      <c r="AM8" s="28"/>
      <c r="AN8" s="28"/>
      <c r="AO8" s="28"/>
      <c r="AP8" s="28"/>
      <c r="AQ8" s="28"/>
      <c r="AR8" s="29"/>
      <c r="AT8" s="18">
        <v>6</v>
      </c>
      <c r="AU8" s="1245" t="s">
        <v>678</v>
      </c>
      <c r="AV8" s="1245" t="s">
        <v>677</v>
      </c>
      <c r="AW8" s="147">
        <f>VLOOKUP(AV8,Initial!G:K,5,FALSE)</f>
        <v>1871.6837848905743</v>
      </c>
      <c r="AX8" s="19">
        <f t="shared" si="0"/>
        <v>1953.9605143302995</v>
      </c>
      <c r="AY8" s="20">
        <f t="shared" si="1"/>
        <v>1945.8582482864797</v>
      </c>
    </row>
    <row r="9" spans="1:53" ht="18.75" customHeight="1" thickBot="1" x14ac:dyDescent="0.25">
      <c r="A9" s="743"/>
      <c r="B9" s="767" t="s">
        <v>11</v>
      </c>
      <c r="C9" s="768"/>
      <c r="D9" s="769"/>
      <c r="E9" s="763" t="str">
        <f>AV3</f>
        <v>fj4footh1pm</v>
      </c>
      <c r="F9" s="764"/>
      <c r="G9" s="764"/>
      <c r="H9" s="764"/>
      <c r="I9" s="764"/>
      <c r="J9" s="764"/>
      <c r="K9" s="764"/>
      <c r="L9" s="765"/>
      <c r="M9" s="766"/>
      <c r="N9" s="766"/>
      <c r="O9" s="766"/>
      <c r="P9" s="766"/>
      <c r="Q9" s="785"/>
      <c r="R9" s="765"/>
      <c r="S9" s="766"/>
      <c r="T9" s="766"/>
      <c r="U9" s="766"/>
      <c r="V9" s="766"/>
      <c r="W9" s="765"/>
      <c r="X9" s="766"/>
      <c r="Y9" s="766"/>
      <c r="Z9" s="753"/>
      <c r="AA9" s="754"/>
      <c r="AB9" s="754"/>
      <c r="AC9" s="755"/>
      <c r="AD9" s="756"/>
      <c r="AE9" s="757"/>
      <c r="AF9" s="758"/>
      <c r="AG9" s="758"/>
      <c r="AH9" s="759"/>
      <c r="AI9" s="760"/>
      <c r="AJ9" s="26"/>
      <c r="AK9" s="27">
        <v>5</v>
      </c>
      <c r="AL9" s="28" t="s">
        <v>50</v>
      </c>
      <c r="AM9" s="26"/>
      <c r="AN9" s="26"/>
      <c r="AO9" s="26"/>
      <c r="AP9" s="26"/>
      <c r="AQ9" s="26"/>
      <c r="AR9" s="3"/>
      <c r="AT9" s="18">
        <v>7</v>
      </c>
      <c r="AU9" s="1245" t="s">
        <v>656</v>
      </c>
      <c r="AV9" s="1245" t="s">
        <v>655</v>
      </c>
      <c r="AW9" s="147">
        <f>VLOOKUP(AV9,Initial!G:K,5,FALSE)</f>
        <v>1800</v>
      </c>
      <c r="AX9" s="19">
        <f t="shared" si="0"/>
        <v>1822.1765099891388</v>
      </c>
      <c r="AY9" s="20">
        <f t="shared" si="1"/>
        <v>1814.5725518335212</v>
      </c>
    </row>
    <row r="10" spans="1:53" ht="18.75" customHeight="1" thickBot="1" x14ac:dyDescent="0.25">
      <c r="A10" s="742" t="str">
        <f>IF($AK9&gt;1,"2","")</f>
        <v>2</v>
      </c>
      <c r="B10" s="770" t="s">
        <v>10</v>
      </c>
      <c r="C10" s="771"/>
      <c r="D10" s="772"/>
      <c r="E10" s="746" t="str">
        <f>AU6</f>
        <v>Magnum Greenwood 14 Gold</v>
      </c>
      <c r="F10" s="747"/>
      <c r="G10" s="747"/>
      <c r="H10" s="747"/>
      <c r="I10" s="747"/>
      <c r="J10" s="747"/>
      <c r="K10" s="748"/>
      <c r="L10" s="749">
        <f>IF($AK10=0,AF65,AF47)</f>
        <v>7</v>
      </c>
      <c r="M10" s="750"/>
      <c r="N10" s="750"/>
      <c r="O10" s="750"/>
      <c r="P10" s="750"/>
      <c r="Q10" s="785"/>
      <c r="R10" s="749">
        <f>IF($AK10=0,AG65,AG47)</f>
        <v>1</v>
      </c>
      <c r="S10" s="750"/>
      <c r="T10" s="750"/>
      <c r="U10" s="750"/>
      <c r="V10" s="750"/>
      <c r="W10" s="749">
        <f>AQ25</f>
        <v>35</v>
      </c>
      <c r="X10" s="750"/>
      <c r="Y10" s="750"/>
      <c r="Z10" s="722">
        <f>IF(AF59&gt;0,(AQ25/AF59),0)</f>
        <v>0.17412935323383086</v>
      </c>
      <c r="AA10" s="723"/>
      <c r="AB10" s="723"/>
      <c r="AC10" s="726">
        <f>IF(AF73=0,0,(AF65/AF73))</f>
        <v>0.875</v>
      </c>
      <c r="AD10" s="727"/>
      <c r="AE10" s="728"/>
      <c r="AF10" s="732">
        <v>1</v>
      </c>
      <c r="AG10" s="732">
        <v>1</v>
      </c>
      <c r="AH10" s="734"/>
      <c r="AI10" s="735"/>
      <c r="AJ10" s="26"/>
      <c r="AK10" s="27">
        <v>0</v>
      </c>
      <c r="AL10" s="28" t="s">
        <v>53</v>
      </c>
      <c r="AM10" s="28"/>
      <c r="AN10" s="28"/>
      <c r="AO10" s="28"/>
      <c r="AP10" s="28"/>
      <c r="AQ10" s="28"/>
      <c r="AR10" s="29"/>
      <c r="AT10" s="18">
        <v>8</v>
      </c>
      <c r="AU10" s="1245" t="s">
        <v>658</v>
      </c>
      <c r="AV10" s="1245" t="s">
        <v>657</v>
      </c>
      <c r="AW10" s="147">
        <f>VLOOKUP(AV10,Initial!G:K,5,FALSE)</f>
        <v>1800</v>
      </c>
      <c r="AX10" s="19">
        <f t="shared" si="0"/>
        <v>1700.2368709686421</v>
      </c>
      <c r="AY10" s="20">
        <f t="shared" si="1"/>
        <v>1700.2368709686421</v>
      </c>
    </row>
    <row r="11" spans="1:53" ht="18.75" customHeight="1" thickBot="1" x14ac:dyDescent="0.25">
      <c r="A11" s="743"/>
      <c r="B11" s="761" t="s">
        <v>11</v>
      </c>
      <c r="C11" s="762"/>
      <c r="D11" s="762"/>
      <c r="E11" s="763" t="str">
        <f>AV6</f>
        <v>fj4magnm4pm</v>
      </c>
      <c r="F11" s="764"/>
      <c r="G11" s="764"/>
      <c r="H11" s="764"/>
      <c r="I11" s="764"/>
      <c r="J11" s="764"/>
      <c r="K11" s="764"/>
      <c r="L11" s="765"/>
      <c r="M11" s="766"/>
      <c r="N11" s="766"/>
      <c r="O11" s="766"/>
      <c r="P11" s="766"/>
      <c r="Q11" s="785"/>
      <c r="R11" s="765"/>
      <c r="S11" s="766"/>
      <c r="T11" s="766"/>
      <c r="U11" s="766"/>
      <c r="V11" s="766"/>
      <c r="W11" s="765"/>
      <c r="X11" s="766"/>
      <c r="Y11" s="766"/>
      <c r="Z11" s="753"/>
      <c r="AA11" s="754"/>
      <c r="AB11" s="754"/>
      <c r="AC11" s="755"/>
      <c r="AD11" s="756"/>
      <c r="AE11" s="757"/>
      <c r="AF11" s="758"/>
      <c r="AG11" s="758"/>
      <c r="AH11" s="759"/>
      <c r="AI11" s="760"/>
      <c r="AJ11" s="26"/>
      <c r="AK11" s="27">
        <v>1</v>
      </c>
      <c r="AL11" s="28" t="s">
        <v>56</v>
      </c>
      <c r="AM11" s="26"/>
      <c r="AN11" s="26"/>
      <c r="AO11" s="26"/>
      <c r="AP11" s="26"/>
      <c r="AQ11" s="26"/>
      <c r="AR11" s="3"/>
      <c r="AT11" s="18">
        <v>9</v>
      </c>
      <c r="AU11" s="1245" t="s">
        <v>423</v>
      </c>
      <c r="AV11" s="1245" t="s">
        <v>422</v>
      </c>
      <c r="AW11" s="147">
        <f>VLOOKUP(AV11,Initial!G:K,5,FALSE)</f>
        <v>1820.8676337248239</v>
      </c>
      <c r="AX11" s="19">
        <f t="shared" si="0"/>
        <v>1828.4916807253255</v>
      </c>
      <c r="AY11" s="20">
        <f t="shared" si="1"/>
        <v>1853.6534291311473</v>
      </c>
    </row>
    <row r="12" spans="1:53" ht="18.75" customHeight="1" thickBot="1" x14ac:dyDescent="0.25">
      <c r="A12" s="742" t="str">
        <f>IF($AK9&gt;2,"3","")</f>
        <v>3</v>
      </c>
      <c r="B12" s="744" t="s">
        <v>10</v>
      </c>
      <c r="C12" s="745"/>
      <c r="D12" s="745"/>
      <c r="E12" s="746" t="str">
        <f>AU7</f>
        <v>Chas Jrs 14 White</v>
      </c>
      <c r="F12" s="747"/>
      <c r="G12" s="747"/>
      <c r="H12" s="747"/>
      <c r="I12" s="747"/>
      <c r="J12" s="747"/>
      <c r="K12" s="748"/>
      <c r="L12" s="749">
        <f>IF($AK10=0,AF66,AF48)</f>
        <v>3</v>
      </c>
      <c r="M12" s="750"/>
      <c r="N12" s="750"/>
      <c r="O12" s="750"/>
      <c r="P12" s="750"/>
      <c r="Q12" s="785"/>
      <c r="R12" s="749">
        <f>IF($AK10=0,AG66,AG48)</f>
        <v>5</v>
      </c>
      <c r="S12" s="750"/>
      <c r="T12" s="750"/>
      <c r="U12" s="750"/>
      <c r="V12" s="750"/>
      <c r="W12" s="749">
        <f>AQ26</f>
        <v>-11</v>
      </c>
      <c r="X12" s="750"/>
      <c r="Y12" s="750"/>
      <c r="Z12" s="722">
        <f>IF(AF60&gt;0,(AQ26/AF60),0)</f>
        <v>-5.3658536585365853E-2</v>
      </c>
      <c r="AA12" s="723"/>
      <c r="AB12" s="723"/>
      <c r="AC12" s="726">
        <f>IF(AF74=0,0,(AF66/AF74))</f>
        <v>0.375</v>
      </c>
      <c r="AD12" s="727"/>
      <c r="AE12" s="728"/>
      <c r="AF12" s="732">
        <v>4</v>
      </c>
      <c r="AG12" s="732">
        <v>1</v>
      </c>
      <c r="AH12" s="734"/>
      <c r="AI12" s="735"/>
      <c r="AJ12" s="30"/>
      <c r="AK12" s="27">
        <v>8</v>
      </c>
      <c r="AL12" s="31" t="s">
        <v>59</v>
      </c>
      <c r="AM12" s="28"/>
      <c r="AN12" s="28"/>
      <c r="AO12" s="28"/>
      <c r="AP12" s="28"/>
      <c r="AQ12" s="28"/>
      <c r="AR12" s="29"/>
      <c r="AT12" s="32">
        <v>10</v>
      </c>
      <c r="AU12" s="1245" t="s">
        <v>692</v>
      </c>
      <c r="AV12" s="1245" t="s">
        <v>691</v>
      </c>
      <c r="AW12" s="147">
        <f>VLOOKUP(AV12,Initial!G:K,5,FALSE)</f>
        <v>1810.7634942276854</v>
      </c>
      <c r="AX12" s="33">
        <f t="shared" si="0"/>
        <v>1741.8911152621556</v>
      </c>
      <c r="AY12" s="34">
        <f t="shared" si="1"/>
        <v>1741.8911152621556</v>
      </c>
    </row>
    <row r="13" spans="1:53" ht="18.75" customHeight="1" thickBot="1" x14ac:dyDescent="0.25">
      <c r="A13" s="743"/>
      <c r="B13" s="761" t="s">
        <v>11</v>
      </c>
      <c r="C13" s="762"/>
      <c r="D13" s="762"/>
      <c r="E13" s="763" t="str">
        <f>AV7</f>
        <v>fj4charl3pm</v>
      </c>
      <c r="F13" s="764"/>
      <c r="G13" s="764"/>
      <c r="H13" s="764"/>
      <c r="I13" s="764"/>
      <c r="J13" s="764"/>
      <c r="K13" s="764"/>
      <c r="L13" s="765"/>
      <c r="M13" s="766"/>
      <c r="N13" s="766"/>
      <c r="O13" s="766"/>
      <c r="P13" s="766"/>
      <c r="Q13" s="785"/>
      <c r="R13" s="765"/>
      <c r="S13" s="766"/>
      <c r="T13" s="766"/>
      <c r="U13" s="766"/>
      <c r="V13" s="766"/>
      <c r="W13" s="765"/>
      <c r="X13" s="766"/>
      <c r="Y13" s="766"/>
      <c r="Z13" s="753"/>
      <c r="AA13" s="754"/>
      <c r="AB13" s="754"/>
      <c r="AC13" s="755"/>
      <c r="AD13" s="756"/>
      <c r="AE13" s="757"/>
      <c r="AF13" s="758"/>
      <c r="AG13" s="758"/>
      <c r="AH13" s="759"/>
      <c r="AI13" s="760"/>
      <c r="AJ13" s="30"/>
      <c r="AK13" s="35"/>
      <c r="AL13" s="36"/>
      <c r="AM13" s="36"/>
      <c r="AN13" s="36"/>
      <c r="AO13" s="36"/>
      <c r="AP13" s="36"/>
      <c r="AQ13" s="26"/>
      <c r="AR13" s="3"/>
      <c r="AT13" s="794" t="s">
        <v>62</v>
      </c>
      <c r="AU13" s="795"/>
      <c r="AV13" s="795"/>
      <c r="AW13" s="795"/>
      <c r="AX13" s="795"/>
      <c r="AY13" s="796"/>
    </row>
    <row r="14" spans="1:53" ht="18.75" customHeight="1" thickBot="1" x14ac:dyDescent="0.25">
      <c r="A14" s="742" t="str">
        <f>IF($AK9&gt;3,"4","")</f>
        <v>4</v>
      </c>
      <c r="B14" s="744" t="s">
        <v>10</v>
      </c>
      <c r="C14" s="745"/>
      <c r="D14" s="745"/>
      <c r="E14" s="746" t="str">
        <f>AU10</f>
        <v>Magnum Aiken 14 Yellow</v>
      </c>
      <c r="F14" s="747"/>
      <c r="G14" s="747"/>
      <c r="H14" s="747"/>
      <c r="I14" s="747"/>
      <c r="J14" s="747"/>
      <c r="K14" s="748"/>
      <c r="L14" s="749">
        <f>IF($AK10=0,AF67,AF49)</f>
        <v>0</v>
      </c>
      <c r="M14" s="750"/>
      <c r="N14" s="750"/>
      <c r="O14" s="750"/>
      <c r="P14" s="750"/>
      <c r="Q14" s="785"/>
      <c r="R14" s="749">
        <f>IF($AK10=0,AG67,AG49)</f>
        <v>8</v>
      </c>
      <c r="S14" s="750"/>
      <c r="T14" s="750"/>
      <c r="U14" s="750"/>
      <c r="V14" s="750"/>
      <c r="W14" s="749">
        <f>AQ27</f>
        <v>-24</v>
      </c>
      <c r="X14" s="750"/>
      <c r="Y14" s="750"/>
      <c r="Z14" s="722">
        <f>IF(AF61&gt;0,(AQ27/AF61),0)</f>
        <v>-0.11881188118811881</v>
      </c>
      <c r="AA14" s="723"/>
      <c r="AB14" s="723"/>
      <c r="AC14" s="726">
        <f>IF(AF75=0,0,(AF67/AF75))</f>
        <v>0</v>
      </c>
      <c r="AD14" s="727"/>
      <c r="AE14" s="728"/>
      <c r="AF14" s="732">
        <v>5</v>
      </c>
      <c r="AG14" s="732">
        <v>1</v>
      </c>
      <c r="AH14" s="734"/>
      <c r="AI14" s="735"/>
      <c r="AJ14" s="7"/>
      <c r="AK14" s="36"/>
      <c r="AL14" s="36"/>
      <c r="AM14" s="36"/>
      <c r="AN14" s="36"/>
      <c r="AO14" s="36"/>
      <c r="AP14" s="36"/>
      <c r="AQ14" s="28"/>
      <c r="AR14" s="29"/>
      <c r="AT14" s="797"/>
      <c r="AU14" s="798"/>
      <c r="AV14" s="798"/>
      <c r="AW14" s="798"/>
      <c r="AX14" s="798"/>
      <c r="AY14" s="799"/>
    </row>
    <row r="15" spans="1:53" ht="18.75" customHeight="1" thickBot="1" x14ac:dyDescent="0.25">
      <c r="A15" s="743"/>
      <c r="B15" s="761" t="s">
        <v>11</v>
      </c>
      <c r="C15" s="762"/>
      <c r="D15" s="762"/>
      <c r="E15" s="763" t="str">
        <f>AV10</f>
        <v>fj4magnm6pm</v>
      </c>
      <c r="F15" s="764"/>
      <c r="G15" s="764"/>
      <c r="H15" s="764"/>
      <c r="I15" s="764"/>
      <c r="J15" s="764"/>
      <c r="K15" s="764"/>
      <c r="L15" s="765"/>
      <c r="M15" s="766"/>
      <c r="N15" s="766"/>
      <c r="O15" s="766"/>
      <c r="P15" s="766"/>
      <c r="Q15" s="785"/>
      <c r="R15" s="765"/>
      <c r="S15" s="766"/>
      <c r="T15" s="766"/>
      <c r="U15" s="766"/>
      <c r="V15" s="766"/>
      <c r="W15" s="765"/>
      <c r="X15" s="766"/>
      <c r="Y15" s="766"/>
      <c r="Z15" s="753"/>
      <c r="AA15" s="754"/>
      <c r="AB15" s="754"/>
      <c r="AC15" s="755"/>
      <c r="AD15" s="756"/>
      <c r="AE15" s="757"/>
      <c r="AF15" s="758"/>
      <c r="AG15" s="758"/>
      <c r="AH15" s="759"/>
      <c r="AI15" s="760"/>
      <c r="AJ15" s="7"/>
      <c r="AK15" s="36"/>
      <c r="AL15" s="36"/>
      <c r="AM15" s="36"/>
      <c r="AN15" s="36"/>
      <c r="AO15" s="36"/>
      <c r="AP15" s="36"/>
      <c r="AQ15" s="7"/>
      <c r="AR15" s="3"/>
      <c r="AW15" s="96"/>
      <c r="AX15" s="96"/>
      <c r="AY15" s="96"/>
    </row>
    <row r="16" spans="1:53" ht="18.75" customHeight="1" x14ac:dyDescent="0.2">
      <c r="A16" s="742" t="str">
        <f>IF($AK9&gt;4,"5","")</f>
        <v>5</v>
      </c>
      <c r="B16" s="744" t="s">
        <v>10</v>
      </c>
      <c r="C16" s="745"/>
      <c r="D16" s="745"/>
      <c r="E16" s="746" t="str">
        <f>AU11</f>
        <v>Carolina Express</v>
      </c>
      <c r="F16" s="747"/>
      <c r="G16" s="747"/>
      <c r="H16" s="747"/>
      <c r="I16" s="747"/>
      <c r="J16" s="747"/>
      <c r="K16" s="748"/>
      <c r="L16" s="749">
        <f>IF($AK10=0,AF68,AF50)</f>
        <v>4</v>
      </c>
      <c r="M16" s="750"/>
      <c r="N16" s="750"/>
      <c r="O16" s="750"/>
      <c r="P16" s="750"/>
      <c r="Q16" s="785"/>
      <c r="R16" s="749">
        <f>IF($AK10=0,AG68,AG50)</f>
        <v>4</v>
      </c>
      <c r="S16" s="750"/>
      <c r="T16" s="750"/>
      <c r="U16" s="750"/>
      <c r="V16" s="750"/>
      <c r="W16" s="749">
        <f>AQ28</f>
        <v>-20</v>
      </c>
      <c r="X16" s="750"/>
      <c r="Y16" s="750"/>
      <c r="Z16" s="722">
        <f>IF(AF62&gt;0,(AQ28/AF62),0)</f>
        <v>-9.9009900990099015E-2</v>
      </c>
      <c r="AA16" s="723"/>
      <c r="AB16" s="723"/>
      <c r="AC16" s="726">
        <f>IF(AF76=0,0,(AF68/AF76))</f>
        <v>0.5</v>
      </c>
      <c r="AD16" s="727"/>
      <c r="AE16" s="728"/>
      <c r="AF16" s="732">
        <v>3</v>
      </c>
      <c r="AG16" s="732">
        <v>1</v>
      </c>
      <c r="AH16" s="734"/>
      <c r="AI16" s="735"/>
      <c r="AJ16" s="7"/>
      <c r="AK16" s="36"/>
      <c r="AL16" s="36"/>
      <c r="AM16" s="36"/>
      <c r="AN16" s="36"/>
      <c r="AO16" s="36"/>
      <c r="AP16" s="36"/>
      <c r="AQ16" s="7"/>
      <c r="AR16" s="3"/>
      <c r="AT16" s="38"/>
      <c r="AU16" s="96"/>
      <c r="AV16" s="96"/>
      <c r="AW16" s="96"/>
      <c r="AX16" s="96"/>
      <c r="AY16" s="96"/>
    </row>
    <row r="17" spans="1:51" ht="18.75" customHeight="1" thickBot="1" x14ac:dyDescent="0.25">
      <c r="A17" s="743"/>
      <c r="B17" s="738" t="s">
        <v>11</v>
      </c>
      <c r="C17" s="739"/>
      <c r="D17" s="739"/>
      <c r="E17" s="740" t="str">
        <f>AV11</f>
        <v>fj3196891pm</v>
      </c>
      <c r="F17" s="741"/>
      <c r="G17" s="741"/>
      <c r="H17" s="741"/>
      <c r="I17" s="741"/>
      <c r="J17" s="741"/>
      <c r="K17" s="741"/>
      <c r="L17" s="751"/>
      <c r="M17" s="752"/>
      <c r="N17" s="752"/>
      <c r="O17" s="752"/>
      <c r="P17" s="752"/>
      <c r="Q17" s="785"/>
      <c r="R17" s="751"/>
      <c r="S17" s="752"/>
      <c r="T17" s="752"/>
      <c r="U17" s="752"/>
      <c r="V17" s="752"/>
      <c r="W17" s="751"/>
      <c r="X17" s="752"/>
      <c r="Y17" s="752"/>
      <c r="Z17" s="724"/>
      <c r="AA17" s="725"/>
      <c r="AB17" s="725"/>
      <c r="AC17" s="729"/>
      <c r="AD17" s="730"/>
      <c r="AE17" s="731"/>
      <c r="AF17" s="733"/>
      <c r="AG17" s="733"/>
      <c r="AH17" s="736"/>
      <c r="AI17" s="737"/>
      <c r="AJ17" s="7"/>
      <c r="AK17" s="36"/>
      <c r="AL17" s="36"/>
      <c r="AM17" s="36"/>
      <c r="AN17" s="36"/>
      <c r="AO17" s="36"/>
      <c r="AP17" s="36"/>
      <c r="AQ17" s="7"/>
      <c r="AR17" s="3"/>
      <c r="AT17" s="38"/>
      <c r="AU17" s="96"/>
      <c r="AV17" s="96"/>
      <c r="AW17" s="96"/>
      <c r="AX17" s="96"/>
      <c r="AY17" s="96"/>
    </row>
    <row r="18" spans="1:51" ht="21" customHeight="1" thickTop="1" thickBot="1" x14ac:dyDescent="0.25">
      <c r="A18" s="39"/>
      <c r="B18" s="719" t="s">
        <v>63</v>
      </c>
      <c r="C18" s="720"/>
      <c r="D18" s="720"/>
      <c r="E18" s="720"/>
      <c r="F18" s="720"/>
      <c r="G18" s="720"/>
      <c r="H18" s="720"/>
      <c r="I18" s="720"/>
      <c r="J18" s="720"/>
      <c r="K18" s="720"/>
      <c r="L18" s="720"/>
      <c r="M18" s="720"/>
      <c r="N18" s="720"/>
      <c r="O18" s="720"/>
      <c r="P18" s="720"/>
      <c r="Q18" s="720"/>
      <c r="R18" s="720"/>
      <c r="S18" s="720"/>
      <c r="T18" s="720"/>
      <c r="U18" s="720"/>
      <c r="V18" s="720"/>
      <c r="W18" s="720"/>
      <c r="X18" s="720"/>
      <c r="Y18" s="720"/>
      <c r="Z18" s="720"/>
      <c r="AA18" s="720"/>
      <c r="AB18" s="720"/>
      <c r="AC18" s="720"/>
      <c r="AD18" s="720"/>
      <c r="AE18" s="720"/>
      <c r="AF18" s="720"/>
      <c r="AG18" s="720"/>
      <c r="AH18" s="720"/>
      <c r="AI18" s="721"/>
      <c r="AJ18" s="7"/>
      <c r="AK18" s="36"/>
      <c r="AL18" s="36"/>
      <c r="AM18" s="36"/>
      <c r="AN18" s="36"/>
      <c r="AO18" s="36"/>
      <c r="AP18" s="36"/>
      <c r="AQ18" s="7"/>
      <c r="AR18" s="3"/>
      <c r="AT18" s="38"/>
      <c r="AU18" s="96"/>
      <c r="AV18" s="96"/>
      <c r="AW18" s="4"/>
    </row>
    <row r="19" spans="1:51" ht="13.5" thickTop="1" x14ac:dyDescent="0.2">
      <c r="A19" s="4" t="s">
        <v>64</v>
      </c>
      <c r="B19" s="708">
        <v>0.35416666666666669</v>
      </c>
      <c r="C19" s="709"/>
      <c r="D19" s="710"/>
      <c r="E19" s="708">
        <v>0.38541666666666669</v>
      </c>
      <c r="F19" s="709"/>
      <c r="G19" s="710"/>
      <c r="H19" s="708">
        <v>0.41666666666666669</v>
      </c>
      <c r="I19" s="709"/>
      <c r="J19" s="710"/>
      <c r="K19" s="708">
        <v>0.44791666666666669</v>
      </c>
      <c r="L19" s="709"/>
      <c r="M19" s="710"/>
      <c r="N19" s="708">
        <v>0.47916666666666669</v>
      </c>
      <c r="O19" s="709"/>
      <c r="P19" s="710"/>
      <c r="Q19" s="708">
        <v>0.51041666666666663</v>
      </c>
      <c r="R19" s="709"/>
      <c r="S19" s="710"/>
      <c r="T19" s="708">
        <v>4.1666666666666664E-2</v>
      </c>
      <c r="U19" s="709"/>
      <c r="V19" s="710"/>
      <c r="W19" s="708">
        <v>7.2916666666666671E-2</v>
      </c>
      <c r="X19" s="709"/>
      <c r="Y19" s="710"/>
      <c r="Z19" s="708">
        <v>0.10416666666666667</v>
      </c>
      <c r="AA19" s="709"/>
      <c r="AB19" s="710"/>
      <c r="AC19" s="708">
        <v>0.13541666666666666</v>
      </c>
      <c r="AD19" s="709"/>
      <c r="AE19" s="710"/>
      <c r="AF19" s="711" t="s">
        <v>65</v>
      </c>
      <c r="AG19" s="712"/>
      <c r="AH19" s="712"/>
      <c r="AI19" s="712"/>
      <c r="AJ19" s="713"/>
      <c r="AK19" s="713"/>
      <c r="AL19" s="713"/>
      <c r="AM19" s="713"/>
      <c r="AN19" s="713"/>
      <c r="AO19" s="713"/>
      <c r="AP19" s="713"/>
      <c r="AQ19" s="714"/>
      <c r="AT19" s="38"/>
      <c r="AU19" s="96"/>
      <c r="AV19" s="96"/>
      <c r="AW19" s="4"/>
    </row>
    <row r="20" spans="1:51" x14ac:dyDescent="0.2">
      <c r="A20" s="40" t="s">
        <v>66</v>
      </c>
      <c r="B20" s="705">
        <v>0.35069444444444442</v>
      </c>
      <c r="C20" s="706"/>
      <c r="D20" s="707"/>
      <c r="E20" s="705">
        <v>0.38541666666666669</v>
      </c>
      <c r="F20" s="706"/>
      <c r="G20" s="707"/>
      <c r="H20" s="705">
        <v>0.42708333333333331</v>
      </c>
      <c r="I20" s="706"/>
      <c r="J20" s="707"/>
      <c r="K20" s="705">
        <v>0.46527777777777773</v>
      </c>
      <c r="L20" s="706"/>
      <c r="M20" s="707"/>
      <c r="N20" s="705">
        <v>0.49722222222222223</v>
      </c>
      <c r="O20" s="706"/>
      <c r="P20" s="707"/>
      <c r="Q20" s="705">
        <v>0.53819444444444442</v>
      </c>
      <c r="R20" s="706"/>
      <c r="S20" s="707"/>
      <c r="T20" s="705">
        <v>5.6944444444444443E-2</v>
      </c>
      <c r="U20" s="706"/>
      <c r="V20" s="707"/>
      <c r="W20" s="705">
        <v>8.6805555555555566E-2</v>
      </c>
      <c r="X20" s="706"/>
      <c r="Y20" s="707"/>
      <c r="Z20" s="705">
        <v>0.12847222222222224</v>
      </c>
      <c r="AA20" s="706"/>
      <c r="AB20" s="707"/>
      <c r="AC20" s="705">
        <v>0.14722222222222223</v>
      </c>
      <c r="AD20" s="706"/>
      <c r="AE20" s="707"/>
      <c r="AF20" s="711"/>
      <c r="AG20" s="712"/>
      <c r="AH20" s="712"/>
      <c r="AI20" s="712"/>
      <c r="AJ20" s="712"/>
      <c r="AK20" s="712"/>
      <c r="AL20" s="712"/>
      <c r="AM20" s="712"/>
      <c r="AN20" s="712"/>
      <c r="AO20" s="712"/>
      <c r="AP20" s="712"/>
      <c r="AQ20" s="715"/>
      <c r="AT20" s="38"/>
      <c r="AU20" s="96"/>
      <c r="AV20" s="96"/>
      <c r="AW20" s="4"/>
    </row>
    <row r="21" spans="1:51" x14ac:dyDescent="0.2">
      <c r="A21" s="40" t="s">
        <v>67</v>
      </c>
      <c r="B21" s="705"/>
      <c r="C21" s="706"/>
      <c r="D21" s="707"/>
      <c r="E21" s="705"/>
      <c r="F21" s="706"/>
      <c r="G21" s="707"/>
      <c r="H21" s="705"/>
      <c r="I21" s="706"/>
      <c r="J21" s="707"/>
      <c r="K21" s="705"/>
      <c r="L21" s="706"/>
      <c r="M21" s="707"/>
      <c r="N21" s="705"/>
      <c r="O21" s="706"/>
      <c r="P21" s="707"/>
      <c r="Q21" s="705"/>
      <c r="R21" s="706"/>
      <c r="S21" s="707"/>
      <c r="T21" s="705"/>
      <c r="U21" s="706"/>
      <c r="V21" s="707"/>
      <c r="W21" s="705"/>
      <c r="X21" s="706"/>
      <c r="Y21" s="707"/>
      <c r="Z21" s="705"/>
      <c r="AA21" s="706"/>
      <c r="AB21" s="707"/>
      <c r="AC21" s="705"/>
      <c r="AD21" s="706"/>
      <c r="AE21" s="707"/>
      <c r="AF21" s="711"/>
      <c r="AG21" s="712"/>
      <c r="AH21" s="712"/>
      <c r="AI21" s="712"/>
      <c r="AJ21" s="712"/>
      <c r="AK21" s="712"/>
      <c r="AL21" s="712"/>
      <c r="AM21" s="712"/>
      <c r="AN21" s="712"/>
      <c r="AO21" s="712"/>
      <c r="AP21" s="712"/>
      <c r="AQ21" s="715"/>
      <c r="AT21" s="6"/>
      <c r="AU21" s="6"/>
      <c r="AV21" s="6"/>
      <c r="AW21" s="4"/>
    </row>
    <row r="22" spans="1:51" ht="13.5" thickBot="1" x14ac:dyDescent="0.25">
      <c r="A22" s="7"/>
      <c r="B22" s="597" t="s">
        <v>68</v>
      </c>
      <c r="C22" s="598"/>
      <c r="D22" s="604"/>
      <c r="E22" s="597" t="str">
        <f>IF($AK8&gt;1,"Match 2","")</f>
        <v>Match 2</v>
      </c>
      <c r="F22" s="598"/>
      <c r="G22" s="604"/>
      <c r="H22" s="597" t="str">
        <f>IF($AK8&gt;2,"Match 3","")</f>
        <v>Match 3</v>
      </c>
      <c r="I22" s="598"/>
      <c r="J22" s="604"/>
      <c r="K22" s="597" t="str">
        <f>IF($AK8&gt;3,"Match 4","")</f>
        <v>Match 4</v>
      </c>
      <c r="L22" s="598"/>
      <c r="M22" s="604"/>
      <c r="N22" s="597" t="str">
        <f>IF($AK8&gt;4,"Match 5","")</f>
        <v>Match 5</v>
      </c>
      <c r="O22" s="598"/>
      <c r="P22" s="604"/>
      <c r="Q22" s="597" t="str">
        <f>IF($AK8&gt;5,"Match 6","")</f>
        <v>Match 6</v>
      </c>
      <c r="R22" s="598"/>
      <c r="S22" s="604"/>
      <c r="T22" s="597" t="str">
        <f>IF($AK8&gt;6,"Match 7","")</f>
        <v>Match 7</v>
      </c>
      <c r="U22" s="598"/>
      <c r="V22" s="604"/>
      <c r="W22" s="597" t="str">
        <f>IF($AK8&gt;7,"Match 8","")</f>
        <v>Match 8</v>
      </c>
      <c r="X22" s="598"/>
      <c r="Y22" s="604"/>
      <c r="Z22" s="597" t="str">
        <f>IF($AK8&gt;8,"Match 9","")</f>
        <v>Match 9</v>
      </c>
      <c r="AA22" s="598"/>
      <c r="AB22" s="604"/>
      <c r="AC22" s="597" t="str">
        <f>IF($AK8&gt;9,"Match 10","")</f>
        <v>Match 10</v>
      </c>
      <c r="AD22" s="598"/>
      <c r="AE22" s="604"/>
      <c r="AF22" s="716"/>
      <c r="AG22" s="717"/>
      <c r="AH22" s="717"/>
      <c r="AI22" s="717"/>
      <c r="AJ22" s="717"/>
      <c r="AK22" s="717"/>
      <c r="AL22" s="717"/>
      <c r="AM22" s="717"/>
      <c r="AN22" s="717"/>
      <c r="AO22" s="717"/>
      <c r="AP22" s="717"/>
      <c r="AQ22" s="718"/>
      <c r="AT22" s="38"/>
      <c r="AU22" s="96"/>
      <c r="AV22" s="96"/>
      <c r="AW22" s="4"/>
    </row>
    <row r="23" spans="1:51" ht="15.75" x14ac:dyDescent="0.25">
      <c r="A23" s="7"/>
      <c r="B23" s="699" t="s">
        <v>69</v>
      </c>
      <c r="C23" s="700"/>
      <c r="D23" s="701"/>
      <c r="E23" s="699" t="s">
        <v>70</v>
      </c>
      <c r="F23" s="700"/>
      <c r="G23" s="701"/>
      <c r="H23" s="699" t="s">
        <v>71</v>
      </c>
      <c r="I23" s="700"/>
      <c r="J23" s="701"/>
      <c r="K23" s="699" t="s">
        <v>72</v>
      </c>
      <c r="L23" s="700"/>
      <c r="M23" s="701"/>
      <c r="N23" s="699" t="s">
        <v>73</v>
      </c>
      <c r="O23" s="700"/>
      <c r="P23" s="701"/>
      <c r="Q23" s="699" t="s">
        <v>71</v>
      </c>
      <c r="R23" s="700"/>
      <c r="S23" s="701"/>
      <c r="T23" s="699" t="s">
        <v>69</v>
      </c>
      <c r="U23" s="700"/>
      <c r="V23" s="701"/>
      <c r="W23" s="699" t="s">
        <v>73</v>
      </c>
      <c r="X23" s="700"/>
      <c r="Y23" s="701"/>
      <c r="Z23" s="699" t="s">
        <v>72</v>
      </c>
      <c r="AA23" s="700"/>
      <c r="AB23" s="701"/>
      <c r="AC23" s="699" t="s">
        <v>70</v>
      </c>
      <c r="AD23" s="700"/>
      <c r="AE23" s="701"/>
      <c r="AF23" s="41" t="s">
        <v>74</v>
      </c>
      <c r="AG23" s="42">
        <v>1</v>
      </c>
      <c r="AH23" s="42">
        <v>2</v>
      </c>
      <c r="AI23" s="42">
        <v>3</v>
      </c>
      <c r="AJ23" s="42">
        <v>4</v>
      </c>
      <c r="AK23" s="42">
        <v>5</v>
      </c>
      <c r="AL23" s="42">
        <v>6</v>
      </c>
      <c r="AM23" s="42">
        <v>7</v>
      </c>
      <c r="AN23" s="42">
        <v>8</v>
      </c>
      <c r="AO23" s="42">
        <v>9</v>
      </c>
      <c r="AP23" s="42">
        <v>10</v>
      </c>
      <c r="AQ23" s="43" t="s">
        <v>75</v>
      </c>
      <c r="AT23" s="38"/>
      <c r="AU23" s="96"/>
      <c r="AV23" s="96"/>
      <c r="AW23" s="96"/>
      <c r="AX23" s="96"/>
      <c r="AY23" s="96"/>
    </row>
    <row r="24" spans="1:51" ht="15.75" x14ac:dyDescent="0.25">
      <c r="A24" s="7"/>
      <c r="B24" s="44">
        <v>2</v>
      </c>
      <c r="C24" s="45" t="s">
        <v>76</v>
      </c>
      <c r="D24" s="46">
        <v>5</v>
      </c>
      <c r="E24" s="44">
        <v>1</v>
      </c>
      <c r="F24" s="45" t="str">
        <f>IF($AK8&gt;1,"v","")</f>
        <v>v</v>
      </c>
      <c r="G24" s="46">
        <v>4</v>
      </c>
      <c r="H24" s="44">
        <v>3</v>
      </c>
      <c r="I24" s="45" t="str">
        <f>IF($AK8&gt;2,"v","")</f>
        <v>v</v>
      </c>
      <c r="J24" s="46">
        <v>5</v>
      </c>
      <c r="K24" s="44">
        <v>2</v>
      </c>
      <c r="L24" s="45" t="str">
        <f>IF($AK8&gt;3,"v","")</f>
        <v>v</v>
      </c>
      <c r="M24" s="46">
        <v>4</v>
      </c>
      <c r="N24" s="44">
        <v>1</v>
      </c>
      <c r="O24" s="45" t="str">
        <f>IF($AK8&gt;4,"v","")</f>
        <v>v</v>
      </c>
      <c r="P24" s="46">
        <v>3</v>
      </c>
      <c r="Q24" s="44">
        <v>4</v>
      </c>
      <c r="R24" s="45" t="str">
        <f>IF($AK8&gt;5,"v","")</f>
        <v>v</v>
      </c>
      <c r="S24" s="46">
        <v>5</v>
      </c>
      <c r="T24" s="44">
        <v>2</v>
      </c>
      <c r="U24" s="45" t="str">
        <f>IF($AK8&gt;6,"v","")</f>
        <v>v</v>
      </c>
      <c r="V24" s="46">
        <v>3</v>
      </c>
      <c r="W24" s="44">
        <v>1</v>
      </c>
      <c r="X24" s="45" t="str">
        <f>IF($AK8&gt;7,"v","")</f>
        <v>v</v>
      </c>
      <c r="Y24" s="46">
        <v>5</v>
      </c>
      <c r="Z24" s="44">
        <v>3</v>
      </c>
      <c r="AA24" s="45" t="str">
        <f>IF($AK8&gt;8,"v","")</f>
        <v>v</v>
      </c>
      <c r="AB24" s="46">
        <v>4</v>
      </c>
      <c r="AC24" s="44">
        <v>1</v>
      </c>
      <c r="AD24" s="45" t="str">
        <f>IF($AK8&gt;9,"v","")</f>
        <v>v</v>
      </c>
      <c r="AE24" s="46">
        <v>2</v>
      </c>
      <c r="AF24" s="41" t="str">
        <f>IF($AK9&gt;0,"Team 1","")</f>
        <v>Team 1</v>
      </c>
      <c r="AG24" s="47" t="str">
        <f>IF($AK9&lt;1,"",IF($AK8&lt;1,"",IF(B24=1,B30-D30,IF(D24=1,D30-B30,""))))</f>
        <v/>
      </c>
      <c r="AH24" s="47">
        <f>IF($AK9&lt;1,"",IF($AK8&lt;2,"",IF(E24=1,E30-G30,IF(G24=1,G30-E30,""))))</f>
        <v>7</v>
      </c>
      <c r="AI24" s="47" t="str">
        <f>IF($AK9&lt;1,"",IF($AK8&lt;3,"",IF(H24=1,H30-J30,IF(J24=1,J30-H30,""))))</f>
        <v/>
      </c>
      <c r="AJ24" s="47" t="str">
        <f>IF($AK9&lt;1,"",IF($AK8&lt;4,"",IF(K24=1,K30-M30,IF(M24=1,M30-K30,""))))</f>
        <v/>
      </c>
      <c r="AK24" s="47">
        <f>IF($AK9&lt;1,"",IF($AK8&lt;5,"",IF(N24=1,N30-P30,IF(P24=1,P30-N30,""))))</f>
        <v>6</v>
      </c>
      <c r="AL24" s="47" t="str">
        <f>IF($AK9&lt;1,"",IF($AK8&lt;6,"",IF(Q24=1,Q30-S30,IF(S24=1,S30-Q30,""))))</f>
        <v/>
      </c>
      <c r="AM24" s="47" t="str">
        <f>IF($AK9&lt;1,"",IF($AK8&lt;7,"",IF(T24=1,T30-V30,IF(V24=1,V30-T30,""))))</f>
        <v/>
      </c>
      <c r="AN24" s="47">
        <f>IF($AK9&lt;1,"",IF($AK8&lt;8,"",IF(W24=1,W30-Y30,IF(Y24=1,Y30-W30,""))))</f>
        <v>22</v>
      </c>
      <c r="AO24" s="47" t="str">
        <f>IF($AK9&lt;1,"",IF($AK8&lt;9,"",IF(Z24=1,Z30-AB30,IF(AB24=1,AB30-Z30,""))))</f>
        <v/>
      </c>
      <c r="AP24" s="47">
        <f>IF($AK9&lt;1,"",IF($AK8&lt;10,"",IF(AC24=1,AC30-AE30,IF(AE24=1,AE30-AC30,""))))</f>
        <v>-15</v>
      </c>
      <c r="AQ24" s="43">
        <f>SUM(AG24:AP24)</f>
        <v>20</v>
      </c>
      <c r="AT24" s="38"/>
      <c r="AU24" s="96"/>
      <c r="AV24" s="96"/>
      <c r="AW24" s="96"/>
      <c r="AX24" s="96"/>
      <c r="AY24" s="96"/>
    </row>
    <row r="25" spans="1:51" ht="15" x14ac:dyDescent="0.2">
      <c r="A25" s="4" t="s">
        <v>77</v>
      </c>
      <c r="B25" s="48">
        <v>22</v>
      </c>
      <c r="C25" s="49" t="s">
        <v>78</v>
      </c>
      <c r="D25" s="50">
        <v>25</v>
      </c>
      <c r="E25" s="48">
        <v>25</v>
      </c>
      <c r="F25" s="49" t="str">
        <f>IF($AK8&gt;1,"/","")</f>
        <v>/</v>
      </c>
      <c r="G25" s="50">
        <v>23</v>
      </c>
      <c r="H25" s="48">
        <v>25</v>
      </c>
      <c r="I25" s="49" t="str">
        <f>IF($AK8&gt;2,"/","")</f>
        <v>/</v>
      </c>
      <c r="J25" s="50">
        <v>23</v>
      </c>
      <c r="K25" s="48">
        <v>25</v>
      </c>
      <c r="L25" s="49" t="str">
        <f>IF($AK8&gt;3,"/","")</f>
        <v>/</v>
      </c>
      <c r="M25" s="50">
        <v>23</v>
      </c>
      <c r="N25" s="48">
        <v>25</v>
      </c>
      <c r="O25" s="49" t="str">
        <f>IF($AK8&gt;4,"/","")</f>
        <v>/</v>
      </c>
      <c r="P25" s="50">
        <v>21</v>
      </c>
      <c r="Q25" s="48">
        <v>23</v>
      </c>
      <c r="R25" s="49" t="str">
        <f>IF($AK8&gt;5,"/","")</f>
        <v>/</v>
      </c>
      <c r="S25" s="50">
        <v>25</v>
      </c>
      <c r="T25" s="48">
        <v>26</v>
      </c>
      <c r="U25" s="49" t="str">
        <f>IF($AK8&gt;6,"/","")</f>
        <v>/</v>
      </c>
      <c r="V25" s="50">
        <v>24</v>
      </c>
      <c r="W25" s="48">
        <v>25</v>
      </c>
      <c r="X25" s="49" t="str">
        <f>IF($AK8&gt;7,"/","")</f>
        <v>/</v>
      </c>
      <c r="Y25" s="50">
        <v>14</v>
      </c>
      <c r="Z25" s="48">
        <v>27</v>
      </c>
      <c r="AA25" s="49" t="str">
        <f>IF($AK8&gt;8,"/","")</f>
        <v>/</v>
      </c>
      <c r="AB25" s="50">
        <v>26</v>
      </c>
      <c r="AC25" s="48">
        <v>16</v>
      </c>
      <c r="AD25" s="49" t="str">
        <f>IF($AK8&gt;9,"/","")</f>
        <v>/</v>
      </c>
      <c r="AE25" s="50">
        <v>25</v>
      </c>
      <c r="AF25" s="41" t="str">
        <f>IF($AK9&gt;1,"Team 2","")</f>
        <v>Team 2</v>
      </c>
      <c r="AG25" s="47">
        <f>IF($AK9&lt;2,"",IF($AK8&lt;1,"",IF(B24=2,B30-D30,IF(D24=2,D30-B30,""))))</f>
        <v>2</v>
      </c>
      <c r="AH25" s="47" t="str">
        <f>IF($AK9&lt;2,"",IF($AK8&lt;2,"",IF(E24=2,E30-G30,IF(G24=2,G30-E30,""))))</f>
        <v/>
      </c>
      <c r="AI25" s="47" t="str">
        <f>IF($AK9&lt;2,"",IF($AK8&lt;3,"",IF(H24=2,H30-J30,IF(J24=2,J30-H30,""))))</f>
        <v/>
      </c>
      <c r="AJ25" s="47">
        <f>IF($AK9&lt;2,"",IF($AK8&lt;4,"",IF(K24=2,K30-M30,IF(M24=2,M30-K30,""))))</f>
        <v>9</v>
      </c>
      <c r="AK25" s="47" t="str">
        <f>IF($AK9&lt;2,"",IF($AK8&lt;5,"",IF(N24=2,N30-P30,IF(P24=2,P30-N30,""))))</f>
        <v/>
      </c>
      <c r="AL25" s="47" t="str">
        <f>IF($AK9&lt;2,"",IF($AK8&lt;6,"",IF(Q24=2,Q30-S30,IF(S24=2,S30-Q30,""))))</f>
        <v/>
      </c>
      <c r="AM25" s="47">
        <f>IF($AK9&lt;2,"",IF($AK8&lt;7,"",IF(T24=2,T30-V30,IF(V24=2,V30-T30,""))))</f>
        <v>9</v>
      </c>
      <c r="AN25" s="47" t="str">
        <f>IF($AK9&lt;2,"",IF($AK8&lt;8,"",IF(W24=2,W30-Y30,IF(Y24=2,Y30-W30,""))))</f>
        <v/>
      </c>
      <c r="AO25" s="47" t="str">
        <f>IF($AK9&lt;2,"",IF($AK8&lt;9,"",IF(Z24=2,Z30-AB30,IF(AB24=2,AB30-Z30,""))))</f>
        <v/>
      </c>
      <c r="AP25" s="47">
        <f>IF($AK9&lt;2,"",IF($AK8&lt;10,"",IF(AC24=2,AC30-AE30,IF(AE24=2,AE30-AC30,""))))</f>
        <v>15</v>
      </c>
      <c r="AQ25" s="43">
        <f>SUM(AG25:AP25)</f>
        <v>35</v>
      </c>
      <c r="AW25" s="4"/>
    </row>
    <row r="26" spans="1:51" ht="15" x14ac:dyDescent="0.2">
      <c r="A26" s="3" t="str">
        <f>IF($AK7&gt;1,"Game 2","")</f>
        <v>Game 2</v>
      </c>
      <c r="B26" s="48">
        <v>25</v>
      </c>
      <c r="C26" s="49" t="s">
        <v>78</v>
      </c>
      <c r="D26" s="50">
        <v>20</v>
      </c>
      <c r="E26" s="48">
        <v>25</v>
      </c>
      <c r="F26" s="49" t="str">
        <f>IF($AK8&gt;1,IF($AK7&gt;1,"/",""),"")</f>
        <v>/</v>
      </c>
      <c r="G26" s="50">
        <v>20</v>
      </c>
      <c r="H26" s="48">
        <v>26</v>
      </c>
      <c r="I26" s="49" t="str">
        <f>IF($AK8&gt;2,IF($AK7&gt;1,"/",""),"")</f>
        <v>/</v>
      </c>
      <c r="J26" s="50">
        <v>27</v>
      </c>
      <c r="K26" s="48">
        <v>25</v>
      </c>
      <c r="L26" s="49" t="str">
        <f>IF($AK8&gt;3,IF($AK7&gt;1,"/",""),"")</f>
        <v>/</v>
      </c>
      <c r="M26" s="50">
        <v>18</v>
      </c>
      <c r="N26" s="48">
        <v>25</v>
      </c>
      <c r="O26" s="49" t="str">
        <f>IF($AK8&gt;4,IF($AK7&gt;1,"/",""),"")</f>
        <v>/</v>
      </c>
      <c r="P26" s="50">
        <v>23</v>
      </c>
      <c r="Q26" s="48">
        <v>22</v>
      </c>
      <c r="R26" s="49" t="str">
        <f>IF($AK8&gt;5,IF($AK7&gt;1,"/",""),"")</f>
        <v>/</v>
      </c>
      <c r="S26" s="50">
        <v>25</v>
      </c>
      <c r="T26" s="48">
        <v>25</v>
      </c>
      <c r="U26" s="49" t="str">
        <f>IF($AK8&gt;6,IF($AK7&gt;1,"/",""),"")</f>
        <v>/</v>
      </c>
      <c r="V26" s="50">
        <v>18</v>
      </c>
      <c r="W26" s="48">
        <v>25</v>
      </c>
      <c r="X26" s="49" t="str">
        <f>IF($AK8&gt;7,IF($AK7&gt;1,"/",""),"")</f>
        <v>/</v>
      </c>
      <c r="Y26" s="50">
        <v>14</v>
      </c>
      <c r="Z26" s="48">
        <v>25</v>
      </c>
      <c r="AA26" s="49" t="str">
        <f>IF($AK8&gt;8,IF($AK7&gt;1,"/",""),"")</f>
        <v>/</v>
      </c>
      <c r="AB26" s="50">
        <v>23</v>
      </c>
      <c r="AC26" s="48">
        <v>19</v>
      </c>
      <c r="AD26" s="49" t="str">
        <f>IF($AK8&gt;9,IF($AK7&gt;1,"/",""),"")</f>
        <v>/</v>
      </c>
      <c r="AE26" s="50">
        <v>25</v>
      </c>
      <c r="AF26" s="41" t="str">
        <f>IF($AK9&gt;2,"Team 3","")</f>
        <v>Team 3</v>
      </c>
      <c r="AG26" s="47" t="str">
        <f>IF($AK9&lt;3,"",IF($AK8&lt;1,"",IF(B24=3,B30-D30,IF(D24=3,D30-B30,""))))</f>
        <v/>
      </c>
      <c r="AH26" s="47" t="str">
        <f>IF($AK9&lt;3,"",IF($AK8&lt;2,"",IF(E24=3,E30-G30,IF(G24=3,G30-E30,""))))</f>
        <v/>
      </c>
      <c r="AI26" s="47">
        <f>IF($AK9&lt;3,"",IF($AK8&lt;3,"",IF(H24=3,H30-J30,IF(J24=3,J30-H30,""))))</f>
        <v>1</v>
      </c>
      <c r="AJ26" s="47" t="str">
        <f>IF($AK9&lt;3,"",IF($AK8&lt;4,"",IF(K24=3,K30-M30,IF(M24=3,M30-K30,""))))</f>
        <v/>
      </c>
      <c r="AK26" s="47">
        <f>IF($AK9&lt;3,"",IF($AK8&lt;5,"",IF(N24=3,N30-P30,IF(P24=3,P30-N30,""))))</f>
        <v>-6</v>
      </c>
      <c r="AL26" s="47" t="str">
        <f>IF($AK9&lt;3,"",IF($AK8&lt;6,"",IF(Q24=3,Q30-S30,IF(S24=3,S30-Q30,""))))</f>
        <v/>
      </c>
      <c r="AM26" s="47">
        <f>IF($AK9&lt;3,"",IF($AK8&lt;7,"",IF(T24=3,T30-V30,IF(V24=3,V30-T30,""))))</f>
        <v>-9</v>
      </c>
      <c r="AN26" s="47" t="str">
        <f>IF($AK9&lt;3,"",IF($AK8&lt;8,"",IF(W24=3,W30-Y30,IF(Y24=3,Y30-W30,""))))</f>
        <v/>
      </c>
      <c r="AO26" s="47">
        <f>IF($AK9&lt;3,"",IF($AK8&lt;9,"",IF(Z24=3,Z30-AB30,IF(AB24=3,AB30-Z30,""))))</f>
        <v>3</v>
      </c>
      <c r="AP26" s="47" t="str">
        <f>IF($AK9&lt;3,"",IF($AK8&lt;9,"",IF(AC24=3,AC30-AE30,IF(AE24=3,AE30-AC30,""))))</f>
        <v/>
      </c>
      <c r="AQ26" s="43">
        <f>SUM(AG26:AP26)</f>
        <v>-11</v>
      </c>
      <c r="AW26" s="4"/>
    </row>
    <row r="27" spans="1:51" ht="15" x14ac:dyDescent="0.2">
      <c r="A27" s="3" t="str">
        <f>IF($AK7&gt;2,"Game 3","")</f>
        <v/>
      </c>
      <c r="B27" s="48"/>
      <c r="C27" s="49" t="s">
        <v>78</v>
      </c>
      <c r="D27" s="50"/>
      <c r="E27" s="48"/>
      <c r="F27" s="49" t="str">
        <f>IF($AK8&gt;1,IF($AK7&gt;2,"/",""),"")</f>
        <v/>
      </c>
      <c r="G27" s="50"/>
      <c r="H27" s="48"/>
      <c r="I27" s="49" t="str">
        <f>IF($AK8&gt;2,IF($AK7&gt;2,"/",""),"")</f>
        <v/>
      </c>
      <c r="J27" s="50"/>
      <c r="K27" s="48"/>
      <c r="L27" s="49" t="str">
        <f>IF($AK8&gt;3,IF($AK7&gt;2,"/",""),"")</f>
        <v/>
      </c>
      <c r="M27" s="50"/>
      <c r="N27" s="48"/>
      <c r="O27" s="49" t="str">
        <f>IF($AK8&gt;4,IF($AK7&gt;2,"/",""),"")</f>
        <v/>
      </c>
      <c r="P27" s="50"/>
      <c r="Q27" s="48"/>
      <c r="R27" s="49" t="str">
        <f>IF($AK8&gt;5,IF($AK7&gt;2,"/",""),"")</f>
        <v/>
      </c>
      <c r="S27" s="50"/>
      <c r="T27" s="48"/>
      <c r="U27" s="49" t="str">
        <f>IF($AK8&gt;6,IF($AK7&gt;2,"/",""),"")</f>
        <v/>
      </c>
      <c r="V27" s="50"/>
      <c r="W27" s="48"/>
      <c r="X27" s="49" t="str">
        <f>IF($AK8&gt;7,IF($AK7&gt;2,"/",""),"")</f>
        <v/>
      </c>
      <c r="Y27" s="50"/>
      <c r="Z27" s="48"/>
      <c r="AA27" s="49" t="str">
        <f>IF($AK8&gt;8,IF($AK7&gt;2,"/",""),"")</f>
        <v/>
      </c>
      <c r="AB27" s="50"/>
      <c r="AC27" s="48"/>
      <c r="AD27" s="49" t="str">
        <f>IF($AK8&gt;9,IF($AK7&gt;2,"/",""),"")</f>
        <v/>
      </c>
      <c r="AE27" s="50"/>
      <c r="AF27" s="41" t="str">
        <f>IF($AK9&gt;3,"Team 4","")</f>
        <v>Team 4</v>
      </c>
      <c r="AG27" s="47" t="str">
        <f>IF($AK9&lt;4,"",IF($AK8&lt;1,"",IF(B24=4,B30-D30,IF(D24=4,D30-B30,""))))</f>
        <v/>
      </c>
      <c r="AH27" s="47">
        <f>IF($AK9&lt;4,"",IF($AK8&lt;2,"",IF(E24=4,E30-G30,IF(G24=4,G30-E30,""))))</f>
        <v>-7</v>
      </c>
      <c r="AI27" s="47" t="str">
        <f>IF($AK9&lt;4,"",IF($AK8&lt;3,"",IF(H24=4,H30-J30,IF(J24=4,J30-H30,""))))</f>
        <v/>
      </c>
      <c r="AJ27" s="47">
        <f>IF($AK9&lt;4,"",IF($AK8&lt;4,"",IF(K24=4,K30-M30,IF(M24=4,M30-K30,""))))</f>
        <v>-9</v>
      </c>
      <c r="AK27" s="47" t="str">
        <f>IF($AK9&lt;4,"",IF($AK8&lt;5,"",IF(N24=4,N30-P30,IF(P24=4,P30-N30,""))))</f>
        <v/>
      </c>
      <c r="AL27" s="47">
        <f>IF($AK9&lt;4,"",IF($AK8&lt;6,"",IF(Q24=4,Q30-S30,IF(S24=4,S30-Q30,""))))</f>
        <v>-5</v>
      </c>
      <c r="AM27" s="47" t="str">
        <f>IF($AK9&lt;4,"",IF($AK8&lt;7,"",IF(T24=4,T30-V30,IF(V24=4,V30-T30,""))))</f>
        <v/>
      </c>
      <c r="AN27" s="47" t="str">
        <f>IF($AK9&lt;4,"",IF($AK8&lt;8,"",IF(W24=4,W30-Y30,IF(Y24=4,Y30-W30,""))))</f>
        <v/>
      </c>
      <c r="AO27" s="47">
        <f>IF($AK9&lt;4,"",IF($AK8&lt;9,"",IF(Z24=4,Z30-AB30,IF(AB24=4,AB30-Z30,""))))</f>
        <v>-3</v>
      </c>
      <c r="AP27" s="47" t="str">
        <f>IF($AK9&lt;4,"",IF($AK8&lt;10,"",IF(AC24=4,AC30-AE30,IF(AE24=4,AE30-AC30,""))))</f>
        <v/>
      </c>
      <c r="AQ27" s="43">
        <f>SUM(AG27:AP27)</f>
        <v>-24</v>
      </c>
      <c r="AW27" s="4"/>
    </row>
    <row r="28" spans="1:51" ht="15" x14ac:dyDescent="0.2">
      <c r="A28" s="3" t="str">
        <f>IF($AK7&gt;3,"Game 4","")</f>
        <v/>
      </c>
      <c r="B28" s="48"/>
      <c r="C28" s="49" t="s">
        <v>78</v>
      </c>
      <c r="D28" s="50"/>
      <c r="E28" s="48"/>
      <c r="F28" s="49" t="str">
        <f>IF($AK8&gt;1,IF($AK7&gt;3,"/",""),"")</f>
        <v/>
      </c>
      <c r="G28" s="50"/>
      <c r="H28" s="48"/>
      <c r="I28" s="49" t="str">
        <f>IF($AK8&gt;2,IF($AK7&gt;3,"/",""),"")</f>
        <v/>
      </c>
      <c r="J28" s="50"/>
      <c r="K28" s="48"/>
      <c r="L28" s="49" t="str">
        <f>IF($AK8&gt;3,IF($AK7&gt;3,"/",""),"")</f>
        <v/>
      </c>
      <c r="M28" s="50"/>
      <c r="N28" s="48"/>
      <c r="O28" s="49" t="str">
        <f>IF($AK8&gt;4,IF($AK7&gt;3,"/",""),"")</f>
        <v/>
      </c>
      <c r="P28" s="50"/>
      <c r="Q28" s="48"/>
      <c r="R28" s="49" t="str">
        <f>IF($AK8&gt;5,IF($AK7&gt;3,"/",""),"")</f>
        <v/>
      </c>
      <c r="S28" s="50"/>
      <c r="T28" s="48"/>
      <c r="U28" s="49" t="str">
        <f>IF($AK8&gt;6,IF($AK7&gt;3,"/",""),"")</f>
        <v/>
      </c>
      <c r="V28" s="50"/>
      <c r="W28" s="48"/>
      <c r="X28" s="49" t="str">
        <f>IF($AK8&gt;7,IF($AK7&gt;3,"/",""),"")</f>
        <v/>
      </c>
      <c r="Y28" s="50"/>
      <c r="Z28" s="48"/>
      <c r="AA28" s="49" t="str">
        <f>IF($AK8&gt;8,IF($AK7&gt;3,"/",""),"")</f>
        <v/>
      </c>
      <c r="AB28" s="50"/>
      <c r="AC28" s="48"/>
      <c r="AD28" s="49" t="str">
        <f>IF($AK8&gt;9,IF($AK7&gt;3,"/",""),"")</f>
        <v/>
      </c>
      <c r="AE28" s="50"/>
      <c r="AF28" s="41" t="str">
        <f>IF($AK9&gt;4,"Team 5","")</f>
        <v>Team 5</v>
      </c>
      <c r="AG28" s="51">
        <f>IF($AK9&lt;5,"",IF($AK8&lt;1,"",IF(B24=5,B30-D30,IF(D24=5,D30-B30,""))))</f>
        <v>-2</v>
      </c>
      <c r="AH28" s="47" t="str">
        <f>IF($AK9&lt;5,"",IF($AK8&lt;2,"",IF(E24=5,E30-G30,IF(G24=5,G30-E30,""))))</f>
        <v/>
      </c>
      <c r="AI28" s="47">
        <f>IF($AK9&lt;5,"",IF($AK8&lt;3,"",IF(H24=5,H30-J30,IF(J24=5,J30-H30,""))))</f>
        <v>-1</v>
      </c>
      <c r="AJ28" s="47" t="str">
        <f>IF($AK9&lt;5,"",IF($AK8&lt;4,"",IF(K24=5,K30-M30,IF(M24=5,M30-K30,""))))</f>
        <v/>
      </c>
      <c r="AK28" s="47" t="str">
        <f>IF($AK9&lt;5,"",IF($AK8&lt;5,"",IF(N24=5,N30-P30,IF(P24=5,P30-N30,""))))</f>
        <v/>
      </c>
      <c r="AL28" s="47">
        <f>IF($AK9&lt;5,"",IF($AK8&lt;6,"",IF(Q24=5,Q30-S30,IF(S24=5,S30-Q30,""))))</f>
        <v>5</v>
      </c>
      <c r="AM28" s="47" t="str">
        <f>IF($AK9&lt;5,"",IF($AK8&lt;7,"",IF(T24=5,T30-V30,IF(V24=5,V30-T30,""))))</f>
        <v/>
      </c>
      <c r="AN28" s="47">
        <f>IF($AK9&lt;5,"",IF($AK8&lt;8,"",IF(W24=5,W30-Y30,IF(Y24=5,Y30-W30,""))))</f>
        <v>-22</v>
      </c>
      <c r="AO28" s="47" t="str">
        <f>IF($AK9&lt;5,"",IF($AK8&lt;9,"",IF(Z24=5,Z30-AB30,IF(AB24=5,AB30-Z30,""))))</f>
        <v/>
      </c>
      <c r="AP28" s="47" t="str">
        <f>IF($AK9&lt;5,"",IF($AK8&lt;10,"",IF(AC24=5,AC30-AE30,IF(AE24=5,AE30-AC30,""))))</f>
        <v/>
      </c>
      <c r="AQ28" s="43">
        <f>SUM(AG28:AP28)</f>
        <v>-20</v>
      </c>
      <c r="AW28" s="6"/>
      <c r="AX28" s="6"/>
      <c r="AY28" s="6"/>
    </row>
    <row r="29" spans="1:51" ht="15" x14ac:dyDescent="0.2">
      <c r="A29" s="3" t="str">
        <f>IF($AK7&gt;4,"Game 5","")</f>
        <v/>
      </c>
      <c r="B29" s="48"/>
      <c r="C29" s="49" t="s">
        <v>78</v>
      </c>
      <c r="D29" s="50"/>
      <c r="E29" s="48"/>
      <c r="F29" s="49" t="str">
        <f>IF($AK8&gt;1,IF($AK7&gt;4,"/",""),"")</f>
        <v/>
      </c>
      <c r="G29" s="50"/>
      <c r="H29" s="48"/>
      <c r="I29" s="49" t="str">
        <f>IF($AK8&gt;2,IF($AK7&gt;4,"/",""),"")</f>
        <v/>
      </c>
      <c r="J29" s="50"/>
      <c r="K29" s="48"/>
      <c r="L29" s="49" t="str">
        <f>IF($AK8&gt;3,IF($AK7&gt;4,"/",""),"")</f>
        <v/>
      </c>
      <c r="M29" s="50"/>
      <c r="N29" s="48"/>
      <c r="O29" s="49" t="str">
        <f>IF($AK8&gt;4,IF($AK7&gt;4,"/",""),"")</f>
        <v/>
      </c>
      <c r="P29" s="50"/>
      <c r="Q29" s="48"/>
      <c r="R29" s="49" t="str">
        <f>IF($AK8&gt;5,IF($AK7&gt;4,"/",""),"")</f>
        <v/>
      </c>
      <c r="S29" s="50"/>
      <c r="T29" s="48"/>
      <c r="U29" s="49" t="str">
        <f>IF($AK8&gt;6,IF($AK7&gt;4,"/",""),"")</f>
        <v/>
      </c>
      <c r="V29" s="50"/>
      <c r="W29" s="48"/>
      <c r="X29" s="49" t="str">
        <f>IF($AK8&gt;7,IF($AK7&gt;4,"/",""),"")</f>
        <v/>
      </c>
      <c r="Y29" s="50"/>
      <c r="Z29" s="48"/>
      <c r="AA29" s="49" t="str">
        <f>IF($AK8&gt;8,IF($AK7&gt;4,"/",""),"")</f>
        <v/>
      </c>
      <c r="AB29" s="50"/>
      <c r="AC29" s="48"/>
      <c r="AD29" s="49" t="str">
        <f>IF($AK8&gt;9,IF($AK7&gt;4,"/",""),"")</f>
        <v/>
      </c>
      <c r="AE29" s="50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W29" s="6"/>
      <c r="AX29" s="6"/>
      <c r="AY29" s="6"/>
    </row>
    <row r="30" spans="1:51" hidden="1" x14ac:dyDescent="0.2">
      <c r="A30" s="52"/>
      <c r="B30" s="52">
        <f>IF($AK7=5,SUM(B25:B29),IF($AK7=4,SUM(B25:B28),IF($AK7=3,SUM(B25:B27),IF($AK7=2,SUM(B25:B26),B25))))</f>
        <v>47</v>
      </c>
      <c r="C30" s="52"/>
      <c r="D30" s="52">
        <f>IF($AK7=5,SUM(D25:D29),IF($AK7=4,SUM(D25:D28),IF($AK7=3,SUM(D25:D27),IF($AK7=2,SUM(D25:D26),D25))))</f>
        <v>45</v>
      </c>
      <c r="E30" s="52">
        <f>IF($AK7=5,SUM(E25:E29),IF($AK7=4,SUM(E25:E28),IF($AK7=3,SUM(E25:E27),IF($AK7=2,SUM(E25:E26),E25))))</f>
        <v>50</v>
      </c>
      <c r="F30" s="52"/>
      <c r="G30" s="52">
        <f>IF($AK7=5,SUM(G25:G29),IF($AK7=4,SUM(G25:G28),IF($AK7=3,SUM(G25:G27),IF($AK7=2,SUM(G25:G26),G25))))</f>
        <v>43</v>
      </c>
      <c r="H30" s="52">
        <f>IF($AK7=5,SUM(H25:H29),IF($AK7=4,SUM(H25:H28),IF($AK7=3,SUM(H25:H27),IF($AK7=2,SUM(H25:H26),H25))))</f>
        <v>51</v>
      </c>
      <c r="I30" s="52"/>
      <c r="J30" s="52">
        <f>IF($AK7=5,SUM(J25:J29),IF($AK7=4,SUM(J25:J28),IF($AK7=3,SUM(J25:J27),IF($AK7=2,SUM(J25:J26),J25))))</f>
        <v>50</v>
      </c>
      <c r="K30" s="52">
        <f>IF($AK7=5,SUM(K25:K29),IF($AK7=4,SUM(K25:K28),IF($AK7=3,SUM(K25:K27),IF($AK7=2,SUM(K25:K26),K25))))</f>
        <v>50</v>
      </c>
      <c r="L30" s="52"/>
      <c r="M30" s="52">
        <f>IF($AK7=5,SUM(M25:M29),IF($AK7=4,SUM(M25:M28),IF($AK7=3,SUM(M25:M27),IF($AK7=2,SUM(M25:M26),M25))))</f>
        <v>41</v>
      </c>
      <c r="N30" s="52">
        <f>IF($AK7=5,SUM(N25:N29),IF($AK7=4,SUM(N25:N28),IF($AK7=3,SUM(N25:N27),IF($AK7=2,SUM(N25:N26),N25))))</f>
        <v>50</v>
      </c>
      <c r="O30" s="52"/>
      <c r="P30" s="52">
        <f>IF($AK7=5,SUM(P25:P29),IF($AK7=4,SUM(P25:P28),IF($AK7=3,SUM(P25:P27),IF($AK7=2,SUM(P25:P26),P25))))</f>
        <v>44</v>
      </c>
      <c r="Q30" s="52">
        <f>IF($AK7=5,SUM(Q25:Q29),IF($AK7=4,SUM(Q25:Q28),IF($AK7=3,SUM(Q25:Q27),IF($AK7=2,SUM(Q25:Q26),Q25))))</f>
        <v>45</v>
      </c>
      <c r="R30" s="52"/>
      <c r="S30" s="52">
        <f>IF($AK7=5,SUM(S25:S29),IF($AK7=4,SUM(S25:S28),IF($AK7=3,SUM(S25:S27),IF($AK7=2,SUM(S25:S26),S25))))</f>
        <v>50</v>
      </c>
      <c r="T30" s="52">
        <f>IF($AK7=5,SUM(T25:T29),IF($AK7=4,SUM(T25:T28),IF($AK7=3,SUM(T25:T27),IF($AK7=2,SUM(T25:T26),T25))))</f>
        <v>51</v>
      </c>
      <c r="U30" s="52"/>
      <c r="V30" s="52">
        <f>IF($AK7=5,SUM(V25:V29),IF($AK7=4,SUM(V25:V28),IF($AK7=3,SUM(V25:V27),IF($AK7=2,SUM(V25:V26),V25))))</f>
        <v>42</v>
      </c>
      <c r="W30" s="52">
        <f>IF($AK7=5,SUM(W25:W29),IF($AK7=4,SUM(W25:W28),IF($AK7=3,SUM(W25:W27),IF($AK7=2,SUM(W25:W26),W25))))</f>
        <v>50</v>
      </c>
      <c r="X30" s="52"/>
      <c r="Y30" s="52">
        <f>IF($AK7=5,SUM(Y25:Y29),IF($AK7=4,SUM(Y25:Y28),IF($AK7=3,SUM(Y25:Y27),IF($AK7=2,SUM(Y25:Y26),Y25))))</f>
        <v>28</v>
      </c>
      <c r="Z30" s="52">
        <f>IF($AK7=5,SUM(Z25:Z29),IF($AK7=4,SUM(Z25:Z28),IF($AK7=3,SUM(Z25:Z27),IF($AK7=2,SUM(Z25:Z26),Z25))))</f>
        <v>52</v>
      </c>
      <c r="AA30" s="52"/>
      <c r="AB30" s="52">
        <f>IF($AK7=5,SUM(AB25:AB29),IF($AK7=4,SUM(AB25:AB28),IF($AK7=3,SUM(AB25:AB27),IF($AK7=2,SUM(AB25:AB26),AB25))))</f>
        <v>49</v>
      </c>
      <c r="AC30" s="52">
        <f>IF($AK7=5,SUM(AC25:AC29),IF($AK7=4,SUM(AC25:AC28),IF($AK7=3,SUM(AC25:AC27),IF($AK7=2,SUM(AC25:AC26),AC25))))</f>
        <v>35</v>
      </c>
      <c r="AD30" s="52"/>
      <c r="AE30" s="52">
        <f>IF($AK7=5,SUM(AE25:AE29),IF($AK7=4,SUM(AE25:AE28),IF($AK7=3,SUM(AE25:AE27),IF($AK7=2,SUM(AE25:AE26),AE25))))</f>
        <v>50</v>
      </c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</row>
    <row r="31" spans="1:51" s="54" customFormat="1" ht="12.75" hidden="1" customHeight="1" x14ac:dyDescent="0.2">
      <c r="A31" s="54" t="s">
        <v>79</v>
      </c>
      <c r="B31" s="55">
        <f>IF(AND(B25&gt;D25,$AK8&gt;0,ISNUMBER(B25),ISNUMBER(D25)),1,0)</f>
        <v>0</v>
      </c>
      <c r="C31" s="55"/>
      <c r="D31" s="56">
        <f>IF(AND(D25&gt;B25,$AK8&gt;0,ISNUMBER(B25),ISNUMBER(D25)),1,0)</f>
        <v>1</v>
      </c>
      <c r="E31" s="55">
        <f>IF(AND(E25&gt;G25,$AK8&gt;1,ISNUMBER(E25),ISNUMBER(G25)),1,0)</f>
        <v>1</v>
      </c>
      <c r="F31" s="55"/>
      <c r="G31" s="56">
        <f>IF(AND(G25&gt;E25,$AK8&gt;1,ISNUMBER(E25),ISNUMBER(G25)),1,0)</f>
        <v>0</v>
      </c>
      <c r="H31" s="55">
        <f>IF(AND(H25&gt;J25,$AK8&gt;2,ISNUMBER(H25),ISNUMBER(J25)),1,0)</f>
        <v>1</v>
      </c>
      <c r="I31" s="55"/>
      <c r="J31" s="56">
        <f>IF(AND(J25&gt;H25,$AK8&gt;2,ISNUMBER(H25),ISNUMBER(J25)),1,0)</f>
        <v>0</v>
      </c>
      <c r="K31" s="55">
        <f>IF(AND(K25&gt;M25,$AK8&gt;3,ISNUMBER(K25),ISNUMBER(M25)),1,0)</f>
        <v>1</v>
      </c>
      <c r="L31" s="55"/>
      <c r="M31" s="56">
        <f>IF(AND(M25&gt;K25,$AK8&gt;3,ISNUMBER(K25),ISNUMBER(M25)),1,0)</f>
        <v>0</v>
      </c>
      <c r="N31" s="55">
        <f>IF(AND(N25&gt;P25,$AK8&gt;4,ISNUMBER(N25),ISNUMBER(P25)),1,0)</f>
        <v>1</v>
      </c>
      <c r="O31" s="55"/>
      <c r="P31" s="56">
        <f>IF(AND(P25&gt;N25,$AK8&gt;4,ISNUMBER(N25),ISNUMBER(P25)),1,0)</f>
        <v>0</v>
      </c>
      <c r="Q31" s="55">
        <f>IF(AND(Q25&gt;S25,$AK8&gt;5,ISNUMBER(Q25),ISNUMBER(S25)),1,0)</f>
        <v>0</v>
      </c>
      <c r="R31" s="55"/>
      <c r="S31" s="56">
        <f>IF(AND(S25&gt;Q25,$AK8&gt;5,ISNUMBER(Q25),ISNUMBER(S25)),1,0)</f>
        <v>1</v>
      </c>
      <c r="T31" s="55">
        <f>IF(AND(T25&gt;V25,$AK8&gt;6,ISNUMBER(T25),ISNUMBER(V25)),1,0)</f>
        <v>1</v>
      </c>
      <c r="U31" s="55"/>
      <c r="V31" s="56">
        <f>IF(AND(V25&gt;T25,$AK8&gt;6,ISNUMBER(T25),ISNUMBER(V25)),1,0)</f>
        <v>0</v>
      </c>
      <c r="W31" s="55">
        <f>IF(AND(W25&gt;Y25,$AK8&gt;7,ISNUMBER(W25),ISNUMBER(Y25)),1,0)</f>
        <v>1</v>
      </c>
      <c r="X31" s="55"/>
      <c r="Y31" s="56">
        <f>IF(AND(Y25&gt;W25,$AK8&gt;7,ISNUMBER(W25),ISNUMBER(Y25)),1,0)</f>
        <v>0</v>
      </c>
      <c r="Z31" s="55">
        <f>IF(AND(Z25&gt;AB25,$AK8&gt;8,ISNUMBER(Z25),ISNUMBER(AB25)),1,0)</f>
        <v>1</v>
      </c>
      <c r="AA31" s="55"/>
      <c r="AB31" s="56">
        <f>IF(AND(AB25&gt;Z25,$AK8&gt;8,ISNUMBER(Z25),ISNUMBER(AB25)),1,0)</f>
        <v>0</v>
      </c>
      <c r="AC31" s="55">
        <f>IF(AND(AC25&gt;AE25,$AK8&gt;9,ISNUMBER(AC25),ISNUMBER(AE25)),1,0)</f>
        <v>0</v>
      </c>
      <c r="AD31" s="55"/>
      <c r="AE31" s="56">
        <f>IF(AND(AE25&gt;AC25,$AK8&gt;9,ISNUMBER(AC25),ISNUMBER(AE25)),1,0)</f>
        <v>1</v>
      </c>
      <c r="AW31" s="57"/>
    </row>
    <row r="32" spans="1:51" s="54" customFormat="1" ht="12.75" hidden="1" customHeight="1" x14ac:dyDescent="0.2">
      <c r="A32" s="54" t="s">
        <v>80</v>
      </c>
      <c r="B32" s="55">
        <f>IF(AND(B26&gt;D26,$AK8&gt;0,$AK7&gt;1,ISNUMBER(B26),ISNUMBER(D26)),1,0)</f>
        <v>1</v>
      </c>
      <c r="C32" s="55"/>
      <c r="D32" s="56">
        <f>IF(AND(D26&gt;B26,$AK8&gt;0,$AK7&gt;1,ISNUMBER(B26),ISNUMBER(D26)),1,0)</f>
        <v>0</v>
      </c>
      <c r="E32" s="55">
        <f>IF(AND(E26&gt;G26,$AK8&gt;1,$AK7&gt;1,ISNUMBER(E26),ISNUMBER(G26)),1,0)</f>
        <v>1</v>
      </c>
      <c r="F32" s="55"/>
      <c r="G32" s="56">
        <f>IF(AND(G26&gt;E26,$AK8&gt;1,$AK7&gt;1,ISNUMBER(E26),ISNUMBER(G26)),1,0)</f>
        <v>0</v>
      </c>
      <c r="H32" s="55">
        <f>IF(AND(H26&gt;J26,$AK8&gt;2,$AK7&gt;1,ISNUMBER(H26),ISNUMBER(J26)),1,0)</f>
        <v>0</v>
      </c>
      <c r="I32" s="55"/>
      <c r="J32" s="56">
        <f>IF(AND(J26&gt;H26,$AK8&gt;2,$AK7&gt;1,ISNUMBER(H26),ISNUMBER(J26)),1,0)</f>
        <v>1</v>
      </c>
      <c r="K32" s="55">
        <f>IF(AND(K26&gt;M26,$AK8&gt;3,$AK7&gt;1,ISNUMBER(K26),ISNUMBER(M26)),1,0)</f>
        <v>1</v>
      </c>
      <c r="L32" s="55"/>
      <c r="M32" s="56">
        <f>IF(AND(M26&gt;K26,$AK8&gt;3,$AK7&gt;1,ISNUMBER(K26),ISNUMBER(M26)),1,0)</f>
        <v>0</v>
      </c>
      <c r="N32" s="55">
        <f>IF(AND(N26&gt;P26,$AK8&gt;4,$AK7&gt;1,ISNUMBER(N26),ISNUMBER(P26)),1,0)</f>
        <v>1</v>
      </c>
      <c r="O32" s="55"/>
      <c r="P32" s="56">
        <f>IF(AND(P26&gt;N26,$AK8&gt;4,$AK7&gt;1,ISNUMBER(N26),ISNUMBER(P26)),1,0)</f>
        <v>0</v>
      </c>
      <c r="Q32" s="55">
        <f>IF(AND(Q26&gt;S26,$AK8&gt;5,$AK7&gt;1,ISNUMBER(Q26),ISNUMBER(S26)),1,0)</f>
        <v>0</v>
      </c>
      <c r="R32" s="55"/>
      <c r="S32" s="56">
        <f>IF(AND(S26&gt;Q26,$AK8&gt;5,$AK7&gt;1,ISNUMBER(Q26),ISNUMBER(S26)),1,0)</f>
        <v>1</v>
      </c>
      <c r="T32" s="55">
        <f>IF(AND(T26&gt;V26,$AK8&gt;6,$AK7&gt;1,ISNUMBER(T26),ISNUMBER(V26)),1,0)</f>
        <v>1</v>
      </c>
      <c r="U32" s="55"/>
      <c r="V32" s="56">
        <f>IF(AND(V26&gt;T26,$AK8&gt;6,$AK7&gt;1,ISNUMBER(T26),ISNUMBER(V26)),1,0)</f>
        <v>0</v>
      </c>
      <c r="W32" s="55">
        <f>IF(AND(W26&gt;Y26,$AK8&gt;7,$AK7&gt;1,ISNUMBER(W26),ISNUMBER(Y26)),1,0)</f>
        <v>1</v>
      </c>
      <c r="X32" s="55"/>
      <c r="Y32" s="56">
        <f>IF(AND(Y26&gt;W26,$AK8&gt;7,$AK7&gt;1,ISNUMBER(W26),ISNUMBER(Y26)),1,0)</f>
        <v>0</v>
      </c>
      <c r="Z32" s="55">
        <f>IF(AND(Z26&gt;AB26,$AK8&gt;8,$AK7&gt;1,ISNUMBER(Z26),ISNUMBER(AB26)),1,0)</f>
        <v>1</v>
      </c>
      <c r="AA32" s="55"/>
      <c r="AB32" s="56">
        <f>IF(AND(AB26&gt;Z26,$AK8&gt;8,$AK7&gt;1,ISNUMBER(Z26),ISNUMBER(AB26)),1,0)</f>
        <v>0</v>
      </c>
      <c r="AC32" s="55">
        <f>IF(AND(AC26&gt;AE26,$AK8&gt;9,$AK7&gt;1,ISNUMBER(AC26),ISNUMBER(AE26)),1,0)</f>
        <v>0</v>
      </c>
      <c r="AD32" s="55"/>
      <c r="AE32" s="56">
        <f>IF(AND(AE26&gt;AC26,$AK8&gt;9,$AK7&gt;1,ISNUMBER(AC26),ISNUMBER(AE26)),1,0)</f>
        <v>1</v>
      </c>
      <c r="AW32" s="57"/>
    </row>
    <row r="33" spans="1:49" s="54" customFormat="1" ht="12.75" hidden="1" customHeight="1" x14ac:dyDescent="0.2">
      <c r="A33" s="54" t="s">
        <v>81</v>
      </c>
      <c r="B33" s="55">
        <f>IF(AND(B27&gt;D27,$AK8&gt;0,$AK7&gt;2,ISNUMBER(B27),ISNUMBER(D27)),1,0)</f>
        <v>0</v>
      </c>
      <c r="C33" s="55"/>
      <c r="D33" s="56">
        <f>IF(AND(D27&gt;B27,$AK8&gt;0,$AK7&gt;2,ISNUMBER(B27),ISNUMBER(D27)),1,0)</f>
        <v>0</v>
      </c>
      <c r="E33" s="55">
        <f>IF(AND(E27&gt;G27,$AK8&gt;1,$AK7&gt;2,ISNUMBER(E27),ISNUMBER(G27)),1,0)</f>
        <v>0</v>
      </c>
      <c r="F33" s="55"/>
      <c r="G33" s="56">
        <f>IF(AND(G27&gt;E27,$AK8&gt;1,$AK7&gt;2,ISNUMBER(E27),ISNUMBER(G27)),1,0)</f>
        <v>0</v>
      </c>
      <c r="H33" s="55">
        <f>IF(AND(H27&gt;J27,$AK8&gt;2,$AK7&gt;2,ISNUMBER(H27),ISNUMBER(J27)),1,0)</f>
        <v>0</v>
      </c>
      <c r="I33" s="55"/>
      <c r="J33" s="56">
        <f>IF(AND(J27&gt;H27,$AK8&gt;2,$AK7&gt;2,ISNUMBER(H27),ISNUMBER(J27)),1,0)</f>
        <v>0</v>
      </c>
      <c r="K33" s="55">
        <f>IF(AND(K27&gt;M27,$AK8&gt;3,$AK7&gt;2,ISNUMBER(K27),ISNUMBER(M27)),1,0)</f>
        <v>0</v>
      </c>
      <c r="L33" s="55"/>
      <c r="M33" s="56">
        <f>IF(AND(M27&gt;K27,$AK8&gt;3,$AK7&gt;2,ISNUMBER(K27),ISNUMBER(M27)),1,0)</f>
        <v>0</v>
      </c>
      <c r="N33" s="55">
        <f>IF(AND(N27&gt;P27,$AK8&gt;4,$AK7&gt;2,ISNUMBER(N27),ISNUMBER(P27)),1,0)</f>
        <v>0</v>
      </c>
      <c r="O33" s="55"/>
      <c r="P33" s="56">
        <f>IF(AND(P27&gt;N27,$AK8&gt;4,$AK7&gt;2,ISNUMBER(N27),ISNUMBER(P27)),1,0)</f>
        <v>0</v>
      </c>
      <c r="Q33" s="55">
        <f>IF(AND(Q27&gt;S27,$AK8&gt;5,$AK7&gt;2,ISNUMBER(Q27),ISNUMBER(S27)),1,0)</f>
        <v>0</v>
      </c>
      <c r="R33" s="55"/>
      <c r="S33" s="56">
        <f>IF(AND(S27&gt;Q27,$AK8&gt;5,$AK7&gt;2,ISNUMBER(Q27),ISNUMBER(S27)),1,0)</f>
        <v>0</v>
      </c>
      <c r="T33" s="55">
        <f>IF(AND(T27&gt;V27,$AK8&gt;6,$AK7&gt;2,ISNUMBER(T27),ISNUMBER(V27)),1,0)</f>
        <v>0</v>
      </c>
      <c r="U33" s="55"/>
      <c r="V33" s="56">
        <f>IF(AND(V27&gt;T27,$AK8&gt;6,$AK7&gt;2,ISNUMBER(T27),ISNUMBER(V27)),1,0)</f>
        <v>0</v>
      </c>
      <c r="W33" s="55">
        <f>IF(AND(W27&gt;Y27,$AK8&gt;7,$AK7&gt;2,ISNUMBER(W27),ISNUMBER(Y27)),1,0)</f>
        <v>0</v>
      </c>
      <c r="X33" s="55"/>
      <c r="Y33" s="56">
        <f>IF(AND(Y27&gt;W27,$AK8&gt;7,$AK7&gt;2,ISNUMBER(W27),ISNUMBER(Y27)),1,0)</f>
        <v>0</v>
      </c>
      <c r="Z33" s="55">
        <f>IF(AND(Z27&gt;AB27,$AK8&gt;8,$AK7&gt;2,ISNUMBER(Z27),ISNUMBER(AB27)),1,0)</f>
        <v>0</v>
      </c>
      <c r="AA33" s="55"/>
      <c r="AB33" s="56">
        <f>IF(AND(AB27&gt;Z27,$AK8&gt;8,$AK7&gt;2,ISNUMBER(Z27),ISNUMBER(AB27)),1,0)</f>
        <v>0</v>
      </c>
      <c r="AC33" s="55">
        <f>IF(AND(AC27&gt;AE27,$AK8&gt;9,$AK7&gt;2,ISNUMBER(AC27),ISNUMBER(AE27)),1,0)</f>
        <v>0</v>
      </c>
      <c r="AD33" s="55"/>
      <c r="AE33" s="56">
        <f>IF(AND(AE27&gt;AC27,$AK8&gt;9,$AK7&gt;2,ISNUMBER(AC27),ISNUMBER(AE27)),1,0)</f>
        <v>0</v>
      </c>
      <c r="AW33" s="57"/>
    </row>
    <row r="34" spans="1:49" s="54" customFormat="1" ht="12.75" hidden="1" customHeight="1" x14ac:dyDescent="0.2">
      <c r="A34" s="54" t="s">
        <v>82</v>
      </c>
      <c r="B34" s="55">
        <f>IF(AND(B28&gt;D28,$AK8&gt;0,$AK7&gt;3,ISNUMBER(B28),ISNUMBER(D28)),1,0)</f>
        <v>0</v>
      </c>
      <c r="C34" s="55"/>
      <c r="D34" s="56">
        <f>IF(AND(D28&gt;B28,$AK8&gt;0,$AK7&gt;3,ISNUMBER(B28),ISNUMBER(D28)),1,0)</f>
        <v>0</v>
      </c>
      <c r="E34" s="55">
        <f>IF(AND(E28&gt;G28,$AK8&gt;1,$AK7&gt;3,ISNUMBER(E28),ISNUMBER(G28)),1,0)</f>
        <v>0</v>
      </c>
      <c r="F34" s="55"/>
      <c r="G34" s="56">
        <f>IF(AND(G28&gt;E28,$AK8&gt;1,$AK7&gt;3,ISNUMBER(E28),ISNUMBER(G28)),1,0)</f>
        <v>0</v>
      </c>
      <c r="H34" s="55">
        <f>IF(AND(H28&gt;J28,$AK8&gt;2,$AK7&gt;3,ISNUMBER(H28),ISNUMBER(J28)),1,0)</f>
        <v>0</v>
      </c>
      <c r="I34" s="55"/>
      <c r="J34" s="56">
        <f>IF(AND(J28&gt;H28,$AK8&gt;2,$AK7&gt;3,ISNUMBER(H28),ISNUMBER(J28)),1,0)</f>
        <v>0</v>
      </c>
      <c r="K34" s="55">
        <f>IF(AND(K28&gt;M28,$AK8&gt;3,$AK7&gt;3,ISNUMBER(K28),ISNUMBER(M28)),1,0)</f>
        <v>0</v>
      </c>
      <c r="L34" s="55"/>
      <c r="M34" s="56">
        <f>IF(AND(M28&gt;K28,$AK8&gt;3,$AK7&gt;3,ISNUMBER(K28),ISNUMBER(M28)),1,0)</f>
        <v>0</v>
      </c>
      <c r="N34" s="55">
        <f>IF(AND(N28&gt;P28,$AK8&gt;4,$AK7&gt;3,ISNUMBER(N28),ISNUMBER(P28)),1,0)</f>
        <v>0</v>
      </c>
      <c r="O34" s="55"/>
      <c r="P34" s="56">
        <f>IF(AND(P28&gt;N28,$AK8&gt;4,$AK7&gt;3,ISNUMBER(N28),ISNUMBER(P28)),1,0)</f>
        <v>0</v>
      </c>
      <c r="Q34" s="55">
        <f>IF(AND(Q28&gt;S28,$AK8&gt;5,$AK7&gt;3,ISNUMBER(Q28),ISNUMBER(S28)),1,0)</f>
        <v>0</v>
      </c>
      <c r="R34" s="55"/>
      <c r="S34" s="56">
        <f>IF(AND(S28&gt;Q28,$AK8&gt;5,$AK7&gt;3,ISNUMBER(Q28),ISNUMBER(S28)),1,0)</f>
        <v>0</v>
      </c>
      <c r="T34" s="55">
        <f>IF(AND(T28&gt;V28,$AK8&gt;6,$AK7&gt;3,ISNUMBER(T28),ISNUMBER(V28)),1,0)</f>
        <v>0</v>
      </c>
      <c r="U34" s="55"/>
      <c r="V34" s="56">
        <f>IF(AND(V28&gt;T28,$AK8&gt;6,$AK7&gt;3,ISNUMBER(T28),ISNUMBER(V28)),1,0)</f>
        <v>0</v>
      </c>
      <c r="W34" s="55">
        <f>IF(AND(W28&gt;Y28,$AK8&gt;7,$AK7&gt;3,ISNUMBER(W28),ISNUMBER(Y28)),1,0)</f>
        <v>0</v>
      </c>
      <c r="X34" s="55"/>
      <c r="Y34" s="56">
        <f>IF(AND(Y28&gt;W28,$AK8&gt;7,$AK7&gt;3,ISNUMBER(W28),ISNUMBER(Y28)),1,0)</f>
        <v>0</v>
      </c>
      <c r="Z34" s="55">
        <f>IF(AND(Z28&gt;AB28,$AK8&gt;8,$AK7&gt;3,ISNUMBER(Z28),ISNUMBER(AB28)),1,0)</f>
        <v>0</v>
      </c>
      <c r="AA34" s="55"/>
      <c r="AB34" s="56">
        <f>IF(AND(AB28&gt;Z28,$AK8&gt;8,$AK7&gt;3,ISNUMBER(Z28),ISNUMBER(AB28)),1,0)</f>
        <v>0</v>
      </c>
      <c r="AC34" s="55">
        <f>IF(AND(AC28&gt;AE28,$AK8&gt;9,$AK7&gt;3,ISNUMBER(AC28),ISNUMBER(AE28)),1,0)</f>
        <v>0</v>
      </c>
      <c r="AD34" s="55"/>
      <c r="AE34" s="56">
        <f>IF(AND(AE28&gt;AC28,$AK8&gt;9,$AK7&gt;3,ISNUMBER(AC28),ISNUMBER(AE28)),1,0)</f>
        <v>0</v>
      </c>
      <c r="AW34" s="57"/>
    </row>
    <row r="35" spans="1:49" s="54" customFormat="1" ht="12.75" hidden="1" customHeight="1" x14ac:dyDescent="0.2">
      <c r="A35" s="54" t="s">
        <v>83</v>
      </c>
      <c r="B35" s="55">
        <f>IF(AND(B29&gt;D29,$AK8&gt;0,$AK7&gt;4,ISNUMBER(B29),ISNUMBER(D29)),1,0)</f>
        <v>0</v>
      </c>
      <c r="C35" s="55"/>
      <c r="D35" s="56">
        <f>IF(AND(D29&gt;B29,$AK8&gt;0,$AK7&gt;4,ISNUMBER(B29),ISNUMBER(D29)),1,0)</f>
        <v>0</v>
      </c>
      <c r="E35" s="55">
        <f>IF(AND(E29&gt;G29,$AK8&gt;1,$AK7&gt;4,ISNUMBER(E29),ISNUMBER(G29)),1,0)</f>
        <v>0</v>
      </c>
      <c r="F35" s="55"/>
      <c r="G35" s="56">
        <f>IF(AND(G29&gt;E29,$AK8&gt;1,$AK7&gt;4,ISNUMBER(E29),ISNUMBER(G29)),1,0)</f>
        <v>0</v>
      </c>
      <c r="H35" s="55">
        <f>IF(AND(H29&gt;J29,$AK8&gt;2,$AK7&gt;4,ISNUMBER(H29),ISNUMBER(J29)),1,0)</f>
        <v>0</v>
      </c>
      <c r="I35" s="55"/>
      <c r="J35" s="56">
        <f>IF(AND(J29&gt;H29,$AK8&gt;2,$AK7&gt;4,ISNUMBER(H29),ISNUMBER(J29)),1,0)</f>
        <v>0</v>
      </c>
      <c r="K35" s="55">
        <f>IF(AND(K29&gt;M29,$AK8&gt;3,$AK7&gt;4,ISNUMBER(K29),ISNUMBER(M29)),1,0)</f>
        <v>0</v>
      </c>
      <c r="L35" s="55"/>
      <c r="M35" s="56">
        <f>IF(AND(M29&gt;K29,$AK8&gt;3,$AK7&gt;4,ISNUMBER(K29),ISNUMBER(M29)),1,0)</f>
        <v>0</v>
      </c>
      <c r="N35" s="55">
        <f>IF(AND(N29&gt;P29,$AK8&gt;4,$AK7&gt;4,ISNUMBER(N29),ISNUMBER(P29)),1,0)</f>
        <v>0</v>
      </c>
      <c r="O35" s="55"/>
      <c r="P35" s="56">
        <f>IF(AND(P29&gt;N29,$AK8&gt;4,$AK7&gt;4,ISNUMBER(N29),ISNUMBER(P29)),1,0)</f>
        <v>0</v>
      </c>
      <c r="Q35" s="55">
        <f>IF(AND(Q29&gt;S29,$AK8&gt;5,$AK7&gt;4,ISNUMBER(Q29),ISNUMBER(S29)),1,0)</f>
        <v>0</v>
      </c>
      <c r="R35" s="55"/>
      <c r="S35" s="56">
        <f>IF(AND(S29&gt;Q29,$AK8&gt;5,$AK7&gt;4,ISNUMBER(Q29),ISNUMBER(S29)),1,0)</f>
        <v>0</v>
      </c>
      <c r="T35" s="55">
        <f>IF(AND(T29&gt;V29,$AK8&gt;6,$AK7&gt;4,ISNUMBER(T29),ISNUMBER(V29)),1,0)</f>
        <v>0</v>
      </c>
      <c r="U35" s="55"/>
      <c r="V35" s="56">
        <f>IF(AND(V29&gt;T29,$AK8&gt;6,$AK7&gt;4,ISNUMBER(T29),ISNUMBER(V29)),1,0)</f>
        <v>0</v>
      </c>
      <c r="W35" s="55">
        <f>IF(AND(W29&gt;Y29,$AK8&gt;7,$AK7&gt;4,ISNUMBER(W29),ISNUMBER(Y29)),1,0)</f>
        <v>0</v>
      </c>
      <c r="X35" s="55"/>
      <c r="Y35" s="56">
        <f>IF(AND(Y29&gt;W29,$AK8&gt;7,$AK7&gt;4,ISNUMBER(W29),ISNUMBER(Y29)),1,0)</f>
        <v>0</v>
      </c>
      <c r="Z35" s="55">
        <f>IF(AND(Z29&gt;AB29,$AK8&gt;8,$AK7&gt;4,ISNUMBER(Z29),ISNUMBER(AB29)),1,0)</f>
        <v>0</v>
      </c>
      <c r="AA35" s="55"/>
      <c r="AB35" s="56">
        <f>IF(AND(AB29&gt;Z29,$AK8&gt;8,$AK7&gt;4,ISNUMBER(Z29),ISNUMBER(AB29)),1,0)</f>
        <v>0</v>
      </c>
      <c r="AC35" s="55">
        <f>IF(AND(AC29&gt;AE29,$AK8&gt;9,$AK7&gt;4,ISNUMBER(AC29),ISNUMBER(AE29)),1,0)</f>
        <v>0</v>
      </c>
      <c r="AD35" s="55"/>
      <c r="AE35" s="56">
        <f>IF(AND(AE29&gt;AC29,$AK8&gt;9,$AK7&gt;4,ISNUMBER(AC29),ISNUMBER(AE29)),1,0)</f>
        <v>0</v>
      </c>
      <c r="AW35" s="57"/>
    </row>
    <row r="36" spans="1:49" s="54" customFormat="1" ht="38.25" hidden="1" customHeight="1" x14ac:dyDescent="0.2">
      <c r="A36" s="58" t="s">
        <v>84</v>
      </c>
      <c r="B36" s="54">
        <f>SUM(B31:B35)</f>
        <v>1</v>
      </c>
      <c r="D36" s="59">
        <f>SUM(D31:D35)</f>
        <v>1</v>
      </c>
      <c r="E36" s="54">
        <f>SUM(E31:E35)</f>
        <v>2</v>
      </c>
      <c r="G36" s="59">
        <f>SUM(G31:G35)</f>
        <v>0</v>
      </c>
      <c r="H36" s="54">
        <f>SUM(H31:H35)</f>
        <v>1</v>
      </c>
      <c r="J36" s="59">
        <f>SUM(J31:J35)</f>
        <v>1</v>
      </c>
      <c r="K36" s="54">
        <f>SUM(K31:K35)</f>
        <v>2</v>
      </c>
      <c r="M36" s="59">
        <f>SUM(M31:M35)</f>
        <v>0</v>
      </c>
      <c r="N36" s="54">
        <f>SUM(N31:N35)</f>
        <v>2</v>
      </c>
      <c r="P36" s="59">
        <f>SUM(P31:P35)</f>
        <v>0</v>
      </c>
      <c r="Q36" s="54">
        <f>SUM(Q31:Q35)</f>
        <v>0</v>
      </c>
      <c r="S36" s="59">
        <f>SUM(S31:S35)</f>
        <v>2</v>
      </c>
      <c r="T36" s="54">
        <f>SUM(T31:T35)</f>
        <v>2</v>
      </c>
      <c r="V36" s="59">
        <f>SUM(V31:V35)</f>
        <v>0</v>
      </c>
      <c r="W36" s="54">
        <f>SUM(W31:W35)</f>
        <v>2</v>
      </c>
      <c r="Y36" s="59">
        <f>SUM(Y31:Y35)</f>
        <v>0</v>
      </c>
      <c r="Z36" s="54">
        <f>SUM(Z31:Z35)</f>
        <v>2</v>
      </c>
      <c r="AB36" s="59">
        <f>SUM(AB31:AB35)</f>
        <v>0</v>
      </c>
      <c r="AC36" s="54">
        <f>SUM(AC31:AC35)</f>
        <v>0</v>
      </c>
      <c r="AE36" s="59">
        <f>SUM(AE31:AE35)</f>
        <v>2</v>
      </c>
      <c r="AW36" s="57"/>
    </row>
    <row r="37" spans="1:49" s="54" customFormat="1" ht="25.5" hidden="1" customHeight="1" x14ac:dyDescent="0.2">
      <c r="A37" s="58" t="s">
        <v>85</v>
      </c>
      <c r="B37" s="54">
        <f>IF(B36&gt;D36,IF(C71=AK7,1,IF(C71=AK7-1,1,0)),0)</f>
        <v>0</v>
      </c>
      <c r="C37" s="54">
        <f>B37+D37</f>
        <v>0</v>
      </c>
      <c r="D37" s="59">
        <f>IF(D36&gt;B36,IF(C71=AK7,1,IF(C71=AK7-1,1,0)),0)</f>
        <v>0</v>
      </c>
      <c r="E37" s="54">
        <f>IF(E36&gt;G36,IF(F71=AK7,1,IF(F71=AK7-1,1,0)),0)</f>
        <v>1</v>
      </c>
      <c r="F37" s="54">
        <f>E37+G37</f>
        <v>1</v>
      </c>
      <c r="G37" s="59">
        <f>IF(G36&gt;E36,IF(F71=AK7,1,IF(F71=AK7-1,1,0)),0)</f>
        <v>0</v>
      </c>
      <c r="H37" s="54">
        <f>IF(H36&gt;J36,IF(I71=AK7,1,IF(I71=AK7-1,1,0)),0)</f>
        <v>0</v>
      </c>
      <c r="I37" s="54">
        <f>H37+J37</f>
        <v>0</v>
      </c>
      <c r="J37" s="59">
        <f>IF(J36&gt;H36,IF(I71=AK7,1,IF(I71=AK7-1,1,0)),0)</f>
        <v>0</v>
      </c>
      <c r="K37" s="54">
        <f>IF(K36&gt;M36,IF(L71=AK7,1,IF(L71=AK7-1,1,0)),0)</f>
        <v>1</v>
      </c>
      <c r="L37" s="54">
        <f>K37+M37</f>
        <v>1</v>
      </c>
      <c r="M37" s="59">
        <f>IF(M36&gt;K36,IF(L71=AK7,1,IF(L71=AK7-1,1,0)),0)</f>
        <v>0</v>
      </c>
      <c r="N37" s="54">
        <f>IF(N36&gt;P36,IF(O71=AK7,1,IF(O71=AK7-1,1,0)),0)</f>
        <v>1</v>
      </c>
      <c r="O37" s="54">
        <f>N37+P37</f>
        <v>1</v>
      </c>
      <c r="P37" s="59">
        <f>IF(P36&gt;N36,IF(O71=AK7,1,IF(O71=AK7-1,1,0)),0)</f>
        <v>0</v>
      </c>
      <c r="Q37" s="54">
        <f>IF(Q36&gt;S36,IF(R71=AK7,1,IF(R71=AK7-1,1,0)),0)</f>
        <v>0</v>
      </c>
      <c r="R37" s="54">
        <f>Q37+S37</f>
        <v>1</v>
      </c>
      <c r="S37" s="59">
        <f>IF(S36&gt;Q36,IF(R71=AK7,1,IF(R71=AK7-1,1,0)),0)</f>
        <v>1</v>
      </c>
      <c r="T37" s="54">
        <f>IF(T36&gt;V36,IF(U71=AK7,1,IF(U71=AK7-1,1,0)),0)</f>
        <v>1</v>
      </c>
      <c r="U37" s="54">
        <f>T37+V37</f>
        <v>1</v>
      </c>
      <c r="V37" s="59">
        <f>IF(V36&gt;T36,IF(U71=AK7,1,IF(U71=AK7-1,1,0)),0)</f>
        <v>0</v>
      </c>
      <c r="W37" s="54">
        <f>IF(W36&gt;Y36,IF(X71=AK7,1,IF(X71=AK7-1,1,0)),0)</f>
        <v>1</v>
      </c>
      <c r="X37" s="54">
        <f>W37+Y37</f>
        <v>1</v>
      </c>
      <c r="Y37" s="59">
        <f>IF(Y36&gt;W36,IF(X71=AK7,1,IF(X71=AK7-1,1,0)),0)</f>
        <v>0</v>
      </c>
      <c r="Z37" s="54">
        <f>IF(Z36&gt;AB36,IF(AA71=AK7,1,IF(AA71=AK7-1,1,0)),0)</f>
        <v>1</v>
      </c>
      <c r="AA37" s="54">
        <f>Z37+AB37</f>
        <v>1</v>
      </c>
      <c r="AB37" s="59">
        <f>IF(AB36&gt;Z36,IF(AA71=AK7,1,IF(AA71=AK7-1,1,0)),0)</f>
        <v>0</v>
      </c>
      <c r="AC37" s="54">
        <f>IF(AC36&gt;AE36,IF(AD71=AK7,1,IF(AD71=AK7-1,1,0)),0)</f>
        <v>0</v>
      </c>
      <c r="AD37" s="54">
        <f>AC37+AE37</f>
        <v>1</v>
      </c>
      <c r="AE37" s="59">
        <f>IF(AE36&gt;AC36,IF(AD71=AK7,1,IF(AD71=AK7-1,1,0)),0)</f>
        <v>1</v>
      </c>
      <c r="AW37" s="57"/>
    </row>
    <row r="38" spans="1:49" s="54" customFormat="1" ht="25.5" hidden="1" customHeight="1" x14ac:dyDescent="0.2">
      <c r="A38" s="58"/>
      <c r="D38" s="59"/>
      <c r="G38" s="59"/>
      <c r="J38" s="59"/>
      <c r="M38" s="59"/>
      <c r="P38" s="59"/>
      <c r="S38" s="59"/>
      <c r="V38" s="59"/>
      <c r="Y38" s="59"/>
      <c r="AB38" s="59"/>
      <c r="AE38" s="59"/>
      <c r="AW38" s="57"/>
    </row>
    <row r="39" spans="1:49" s="54" customFormat="1" ht="12.75" hidden="1" customHeight="1" x14ac:dyDescent="0.2">
      <c r="A39" s="54" t="s">
        <v>86</v>
      </c>
      <c r="B39" s="54">
        <f>IF(B31=1,B25,0)</f>
        <v>0</v>
      </c>
      <c r="D39" s="59">
        <f t="shared" ref="D39:E43" si="2">IF(D31=1,D25,0)</f>
        <v>25</v>
      </c>
      <c r="E39" s="54">
        <f t="shared" si="2"/>
        <v>25</v>
      </c>
      <c r="G39" s="59">
        <f t="shared" ref="G39:H43" si="3">IF(G31=1,G25,0)</f>
        <v>0</v>
      </c>
      <c r="H39" s="54">
        <f t="shared" si="3"/>
        <v>25</v>
      </c>
      <c r="J39" s="59">
        <f t="shared" ref="J39:K43" si="4">IF(J31=1,J25,0)</f>
        <v>0</v>
      </c>
      <c r="K39" s="54">
        <f t="shared" si="4"/>
        <v>25</v>
      </c>
      <c r="M39" s="59">
        <f t="shared" ref="M39:N43" si="5">IF(M31=1,M25,0)</f>
        <v>0</v>
      </c>
      <c r="N39" s="54">
        <f t="shared" si="5"/>
        <v>25</v>
      </c>
      <c r="P39" s="59">
        <f t="shared" ref="P39:Q43" si="6">IF(P31=1,P25,0)</f>
        <v>0</v>
      </c>
      <c r="Q39" s="54">
        <f t="shared" si="6"/>
        <v>0</v>
      </c>
      <c r="S39" s="59">
        <f t="shared" ref="S39:T43" si="7">IF(S31=1,S25,0)</f>
        <v>25</v>
      </c>
      <c r="T39" s="54">
        <f t="shared" si="7"/>
        <v>26</v>
      </c>
      <c r="V39" s="59">
        <f t="shared" ref="V39:W43" si="8">IF(V31=1,V25,0)</f>
        <v>0</v>
      </c>
      <c r="W39" s="54">
        <f t="shared" si="8"/>
        <v>25</v>
      </c>
      <c r="Y39" s="59">
        <f t="shared" ref="Y39:Z43" si="9">IF(Y31=1,Y25,0)</f>
        <v>0</v>
      </c>
      <c r="Z39" s="54">
        <f t="shared" si="9"/>
        <v>27</v>
      </c>
      <c r="AB39" s="59">
        <f t="shared" ref="AB39:AC43" si="10">IF(AB31=1,AB25,0)</f>
        <v>0</v>
      </c>
      <c r="AC39" s="54">
        <f t="shared" si="10"/>
        <v>0</v>
      </c>
      <c r="AE39" s="59">
        <f>IF(AE31=1,AE25,0)</f>
        <v>25</v>
      </c>
      <c r="AW39" s="57"/>
    </row>
    <row r="40" spans="1:49" s="54" customFormat="1" ht="12.75" hidden="1" customHeight="1" x14ac:dyDescent="0.2">
      <c r="A40" s="54" t="s">
        <v>87</v>
      </c>
      <c r="B40" s="54">
        <f>IF(B32=1,B26,0)</f>
        <v>25</v>
      </c>
      <c r="D40" s="59">
        <f t="shared" si="2"/>
        <v>0</v>
      </c>
      <c r="E40" s="54">
        <f t="shared" si="2"/>
        <v>25</v>
      </c>
      <c r="G40" s="59">
        <f t="shared" si="3"/>
        <v>0</v>
      </c>
      <c r="H40" s="54">
        <f t="shared" si="3"/>
        <v>0</v>
      </c>
      <c r="J40" s="59">
        <f t="shared" si="4"/>
        <v>27</v>
      </c>
      <c r="K40" s="54">
        <f t="shared" si="4"/>
        <v>25</v>
      </c>
      <c r="M40" s="59">
        <f t="shared" si="5"/>
        <v>0</v>
      </c>
      <c r="N40" s="54">
        <f t="shared" si="5"/>
        <v>25</v>
      </c>
      <c r="P40" s="59">
        <f t="shared" si="6"/>
        <v>0</v>
      </c>
      <c r="Q40" s="54">
        <f t="shared" si="6"/>
        <v>0</v>
      </c>
      <c r="S40" s="59">
        <f t="shared" si="7"/>
        <v>25</v>
      </c>
      <c r="T40" s="54">
        <f t="shared" si="7"/>
        <v>25</v>
      </c>
      <c r="V40" s="59">
        <f t="shared" si="8"/>
        <v>0</v>
      </c>
      <c r="W40" s="54">
        <f t="shared" si="8"/>
        <v>25</v>
      </c>
      <c r="Y40" s="59">
        <f t="shared" si="9"/>
        <v>0</v>
      </c>
      <c r="Z40" s="54">
        <f t="shared" si="9"/>
        <v>25</v>
      </c>
      <c r="AB40" s="59">
        <f t="shared" si="10"/>
        <v>0</v>
      </c>
      <c r="AC40" s="54">
        <f t="shared" si="10"/>
        <v>0</v>
      </c>
      <c r="AE40" s="59">
        <f>IF(AE32=1,AE26,0)</f>
        <v>25</v>
      </c>
      <c r="AW40" s="57"/>
    </row>
    <row r="41" spans="1:49" s="54" customFormat="1" ht="12.75" hidden="1" customHeight="1" x14ac:dyDescent="0.2">
      <c r="A41" s="54" t="s">
        <v>88</v>
      </c>
      <c r="B41" s="54">
        <f>IF(B33=1,B27,0)</f>
        <v>0</v>
      </c>
      <c r="D41" s="59">
        <f t="shared" si="2"/>
        <v>0</v>
      </c>
      <c r="E41" s="54">
        <f t="shared" si="2"/>
        <v>0</v>
      </c>
      <c r="G41" s="59">
        <f t="shared" si="3"/>
        <v>0</v>
      </c>
      <c r="H41" s="54">
        <f t="shared" si="3"/>
        <v>0</v>
      </c>
      <c r="J41" s="59">
        <f t="shared" si="4"/>
        <v>0</v>
      </c>
      <c r="K41" s="54">
        <f t="shared" si="4"/>
        <v>0</v>
      </c>
      <c r="M41" s="59">
        <f t="shared" si="5"/>
        <v>0</v>
      </c>
      <c r="N41" s="54">
        <f t="shared" si="5"/>
        <v>0</v>
      </c>
      <c r="P41" s="59">
        <f t="shared" si="6"/>
        <v>0</v>
      </c>
      <c r="Q41" s="54">
        <f t="shared" si="6"/>
        <v>0</v>
      </c>
      <c r="S41" s="59">
        <f t="shared" si="7"/>
        <v>0</v>
      </c>
      <c r="T41" s="54">
        <f t="shared" si="7"/>
        <v>0</v>
      </c>
      <c r="V41" s="59">
        <f t="shared" si="8"/>
        <v>0</v>
      </c>
      <c r="W41" s="54">
        <f t="shared" si="8"/>
        <v>0</v>
      </c>
      <c r="Y41" s="59">
        <f t="shared" si="9"/>
        <v>0</v>
      </c>
      <c r="Z41" s="54">
        <f t="shared" si="9"/>
        <v>0</v>
      </c>
      <c r="AB41" s="59">
        <f t="shared" si="10"/>
        <v>0</v>
      </c>
      <c r="AC41" s="54">
        <f t="shared" si="10"/>
        <v>0</v>
      </c>
      <c r="AE41" s="59">
        <f>IF(AE33=1,AE27,0)</f>
        <v>0</v>
      </c>
      <c r="AW41" s="57"/>
    </row>
    <row r="42" spans="1:49" s="54" customFormat="1" ht="12.75" hidden="1" customHeight="1" x14ac:dyDescent="0.2">
      <c r="A42" s="54" t="s">
        <v>89</v>
      </c>
      <c r="B42" s="54">
        <f>IF(B34=1,B28,0)</f>
        <v>0</v>
      </c>
      <c r="D42" s="59">
        <f t="shared" si="2"/>
        <v>0</v>
      </c>
      <c r="E42" s="54">
        <f t="shared" si="2"/>
        <v>0</v>
      </c>
      <c r="G42" s="59">
        <f t="shared" si="3"/>
        <v>0</v>
      </c>
      <c r="H42" s="54">
        <f t="shared" si="3"/>
        <v>0</v>
      </c>
      <c r="J42" s="59">
        <f t="shared" si="4"/>
        <v>0</v>
      </c>
      <c r="K42" s="54">
        <f t="shared" si="4"/>
        <v>0</v>
      </c>
      <c r="M42" s="59">
        <f t="shared" si="5"/>
        <v>0</v>
      </c>
      <c r="N42" s="54">
        <f t="shared" si="5"/>
        <v>0</v>
      </c>
      <c r="P42" s="59">
        <f t="shared" si="6"/>
        <v>0</v>
      </c>
      <c r="Q42" s="54">
        <f t="shared" si="6"/>
        <v>0</v>
      </c>
      <c r="S42" s="59">
        <f t="shared" si="7"/>
        <v>0</v>
      </c>
      <c r="T42" s="54">
        <f t="shared" si="7"/>
        <v>0</v>
      </c>
      <c r="V42" s="59">
        <f t="shared" si="8"/>
        <v>0</v>
      </c>
      <c r="W42" s="54">
        <f t="shared" si="8"/>
        <v>0</v>
      </c>
      <c r="Y42" s="59">
        <f t="shared" si="9"/>
        <v>0</v>
      </c>
      <c r="Z42" s="54">
        <f t="shared" si="9"/>
        <v>0</v>
      </c>
      <c r="AB42" s="59">
        <f t="shared" si="10"/>
        <v>0</v>
      </c>
      <c r="AC42" s="54">
        <f t="shared" si="10"/>
        <v>0</v>
      </c>
      <c r="AE42" s="59">
        <f>IF(AE34=1,AE28,0)</f>
        <v>0</v>
      </c>
      <c r="AW42" s="57"/>
    </row>
    <row r="43" spans="1:49" s="54" customFormat="1" ht="12.75" hidden="1" customHeight="1" x14ac:dyDescent="0.2">
      <c r="A43" s="54" t="s">
        <v>90</v>
      </c>
      <c r="B43" s="54">
        <f>IF(B35=1,B29,0)</f>
        <v>0</v>
      </c>
      <c r="D43" s="59">
        <f t="shared" si="2"/>
        <v>0</v>
      </c>
      <c r="E43" s="54">
        <f t="shared" si="2"/>
        <v>0</v>
      </c>
      <c r="G43" s="59">
        <f t="shared" si="3"/>
        <v>0</v>
      </c>
      <c r="H43" s="54">
        <f t="shared" si="3"/>
        <v>0</v>
      </c>
      <c r="J43" s="59">
        <f t="shared" si="4"/>
        <v>0</v>
      </c>
      <c r="K43" s="54">
        <f t="shared" si="4"/>
        <v>0</v>
      </c>
      <c r="M43" s="59">
        <f t="shared" si="5"/>
        <v>0</v>
      </c>
      <c r="N43" s="54">
        <f t="shared" si="5"/>
        <v>0</v>
      </c>
      <c r="P43" s="59">
        <f t="shared" si="6"/>
        <v>0</v>
      </c>
      <c r="Q43" s="54">
        <f t="shared" si="6"/>
        <v>0</v>
      </c>
      <c r="S43" s="59">
        <f t="shared" si="7"/>
        <v>0</v>
      </c>
      <c r="T43" s="54">
        <f t="shared" si="7"/>
        <v>0</v>
      </c>
      <c r="V43" s="59">
        <f t="shared" si="8"/>
        <v>0</v>
      </c>
      <c r="W43" s="54">
        <f t="shared" si="8"/>
        <v>0</v>
      </c>
      <c r="Y43" s="59">
        <f t="shared" si="9"/>
        <v>0</v>
      </c>
      <c r="Z43" s="54">
        <f t="shared" si="9"/>
        <v>0</v>
      </c>
      <c r="AB43" s="59">
        <f t="shared" si="10"/>
        <v>0</v>
      </c>
      <c r="AC43" s="54">
        <f t="shared" si="10"/>
        <v>0</v>
      </c>
      <c r="AE43" s="59">
        <f>IF(AE35=1,AE29,0)</f>
        <v>0</v>
      </c>
      <c r="AW43" s="57"/>
    </row>
    <row r="44" spans="1:49" s="54" customFormat="1" ht="38.25" hidden="1" customHeight="1" x14ac:dyDescent="0.2">
      <c r="A44" s="58" t="s">
        <v>91</v>
      </c>
      <c r="B44" s="54">
        <f>SUM(B39:D43)</f>
        <v>50</v>
      </c>
      <c r="D44" s="59"/>
      <c r="E44" s="54">
        <f>SUM(E39:G43)</f>
        <v>50</v>
      </c>
      <c r="G44" s="59"/>
      <c r="H44" s="54">
        <f>SUM(H39:J43)</f>
        <v>52</v>
      </c>
      <c r="J44" s="59"/>
      <c r="K44" s="54">
        <f>SUM(K39:M43)</f>
        <v>50</v>
      </c>
      <c r="M44" s="59"/>
      <c r="N44" s="54">
        <f>SUM(N39:P43)</f>
        <v>50</v>
      </c>
      <c r="P44" s="59"/>
      <c r="Q44" s="54">
        <f>SUM(Q39:S43)</f>
        <v>50</v>
      </c>
      <c r="S44" s="59"/>
      <c r="T44" s="54">
        <f>SUM(T39:V43)</f>
        <v>51</v>
      </c>
      <c r="V44" s="59"/>
      <c r="W44" s="54">
        <f>SUM(W39:Y43)</f>
        <v>50</v>
      </c>
      <c r="Y44" s="59"/>
      <c r="Z44" s="54">
        <f>SUM(Z39:AB43)</f>
        <v>52</v>
      </c>
      <c r="AB44" s="59"/>
      <c r="AC44" s="54">
        <f>SUM(AC39:AE43)</f>
        <v>50</v>
      </c>
      <c r="AE44" s="59"/>
      <c r="AW44" s="57"/>
    </row>
    <row r="45" spans="1:49" s="54" customFormat="1" ht="38.25" hidden="1" customHeight="1" x14ac:dyDescent="0.2">
      <c r="A45" s="54" t="s">
        <v>92</v>
      </c>
      <c r="D45" s="59"/>
      <c r="G45" s="59"/>
      <c r="J45" s="59"/>
      <c r="M45" s="59"/>
      <c r="P45" s="59"/>
      <c r="S45" s="59"/>
      <c r="V45" s="59"/>
      <c r="Y45" s="59"/>
      <c r="AB45" s="59"/>
      <c r="AE45" s="59"/>
      <c r="AF45" s="58" t="s">
        <v>93</v>
      </c>
      <c r="AG45" s="54" t="s">
        <v>94</v>
      </c>
      <c r="AW45" s="57"/>
    </row>
    <row r="46" spans="1:49" s="54" customFormat="1" ht="12.75" hidden="1" customHeight="1" x14ac:dyDescent="0.2">
      <c r="A46" s="54" t="s">
        <v>95</v>
      </c>
      <c r="B46" s="54">
        <f>IF(B24=1,IF(B37=1,1,0),0)</f>
        <v>0</v>
      </c>
      <c r="D46" s="59">
        <f>IF(D24=1,IF(D37=1,1,0),0)</f>
        <v>0</v>
      </c>
      <c r="E46" s="54">
        <f>IF(E24=1,IF(E37=1,1,0),0)</f>
        <v>1</v>
      </c>
      <c r="G46" s="59">
        <f>IF(G24=1,IF(G37=1,1,0),0)</f>
        <v>0</v>
      </c>
      <c r="H46" s="54">
        <f>IF(H24=1,IF(H37=1,1,0),0)</f>
        <v>0</v>
      </c>
      <c r="J46" s="59">
        <f>IF(J24=1,IF(J37=1,1,0),0)</f>
        <v>0</v>
      </c>
      <c r="K46" s="54">
        <f>IF(K24=1,IF(K37=1,1,0),0)</f>
        <v>0</v>
      </c>
      <c r="M46" s="59">
        <f>IF(M24=1,IF(M37=1,1,0),0)</f>
        <v>0</v>
      </c>
      <c r="N46" s="54">
        <f>IF(N24=1,IF(N37=1,1,0),0)</f>
        <v>1</v>
      </c>
      <c r="P46" s="59">
        <f>IF(P24=1,IF(P37=1,1,0),0)</f>
        <v>0</v>
      </c>
      <c r="Q46" s="54">
        <f>IF(Q24=1,IF(Q37=1,1,0),0)</f>
        <v>0</v>
      </c>
      <c r="S46" s="59">
        <f>IF(S24=1,IF(S37=1,1,0),0)</f>
        <v>0</v>
      </c>
      <c r="T46" s="54">
        <f>IF(T24=1,IF(T37=1,1,0),0)</f>
        <v>0</v>
      </c>
      <c r="V46" s="59">
        <f>IF(V24=1,IF(V37=1,1,0),0)</f>
        <v>0</v>
      </c>
      <c r="W46" s="54">
        <f>IF(W24=1,IF(W37=1,1,0),0)</f>
        <v>1</v>
      </c>
      <c r="Y46" s="59">
        <f>IF(Y24=1,IF(Y37=1,1,0),0)</f>
        <v>0</v>
      </c>
      <c r="Z46" s="54">
        <f>IF(Z24=1,IF(Z37=1,1,0),0)</f>
        <v>0</v>
      </c>
      <c r="AB46" s="59">
        <f>IF(AB24=1,IF(AB37=1,1,0),0)</f>
        <v>0</v>
      </c>
      <c r="AC46" s="54">
        <f>IF(AC24=1,IF(AC37=1,1,0),0)</f>
        <v>0</v>
      </c>
      <c r="AE46" s="59">
        <f>IF(AE24=1,IF(AE37=1,1,0),0)</f>
        <v>0</v>
      </c>
      <c r="AF46" s="54">
        <f>SUM(B46:AE46)</f>
        <v>3</v>
      </c>
      <c r="AG46" s="54">
        <f>AF52-AF46</f>
        <v>1</v>
      </c>
      <c r="AW46" s="57"/>
    </row>
    <row r="47" spans="1:49" s="54" customFormat="1" ht="12.75" hidden="1" customHeight="1" x14ac:dyDescent="0.2">
      <c r="A47" s="54" t="s">
        <v>96</v>
      </c>
      <c r="B47" s="54">
        <f>IF(B24=2,IF(B37=1,1,0),0)</f>
        <v>0</v>
      </c>
      <c r="D47" s="59">
        <f>IF(D24=2,IF(D37=1,1,0),0)</f>
        <v>0</v>
      </c>
      <c r="E47" s="54">
        <f>IF(E24=2,IF(E37=1,1,0),0)</f>
        <v>0</v>
      </c>
      <c r="G47" s="59">
        <f>IF(G24=2,IF(G37=1,1,0),0)</f>
        <v>0</v>
      </c>
      <c r="H47" s="54">
        <f>IF(H24=2,IF(H37=1,1,0),0)</f>
        <v>0</v>
      </c>
      <c r="J47" s="59">
        <f>IF(J24=2,IF(J37=1,1,0),0)</f>
        <v>0</v>
      </c>
      <c r="K47" s="54">
        <f>IF(K24=2,IF(K37=1,1,0),0)</f>
        <v>1</v>
      </c>
      <c r="M47" s="59">
        <f>IF(M24=2,IF(M37=1,1,0),0)</f>
        <v>0</v>
      </c>
      <c r="N47" s="54">
        <f>IF(N24=2,IF(N37=1,1,0),0)</f>
        <v>0</v>
      </c>
      <c r="P47" s="59">
        <f>IF(P24=2,IF(P37=1,1,0),0)</f>
        <v>0</v>
      </c>
      <c r="Q47" s="54">
        <f>IF(Q24=2,IF(Q37=1,1,0),0)</f>
        <v>0</v>
      </c>
      <c r="S47" s="59">
        <f>IF(S24=2,IF(S37=1,1,0),0)</f>
        <v>0</v>
      </c>
      <c r="T47" s="54">
        <f>IF(T24=2,IF(T37=1,1,0),0)</f>
        <v>1</v>
      </c>
      <c r="V47" s="59">
        <f>IF(V24=2,IF(V37=1,1,0),0)</f>
        <v>0</v>
      </c>
      <c r="W47" s="54">
        <f>IF(W24=2,IF(W37=1,1,0),0)</f>
        <v>0</v>
      </c>
      <c r="Y47" s="59">
        <f>IF(Y24=2,IF(Y37=1,1,0),0)</f>
        <v>0</v>
      </c>
      <c r="Z47" s="54">
        <f>IF(Z24=2,IF(Z37=1,1,0),0)</f>
        <v>0</v>
      </c>
      <c r="AB47" s="59">
        <f>IF(AB24=2,IF(AB37=1,1,0),0)</f>
        <v>0</v>
      </c>
      <c r="AC47" s="54">
        <f>IF(AC24=2,IF(AC37=1,1,0),0)</f>
        <v>0</v>
      </c>
      <c r="AE47" s="59">
        <f>IF(AE24=2,IF(AE37=1,1,0),0)</f>
        <v>1</v>
      </c>
      <c r="AF47" s="54">
        <f>SUM(B47:AE47)</f>
        <v>3</v>
      </c>
      <c r="AG47" s="54">
        <f>AF53-AF47</f>
        <v>0</v>
      </c>
      <c r="AW47" s="57"/>
    </row>
    <row r="48" spans="1:49" s="54" customFormat="1" ht="12.75" hidden="1" customHeight="1" x14ac:dyDescent="0.2">
      <c r="A48" s="54" t="s">
        <v>97</v>
      </c>
      <c r="B48" s="54">
        <f>IF(B24=3,IF(B37=1,1,0),0)</f>
        <v>0</v>
      </c>
      <c r="D48" s="59">
        <f>IF(D24=3,IF(D37=1,1,0),0)</f>
        <v>0</v>
      </c>
      <c r="E48" s="54">
        <f>IF(E24=3,IF(E37=1,1,0),0)</f>
        <v>0</v>
      </c>
      <c r="G48" s="59">
        <f>IF(G24=3,IF(G37=1,1,0),0)</f>
        <v>0</v>
      </c>
      <c r="H48" s="54">
        <f>IF(H24=3,IF(H37=1,1,0),0)</f>
        <v>0</v>
      </c>
      <c r="J48" s="59">
        <f>IF(J24=3,IF(J37=1,1,0),0)</f>
        <v>0</v>
      </c>
      <c r="K48" s="54">
        <f>IF(K24=3,IF(K37=1,1,0),0)</f>
        <v>0</v>
      </c>
      <c r="M48" s="59">
        <f>IF(M24=3,IF(M37=1,1,0),0)</f>
        <v>0</v>
      </c>
      <c r="N48" s="54">
        <f>IF(N24=3,IF(N37=1,1,0),0)</f>
        <v>0</v>
      </c>
      <c r="P48" s="59">
        <f>IF(P24=3,IF(P37=1,1,0),0)</f>
        <v>0</v>
      </c>
      <c r="Q48" s="54">
        <f>IF(Q24=3,IF(Q37=1,1,0),0)</f>
        <v>0</v>
      </c>
      <c r="S48" s="59">
        <f>IF(S24=3,IF(S37=1,1,0),0)</f>
        <v>0</v>
      </c>
      <c r="T48" s="54">
        <f>IF(T24=3,IF(T37=1,1,0),0)</f>
        <v>0</v>
      </c>
      <c r="V48" s="59">
        <f>IF(V24=3,IF(V37=1,1,0),0)</f>
        <v>0</v>
      </c>
      <c r="W48" s="54">
        <f>IF(W24=3,IF(W37=1,1,0),0)</f>
        <v>0</v>
      </c>
      <c r="Y48" s="59">
        <f>IF(Y24=3,IF(Y37=1,1,0),0)</f>
        <v>0</v>
      </c>
      <c r="Z48" s="54">
        <f>IF(Z24=3,IF(Z37=1,1,0),0)</f>
        <v>1</v>
      </c>
      <c r="AB48" s="59">
        <f>IF(AB24=3,IF(AB37=1,1,0),0)</f>
        <v>0</v>
      </c>
      <c r="AC48" s="54">
        <f>IF(AC24=3,IF(AC37=1,1,0),0)</f>
        <v>0</v>
      </c>
      <c r="AE48" s="59">
        <f>IF(AE24=3,IF(AE37=1,1,0),0)</f>
        <v>0</v>
      </c>
      <c r="AF48" s="54">
        <f>SUM(B48:AE48)</f>
        <v>1</v>
      </c>
      <c r="AG48" s="54">
        <f>AF54-AF48</f>
        <v>2</v>
      </c>
      <c r="AW48" s="57"/>
    </row>
    <row r="49" spans="1:49" s="54" customFormat="1" ht="12.75" hidden="1" customHeight="1" x14ac:dyDescent="0.2">
      <c r="A49" s="54" t="s">
        <v>98</v>
      </c>
      <c r="B49" s="54">
        <f>IF(B24=4,IF(B37=1,1,0),0)</f>
        <v>0</v>
      </c>
      <c r="D49" s="59">
        <f>IF(D24=4,IF(D37=1,1,0),0)</f>
        <v>0</v>
      </c>
      <c r="E49" s="54">
        <f>IF(E24=4,IF(E37=1,1,0),0)</f>
        <v>0</v>
      </c>
      <c r="G49" s="59">
        <f>IF(G24=4,IF(G37=1,1,0),0)</f>
        <v>0</v>
      </c>
      <c r="H49" s="54">
        <f>IF(H24=4,IF(H37=1,1,0),0)</f>
        <v>0</v>
      </c>
      <c r="J49" s="59">
        <f>IF(J24=4,IF(J37=1,1,0),0)</f>
        <v>0</v>
      </c>
      <c r="K49" s="54">
        <f>IF(K24=4,IF(K37=1,1,0),0)</f>
        <v>0</v>
      </c>
      <c r="M49" s="59">
        <f>IF(M24=4,IF(M37=1,1,0),0)</f>
        <v>0</v>
      </c>
      <c r="N49" s="54">
        <f>IF(N24=4,IF(N37=1,1,0),0)</f>
        <v>0</v>
      </c>
      <c r="P49" s="59">
        <f>IF(P24=4,IF(P37=1,1,0),0)</f>
        <v>0</v>
      </c>
      <c r="Q49" s="54">
        <f>IF(Q24=4,IF(Q37=1,1,0),0)</f>
        <v>0</v>
      </c>
      <c r="S49" s="59">
        <f>IF(S24=4,IF(S37=1,1,0),0)</f>
        <v>0</v>
      </c>
      <c r="T49" s="54">
        <f>IF(T24=4,IF(T37=1,1,0),0)</f>
        <v>0</v>
      </c>
      <c r="V49" s="59">
        <f>IF(V24=4,IF(V37=1,1,0),0)</f>
        <v>0</v>
      </c>
      <c r="W49" s="54">
        <f>IF(W24=4,IF(W37=1,1,0),0)</f>
        <v>0</v>
      </c>
      <c r="Y49" s="59">
        <f>IF(Y24=4,IF(Y37=1,1,0),0)</f>
        <v>0</v>
      </c>
      <c r="Z49" s="54">
        <f>IF(Z24=4,IF(Z37=1,1,0),0)</f>
        <v>0</v>
      </c>
      <c r="AB49" s="59">
        <f>IF(AB24=4,IF(AB37=1,1,0),0)</f>
        <v>0</v>
      </c>
      <c r="AC49" s="54">
        <f>IF(AC24=4,IF(AC37=1,1,0),0)</f>
        <v>0</v>
      </c>
      <c r="AE49" s="59">
        <f>IF(AE24=4,IF(AE37=1,1,0),0)</f>
        <v>0</v>
      </c>
      <c r="AF49" s="54">
        <f>SUM(B49:AE49)</f>
        <v>0</v>
      </c>
      <c r="AG49" s="54">
        <f>AF55-AF49</f>
        <v>4</v>
      </c>
      <c r="AW49" s="57"/>
    </row>
    <row r="50" spans="1:49" s="54" customFormat="1" ht="12.75" hidden="1" customHeight="1" x14ac:dyDescent="0.2">
      <c r="A50" s="54" t="s">
        <v>99</v>
      </c>
      <c r="B50" s="54">
        <f>IF(B24=5,IF(B37=1,1,0),0)</f>
        <v>0</v>
      </c>
      <c r="D50" s="59">
        <f>IF(D24=5,IF(D37=1,1,0),0)</f>
        <v>0</v>
      </c>
      <c r="E50" s="54">
        <f>IF(E24=5,IF(E37=1,1,0),0)</f>
        <v>0</v>
      </c>
      <c r="G50" s="59">
        <f>IF(G24=5,IF(G37=1,1,0),0)</f>
        <v>0</v>
      </c>
      <c r="H50" s="54">
        <f>IF(H24=5,IF(H37=1,1,0),0)</f>
        <v>0</v>
      </c>
      <c r="J50" s="59">
        <f>IF(J24=5,IF(J37=1,1,0),0)</f>
        <v>0</v>
      </c>
      <c r="K50" s="54">
        <f>IF(K24=5,IF(K37=1,1,0),0)</f>
        <v>0</v>
      </c>
      <c r="M50" s="59">
        <f>IF(M24=5,IF(M37=1,1,0),0)</f>
        <v>0</v>
      </c>
      <c r="N50" s="54">
        <f>IF(N24=5,IF(N37=1,1,0),0)</f>
        <v>0</v>
      </c>
      <c r="P50" s="59">
        <f>IF(P24=5,IF(P37=1,1,0),0)</f>
        <v>0</v>
      </c>
      <c r="Q50" s="54">
        <f>IF(Q24=5,IF(Q37=1,1,0),0)</f>
        <v>0</v>
      </c>
      <c r="S50" s="59">
        <f>IF(S24=5,IF(S37=1,1,0),0)</f>
        <v>1</v>
      </c>
      <c r="T50" s="54">
        <f>IF(T24=5,IF(T37=1,1,0),0)</f>
        <v>0</v>
      </c>
      <c r="V50" s="59">
        <f>IF(V24=5,IF(V37=1,1,0),0)</f>
        <v>0</v>
      </c>
      <c r="W50" s="54">
        <f>IF(W24=5,IF(W37=1,1,0),0)</f>
        <v>0</v>
      </c>
      <c r="Y50" s="59">
        <f>IF(Y24=5,IF(Y37=1,1,0),0)</f>
        <v>0</v>
      </c>
      <c r="Z50" s="54">
        <f>IF(Z24=5,IF(Z37=1,1,0),0)</f>
        <v>0</v>
      </c>
      <c r="AB50" s="59">
        <f>IF(AB24=5,IF(AB37=1,1,0),0)</f>
        <v>0</v>
      </c>
      <c r="AC50" s="54">
        <f>IF(AC24=5,IF(AC37=1,1,0),0)</f>
        <v>0</v>
      </c>
      <c r="AE50" s="59">
        <f>IF(AE24=5,IF(AE37=1,1,0),0)</f>
        <v>0</v>
      </c>
      <c r="AF50" s="54">
        <f>SUM(B50:AE50)</f>
        <v>1</v>
      </c>
      <c r="AG50" s="54">
        <f>AF56-AF50</f>
        <v>1</v>
      </c>
      <c r="AW50" s="57"/>
    </row>
    <row r="51" spans="1:49" s="54" customFormat="1" ht="38.25" hidden="1" customHeight="1" x14ac:dyDescent="0.2">
      <c r="A51" s="58"/>
      <c r="D51" s="59"/>
      <c r="G51" s="59"/>
      <c r="J51" s="59"/>
      <c r="M51" s="59"/>
      <c r="P51" s="59"/>
      <c r="S51" s="59"/>
      <c r="V51" s="59"/>
      <c r="Y51" s="59"/>
      <c r="AB51" s="59"/>
      <c r="AE51" s="59"/>
      <c r="AF51" s="58" t="s">
        <v>100</v>
      </c>
      <c r="AW51" s="57"/>
    </row>
    <row r="52" spans="1:49" s="54" customFormat="1" ht="12.75" hidden="1" customHeight="1" x14ac:dyDescent="0.2">
      <c r="A52" s="54" t="s">
        <v>101</v>
      </c>
      <c r="B52" s="54">
        <f>IF(B24=1,IF(C37=1,1,0),0)</f>
        <v>0</v>
      </c>
      <c r="D52" s="59">
        <f>IF(D24=1,IF(C37=1,1,0),0)</f>
        <v>0</v>
      </c>
      <c r="E52" s="54">
        <f>IF(E24=1,IF(F37=1,1,0),0)</f>
        <v>1</v>
      </c>
      <c r="G52" s="59">
        <f>IF(G24=1,IF(F37=1,1,0),0)</f>
        <v>0</v>
      </c>
      <c r="H52" s="54">
        <f>IF(H24=1,IF(I37=1,1,0),0)</f>
        <v>0</v>
      </c>
      <c r="J52" s="59">
        <f>IF(J24=1,IF(I37=1,1,0),0)</f>
        <v>0</v>
      </c>
      <c r="K52" s="54">
        <f>IF(K24=1,IF(L37=1,1,0),0)</f>
        <v>0</v>
      </c>
      <c r="M52" s="59">
        <f>IF(M24=1,IF(L37=1,1,0),0)</f>
        <v>0</v>
      </c>
      <c r="N52" s="54">
        <f>IF(N24=1,IF(O37=1,1,0),0)</f>
        <v>1</v>
      </c>
      <c r="P52" s="59">
        <f>IF(P24=1,IF(O37=1,1,0),0)</f>
        <v>0</v>
      </c>
      <c r="Q52" s="54">
        <f>IF(Q24=1,IF(R37=1,1,0),0)</f>
        <v>0</v>
      </c>
      <c r="S52" s="59">
        <f>IF(S24=1,IF(R37=1,1,0),0)</f>
        <v>0</v>
      </c>
      <c r="T52" s="54">
        <f>IF(T24=1,IF(U37=1,1,0),0)</f>
        <v>0</v>
      </c>
      <c r="V52" s="59">
        <f>IF(V24=1,IF(U37=1,1,0),0)</f>
        <v>0</v>
      </c>
      <c r="W52" s="54">
        <f>IF(W24=1,IF(X37=1,1,0),0)</f>
        <v>1</v>
      </c>
      <c r="Y52" s="59">
        <f>IF(Y24=1,IF(X37=1,1,0),0)</f>
        <v>0</v>
      </c>
      <c r="Z52" s="54">
        <f>IF(Z24=1,IF(AA37=1,1,0),0)</f>
        <v>0</v>
      </c>
      <c r="AB52" s="59">
        <f>IF(AB24=1,IF(AA37=1,1,0),0)</f>
        <v>0</v>
      </c>
      <c r="AC52" s="54">
        <f>IF(AC24=1,IF(AD37=1,1,0),0)</f>
        <v>1</v>
      </c>
      <c r="AE52" s="59">
        <f>IF(AE24=1,IF(AD37=1,1,0),0)</f>
        <v>0</v>
      </c>
      <c r="AF52" s="54">
        <f>SUM(B52:AE52)</f>
        <v>4</v>
      </c>
      <c r="AW52" s="57"/>
    </row>
    <row r="53" spans="1:49" s="54" customFormat="1" ht="12.75" hidden="1" customHeight="1" x14ac:dyDescent="0.2">
      <c r="A53" s="54" t="s">
        <v>102</v>
      </c>
      <c r="B53" s="54">
        <f>IF(B24=2,IF(C37=1,1,0),0)</f>
        <v>0</v>
      </c>
      <c r="D53" s="59">
        <f>IF(D24=2,IF(C37=1,1,0),0)</f>
        <v>0</v>
      </c>
      <c r="E53" s="54">
        <f>IF(E24=2,IF(F37=1,1,0),0)</f>
        <v>0</v>
      </c>
      <c r="G53" s="59">
        <f>IF(G24=2,IF(F37=1,1,0),0)</f>
        <v>0</v>
      </c>
      <c r="H53" s="54">
        <f>IF(H24=2,IF(I37=1,1,0),0)</f>
        <v>0</v>
      </c>
      <c r="J53" s="59">
        <f>IF(J24=2,IF(I37=1,1,0),0)</f>
        <v>0</v>
      </c>
      <c r="K53" s="54">
        <f>IF(K24=2,IF(L37=1,1,0),0)</f>
        <v>1</v>
      </c>
      <c r="M53" s="59">
        <f>IF(M24=2,IF(L37=1,1,0),0)</f>
        <v>0</v>
      </c>
      <c r="N53" s="54">
        <f>IF(N24=2,IF(O37=1,1,0),0)</f>
        <v>0</v>
      </c>
      <c r="P53" s="59">
        <f>IF(P24=2,IF(O37=1,1,0),0)</f>
        <v>0</v>
      </c>
      <c r="Q53" s="54">
        <f>IF(Q24=2,IF(R37=1,1,0),0)</f>
        <v>0</v>
      </c>
      <c r="S53" s="59">
        <f>IF(S24=2,IF(R37=1,1,0),0)</f>
        <v>0</v>
      </c>
      <c r="T53" s="54">
        <f>IF(T24=2,IF(U37=1,1,0),0)</f>
        <v>1</v>
      </c>
      <c r="V53" s="59">
        <f>IF(V24=2,IF(U37=1,1,0),0)</f>
        <v>0</v>
      </c>
      <c r="W53" s="54">
        <f>IF(W24=2,IF(X37=1,1,0),0)</f>
        <v>0</v>
      </c>
      <c r="Y53" s="59">
        <f>IF(Y24=2,IF(X37=1,1,0),0)</f>
        <v>0</v>
      </c>
      <c r="Z53" s="54">
        <f>IF(Z24=2,IF(AA37=1,1,0),0)</f>
        <v>0</v>
      </c>
      <c r="AB53" s="59">
        <f>IF(AB24=2,IF(AA37=1,1,0),0)</f>
        <v>0</v>
      </c>
      <c r="AC53" s="54">
        <f>IF(AC24=2,IF(AD37=1,1,0),0)</f>
        <v>0</v>
      </c>
      <c r="AE53" s="59">
        <f>IF(AE24=2,IF(AD37=1,1,0),0)</f>
        <v>1</v>
      </c>
      <c r="AF53" s="54">
        <f>SUM(B53:AE53)</f>
        <v>3</v>
      </c>
      <c r="AW53" s="57"/>
    </row>
    <row r="54" spans="1:49" s="54" customFormat="1" ht="12.75" hidden="1" customHeight="1" x14ac:dyDescent="0.2">
      <c r="A54" s="54" t="s">
        <v>103</v>
      </c>
      <c r="B54" s="54">
        <f>IF(B24=3,IF(C37=1,1,0),0)</f>
        <v>0</v>
      </c>
      <c r="D54" s="59">
        <f>IF(D24=3,IF(C37=1,1,0),0)</f>
        <v>0</v>
      </c>
      <c r="E54" s="54">
        <f>IF(E24=3,IF(F37=1,1,0),0)</f>
        <v>0</v>
      </c>
      <c r="G54" s="59">
        <f>IF(G24=3,IF(F37=1,1,0),0)</f>
        <v>0</v>
      </c>
      <c r="H54" s="54">
        <f>IF(H24=3,IF(I37=1,1,0),0)</f>
        <v>0</v>
      </c>
      <c r="J54" s="59">
        <f>IF(J24=3,IF(I37=1,1,0),0)</f>
        <v>0</v>
      </c>
      <c r="K54" s="54">
        <f>IF(K24=3,IF(L37=1,1,0),0)</f>
        <v>0</v>
      </c>
      <c r="M54" s="59">
        <f>IF(M24=3,IF(L37=1,1,0),0)</f>
        <v>0</v>
      </c>
      <c r="N54" s="54">
        <f>IF(N24=3,IF(O37=1,1,0),0)</f>
        <v>0</v>
      </c>
      <c r="P54" s="59">
        <f>IF(P24=3,IF(O37=1,1,0),0)</f>
        <v>1</v>
      </c>
      <c r="Q54" s="54">
        <f>IF(Q24=3,IF(R37=1,1,0),0)</f>
        <v>0</v>
      </c>
      <c r="S54" s="59">
        <f>IF(S24=3,IF(R37=1,1,0),0)</f>
        <v>0</v>
      </c>
      <c r="T54" s="54">
        <f>IF(T24=3,IF(U37=1,1,0),0)</f>
        <v>0</v>
      </c>
      <c r="V54" s="59">
        <f>IF(V24=3,IF(U37=1,1,0),0)</f>
        <v>1</v>
      </c>
      <c r="W54" s="54">
        <f>IF(W24=3,IF(X37=1,1,0),0)</f>
        <v>0</v>
      </c>
      <c r="Y54" s="59">
        <f>IF(Y24=3,IF(X37=1,1,0),0)</f>
        <v>0</v>
      </c>
      <c r="Z54" s="54">
        <f>IF(Z24=3,IF(AA37=1,1,0),0)</f>
        <v>1</v>
      </c>
      <c r="AB54" s="59">
        <f>IF(AB24=3,IF(AA37=1,1,0),0)</f>
        <v>0</v>
      </c>
      <c r="AC54" s="54">
        <f>IF(AC24=3,IF(AD37=1,1,0),0)</f>
        <v>0</v>
      </c>
      <c r="AE54" s="59">
        <f>IF(AE24=3,IF(AD37=1,1,0),0)</f>
        <v>0</v>
      </c>
      <c r="AF54" s="54">
        <f>SUM(B54:AE54)</f>
        <v>3</v>
      </c>
      <c r="AW54" s="57"/>
    </row>
    <row r="55" spans="1:49" s="54" customFormat="1" ht="12.75" hidden="1" customHeight="1" x14ac:dyDescent="0.2">
      <c r="A55" s="54" t="s">
        <v>104</v>
      </c>
      <c r="B55" s="54">
        <f>IF(B24=4,IF(C37=1,1,0),0)</f>
        <v>0</v>
      </c>
      <c r="D55" s="59">
        <f>IF(D24=4,IF(C37=1,1,0),0)</f>
        <v>0</v>
      </c>
      <c r="E55" s="54">
        <f>IF(E24=4,IF(F37=1,1,0),0)</f>
        <v>0</v>
      </c>
      <c r="G55" s="59">
        <f>IF(G24=4,IF(F37=1,1,0),0)</f>
        <v>1</v>
      </c>
      <c r="H55" s="54">
        <f>IF(H24=4,IF(I37=1,1,0),0)</f>
        <v>0</v>
      </c>
      <c r="J55" s="59">
        <f>IF(J24=4,IF(I37=1,1,0),0)</f>
        <v>0</v>
      </c>
      <c r="K55" s="54">
        <f>IF(K24=4,IF(L37=1,1,0),0)</f>
        <v>0</v>
      </c>
      <c r="M55" s="59">
        <f>IF(M24=4,IF(L37=1,1,0),0)</f>
        <v>1</v>
      </c>
      <c r="N55" s="54">
        <f>IF(N24=4,IF(O37=1,1,0),0)</f>
        <v>0</v>
      </c>
      <c r="P55" s="59">
        <f>IF(P24=4,IF(O37=1,1,0),0)</f>
        <v>0</v>
      </c>
      <c r="Q55" s="54">
        <f>IF(Q24=4,IF(R37=1,1,0),0)</f>
        <v>1</v>
      </c>
      <c r="S55" s="59">
        <f>IF(S24=4,IF(R37=1,1,0),0)</f>
        <v>0</v>
      </c>
      <c r="T55" s="54">
        <f>IF(T24=4,IF(U37=1,1,0),0)</f>
        <v>0</v>
      </c>
      <c r="V55" s="59">
        <f>IF(V24=4,IF(U37=1,1,0),0)</f>
        <v>0</v>
      </c>
      <c r="W55" s="54">
        <f>IF(W24=4,IF(X37=1,1,0),0)</f>
        <v>0</v>
      </c>
      <c r="Y55" s="59">
        <f>IF(Y24=4,IF(X37=1,1,0),0)</f>
        <v>0</v>
      </c>
      <c r="Z55" s="54">
        <f>IF(Z24=4,IF(AA37=1,1,0),0)</f>
        <v>0</v>
      </c>
      <c r="AB55" s="59">
        <f>IF(AB24=4,IF(AA37=1,1,0),0)</f>
        <v>1</v>
      </c>
      <c r="AC55" s="54">
        <f>IF(AC24=4,IF(AD37=1,1,0),0)</f>
        <v>0</v>
      </c>
      <c r="AE55" s="59">
        <f>IF(AE24=4,IF(AD37=1,1,0),0)</f>
        <v>0</v>
      </c>
      <c r="AF55" s="54">
        <f>SUM(B55:AE55)</f>
        <v>4</v>
      </c>
      <c r="AW55" s="57"/>
    </row>
    <row r="56" spans="1:49" s="54" customFormat="1" ht="12.75" hidden="1" customHeight="1" x14ac:dyDescent="0.2">
      <c r="A56" s="54" t="s">
        <v>105</v>
      </c>
      <c r="B56" s="54">
        <f>IF(B24=5,IF(C37=1,1,0),0)</f>
        <v>0</v>
      </c>
      <c r="D56" s="59">
        <f>IF(D24=5,IF(C37=1,1,0),0)</f>
        <v>0</v>
      </c>
      <c r="E56" s="54">
        <f>IF(E24=5,IF(F37=1,1,0),0)</f>
        <v>0</v>
      </c>
      <c r="G56" s="59">
        <f>IF(G24=5,IF(F37=1,1,0),0)</f>
        <v>0</v>
      </c>
      <c r="H56" s="54">
        <f>IF(H24=5,IF(I37=1,1,0),0)</f>
        <v>0</v>
      </c>
      <c r="J56" s="59">
        <f>IF(J24=5,IF(I37=1,1,0),0)</f>
        <v>0</v>
      </c>
      <c r="K56" s="54">
        <f>IF(K24=5,IF(L37=1,1,0),0)</f>
        <v>0</v>
      </c>
      <c r="M56" s="59">
        <f>IF(M24=5,IF(L37=1,1,0),0)</f>
        <v>0</v>
      </c>
      <c r="N56" s="54">
        <f>IF(N24=5,IF(O37=1,1,0),0)</f>
        <v>0</v>
      </c>
      <c r="P56" s="59">
        <f>IF(P24=5,IF(O37=1,1,0),0)</f>
        <v>0</v>
      </c>
      <c r="Q56" s="54">
        <f>IF(Q24=5,IF(R37=1,1,0),0)</f>
        <v>0</v>
      </c>
      <c r="S56" s="59">
        <f>IF(S24=5,IF(R37=1,1,0),0)</f>
        <v>1</v>
      </c>
      <c r="T56" s="54">
        <f>IF(T24=5,IF(U37=1,1,0),0)</f>
        <v>0</v>
      </c>
      <c r="V56" s="59">
        <f>IF(V24=5,IF(U37=1,1,0),0)</f>
        <v>0</v>
      </c>
      <c r="W56" s="54">
        <f>IF(W24=5,IF(X37=1,1,0),0)</f>
        <v>0</v>
      </c>
      <c r="Y56" s="59">
        <f>IF(Y24=5,IF(X37=1,1,0),0)</f>
        <v>1</v>
      </c>
      <c r="Z56" s="54">
        <f>IF(Z24=5,IF(AA37=1,1,0),0)</f>
        <v>0</v>
      </c>
      <c r="AB56" s="59">
        <f>IF(AB24=5,IF(AA37=1,1,0),0)</f>
        <v>0</v>
      </c>
      <c r="AC56" s="54">
        <f>IF(AC24=5,IF(AD37=1,1,0),0)</f>
        <v>0</v>
      </c>
      <c r="AE56" s="59">
        <f>IF(AE24=5,IF(AD37=1,1,0),0)</f>
        <v>0</v>
      </c>
      <c r="AF56" s="54">
        <f>SUM(B56:AE56)</f>
        <v>2</v>
      </c>
      <c r="AW56" s="57"/>
    </row>
    <row r="57" spans="1:49" s="54" customFormat="1" ht="38.25" hidden="1" customHeight="1" x14ac:dyDescent="0.2">
      <c r="A57" s="58"/>
      <c r="D57" s="59"/>
      <c r="G57" s="59"/>
      <c r="J57" s="59"/>
      <c r="M57" s="59"/>
      <c r="P57" s="59"/>
      <c r="S57" s="59"/>
      <c r="V57" s="59"/>
      <c r="Y57" s="59"/>
      <c r="AB57" s="59"/>
      <c r="AE57" s="59"/>
      <c r="AF57" s="58" t="s">
        <v>106</v>
      </c>
      <c r="AG57" s="702"/>
      <c r="AH57" s="702"/>
      <c r="AI57" s="702"/>
      <c r="AJ57" s="702"/>
      <c r="AK57" s="702"/>
      <c r="AW57" s="57"/>
    </row>
    <row r="58" spans="1:49" s="54" customFormat="1" ht="12.75" hidden="1" customHeight="1" x14ac:dyDescent="0.2">
      <c r="A58" s="54" t="s">
        <v>101</v>
      </c>
      <c r="B58" s="54">
        <f>IF(B24=1,B44,0)</f>
        <v>0</v>
      </c>
      <c r="D58" s="59">
        <f>IF(D24=1,B44,0)</f>
        <v>0</v>
      </c>
      <c r="E58" s="54">
        <f>IF(E24=1,E44,0)</f>
        <v>50</v>
      </c>
      <c r="G58" s="59">
        <f>IF(G24=1,E44,0)</f>
        <v>0</v>
      </c>
      <c r="H58" s="54">
        <f>IF(H24=1,H44,0)</f>
        <v>0</v>
      </c>
      <c r="J58" s="59">
        <f>IF(J24=1,H44,0)</f>
        <v>0</v>
      </c>
      <c r="K58" s="54">
        <f>IF(K24=1,K44,0)</f>
        <v>0</v>
      </c>
      <c r="M58" s="59">
        <f>IF(M24=1,K44,0)</f>
        <v>0</v>
      </c>
      <c r="N58" s="54">
        <f>IF(N24=1,N44,0)</f>
        <v>50</v>
      </c>
      <c r="P58" s="59">
        <f>IF(P24=1,N44,0)</f>
        <v>0</v>
      </c>
      <c r="Q58" s="54">
        <f>IF(Q24=1,Q44,0)</f>
        <v>0</v>
      </c>
      <c r="S58" s="59">
        <f>IF(S24=1,Q44,0)</f>
        <v>0</v>
      </c>
      <c r="T58" s="54">
        <f>IF(T24=1,T44,0)</f>
        <v>0</v>
      </c>
      <c r="V58" s="59">
        <f>IF(V24=1,T44,0)</f>
        <v>0</v>
      </c>
      <c r="W58" s="54">
        <f>IF(W24=1,W44,0)</f>
        <v>50</v>
      </c>
      <c r="Y58" s="59">
        <f>IF(Y24=1,W44,0)</f>
        <v>0</v>
      </c>
      <c r="Z58" s="54">
        <f>IF(Z24=1,Z44,0)</f>
        <v>0</v>
      </c>
      <c r="AB58" s="59">
        <f>IF(AB24=1,Z44,0)</f>
        <v>0</v>
      </c>
      <c r="AC58" s="54">
        <f>IF(AC24=1,AC44,0)</f>
        <v>50</v>
      </c>
      <c r="AE58" s="59">
        <f>IF(AE24=1,AC44,0)</f>
        <v>0</v>
      </c>
      <c r="AF58" s="54">
        <f>SUM(B58:AE58)</f>
        <v>200</v>
      </c>
      <c r="AW58" s="57"/>
    </row>
    <row r="59" spans="1:49" s="54" customFormat="1" ht="12.75" hidden="1" customHeight="1" x14ac:dyDescent="0.2">
      <c r="A59" s="54" t="s">
        <v>102</v>
      </c>
      <c r="B59" s="54">
        <f>IF(B24=2,B44,0)</f>
        <v>50</v>
      </c>
      <c r="D59" s="59">
        <f>IF(D24=2,B44,0)</f>
        <v>0</v>
      </c>
      <c r="E59" s="54">
        <f>IF(E24=2,E44,0)</f>
        <v>0</v>
      </c>
      <c r="G59" s="59">
        <f>IF(G24=2,E44,0)</f>
        <v>0</v>
      </c>
      <c r="H59" s="54">
        <f>IF(H24=2,H44,0)</f>
        <v>0</v>
      </c>
      <c r="J59" s="59">
        <f>IF(J24=2,H44,0)</f>
        <v>0</v>
      </c>
      <c r="K59" s="54">
        <f>IF(K24=2,K44,0)</f>
        <v>50</v>
      </c>
      <c r="M59" s="59">
        <f>IF(M24=2,K44,0)</f>
        <v>0</v>
      </c>
      <c r="N59" s="54">
        <f>IF(N24=2,N44,0)</f>
        <v>0</v>
      </c>
      <c r="P59" s="59">
        <f>IF(P24=2,N44,0)</f>
        <v>0</v>
      </c>
      <c r="Q59" s="54">
        <f>IF(Q24=2,Q44,0)</f>
        <v>0</v>
      </c>
      <c r="S59" s="59">
        <f>IF(S24=2,Q44,0)</f>
        <v>0</v>
      </c>
      <c r="T59" s="54">
        <f>IF(T24=2,T44,0)</f>
        <v>51</v>
      </c>
      <c r="V59" s="59">
        <f>IF(V24=2,T44,0)</f>
        <v>0</v>
      </c>
      <c r="W59" s="54">
        <f>IF(W24=2,W44,0)</f>
        <v>0</v>
      </c>
      <c r="Y59" s="59">
        <f>IF(Y24=2,W44,0)</f>
        <v>0</v>
      </c>
      <c r="Z59" s="54">
        <f>IF(Z24=2,Z44,0)</f>
        <v>0</v>
      </c>
      <c r="AB59" s="59">
        <f>IF(AB24=2,Z44,0)</f>
        <v>0</v>
      </c>
      <c r="AC59" s="54">
        <f>IF(AC24=2,AC44,0)</f>
        <v>0</v>
      </c>
      <c r="AE59" s="59">
        <f>IF(AE24=2,AC44,0)</f>
        <v>50</v>
      </c>
      <c r="AF59" s="54">
        <f>SUM(B59:AE59)</f>
        <v>201</v>
      </c>
      <c r="AW59" s="57"/>
    </row>
    <row r="60" spans="1:49" s="54" customFormat="1" ht="12.75" hidden="1" customHeight="1" x14ac:dyDescent="0.2">
      <c r="A60" s="54" t="s">
        <v>103</v>
      </c>
      <c r="B60" s="54">
        <f>IF(B24=3,B44,0)</f>
        <v>0</v>
      </c>
      <c r="D60" s="59">
        <f>IF(D24=3,B44,0)</f>
        <v>0</v>
      </c>
      <c r="E60" s="54">
        <f>IF(E24=3,E44,0)</f>
        <v>0</v>
      </c>
      <c r="G60" s="59">
        <f>IF(G24=3,E44,0)</f>
        <v>0</v>
      </c>
      <c r="H60" s="54">
        <f>IF(H24=3,H44,0)</f>
        <v>52</v>
      </c>
      <c r="J60" s="59">
        <f>IF(J24=3,H44,0)</f>
        <v>0</v>
      </c>
      <c r="K60" s="54">
        <f>IF(K24=3,K44,0)</f>
        <v>0</v>
      </c>
      <c r="M60" s="59">
        <f>IF(M24=3,K44,0)</f>
        <v>0</v>
      </c>
      <c r="N60" s="54">
        <f>IF(N24=3,N44,0)</f>
        <v>0</v>
      </c>
      <c r="P60" s="59">
        <f>IF(P24=3,N44,0)</f>
        <v>50</v>
      </c>
      <c r="Q60" s="54">
        <f>IF(Q24=3,Q44,0)</f>
        <v>0</v>
      </c>
      <c r="S60" s="59">
        <f>IF(S24=3,Q44,0)</f>
        <v>0</v>
      </c>
      <c r="T60" s="54">
        <f>IF(T24=3,T44,0)</f>
        <v>0</v>
      </c>
      <c r="V60" s="59">
        <f>IF(V24=3,T44,0)</f>
        <v>51</v>
      </c>
      <c r="W60" s="54">
        <f>IF(W24=3,W44,0)</f>
        <v>0</v>
      </c>
      <c r="Y60" s="59">
        <f>IF(Y24=3,W44,0)</f>
        <v>0</v>
      </c>
      <c r="Z60" s="54">
        <f>IF(Z24=3,Z44,0)</f>
        <v>52</v>
      </c>
      <c r="AB60" s="59">
        <f>IF(AB24=3,Z44,0)</f>
        <v>0</v>
      </c>
      <c r="AC60" s="54">
        <f>IF(AC24=3,AC44,0)</f>
        <v>0</v>
      </c>
      <c r="AE60" s="59">
        <f>IF(AE24=3,AC44,0)</f>
        <v>0</v>
      </c>
      <c r="AF60" s="54">
        <f>SUM(B60:AE60)</f>
        <v>205</v>
      </c>
      <c r="AW60" s="57"/>
    </row>
    <row r="61" spans="1:49" s="54" customFormat="1" ht="12.75" hidden="1" customHeight="1" x14ac:dyDescent="0.2">
      <c r="A61" s="54" t="s">
        <v>104</v>
      </c>
      <c r="B61" s="54">
        <f>IF(B24=4,B44,0)</f>
        <v>0</v>
      </c>
      <c r="D61" s="59">
        <f>IF(D24=4,B44,0)</f>
        <v>0</v>
      </c>
      <c r="E61" s="54">
        <f>IF(E24=4,E44,0)</f>
        <v>0</v>
      </c>
      <c r="G61" s="59">
        <f>IF(G24=4,E44,0)</f>
        <v>50</v>
      </c>
      <c r="H61" s="54">
        <f>IF(H24=4,H44,0)</f>
        <v>0</v>
      </c>
      <c r="J61" s="59">
        <f>IF(J24=4,H44,0)</f>
        <v>0</v>
      </c>
      <c r="K61" s="54">
        <f>IF(K24=4,K44,0)</f>
        <v>0</v>
      </c>
      <c r="M61" s="59">
        <f>IF(M24=4,K44,0)</f>
        <v>50</v>
      </c>
      <c r="N61" s="54">
        <f>IF(N24=4,N44,0)</f>
        <v>0</v>
      </c>
      <c r="P61" s="59">
        <f>IF(P24=4,N44,0)</f>
        <v>0</v>
      </c>
      <c r="Q61" s="54">
        <f>IF(Q24=4,Q44,0)</f>
        <v>50</v>
      </c>
      <c r="S61" s="59">
        <f>IF(S24=4,Q44,0)</f>
        <v>0</v>
      </c>
      <c r="T61" s="54">
        <f>IF(T24=4,T44,0)</f>
        <v>0</v>
      </c>
      <c r="V61" s="59">
        <f>IF(V24=4,T44,0)</f>
        <v>0</v>
      </c>
      <c r="W61" s="54">
        <f>IF(W24=4,W44,0)</f>
        <v>0</v>
      </c>
      <c r="Y61" s="59">
        <f>IF(Y24=4,W44,0)</f>
        <v>0</v>
      </c>
      <c r="Z61" s="54">
        <f>IF(Z24=4,Z44,0)</f>
        <v>0</v>
      </c>
      <c r="AB61" s="59">
        <f>IF(AB24=4,Z44,0)</f>
        <v>52</v>
      </c>
      <c r="AC61" s="54">
        <f>IF(AC24=4,AC44,0)</f>
        <v>0</v>
      </c>
      <c r="AE61" s="59">
        <f>IF(AE24=4,AC44,0)</f>
        <v>0</v>
      </c>
      <c r="AF61" s="54">
        <f>SUM(B61:AE61)</f>
        <v>202</v>
      </c>
      <c r="AW61" s="57"/>
    </row>
    <row r="62" spans="1:49" s="54" customFormat="1" ht="12.75" hidden="1" customHeight="1" x14ac:dyDescent="0.2">
      <c r="A62" s="54" t="s">
        <v>105</v>
      </c>
      <c r="B62" s="54">
        <f>IF(B24=5,B44,0)</f>
        <v>0</v>
      </c>
      <c r="D62" s="59">
        <f>IF(D24=5,B44,0)</f>
        <v>50</v>
      </c>
      <c r="E62" s="54">
        <f>IF(E24=5,E44,0)</f>
        <v>0</v>
      </c>
      <c r="G62" s="59">
        <f>IF(G24=5,E44,0)</f>
        <v>0</v>
      </c>
      <c r="H62" s="54">
        <f>IF(H24=5,H44,0)</f>
        <v>0</v>
      </c>
      <c r="J62" s="59">
        <f>IF(J24=5,H44,0)</f>
        <v>52</v>
      </c>
      <c r="K62" s="54">
        <f>IF(K24=5,K44,0)</f>
        <v>0</v>
      </c>
      <c r="M62" s="59">
        <f>IF(M24=5,K44,0)</f>
        <v>0</v>
      </c>
      <c r="N62" s="54">
        <f>IF(N24=5,N44,0)</f>
        <v>0</v>
      </c>
      <c r="P62" s="59">
        <f>IF(P24=5,N44,0)</f>
        <v>0</v>
      </c>
      <c r="Q62" s="54">
        <f>IF(Q24=5,Q44,0)</f>
        <v>0</v>
      </c>
      <c r="S62" s="59">
        <f>IF(S24=5,Q44,0)</f>
        <v>50</v>
      </c>
      <c r="T62" s="54">
        <f>IF(T24=5,T44,0)</f>
        <v>0</v>
      </c>
      <c r="V62" s="59">
        <f>IF(V24=5,T44,0)</f>
        <v>0</v>
      </c>
      <c r="W62" s="54">
        <f>IF(W24=5,W44,0)</f>
        <v>0</v>
      </c>
      <c r="Y62" s="59">
        <f>IF(Y24=5,W44,0)</f>
        <v>50</v>
      </c>
      <c r="Z62" s="54">
        <f>IF(Z24=5,Z44,0)</f>
        <v>0</v>
      </c>
      <c r="AB62" s="59">
        <f>IF(AB24=5,Z44,0)</f>
        <v>0</v>
      </c>
      <c r="AC62" s="54">
        <f>IF(AC24=5,AC44,0)</f>
        <v>0</v>
      </c>
      <c r="AE62" s="59">
        <f>IF(AE24=5,AC44,0)</f>
        <v>0</v>
      </c>
      <c r="AF62" s="54">
        <f>SUM(B62:AE62)</f>
        <v>202</v>
      </c>
      <c r="AW62" s="57"/>
    </row>
    <row r="63" spans="1:49" s="54" customFormat="1" ht="38.25" hidden="1" customHeight="1" x14ac:dyDescent="0.2">
      <c r="A63" s="54" t="s">
        <v>107</v>
      </c>
      <c r="D63" s="59"/>
      <c r="G63" s="59"/>
      <c r="J63" s="59"/>
      <c r="M63" s="59"/>
      <c r="P63" s="59"/>
      <c r="S63" s="59"/>
      <c r="V63" s="59"/>
      <c r="Y63" s="59"/>
      <c r="AB63" s="59"/>
      <c r="AE63" s="59"/>
      <c r="AF63" s="58" t="s">
        <v>108</v>
      </c>
      <c r="AG63" s="54" t="s">
        <v>109</v>
      </c>
      <c r="AW63" s="57"/>
    </row>
    <row r="64" spans="1:49" s="54" customFormat="1" ht="12.75" hidden="1" customHeight="1" x14ac:dyDescent="0.2">
      <c r="A64" s="54" t="s">
        <v>95</v>
      </c>
      <c r="B64" s="54">
        <f>IF(B24=1,SUMIF(B31:B35,"&gt;0"),0)</f>
        <v>0</v>
      </c>
      <c r="D64" s="59">
        <f>IF(D24=1,SUMIF(D31:D35,"&gt;0"),0)</f>
        <v>0</v>
      </c>
      <c r="E64" s="54">
        <f>IF(E24=1,SUMIF(E31:E35,"&gt;0"),0)</f>
        <v>2</v>
      </c>
      <c r="G64" s="59">
        <f>IF(G24=1,SUMIF(G31:G35,"&gt;0"),0)</f>
        <v>0</v>
      </c>
      <c r="H64" s="54">
        <f>IF(H24=1,SUMIF(H31:H35,"&gt;0"),0)</f>
        <v>0</v>
      </c>
      <c r="J64" s="59">
        <f>IF(J24=1,SUMIF(J31:J35,"&gt;0"),0)</f>
        <v>0</v>
      </c>
      <c r="K64" s="54">
        <f>IF(K24=1,SUMIF(K31:K35,"&gt;0"),0)</f>
        <v>0</v>
      </c>
      <c r="M64" s="59">
        <f>IF(M24=1,SUMIF(M31:M35,"&gt;0"),0)</f>
        <v>0</v>
      </c>
      <c r="N64" s="54">
        <f>IF(N24=1,SUMIF(N31:N35,"&gt;0"),0)</f>
        <v>2</v>
      </c>
      <c r="P64" s="59">
        <f>IF(P24=1,SUMIF(P31:P35,"&gt;0"),0)</f>
        <v>0</v>
      </c>
      <c r="Q64" s="54">
        <f>IF(Q24=1,SUMIF(Q31:Q35,"&gt;0"),0)</f>
        <v>0</v>
      </c>
      <c r="S64" s="59">
        <f>IF(S24=1,SUMIF(S31:S35,"&gt;0"),0)</f>
        <v>0</v>
      </c>
      <c r="T64" s="54">
        <f>IF(T24=1,SUMIF(T31:T35,"&gt;0"),0)</f>
        <v>0</v>
      </c>
      <c r="V64" s="59">
        <f>IF(V24=1,SUMIF(V31:V35,"&gt;0"),0)</f>
        <v>0</v>
      </c>
      <c r="W64" s="54">
        <f>IF(W24=1,SUMIF(W31:W35,"&gt;0"),0)</f>
        <v>2</v>
      </c>
      <c r="Y64" s="59">
        <f>IF(Y24=1,SUMIF(Y31:Y35,"&gt;0"),0)</f>
        <v>0</v>
      </c>
      <c r="Z64" s="54">
        <f>IF(Z24=1,SUMIF(Z31:Z35,"&gt;0"),0)</f>
        <v>0</v>
      </c>
      <c r="AB64" s="59">
        <f>IF(AB24=1,SUMIF(AB31:AB35,"&gt;0"),0)</f>
        <v>0</v>
      </c>
      <c r="AC64" s="54">
        <f>IF(AC24=1,SUMIF(AC31:AC35,"&gt;0"),0)</f>
        <v>0</v>
      </c>
      <c r="AE64" s="59">
        <f>IF(AE24=1,SUMIF(AE31:AE35,"&gt;0"),0)</f>
        <v>0</v>
      </c>
      <c r="AF64" s="54">
        <f>SUM(B64:AE64)</f>
        <v>6</v>
      </c>
      <c r="AG64" s="54">
        <f>AF72-AF64</f>
        <v>2</v>
      </c>
      <c r="AW64" s="57"/>
    </row>
    <row r="65" spans="1:54" s="54" customFormat="1" ht="12.75" hidden="1" customHeight="1" x14ac:dyDescent="0.2">
      <c r="A65" s="54" t="s">
        <v>96</v>
      </c>
      <c r="B65" s="54">
        <f>IF(B24=2,SUMIF(B31:B35,"&gt;0"),0)</f>
        <v>1</v>
      </c>
      <c r="D65" s="59">
        <f>IF(D24=2,SUMIF(D31:D35,"&gt;0"),0)</f>
        <v>0</v>
      </c>
      <c r="E65" s="54">
        <f>IF(E24=2,SUMIF(E31:E35,"&gt;0"),0)</f>
        <v>0</v>
      </c>
      <c r="G65" s="59">
        <f>IF(G24=2,SUMIF(G31:G35,"&gt;0"),0)</f>
        <v>0</v>
      </c>
      <c r="H65" s="54">
        <f>IF(H24=2,SUMIF(H31:H35,"&gt;0"),0)</f>
        <v>0</v>
      </c>
      <c r="J65" s="59">
        <f>IF(J24=2,SUMIF(J31:J35,"&gt;0"),0)</f>
        <v>0</v>
      </c>
      <c r="K65" s="54">
        <f>IF(K24=2,SUMIF(K31:K35,"&gt;0"),0)</f>
        <v>2</v>
      </c>
      <c r="M65" s="59">
        <f>IF(M24=2,SUMIF(M31:M35,"&gt;0"),0)</f>
        <v>0</v>
      </c>
      <c r="N65" s="54">
        <f>IF(N24=2,SUMIF(N31:N35,"&gt;0"),0)</f>
        <v>0</v>
      </c>
      <c r="P65" s="59">
        <f>IF(P24=2,SUMIF(P31:P35,"&gt;0"),0)</f>
        <v>0</v>
      </c>
      <c r="Q65" s="54">
        <f>IF(Q24=2,SUMIF(Q31:Q35,"&gt;0"),0)</f>
        <v>0</v>
      </c>
      <c r="S65" s="59">
        <f>IF(S24=2,SUMIF(S31:S35,"&gt;0"),0)</f>
        <v>0</v>
      </c>
      <c r="T65" s="54">
        <f>IF(T24=2,SUMIF(T31:T35,"&gt;0"),0)</f>
        <v>2</v>
      </c>
      <c r="V65" s="59">
        <f>IF(V24=2,SUMIF(V31:V35,"&gt;0"),0)</f>
        <v>0</v>
      </c>
      <c r="W65" s="54">
        <f>IF(W24=2,SUMIF(W31:W35,"&gt;0"),0)</f>
        <v>0</v>
      </c>
      <c r="Y65" s="59">
        <f>IF(Y24=2,SUMIF(Y31:Y35,"&gt;0"),0)</f>
        <v>0</v>
      </c>
      <c r="Z65" s="54">
        <f>IF(Z24=2,SUMIF(Z31:Z35,"&gt;0"),0)</f>
        <v>0</v>
      </c>
      <c r="AB65" s="59">
        <f>IF(AB24=2,SUMIF(AB31:AB35,"&gt;0"),0)</f>
        <v>0</v>
      </c>
      <c r="AC65" s="54">
        <f>IF(AC24=2,SUMIF(AC31:AC35,"&gt;0"),0)</f>
        <v>0</v>
      </c>
      <c r="AE65" s="59">
        <f>IF(AE24=2,SUMIF(AE31:AE35,"&gt;0"),0)</f>
        <v>2</v>
      </c>
      <c r="AF65" s="54">
        <f>SUM(B65:AE65)</f>
        <v>7</v>
      </c>
      <c r="AG65" s="54">
        <f>AF73-AF65</f>
        <v>1</v>
      </c>
      <c r="AW65" s="57"/>
    </row>
    <row r="66" spans="1:54" s="54" customFormat="1" ht="12.75" hidden="1" customHeight="1" x14ac:dyDescent="0.2">
      <c r="A66" s="54" t="s">
        <v>97</v>
      </c>
      <c r="B66" s="54">
        <f>IF(B24=3,SUMIF(B31:B35,"&gt;0"),0)</f>
        <v>0</v>
      </c>
      <c r="D66" s="59">
        <f>IF(D24=3,SUMIF(D31:D35,"&gt;0"),0)</f>
        <v>0</v>
      </c>
      <c r="E66" s="54">
        <f>IF(E24=3,SUMIF(E31:E35,"&gt;0"),0)</f>
        <v>0</v>
      </c>
      <c r="G66" s="59">
        <f>IF(G24=3,SUMIF(G31:G35,"&gt;0"),0)</f>
        <v>0</v>
      </c>
      <c r="H66" s="54">
        <f>IF(H24=3,SUMIF(H31:H35,"&gt;0"),0)</f>
        <v>1</v>
      </c>
      <c r="J66" s="59">
        <f>IF(J24=3,SUMIF(J31:J35,"&gt;0"),0)</f>
        <v>0</v>
      </c>
      <c r="K66" s="54">
        <f>IF(K24=3,SUMIF(K31:K35,"&gt;0"),0)</f>
        <v>0</v>
      </c>
      <c r="M66" s="59">
        <f>IF(M24=3,SUMIF(M31:M35,"&gt;0"),0)</f>
        <v>0</v>
      </c>
      <c r="N66" s="54">
        <f>IF(N24=3,SUMIF(N31:N35,"&gt;0"),0)</f>
        <v>0</v>
      </c>
      <c r="P66" s="59">
        <f>IF(P24=3,SUMIF(P31:P35,"&gt;0"),0)</f>
        <v>0</v>
      </c>
      <c r="Q66" s="54">
        <f>IF(Q24=3,SUMIF(Q31:Q35,"&gt;0"),0)</f>
        <v>0</v>
      </c>
      <c r="S66" s="59">
        <f>IF(S24=3,SUMIF(S31:S35,"&gt;0"),0)</f>
        <v>0</v>
      </c>
      <c r="T66" s="54">
        <f>IF(T24=3,SUMIF(T31:T35,"&gt;0"),0)</f>
        <v>0</v>
      </c>
      <c r="V66" s="59">
        <f>IF(V24=3,SUMIF(V31:V35,"&gt;0"),0)</f>
        <v>0</v>
      </c>
      <c r="W66" s="54">
        <f>IF(W24=3,SUMIF(W31:W35,"&gt;0"),0)</f>
        <v>0</v>
      </c>
      <c r="Y66" s="59">
        <f>IF(Y24=3,SUMIF(Y31:Y35,"&gt;0"),0)</f>
        <v>0</v>
      </c>
      <c r="Z66" s="54">
        <f>IF(Z24=3,SUMIF(Z31:Z35,"&gt;0"),0)</f>
        <v>2</v>
      </c>
      <c r="AB66" s="59">
        <f>IF(AB24=3,SUMIF(AB31:AB35,"&gt;0"),0)</f>
        <v>0</v>
      </c>
      <c r="AC66" s="54">
        <f>IF(AC24=3,SUMIF(AC31:AC35,"&gt;0"),0)</f>
        <v>0</v>
      </c>
      <c r="AE66" s="59">
        <f>IF(AE24=3,SUMIF(AE31:AE35,"&gt;0"),0)</f>
        <v>0</v>
      </c>
      <c r="AF66" s="54">
        <f>SUM(B66:AE66)</f>
        <v>3</v>
      </c>
      <c r="AG66" s="54">
        <f>AF74-AF66</f>
        <v>5</v>
      </c>
      <c r="AW66" s="57"/>
    </row>
    <row r="67" spans="1:54" s="54" customFormat="1" ht="12.75" hidden="1" customHeight="1" x14ac:dyDescent="0.2">
      <c r="A67" s="54" t="s">
        <v>98</v>
      </c>
      <c r="B67" s="54">
        <f>IF(B24=4,SUMIF(B31:B35,"&gt;0"),0)</f>
        <v>0</v>
      </c>
      <c r="D67" s="59">
        <f>IF(D24=4,SUMIF(D31:D35,"&gt;0"),0)</f>
        <v>0</v>
      </c>
      <c r="E67" s="54">
        <f>IF(E24=4,SUMIF(E31:E35,"&gt;0"),0)</f>
        <v>0</v>
      </c>
      <c r="G67" s="59">
        <f>IF(G24=4,SUMIF(G31:G35,"&gt;0"),0)</f>
        <v>0</v>
      </c>
      <c r="H67" s="54">
        <f>IF(H24=4,SUMIF(H31:H35,"&gt;0"),0)</f>
        <v>0</v>
      </c>
      <c r="J67" s="59">
        <f>IF(J24=4,SUMIF(J31:J35,"&gt;0"),0)</f>
        <v>0</v>
      </c>
      <c r="K67" s="54">
        <f>IF(K24=4,SUMIF(K31:K35,"&gt;0"),0)</f>
        <v>0</v>
      </c>
      <c r="M67" s="59">
        <f>IF(M24=4,SUMIF(M31:M35,"&gt;0"),0)</f>
        <v>0</v>
      </c>
      <c r="N67" s="54">
        <f>IF(N24=4,SUMIF(N31:N35,"&gt;0"),0)</f>
        <v>0</v>
      </c>
      <c r="P67" s="59">
        <f>IF(P24=4,SUMIF(P31:P35,"&gt;0"),0)</f>
        <v>0</v>
      </c>
      <c r="Q67" s="54">
        <f>IF(Q24=4,SUMIF(Q31:Q35,"&gt;0"),0)</f>
        <v>0</v>
      </c>
      <c r="S67" s="59">
        <f>IF(S24=4,SUMIF(S31:S35,"&gt;0"),0)</f>
        <v>0</v>
      </c>
      <c r="T67" s="54">
        <f>IF(T24=4,SUMIF(T31:T35,"&gt;0"),0)</f>
        <v>0</v>
      </c>
      <c r="V67" s="59">
        <f>IF(V24=4,SUMIF(V31:V35,"&gt;0"),0)</f>
        <v>0</v>
      </c>
      <c r="W67" s="54">
        <f>IF(W24=4,SUMIF(W31:W35,"&gt;0"),0)</f>
        <v>0</v>
      </c>
      <c r="Y67" s="59">
        <f>IF(Y24=4,SUMIF(Y31:Y35,"&gt;0"),0)</f>
        <v>0</v>
      </c>
      <c r="Z67" s="54">
        <f>IF(Z24=4,SUMIF(Z31:Z35,"&gt;0"),0)</f>
        <v>0</v>
      </c>
      <c r="AB67" s="59">
        <f>IF(AB24=4,SUMIF(AB31:AB35,"&gt;0"),0)</f>
        <v>0</v>
      </c>
      <c r="AC67" s="54">
        <f>IF(AC24=4,SUMIF(AC31:AC35,"&gt;0"),0)</f>
        <v>0</v>
      </c>
      <c r="AE67" s="59">
        <f>IF(AE24=4,SUMIF(AE31:AE35,"&gt;0"),0)</f>
        <v>0</v>
      </c>
      <c r="AF67" s="54">
        <f>SUM(B67:AE67)</f>
        <v>0</v>
      </c>
      <c r="AG67" s="54">
        <f>AF75-AF67</f>
        <v>8</v>
      </c>
      <c r="AW67" s="57"/>
    </row>
    <row r="68" spans="1:54" s="54" customFormat="1" ht="12.75" hidden="1" customHeight="1" x14ac:dyDescent="0.2">
      <c r="A68" s="54" t="s">
        <v>99</v>
      </c>
      <c r="B68" s="54">
        <f>IF(B24=5,SUMIF(B31:B35,"&gt;0"),0)</f>
        <v>0</v>
      </c>
      <c r="D68" s="59">
        <f>IF(D24=5,SUMIF(D31:D35,"&gt;0"),0)</f>
        <v>1</v>
      </c>
      <c r="E68" s="54">
        <f>IF(E24=5,SUMIF(E31:E35,"&gt;0"),0)</f>
        <v>0</v>
      </c>
      <c r="G68" s="59">
        <f>IF(G24=5,SUMIF(G31:G35,"&gt;0"),0)</f>
        <v>0</v>
      </c>
      <c r="H68" s="54">
        <f>IF(H24=5,SUMIF(H31:H35,"&gt;0"),0)</f>
        <v>0</v>
      </c>
      <c r="J68" s="59">
        <f>IF(J24=5,SUMIF(J31:J35,"&gt;0"),0)</f>
        <v>1</v>
      </c>
      <c r="K68" s="54">
        <f>IF(K24=5,SUMIF(K31:K35,"&gt;0"),0)</f>
        <v>0</v>
      </c>
      <c r="M68" s="59">
        <f>IF(M24=5,SUMIF(M31:M35,"&gt;0"),0)</f>
        <v>0</v>
      </c>
      <c r="N68" s="54">
        <f>IF(N24=5,SUMIF(N31:N35,"&gt;0"),0)</f>
        <v>0</v>
      </c>
      <c r="P68" s="59">
        <f>IF(P24=5,SUMIF(P31:P35,"&gt;0"),0)</f>
        <v>0</v>
      </c>
      <c r="Q68" s="54">
        <f>IF(Q24=5,SUMIF(Q31:Q35,"&gt;0"),0)</f>
        <v>0</v>
      </c>
      <c r="S68" s="59">
        <f>IF(S24=5,SUMIF(S31:S35,"&gt;0"),0)</f>
        <v>2</v>
      </c>
      <c r="T68" s="54">
        <f>IF(T24=5,SUMIF(T31:T35,"&gt;0"),0)</f>
        <v>0</v>
      </c>
      <c r="V68" s="59">
        <f>IF(V24=5,SUMIF(V31:V35,"&gt;0"),0)</f>
        <v>0</v>
      </c>
      <c r="W68" s="54">
        <f>IF(W24=5,SUMIF(W31:W35,"&gt;0"),0)</f>
        <v>0</v>
      </c>
      <c r="Y68" s="59">
        <f>IF(Y24=5,SUMIF(Y31:Y35,"&gt;0"),0)</f>
        <v>0</v>
      </c>
      <c r="Z68" s="54">
        <f>IF(Z24=5,SUMIF(Z31:Z35,"&gt;0"),0)</f>
        <v>0</v>
      </c>
      <c r="AB68" s="59">
        <f>IF(AB24=5,SUMIF(AB31:AB35,"&gt;0"),0)</f>
        <v>0</v>
      </c>
      <c r="AC68" s="54">
        <f>IF(AC24=5,SUMIF(AC31:AC35,"&gt;0"),0)</f>
        <v>0</v>
      </c>
      <c r="AE68" s="59">
        <f>IF(AE24=5,SUMIF(AE31:AE35,"&gt;0"),0)</f>
        <v>0</v>
      </c>
      <c r="AF68" s="54">
        <f>SUM(B68:AE68)</f>
        <v>4</v>
      </c>
      <c r="AG68" s="54">
        <f>AF76-AF68</f>
        <v>4</v>
      </c>
      <c r="AW68" s="57"/>
    </row>
    <row r="69" spans="1:54" s="54" customFormat="1" ht="12.75" hidden="1" customHeight="1" x14ac:dyDescent="0.2">
      <c r="D69" s="59"/>
      <c r="G69" s="59"/>
      <c r="J69" s="59"/>
      <c r="M69" s="59"/>
      <c r="P69" s="59"/>
      <c r="S69" s="59"/>
      <c r="V69" s="59"/>
      <c r="Y69" s="59"/>
      <c r="AB69" s="59"/>
      <c r="AE69" s="59"/>
      <c r="AW69" s="57"/>
    </row>
    <row r="70" spans="1:54" s="54" customFormat="1" ht="12.75" hidden="1" customHeight="1" x14ac:dyDescent="0.2">
      <c r="D70" s="59"/>
      <c r="G70" s="59"/>
      <c r="J70" s="59"/>
      <c r="M70" s="59"/>
      <c r="P70" s="59"/>
      <c r="S70" s="59"/>
      <c r="V70" s="59"/>
      <c r="Y70" s="59"/>
      <c r="AB70" s="59"/>
      <c r="AE70" s="59"/>
      <c r="AW70" s="57"/>
    </row>
    <row r="71" spans="1:54" s="54" customFormat="1" ht="51" hidden="1" customHeight="1" x14ac:dyDescent="0.2">
      <c r="A71" s="58" t="s">
        <v>110</v>
      </c>
      <c r="C71" s="54">
        <f>SUMIF(B64:D68,"&gt;0")</f>
        <v>2</v>
      </c>
      <c r="D71" s="59"/>
      <c r="F71" s="54">
        <f>SUMIF(E64:G68,"&gt;0")</f>
        <v>2</v>
      </c>
      <c r="G71" s="59"/>
      <c r="I71" s="54">
        <f>SUMIF(H64:J68,"&gt;0")</f>
        <v>2</v>
      </c>
      <c r="J71" s="59"/>
      <c r="L71" s="54">
        <f>SUMIF(K64:M68,"&gt;0")</f>
        <v>2</v>
      </c>
      <c r="M71" s="59"/>
      <c r="O71" s="54">
        <f>SUMIF(N64:P68,"&gt;0")</f>
        <v>2</v>
      </c>
      <c r="P71" s="59"/>
      <c r="R71" s="54">
        <f>SUMIF(Q64:S68,"&gt;0")</f>
        <v>2</v>
      </c>
      <c r="S71" s="59"/>
      <c r="U71" s="54">
        <f>SUMIF(T64:V68,"&gt;0")</f>
        <v>2</v>
      </c>
      <c r="V71" s="59"/>
      <c r="X71" s="54">
        <f>SUMIF(W64:Y68,"&gt;0")</f>
        <v>2</v>
      </c>
      <c r="Y71" s="59"/>
      <c r="AA71" s="54">
        <f>SUMIF(Z64:AB68,"&gt;0")</f>
        <v>2</v>
      </c>
      <c r="AB71" s="59"/>
      <c r="AD71" s="54">
        <f>SUMIF(AC64:AE68,"&gt;0")</f>
        <v>2</v>
      </c>
      <c r="AE71" s="59"/>
      <c r="AF71" s="58" t="s">
        <v>111</v>
      </c>
      <c r="AW71" s="57"/>
    </row>
    <row r="72" spans="1:54" s="54" customFormat="1" ht="12.75" hidden="1" customHeight="1" x14ac:dyDescent="0.2">
      <c r="A72" s="54" t="s">
        <v>101</v>
      </c>
      <c r="B72" s="54">
        <f>IF(B24=1,C71,0)</f>
        <v>0</v>
      </c>
      <c r="D72" s="59">
        <f>IF(D24=1,C71,0)</f>
        <v>0</v>
      </c>
      <c r="E72" s="54">
        <f>IF(E24=1,F71,0)</f>
        <v>2</v>
      </c>
      <c r="G72" s="59">
        <f>IF(G24=1,F71,0)</f>
        <v>0</v>
      </c>
      <c r="H72" s="54">
        <f>IF(H24=1,I71,0)</f>
        <v>0</v>
      </c>
      <c r="J72" s="59">
        <f>IF(J24=1,I71,0)</f>
        <v>0</v>
      </c>
      <c r="K72" s="54">
        <f>IF(K24=1,L71,0)</f>
        <v>0</v>
      </c>
      <c r="M72" s="59">
        <f>IF(M24=1,L71,0)</f>
        <v>0</v>
      </c>
      <c r="N72" s="54">
        <f>IF(N24=1,O71,0)</f>
        <v>2</v>
      </c>
      <c r="P72" s="59">
        <f>IF(P24=1,O71,0)</f>
        <v>0</v>
      </c>
      <c r="Q72" s="54">
        <f>IF(Q24=1,R71,0)</f>
        <v>0</v>
      </c>
      <c r="S72" s="59">
        <f>IF(S24=1,R71,0)</f>
        <v>0</v>
      </c>
      <c r="T72" s="54">
        <f>IF(T24=1,U71,0)</f>
        <v>0</v>
      </c>
      <c r="V72" s="59">
        <f>IF(V24=1,U71,0)</f>
        <v>0</v>
      </c>
      <c r="W72" s="54">
        <f>IF(W24=1,X71,0)</f>
        <v>2</v>
      </c>
      <c r="Y72" s="59">
        <f>IF(Y24=1,X71,0)</f>
        <v>0</v>
      </c>
      <c r="Z72" s="54">
        <f>IF(Z24=1,AA71,0)</f>
        <v>0</v>
      </c>
      <c r="AB72" s="59">
        <f>IF(AB24=1,AA71,0)</f>
        <v>0</v>
      </c>
      <c r="AC72" s="54">
        <f>IF(AC24=1,AD71,0)</f>
        <v>2</v>
      </c>
      <c r="AE72" s="59">
        <f>IF(AE24=1,AD71,0)</f>
        <v>0</v>
      </c>
      <c r="AF72" s="54">
        <f>SUM(B72:AE72)</f>
        <v>8</v>
      </c>
      <c r="AW72" s="57"/>
    </row>
    <row r="73" spans="1:54" s="54" customFormat="1" ht="12.75" hidden="1" customHeight="1" x14ac:dyDescent="0.2">
      <c r="A73" s="54" t="s">
        <v>102</v>
      </c>
      <c r="B73" s="54">
        <f>IF(B24=2,C71,0)</f>
        <v>2</v>
      </c>
      <c r="D73" s="59">
        <f>IF(D24=2,C71,0)</f>
        <v>0</v>
      </c>
      <c r="E73" s="54">
        <f>IF(E24=2,F71,0)</f>
        <v>0</v>
      </c>
      <c r="G73" s="59">
        <f>IF(G24=2,F71,0)</f>
        <v>0</v>
      </c>
      <c r="H73" s="54">
        <f>IF(H24=2,I71,0)</f>
        <v>0</v>
      </c>
      <c r="J73" s="59">
        <f>IF(J24=2,I71,0)</f>
        <v>0</v>
      </c>
      <c r="K73" s="54">
        <f>IF(K24=2,L71,0)</f>
        <v>2</v>
      </c>
      <c r="M73" s="59">
        <f>IF(M24=2,L71,0)</f>
        <v>0</v>
      </c>
      <c r="N73" s="54">
        <f>IF(N24=2,O71,0)</f>
        <v>0</v>
      </c>
      <c r="P73" s="59">
        <f>IF(P24=2,O71,0)</f>
        <v>0</v>
      </c>
      <c r="Q73" s="54">
        <f>IF(Q24=2,R71,0)</f>
        <v>0</v>
      </c>
      <c r="S73" s="59">
        <f>IF(S24=2,R71,0)</f>
        <v>0</v>
      </c>
      <c r="T73" s="54">
        <f>IF(T24=2,U71,0)</f>
        <v>2</v>
      </c>
      <c r="V73" s="59">
        <f>IF(V24=2,U71,0)</f>
        <v>0</v>
      </c>
      <c r="W73" s="54">
        <f>IF(W24=2,X71,0)</f>
        <v>0</v>
      </c>
      <c r="Y73" s="59">
        <f>IF(Y24=2,X71,0)</f>
        <v>0</v>
      </c>
      <c r="Z73" s="54">
        <f>IF(Z24=2,AA71,0)</f>
        <v>0</v>
      </c>
      <c r="AB73" s="59">
        <f>IF(AB24=2,AA71,0)</f>
        <v>0</v>
      </c>
      <c r="AC73" s="54">
        <f>IF(AC24=2,AD71,0)</f>
        <v>0</v>
      </c>
      <c r="AE73" s="59">
        <f>IF(AE24=2,AD71,0)</f>
        <v>2</v>
      </c>
      <c r="AF73" s="54">
        <f>SUM(B73:AE73)</f>
        <v>8</v>
      </c>
      <c r="AW73" s="57"/>
    </row>
    <row r="74" spans="1:54" s="54" customFormat="1" ht="12.75" hidden="1" customHeight="1" x14ac:dyDescent="0.2">
      <c r="A74" s="54" t="s">
        <v>103</v>
      </c>
      <c r="B74" s="54">
        <f>IF(B24=3,C71,0)</f>
        <v>0</v>
      </c>
      <c r="D74" s="59">
        <f>IF(D24=3,C71,0)</f>
        <v>0</v>
      </c>
      <c r="E74" s="54">
        <f>IF(E24=3,F71,0)</f>
        <v>0</v>
      </c>
      <c r="G74" s="59">
        <f>IF(G24=3,F71,0)</f>
        <v>0</v>
      </c>
      <c r="H74" s="54">
        <f>IF(H24=3,I71,0)</f>
        <v>2</v>
      </c>
      <c r="J74" s="59">
        <f>IF(J24=3,I71,0)</f>
        <v>0</v>
      </c>
      <c r="K74" s="54">
        <f>IF(K24=3,L71,0)</f>
        <v>0</v>
      </c>
      <c r="M74" s="59">
        <f>IF(M24=3,L71,0)</f>
        <v>0</v>
      </c>
      <c r="N74" s="54">
        <f>IF(N24=3,O71,0)</f>
        <v>0</v>
      </c>
      <c r="P74" s="59">
        <f>IF(P24=3,O71,0)</f>
        <v>2</v>
      </c>
      <c r="Q74" s="54">
        <f>IF(Q24=3,R71,0)</f>
        <v>0</v>
      </c>
      <c r="S74" s="59">
        <f>IF(S24=3,R71,0)</f>
        <v>0</v>
      </c>
      <c r="T74" s="54">
        <f>IF(T24=3,U71,0)</f>
        <v>0</v>
      </c>
      <c r="V74" s="59">
        <f>IF(V24=3,U71,0)</f>
        <v>2</v>
      </c>
      <c r="W74" s="54">
        <f>IF(W24=3,X71,0)</f>
        <v>0</v>
      </c>
      <c r="Y74" s="59">
        <f>IF(Y24=3,X71,0)</f>
        <v>0</v>
      </c>
      <c r="Z74" s="54">
        <f>IF(Z24=3,AA71,0)</f>
        <v>2</v>
      </c>
      <c r="AB74" s="59">
        <f>IF(AB24=3,AA71,0)</f>
        <v>0</v>
      </c>
      <c r="AC74" s="54">
        <f>IF(AC24=3,AD71,0)</f>
        <v>0</v>
      </c>
      <c r="AE74" s="59">
        <f>IF(AE24=3,AD71,0)</f>
        <v>0</v>
      </c>
      <c r="AF74" s="54">
        <f>SUM(B74:AE74)</f>
        <v>8</v>
      </c>
      <c r="AW74" s="57"/>
    </row>
    <row r="75" spans="1:54" s="54" customFormat="1" ht="12.75" hidden="1" customHeight="1" x14ac:dyDescent="0.2">
      <c r="A75" s="54" t="s">
        <v>104</v>
      </c>
      <c r="B75" s="54">
        <f>IF(B24=4,C71,0)</f>
        <v>0</v>
      </c>
      <c r="D75" s="59">
        <f>IF(D24=4,C71,0)</f>
        <v>0</v>
      </c>
      <c r="E75" s="54">
        <f>IF(E24=4,F71,0)</f>
        <v>0</v>
      </c>
      <c r="G75" s="59">
        <f>IF(G24=4,F71,0)</f>
        <v>2</v>
      </c>
      <c r="H75" s="54">
        <f>IF(H24=4,I71,0)</f>
        <v>0</v>
      </c>
      <c r="J75" s="59">
        <f>IF(J24=4,I71,0)</f>
        <v>0</v>
      </c>
      <c r="K75" s="54">
        <f>IF(K24=4,L71,0)</f>
        <v>0</v>
      </c>
      <c r="M75" s="59">
        <f>IF(M24=4,L71,0)</f>
        <v>2</v>
      </c>
      <c r="N75" s="54">
        <f>IF(N24=4,O71,0)</f>
        <v>0</v>
      </c>
      <c r="P75" s="59">
        <f>IF(P24=4,O71,0)</f>
        <v>0</v>
      </c>
      <c r="Q75" s="54">
        <f>IF(Q24=4,R71,0)</f>
        <v>2</v>
      </c>
      <c r="S75" s="59">
        <f>IF(S24=4,R71,0)</f>
        <v>0</v>
      </c>
      <c r="T75" s="54">
        <f>IF(T24=4,U71,0)</f>
        <v>0</v>
      </c>
      <c r="V75" s="59">
        <f>IF(V24=4,U71,0)</f>
        <v>0</v>
      </c>
      <c r="W75" s="54">
        <f>IF(W24=4,X71,0)</f>
        <v>0</v>
      </c>
      <c r="Y75" s="59">
        <f>IF(Y24=4,X71,0)</f>
        <v>0</v>
      </c>
      <c r="Z75" s="54">
        <f>IF(Z24=4,AA71,0)</f>
        <v>0</v>
      </c>
      <c r="AB75" s="59">
        <f>IF(AB24=4,AA71,0)</f>
        <v>2</v>
      </c>
      <c r="AC75" s="54">
        <f>IF(AC24=4,AD71,0)</f>
        <v>0</v>
      </c>
      <c r="AE75" s="59">
        <f>IF(AE24=4,AD71,0)</f>
        <v>0</v>
      </c>
      <c r="AF75" s="54">
        <f>SUM(B75:AE75)</f>
        <v>8</v>
      </c>
      <c r="AW75" s="57"/>
    </row>
    <row r="76" spans="1:54" s="54" customFormat="1" ht="12.75" hidden="1" customHeight="1" x14ac:dyDescent="0.2">
      <c r="A76" s="54" t="s">
        <v>105</v>
      </c>
      <c r="B76" s="54">
        <f>IF(B24=5,C71,0)</f>
        <v>0</v>
      </c>
      <c r="D76" s="59">
        <f>IF(D24=5,C71,0)</f>
        <v>2</v>
      </c>
      <c r="E76" s="54">
        <f>IF(E24=5,F71,0)</f>
        <v>0</v>
      </c>
      <c r="G76" s="59">
        <f>IF(G24=5,F71,0)</f>
        <v>0</v>
      </c>
      <c r="H76" s="54">
        <f>IF(H24=5,I71,0)</f>
        <v>0</v>
      </c>
      <c r="J76" s="59">
        <f>IF(J24=5,I71,0)</f>
        <v>2</v>
      </c>
      <c r="K76" s="54">
        <f>IF(K24=5,L71,0)</f>
        <v>0</v>
      </c>
      <c r="M76" s="59">
        <f>IF(M24=5,L71,0)</f>
        <v>0</v>
      </c>
      <c r="N76" s="54">
        <f>IF(N24=5,O71,0)</f>
        <v>0</v>
      </c>
      <c r="P76" s="59">
        <f>IF(P24=5,O71,0)</f>
        <v>0</v>
      </c>
      <c r="Q76" s="54">
        <f>IF(Q24=5,R71,0)</f>
        <v>0</v>
      </c>
      <c r="S76" s="59">
        <f>IF(S24=5,R71,0)</f>
        <v>2</v>
      </c>
      <c r="T76" s="54">
        <f>IF(T24=5,U71,0)</f>
        <v>0</v>
      </c>
      <c r="V76" s="59">
        <f>IF(V24=5,U71,0)</f>
        <v>0</v>
      </c>
      <c r="W76" s="54">
        <f>IF(W24=5,X71,0)</f>
        <v>0</v>
      </c>
      <c r="Y76" s="59">
        <f>IF(Y24=5,X71,0)</f>
        <v>2</v>
      </c>
      <c r="Z76" s="54">
        <f>IF(Z24=5,AA71,0)</f>
        <v>0</v>
      </c>
      <c r="AB76" s="59">
        <f>IF(AB24=5,AA71,0)</f>
        <v>0</v>
      </c>
      <c r="AC76" s="54">
        <f>IF(AC24=5,AD71,0)</f>
        <v>0</v>
      </c>
      <c r="AE76" s="59">
        <f>IF(AE24=5,AD71,0)</f>
        <v>0</v>
      </c>
      <c r="AF76" s="54">
        <f>SUM(B76:AE76)</f>
        <v>8</v>
      </c>
      <c r="AW76" s="57"/>
    </row>
    <row r="77" spans="1:54" hidden="1" x14ac:dyDescent="0.2">
      <c r="A77" s="79"/>
      <c r="B77" s="79"/>
      <c r="C77" s="79"/>
      <c r="D77" s="79"/>
      <c r="E77" s="79"/>
      <c r="F77" s="79"/>
      <c r="G77" s="79"/>
      <c r="H77" s="79"/>
      <c r="I77" s="79"/>
      <c r="J77" s="79"/>
      <c r="K77" s="79"/>
      <c r="L77" s="79"/>
      <c r="M77" s="79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9"/>
      <c r="AB77" s="79"/>
      <c r="AC77" s="79"/>
      <c r="AD77" s="79"/>
      <c r="AE77" s="79"/>
      <c r="AF77" s="79"/>
      <c r="AG77" s="79"/>
      <c r="AH77" s="79"/>
      <c r="AI77" s="79"/>
      <c r="AJ77" s="79"/>
      <c r="AK77" s="79"/>
      <c r="AL77" s="79"/>
      <c r="AM77" s="79"/>
      <c r="AN77" s="80"/>
      <c r="AO77" s="80"/>
      <c r="AP77" s="80"/>
      <c r="AQ77" s="80"/>
      <c r="AR77" s="62"/>
      <c r="AS77" s="62"/>
      <c r="AT77" s="62"/>
      <c r="AU77" s="62"/>
      <c r="AV77" s="62"/>
      <c r="BB77" s="129"/>
    </row>
    <row r="78" spans="1:54" s="62" customFormat="1" hidden="1" x14ac:dyDescent="0.2">
      <c r="A78" s="63"/>
      <c r="B78" s="63"/>
      <c r="C78" s="63" t="s">
        <v>112</v>
      </c>
      <c r="D78" s="63">
        <v>1</v>
      </c>
      <c r="E78" s="63"/>
      <c r="F78" s="63"/>
      <c r="G78" s="63">
        <v>2</v>
      </c>
      <c r="H78" s="63"/>
      <c r="I78" s="63"/>
      <c r="J78" s="63">
        <v>3</v>
      </c>
      <c r="K78" s="63"/>
      <c r="L78" s="63"/>
      <c r="M78" s="63">
        <v>4</v>
      </c>
      <c r="N78" s="63"/>
      <c r="O78" s="63"/>
      <c r="P78" s="63">
        <v>5</v>
      </c>
      <c r="Q78" s="63"/>
      <c r="R78" s="63"/>
      <c r="S78" s="63">
        <v>6</v>
      </c>
      <c r="T78" s="63"/>
      <c r="U78" s="63"/>
      <c r="V78" s="63">
        <v>7</v>
      </c>
      <c r="W78" s="63"/>
      <c r="X78" s="63"/>
      <c r="Y78" s="63">
        <v>8</v>
      </c>
      <c r="Z78" s="63"/>
      <c r="AA78" s="63"/>
      <c r="AB78" s="63">
        <v>9</v>
      </c>
      <c r="AC78" s="63"/>
      <c r="AD78" s="63"/>
      <c r="AE78" s="63">
        <v>10</v>
      </c>
      <c r="AF78" s="4"/>
      <c r="AG78" s="63"/>
      <c r="AI78" s="64"/>
      <c r="AJ78" s="4"/>
      <c r="AK78" s="4"/>
      <c r="AL78" s="4"/>
      <c r="AM78" s="4"/>
      <c r="AN78" s="4"/>
      <c r="AO78" s="4"/>
      <c r="AT78" s="64" t="s">
        <v>113</v>
      </c>
      <c r="AW78" s="65"/>
      <c r="BB78" s="65"/>
    </row>
    <row r="79" spans="1:54" s="62" customFormat="1" hidden="1" x14ac:dyDescent="0.2">
      <c r="A79" s="66">
        <v>1</v>
      </c>
      <c r="B79" s="66" t="str">
        <f>E8</f>
        <v>Foothills 14 Holland</v>
      </c>
      <c r="C79" s="66">
        <f>VLOOKUP(B79,AU$3:AY$12,3,FALSE)</f>
        <v>1925.0434236172341</v>
      </c>
      <c r="D79" s="66">
        <f>IF(B72,B87,IF(D72,D87,C79))</f>
        <v>1925.0434236172341</v>
      </c>
      <c r="E79" s="66"/>
      <c r="F79" s="66"/>
      <c r="G79" s="66">
        <f>IF(E72,E87,IF(G72,G87,D79))</f>
        <v>1945.9992832220944</v>
      </c>
      <c r="H79" s="66"/>
      <c r="I79" s="66"/>
      <c r="J79" s="66">
        <f>IF(H72,H87,IF(J72,J87,G79))</f>
        <v>1945.9992832220944</v>
      </c>
      <c r="K79" s="66"/>
      <c r="L79" s="66"/>
      <c r="M79" s="66">
        <f>IF(K72,K87,IF(M72,M87,J79))</f>
        <v>1945.9992832220944</v>
      </c>
      <c r="N79" s="66"/>
      <c r="O79" s="66"/>
      <c r="P79" s="66">
        <f>IF(N72,N87,IF(P72,P87,M79))</f>
        <v>1971.5297734450417</v>
      </c>
      <c r="Q79" s="66"/>
      <c r="R79" s="66"/>
      <c r="S79" s="66">
        <f>IF(Q72,Q87,IF(S72,S87,P79))</f>
        <v>1971.5297734450417</v>
      </c>
      <c r="T79" s="66"/>
      <c r="U79" s="66"/>
      <c r="V79" s="66">
        <f>IF(T72,T87,IF(V72,V87,S79))</f>
        <v>1971.5297734450417</v>
      </c>
      <c r="W79" s="66"/>
      <c r="X79" s="66"/>
      <c r="Y79" s="66">
        <f>IF(W72,W87,IF(Y72,Y87,V79))</f>
        <v>1992.7480012768981</v>
      </c>
      <c r="Z79" s="66"/>
      <c r="AA79" s="66"/>
      <c r="AB79" s="66">
        <f>IF(Z72,Z87,IF(AB72,AB87,Y79))</f>
        <v>1992.7480012768981</v>
      </c>
      <c r="AC79" s="66"/>
      <c r="AD79" s="66"/>
      <c r="AE79" s="66">
        <f>IF(AC72,AC87,IF(AE72,AE87,AB79))</f>
        <v>1949.5189145317133</v>
      </c>
      <c r="AF79" s="4"/>
      <c r="AG79" s="4"/>
      <c r="AJ79" s="4"/>
      <c r="AK79" s="4"/>
      <c r="AL79" s="4"/>
      <c r="AM79" s="4"/>
      <c r="AN79" s="4"/>
      <c r="AO79" s="4"/>
      <c r="AT79" s="62" t="str">
        <f>B79</f>
        <v>Foothills 14 Holland</v>
      </c>
      <c r="AU79" s="62">
        <f>AE79</f>
        <v>1949.5189145317133</v>
      </c>
      <c r="AW79" s="65"/>
      <c r="BB79" s="65"/>
    </row>
    <row r="80" spans="1:54" s="62" customFormat="1" hidden="1" x14ac:dyDescent="0.2">
      <c r="A80" s="66">
        <v>2</v>
      </c>
      <c r="B80" s="66" t="str">
        <f>E10</f>
        <v>Magnum Greenwood 14 Gold</v>
      </c>
      <c r="C80" s="66">
        <f>VLOOKUP(B80,AU$3:AY$12,3,FALSE)</f>
        <v>1800</v>
      </c>
      <c r="D80" s="66">
        <f>IF(B73,B87,IF(D73,D87,C80))</f>
        <v>1801.9196722879835</v>
      </c>
      <c r="E80" s="66"/>
      <c r="F80" s="66"/>
      <c r="G80" s="66">
        <f>IF(E73,E87,IF(G73,G87,D80))</f>
        <v>1801.9196722879835</v>
      </c>
      <c r="H80" s="66"/>
      <c r="I80" s="66"/>
      <c r="J80" s="66">
        <f>IF(H73,H87,IF(J73,J87,G80))</f>
        <v>1801.9196722879835</v>
      </c>
      <c r="K80" s="66"/>
      <c r="L80" s="66"/>
      <c r="M80" s="66">
        <f>IF(K73,K87,IF(M73,M87,J80))</f>
        <v>1831.8157971929443</v>
      </c>
      <c r="N80" s="66"/>
      <c r="O80" s="66"/>
      <c r="P80" s="66">
        <f>IF(N73,N87,IF(P73,P87,M80))</f>
        <v>1831.8157971929443</v>
      </c>
      <c r="Q80" s="66"/>
      <c r="R80" s="66"/>
      <c r="S80" s="66">
        <f>IF(Q73,Q87,IF(S73,S87,P80))</f>
        <v>1831.8157971929443</v>
      </c>
      <c r="T80" s="66"/>
      <c r="U80" s="66"/>
      <c r="V80" s="66">
        <f>IF(T73,T87,IF(V73,V87,S80))</f>
        <v>1865.4198137752492</v>
      </c>
      <c r="W80" s="66"/>
      <c r="X80" s="66"/>
      <c r="Y80" s="66">
        <f>IF(W73,W87,IF(Y73,Y87,V80))</f>
        <v>1865.4198137752492</v>
      </c>
      <c r="Z80" s="66"/>
      <c r="AA80" s="66"/>
      <c r="AB80" s="66">
        <f>IF(Z73,Z87,IF(AB73,AB87,Y80))</f>
        <v>1865.4198137752492</v>
      </c>
      <c r="AC80" s="66"/>
      <c r="AD80" s="66"/>
      <c r="AE80" s="66">
        <f>IF(AC73,AC87,IF(AE73,AE87,AB80))</f>
        <v>1908.6489005204339</v>
      </c>
      <c r="AF80" s="4"/>
      <c r="AG80" s="4"/>
      <c r="AJ80" s="4"/>
      <c r="AL80" s="4"/>
      <c r="AM80" s="4"/>
      <c r="AN80" s="4"/>
      <c r="AO80" s="4"/>
      <c r="AT80" s="62" t="str">
        <f>B80</f>
        <v>Magnum Greenwood 14 Gold</v>
      </c>
      <c r="AU80" s="62">
        <f>AE80</f>
        <v>1908.6489005204339</v>
      </c>
      <c r="AW80" s="65"/>
      <c r="BB80" s="65"/>
    </row>
    <row r="81" spans="1:54" s="62" customFormat="1" hidden="1" x14ac:dyDescent="0.2">
      <c r="A81" s="66">
        <v>3</v>
      </c>
      <c r="B81" s="66" t="str">
        <f>E12</f>
        <v>Chas Jrs 14 White</v>
      </c>
      <c r="C81" s="66">
        <f>VLOOKUP(B81,AU$3:AY$12,3,FALSE)</f>
        <v>1880.3757698226127</v>
      </c>
      <c r="D81" s="66">
        <f>IF(B74,B87,IF(D74,D87,C81))</f>
        <v>1880.3757698226127</v>
      </c>
      <c r="E81" s="66"/>
      <c r="F81" s="66"/>
      <c r="G81" s="66">
        <f>IF(E74,E87,IF(G74,G87,D81))</f>
        <v>1880.3757698226127</v>
      </c>
      <c r="H81" s="66"/>
      <c r="I81" s="66"/>
      <c r="J81" s="66">
        <f>IF(H74,H87,IF(J74,J87,G81))</f>
        <v>1874.7762839888653</v>
      </c>
      <c r="K81" s="66"/>
      <c r="L81" s="66"/>
      <c r="M81" s="66">
        <f>IF(K74,K87,IF(M74,M87,J81))</f>
        <v>1874.7762839888653</v>
      </c>
      <c r="N81" s="66"/>
      <c r="O81" s="66"/>
      <c r="P81" s="66">
        <f>IF(N74,N87,IF(P74,P87,M81))</f>
        <v>1849.2457937659181</v>
      </c>
      <c r="Q81" s="66"/>
      <c r="R81" s="66"/>
      <c r="S81" s="66">
        <f>IF(Q74,Q87,IF(S74,S87,P81))</f>
        <v>1849.2457937659181</v>
      </c>
      <c r="T81" s="66"/>
      <c r="U81" s="66"/>
      <c r="V81" s="66">
        <f>IF(T74,T87,IF(V74,V87,S81))</f>
        <v>1815.6417771836132</v>
      </c>
      <c r="W81" s="66"/>
      <c r="X81" s="66"/>
      <c r="Y81" s="66">
        <f>IF(W74,W87,IF(Y74,Y87,V81))</f>
        <v>1815.6417771836132</v>
      </c>
      <c r="Z81" s="66"/>
      <c r="AA81" s="66"/>
      <c r="AB81" s="66">
        <f>IF(Z74,Z87,IF(AB74,AB87,Y81))</f>
        <v>1839.3904604185559</v>
      </c>
      <c r="AC81" s="66"/>
      <c r="AD81" s="66"/>
      <c r="AE81" s="66">
        <f>IF(AC74,AC87,IF(AE74,AE87,AB81))</f>
        <v>1839.3904604185559</v>
      </c>
      <c r="AF81" s="4"/>
      <c r="AG81" s="4"/>
      <c r="AJ81" s="4"/>
      <c r="AL81" s="4"/>
      <c r="AM81" s="4"/>
      <c r="AN81" s="4"/>
      <c r="AO81" s="4"/>
      <c r="AT81" s="62" t="str">
        <f>B81</f>
        <v>Chas Jrs 14 White</v>
      </c>
      <c r="AU81" s="62">
        <f>AE81</f>
        <v>1839.3904604185559</v>
      </c>
      <c r="AW81" s="65"/>
      <c r="BB81" s="65"/>
    </row>
    <row r="82" spans="1:54" s="62" customFormat="1" hidden="1" x14ac:dyDescent="0.2">
      <c r="A82" s="66">
        <v>4</v>
      </c>
      <c r="B82" s="66" t="str">
        <f>E14</f>
        <v>Magnum Aiken 14 Yellow</v>
      </c>
      <c r="C82" s="66">
        <f>VLOOKUP(B82,AU$3:AY$12,3,FALSE)</f>
        <v>1800</v>
      </c>
      <c r="D82" s="66">
        <f>IF(B75,B87,IF(D75,D87,C82))</f>
        <v>1800</v>
      </c>
      <c r="E82" s="66"/>
      <c r="F82" s="66"/>
      <c r="G82" s="66">
        <f>IF(E75,E87,IF(G75,G87,D82))</f>
        <v>1779.0441403951397</v>
      </c>
      <c r="H82" s="66"/>
      <c r="I82" s="66"/>
      <c r="J82" s="66">
        <f>IF(H75,H87,IF(J75,J87,G82))</f>
        <v>1779.0441403951397</v>
      </c>
      <c r="K82" s="66"/>
      <c r="L82" s="66"/>
      <c r="M82" s="66">
        <f>IF(K75,K87,IF(M75,M87,J82))</f>
        <v>1749.148015490179</v>
      </c>
      <c r="N82" s="66"/>
      <c r="O82" s="66"/>
      <c r="P82" s="66">
        <f>IF(N75,N87,IF(P75,P87,M82))</f>
        <v>1749.148015490179</v>
      </c>
      <c r="Q82" s="66"/>
      <c r="R82" s="66"/>
      <c r="S82" s="66">
        <f>IF(Q75,Q87,IF(S75,S87,P82))</f>
        <v>1723.9855542035848</v>
      </c>
      <c r="T82" s="66"/>
      <c r="U82" s="66"/>
      <c r="V82" s="66">
        <f>IF(T75,T87,IF(V75,V87,S82))</f>
        <v>1723.9855542035848</v>
      </c>
      <c r="W82" s="66"/>
      <c r="X82" s="66"/>
      <c r="Y82" s="66">
        <f>IF(W75,W87,IF(Y75,Y87,V82))</f>
        <v>1723.9855542035848</v>
      </c>
      <c r="Z82" s="66"/>
      <c r="AA82" s="66"/>
      <c r="AB82" s="66">
        <f>IF(Z75,Z87,IF(AB75,AB87,Y82))</f>
        <v>1700.2368709686421</v>
      </c>
      <c r="AC82" s="66"/>
      <c r="AD82" s="66"/>
      <c r="AE82" s="66">
        <f>IF(AC75,AC87,IF(AE75,AE87,AB82))</f>
        <v>1700.2368709686421</v>
      </c>
      <c r="AF82" s="4"/>
      <c r="AG82" s="4"/>
      <c r="AJ82" s="4"/>
      <c r="AL82" s="4"/>
      <c r="AM82" s="4"/>
      <c r="AN82" s="4"/>
      <c r="AO82" s="4"/>
      <c r="AT82" s="62" t="str">
        <f>B82</f>
        <v>Magnum Aiken 14 Yellow</v>
      </c>
      <c r="AU82" s="62">
        <f>AE82</f>
        <v>1700.2368709686421</v>
      </c>
      <c r="AW82" s="65"/>
      <c r="BB82" s="65"/>
    </row>
    <row r="83" spans="1:54" s="62" customFormat="1" hidden="1" x14ac:dyDescent="0.2">
      <c r="A83" s="66">
        <v>5</v>
      </c>
      <c r="B83" s="66" t="str">
        <f>E16</f>
        <v>Carolina Express</v>
      </c>
      <c r="C83" s="66">
        <f>VLOOKUP(B83,AU$3:AY$12,3,FALSE)</f>
        <v>1820.8676337248239</v>
      </c>
      <c r="D83" s="66">
        <f>IF(B76,B87,IF(D76,D87,C83))</f>
        <v>1818.9479614368404</v>
      </c>
      <c r="E83" s="66"/>
      <c r="F83" s="66"/>
      <c r="G83" s="66">
        <f>IF(E76,E87,IF(G76,G87,D83))</f>
        <v>1818.9479614368404</v>
      </c>
      <c r="H83" s="66"/>
      <c r="I83" s="66"/>
      <c r="J83" s="66">
        <f>IF(H76,H87,IF(J76,J87,G83))</f>
        <v>1824.5474472705878</v>
      </c>
      <c r="K83" s="66"/>
      <c r="L83" s="66"/>
      <c r="M83" s="66">
        <f>IF(K76,K87,IF(M76,M87,J83))</f>
        <v>1824.5474472705878</v>
      </c>
      <c r="N83" s="66"/>
      <c r="O83" s="66"/>
      <c r="P83" s="66">
        <f>IF(N76,N87,IF(P76,P87,M83))</f>
        <v>1824.5474472705878</v>
      </c>
      <c r="Q83" s="66"/>
      <c r="R83" s="66"/>
      <c r="S83" s="66">
        <f>IF(Q76,Q87,IF(S76,S87,P83))</f>
        <v>1849.709908557182</v>
      </c>
      <c r="T83" s="66"/>
      <c r="U83" s="66"/>
      <c r="V83" s="66">
        <f>IF(T76,T87,IF(V76,V87,S83))</f>
        <v>1849.709908557182</v>
      </c>
      <c r="W83" s="66"/>
      <c r="X83" s="66"/>
      <c r="Y83" s="66">
        <f>IF(W76,W87,IF(Y76,Y87,V83))</f>
        <v>1828.4916807253255</v>
      </c>
      <c r="Z83" s="66"/>
      <c r="AA83" s="66"/>
      <c r="AB83" s="66">
        <f>IF(Z76,Z87,IF(AB76,AB87,Y83))</f>
        <v>1828.4916807253255</v>
      </c>
      <c r="AC83" s="66"/>
      <c r="AD83" s="66"/>
      <c r="AE83" s="66">
        <f>IF(AC76,AC87,IF(AE76,AE87,AB83))</f>
        <v>1828.4916807253255</v>
      </c>
      <c r="AF83" s="4"/>
      <c r="AG83" s="4"/>
      <c r="AJ83" s="4"/>
      <c r="AL83" s="4"/>
      <c r="AM83" s="4"/>
      <c r="AN83" s="4"/>
      <c r="AO83" s="4"/>
      <c r="AT83" s="62" t="str">
        <f>B83</f>
        <v>Carolina Express</v>
      </c>
      <c r="AU83" s="62">
        <f>AE83</f>
        <v>1828.4916807253255</v>
      </c>
      <c r="AW83" s="65"/>
      <c r="BB83" s="65"/>
    </row>
    <row r="84" spans="1:54" s="62" customFormat="1" hidden="1" x14ac:dyDescent="0.2">
      <c r="A84" s="66"/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66"/>
      <c r="AE84" s="66"/>
      <c r="AF84" s="4"/>
      <c r="AG84" s="4"/>
      <c r="AJ84" s="4"/>
      <c r="AL84" s="4"/>
      <c r="AM84" s="4"/>
      <c r="AN84" s="4"/>
      <c r="AO84" s="4"/>
      <c r="AW84" s="65"/>
      <c r="BB84" s="65"/>
    </row>
    <row r="85" spans="1:54" s="62" customFormat="1" hidden="1" x14ac:dyDescent="0.2">
      <c r="A85" s="66" t="s">
        <v>114</v>
      </c>
      <c r="B85" s="66">
        <f>VLOOKUP(B24,$A79:$AE83,3,FALSE)</f>
        <v>1800</v>
      </c>
      <c r="C85" s="66">
        <v>1</v>
      </c>
      <c r="D85" s="66">
        <f>VLOOKUP(D24,$A79:$AE83,3,FALSE)</f>
        <v>1820.8676337248239</v>
      </c>
      <c r="E85" s="66">
        <f>VLOOKUP(E24,$A79:$AE83,4,FALSE)</f>
        <v>1925.0434236172341</v>
      </c>
      <c r="F85" s="66">
        <v>2</v>
      </c>
      <c r="G85" s="66">
        <f>VLOOKUP(G24,$A79:$AE83,4,FALSE)</f>
        <v>1800</v>
      </c>
      <c r="H85" s="66">
        <f>VLOOKUP(H24,$A79:$AE83,7,FALSE)</f>
        <v>1880.3757698226127</v>
      </c>
      <c r="I85" s="66">
        <v>3</v>
      </c>
      <c r="J85" s="66">
        <f>VLOOKUP(J24,$A79:$AE83,7,FALSE)</f>
        <v>1818.9479614368404</v>
      </c>
      <c r="K85" s="66">
        <f>VLOOKUP(K24,$A79:$AE83,10,FALSE)</f>
        <v>1801.9196722879835</v>
      </c>
      <c r="L85" s="66">
        <v>4</v>
      </c>
      <c r="M85" s="66">
        <f>VLOOKUP(M24,$A79:$AE83,10,FALSE)</f>
        <v>1779.0441403951397</v>
      </c>
      <c r="N85" s="66">
        <f>VLOOKUP(N24,$A79:$AE83,13,FALSE)</f>
        <v>1945.9992832220944</v>
      </c>
      <c r="O85" s="66">
        <v>5</v>
      </c>
      <c r="P85" s="66">
        <f>VLOOKUP(P24,$A79:$AE83,13,FALSE)</f>
        <v>1874.7762839888653</v>
      </c>
      <c r="Q85" s="66">
        <f>VLOOKUP(Q24,$A79:$AE83,16,FALSE)</f>
        <v>1749.148015490179</v>
      </c>
      <c r="R85" s="66">
        <v>6</v>
      </c>
      <c r="S85" s="66">
        <f>VLOOKUP(S24,$A79:$AE83,16,FALSE)</f>
        <v>1824.5474472705878</v>
      </c>
      <c r="T85" s="66">
        <f>VLOOKUP(T24,$A79:$AE83,19,FALSE)</f>
        <v>1831.8157971929443</v>
      </c>
      <c r="U85" s="66">
        <v>7</v>
      </c>
      <c r="V85" s="66">
        <f>VLOOKUP(V24,$A79:$AE83,19,FALSE)</f>
        <v>1849.2457937659181</v>
      </c>
      <c r="W85" s="66">
        <f>VLOOKUP(W24,$A79:$AE83,22,FALSE)</f>
        <v>1971.5297734450417</v>
      </c>
      <c r="X85" s="66">
        <v>8</v>
      </c>
      <c r="Y85" s="66">
        <f>VLOOKUP(Y24,$A79:$AE83,22,FALSE)</f>
        <v>1849.709908557182</v>
      </c>
      <c r="Z85" s="66">
        <f>VLOOKUP(Z24,$A79:$AE83,25,FALSE)</f>
        <v>1815.6417771836132</v>
      </c>
      <c r="AA85" s="66">
        <v>9</v>
      </c>
      <c r="AB85" s="66">
        <f>VLOOKUP(AB24,$A79:$AE83,25,FALSE)</f>
        <v>1723.9855542035848</v>
      </c>
      <c r="AC85" s="66">
        <f>VLOOKUP(AC24,$A79:$AE83,28,FALSE)</f>
        <v>1992.7480012768981</v>
      </c>
      <c r="AD85" s="66">
        <v>10</v>
      </c>
      <c r="AE85" s="66">
        <f>VLOOKUP(AE24,$A79:$AE83,28,FALSE)</f>
        <v>1865.4198137752492</v>
      </c>
      <c r="AF85" s="4"/>
      <c r="AG85" s="79"/>
      <c r="AH85" s="79"/>
      <c r="AI85" s="79"/>
      <c r="AJ85" s="79"/>
      <c r="AK85" s="79"/>
      <c r="AL85" s="79"/>
      <c r="AM85" s="79"/>
      <c r="AN85" s="80"/>
      <c r="AO85" s="80"/>
      <c r="AP85" s="80"/>
      <c r="AQ85" s="80"/>
      <c r="AW85" s="65"/>
      <c r="BB85" s="65"/>
    </row>
    <row r="86" spans="1:54" s="71" customFormat="1" hidden="1" x14ac:dyDescent="0.2">
      <c r="A86" s="67" t="s">
        <v>115</v>
      </c>
      <c r="B86" s="67">
        <f>1/(1+(10^-((B85-D85)/400)))*(B36+D36)</f>
        <v>0.94001024100051545</v>
      </c>
      <c r="C86" s="67"/>
      <c r="D86" s="67">
        <f>1/(1+(10^-((D85-B85)/400)))*(B36+D36)</f>
        <v>1.0599897589994844</v>
      </c>
      <c r="E86" s="67">
        <f>1/(1+(10^-((E85-G85)/400)))*(E36+G36)</f>
        <v>1.3451293873481154</v>
      </c>
      <c r="F86" s="67"/>
      <c r="G86" s="67">
        <f>1/(1+(10^-((G85-E85)/400)))*(E36+G36)</f>
        <v>0.65487061265188462</v>
      </c>
      <c r="H86" s="67">
        <f>1/(1+(10^-((H85-J85)/400)))*(H36+J36)</f>
        <v>1.1749839323046039</v>
      </c>
      <c r="I86" s="67"/>
      <c r="J86" s="67">
        <f>1/(1+(10^-((J85-H85)/400)))*(H36+J36)</f>
        <v>0.82501606769539615</v>
      </c>
      <c r="K86" s="67">
        <f>1/(1+(10^-((K85-M85)/400)))*(K36+M36)</f>
        <v>1.0657460967199794</v>
      </c>
      <c r="L86" s="67"/>
      <c r="M86" s="67">
        <f>1/(1+(10^-((M85-K85)/400)))*(K36+M36)</f>
        <v>0.93425390328002067</v>
      </c>
      <c r="N86" s="67">
        <f>1/(1+(10^-((N85-P85)/400)))*(N36+P36)</f>
        <v>1.2021721805328998</v>
      </c>
      <c r="O86" s="67"/>
      <c r="P86" s="67">
        <f>1/(1+(10^-((P85-N85)/400)))*(N36+P36)</f>
        <v>0.79782781946710035</v>
      </c>
      <c r="Q86" s="67">
        <f>1/(1+(10^-((Q85-S85)/400)))*(Q36+S36)</f>
        <v>0.78632691520606846</v>
      </c>
      <c r="R86" s="67"/>
      <c r="S86" s="67">
        <f>1/(1+(10^-((S85-Q85)/400)))*(Q36+S36)</f>
        <v>1.2136730847939317</v>
      </c>
      <c r="T86" s="67">
        <f>1/(1+(10^-((T85-V85)/400)))*(T36+V36)</f>
        <v>0.94987448180296885</v>
      </c>
      <c r="U86" s="67"/>
      <c r="V86" s="67">
        <f>1/(1+(10^-((V85-T85)/400)))*(T36+V36)</f>
        <v>1.050125518197031</v>
      </c>
      <c r="W86" s="67">
        <f>1/(1+(10^-((W85-Y85)/400)))*(W36+Y36)</f>
        <v>1.3369303802544874</v>
      </c>
      <c r="X86" s="67"/>
      <c r="Y86" s="67">
        <f>1/(1+(10^-((Y85-W85)/400)))*(W36+Y36)</f>
        <v>0.66306961974551248</v>
      </c>
      <c r="Z86" s="67">
        <f>1/(1+(10^-((Z85-AB85)/400)))*(Z36+AB36)</f>
        <v>1.257853648908041</v>
      </c>
      <c r="AA86" s="67"/>
      <c r="AB86" s="67">
        <f>1/(1+(10^-((AB85-Z85)/400)))*(Z36+AB36)</f>
        <v>0.74214635109195892</v>
      </c>
      <c r="AC86" s="67">
        <f>1/(1+(10^-((AC85-AE85)/400)))*(AC36+AE36)</f>
        <v>1.3509089607870268</v>
      </c>
      <c r="AD86" s="67"/>
      <c r="AE86" s="67">
        <f>1/(1+(10^-((AE85-AC85)/400)))*(AC36+AE36)</f>
        <v>0.64909103921297295</v>
      </c>
      <c r="AF86" s="68"/>
      <c r="AG86" s="69"/>
      <c r="AH86" s="69"/>
      <c r="AI86" s="69"/>
      <c r="AJ86" s="69"/>
      <c r="AK86" s="69"/>
      <c r="AL86" s="69"/>
      <c r="AM86" s="69"/>
      <c r="AN86" s="70"/>
      <c r="AO86" s="70"/>
      <c r="AP86" s="70"/>
      <c r="AQ86" s="70"/>
      <c r="AW86" s="72"/>
      <c r="BB86" s="72"/>
    </row>
    <row r="87" spans="1:54" s="77" customFormat="1" hidden="1" x14ac:dyDescent="0.2">
      <c r="A87" s="73" t="s">
        <v>116</v>
      </c>
      <c r="B87" s="73">
        <f>B85+(B36-B86)*$BA$1</f>
        <v>1801.9196722879835</v>
      </c>
      <c r="C87" s="73"/>
      <c r="D87" s="73">
        <f>D85+(D36-D86)*$BA$1</f>
        <v>1818.9479614368404</v>
      </c>
      <c r="E87" s="73">
        <f>E85+(E36-E86)*$BA$1</f>
        <v>1945.9992832220944</v>
      </c>
      <c r="F87" s="73"/>
      <c r="G87" s="73">
        <f>G85+(G36-G86)*$BA$1</f>
        <v>1779.0441403951397</v>
      </c>
      <c r="H87" s="73">
        <f>H85+(H36-H86)*$BA$1</f>
        <v>1874.7762839888653</v>
      </c>
      <c r="I87" s="73"/>
      <c r="J87" s="73">
        <f>J85+(J36-J86)*$BA$1</f>
        <v>1824.5474472705878</v>
      </c>
      <c r="K87" s="73">
        <f>K85+(K36-K86)*$BA$1</f>
        <v>1831.8157971929443</v>
      </c>
      <c r="L87" s="73"/>
      <c r="M87" s="73">
        <f>M85+(M36-M86)*$BA$1</f>
        <v>1749.148015490179</v>
      </c>
      <c r="N87" s="73">
        <f>N85+(N36-N86)*$BA$1</f>
        <v>1971.5297734450417</v>
      </c>
      <c r="O87" s="73"/>
      <c r="P87" s="73">
        <f>P85+(P36-P86)*$BA$1</f>
        <v>1849.2457937659181</v>
      </c>
      <c r="Q87" s="73">
        <f>Q85+(Q36-Q86)*$BA$1</f>
        <v>1723.9855542035848</v>
      </c>
      <c r="R87" s="73"/>
      <c r="S87" s="73">
        <f>S85+(S36-S86)*$BA$1</f>
        <v>1849.709908557182</v>
      </c>
      <c r="T87" s="73">
        <f>T85+(T36-T86)*$BA$1</f>
        <v>1865.4198137752492</v>
      </c>
      <c r="U87" s="73"/>
      <c r="V87" s="73">
        <f>V85+(V36-V86)*$BA$1</f>
        <v>1815.6417771836132</v>
      </c>
      <c r="W87" s="73">
        <f>W85+(W36-W86)*$BA$1</f>
        <v>1992.7480012768981</v>
      </c>
      <c r="X87" s="73"/>
      <c r="Y87" s="73">
        <f>Y85+(Y36-Y86)*$BA$1</f>
        <v>1828.4916807253255</v>
      </c>
      <c r="Z87" s="73">
        <f>Z85+(Z36-Z86)*$BA$1</f>
        <v>1839.3904604185559</v>
      </c>
      <c r="AA87" s="73"/>
      <c r="AB87" s="73">
        <f>AB85+(AB36-AB86)*$BA$1</f>
        <v>1700.2368709686421</v>
      </c>
      <c r="AC87" s="73">
        <f>AC85+(AC36-AC86)*$BA$1</f>
        <v>1949.5189145317133</v>
      </c>
      <c r="AD87" s="73"/>
      <c r="AE87" s="73">
        <f>AE85+(AE36-AE86)*$BA$1</f>
        <v>1908.6489005204339</v>
      </c>
      <c r="AF87" s="74"/>
      <c r="AG87" s="75"/>
      <c r="AH87" s="75"/>
      <c r="AI87" s="75"/>
      <c r="AJ87" s="75"/>
      <c r="AK87" s="75"/>
      <c r="AL87" s="75"/>
      <c r="AM87" s="75"/>
      <c r="AN87" s="76"/>
      <c r="AO87" s="76"/>
      <c r="AP87" s="76"/>
      <c r="AQ87" s="76"/>
      <c r="AW87" s="78"/>
      <c r="BB87" s="78"/>
    </row>
    <row r="88" spans="1:54" s="77" customFormat="1" hidden="1" x14ac:dyDescent="0.2">
      <c r="A88" s="73"/>
      <c r="B88" s="73"/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73"/>
      <c r="AD88" s="73"/>
      <c r="AE88" s="73"/>
      <c r="AF88" s="74"/>
      <c r="AG88" s="75"/>
      <c r="AH88" s="75"/>
      <c r="AI88" s="75"/>
      <c r="AJ88" s="75"/>
      <c r="AK88" s="75"/>
      <c r="AL88" s="75"/>
      <c r="AM88" s="75"/>
      <c r="AN88" s="76"/>
      <c r="AO88" s="76"/>
      <c r="AP88" s="76"/>
      <c r="AQ88" s="76"/>
      <c r="AW88" s="78"/>
      <c r="BB88" s="78"/>
    </row>
    <row r="89" spans="1:54" s="62" customFormat="1" x14ac:dyDescent="0.2">
      <c r="A89" s="703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703"/>
      <c r="C89" s="703"/>
      <c r="D89" s="703"/>
      <c r="E89" s="703"/>
      <c r="F89" s="703"/>
      <c r="G89" s="703"/>
      <c r="H89" s="703"/>
      <c r="I89" s="703"/>
      <c r="J89" s="703"/>
      <c r="K89" s="703"/>
      <c r="L89" s="703"/>
      <c r="M89" s="703"/>
      <c r="N89" s="703"/>
      <c r="O89" s="703"/>
      <c r="P89" s="703"/>
      <c r="Q89" s="703"/>
      <c r="R89" s="703"/>
      <c r="S89" s="703"/>
      <c r="T89" s="703"/>
      <c r="U89" s="703"/>
      <c r="V89" s="703"/>
      <c r="W89" s="703"/>
      <c r="X89" s="703"/>
      <c r="Y89" s="703"/>
      <c r="Z89" s="703"/>
      <c r="AA89" s="703"/>
      <c r="AB89" s="703"/>
      <c r="AC89" s="703"/>
      <c r="AD89" s="703"/>
      <c r="AE89" s="703"/>
      <c r="AF89" s="703"/>
      <c r="AG89" s="703"/>
      <c r="AH89" s="703"/>
      <c r="AI89" s="703"/>
      <c r="AJ89" s="703"/>
      <c r="AK89" s="703"/>
      <c r="AL89" s="703"/>
      <c r="AM89" s="703"/>
      <c r="AN89" s="681"/>
      <c r="AO89" s="681"/>
      <c r="AP89" s="681"/>
      <c r="AQ89" s="681"/>
      <c r="AW89" s="65"/>
    </row>
    <row r="90" spans="1:54" s="62" customFormat="1" ht="13.5" thickBot="1" x14ac:dyDescent="0.25">
      <c r="A90" s="704"/>
      <c r="B90" s="704"/>
      <c r="C90" s="704"/>
      <c r="D90" s="704"/>
      <c r="E90" s="704"/>
      <c r="F90" s="704"/>
      <c r="G90" s="704"/>
      <c r="H90" s="704"/>
      <c r="I90" s="704"/>
      <c r="J90" s="704"/>
      <c r="K90" s="704"/>
      <c r="L90" s="704"/>
      <c r="M90" s="704"/>
      <c r="N90" s="704"/>
      <c r="O90" s="704"/>
      <c r="P90" s="704"/>
      <c r="Q90" s="704"/>
      <c r="R90" s="704"/>
      <c r="S90" s="704"/>
      <c r="T90" s="704"/>
      <c r="U90" s="704"/>
      <c r="V90" s="704"/>
      <c r="W90" s="704"/>
      <c r="X90" s="704"/>
      <c r="Y90" s="704"/>
      <c r="Z90" s="704"/>
      <c r="AA90" s="704"/>
      <c r="AB90" s="704"/>
      <c r="AC90" s="704"/>
      <c r="AD90" s="704"/>
      <c r="AE90" s="704"/>
      <c r="AF90" s="704"/>
      <c r="AG90" s="704"/>
      <c r="AH90" s="704"/>
      <c r="AI90" s="704"/>
      <c r="AJ90" s="704"/>
      <c r="AK90" s="704"/>
      <c r="AL90" s="704"/>
      <c r="AM90" s="704"/>
      <c r="AN90" s="704"/>
      <c r="AO90" s="704"/>
      <c r="AP90" s="704"/>
      <c r="AQ90" s="704"/>
      <c r="AW90" s="65"/>
    </row>
    <row r="91" spans="1:54" ht="24" customHeight="1" thickBot="1" x14ac:dyDescent="0.25">
      <c r="A91" s="21" t="s">
        <v>33</v>
      </c>
      <c r="B91" s="22" t="s">
        <v>117</v>
      </c>
      <c r="C91" s="775" t="s">
        <v>35</v>
      </c>
      <c r="D91" s="776"/>
      <c r="E91" s="776"/>
      <c r="F91" s="776"/>
      <c r="G91" s="776"/>
      <c r="H91" s="777"/>
      <c r="I91" s="778">
        <v>2</v>
      </c>
      <c r="J91" s="779"/>
      <c r="K91" s="780" t="str">
        <f>"Pool "&amp;B91&amp;" - Round 1 - Court "&amp;I91</f>
        <v>Pool B - Round 1 - Court 2</v>
      </c>
      <c r="L91" s="781"/>
      <c r="M91" s="781"/>
      <c r="N91" s="781"/>
      <c r="O91" s="781"/>
      <c r="P91" s="781"/>
      <c r="Q91" s="781"/>
      <c r="R91" s="781"/>
      <c r="S91" s="781"/>
      <c r="T91" s="781"/>
      <c r="U91" s="781"/>
      <c r="V91" s="781"/>
      <c r="W91" s="781"/>
      <c r="X91" s="781"/>
      <c r="Y91" s="781"/>
      <c r="Z91" s="781"/>
      <c r="AA91" s="781"/>
      <c r="AB91" s="781"/>
      <c r="AC91" s="781"/>
      <c r="AD91" s="781"/>
      <c r="AE91" s="781"/>
      <c r="AF91" s="781"/>
      <c r="AG91" s="781"/>
      <c r="AH91" s="781"/>
      <c r="AI91" s="782"/>
      <c r="AJ91" s="7"/>
      <c r="AK91" s="7"/>
      <c r="AL91" s="7"/>
      <c r="AM91" s="7"/>
      <c r="AN91" s="7"/>
      <c r="AO91" s="7"/>
      <c r="AP91" s="7"/>
      <c r="AQ91" s="7"/>
    </row>
    <row r="92" spans="1:54" ht="27" customHeight="1" thickBot="1" x14ac:dyDescent="0.25">
      <c r="A92" s="23" t="s">
        <v>38</v>
      </c>
      <c r="B92" s="783" t="s">
        <v>10</v>
      </c>
      <c r="C92" s="784"/>
      <c r="D92" s="784"/>
      <c r="E92" s="784"/>
      <c r="F92" s="784"/>
      <c r="G92" s="784"/>
      <c r="H92" s="784"/>
      <c r="I92" s="784"/>
      <c r="J92" s="784"/>
      <c r="K92" s="784"/>
      <c r="L92" s="783" t="str">
        <f>IF($AK95=0,"Games Won","Matches Won")</f>
        <v>Games Won</v>
      </c>
      <c r="M92" s="784"/>
      <c r="N92" s="784"/>
      <c r="O92" s="784"/>
      <c r="P92" s="784"/>
      <c r="Q92" s="785"/>
      <c r="R92" s="783" t="str">
        <f>IF($AK95=0,"Games Lost","Matches Lost")</f>
        <v>Games Lost</v>
      </c>
      <c r="S92" s="786"/>
      <c r="T92" s="786"/>
      <c r="U92" s="786"/>
      <c r="V92" s="787"/>
      <c r="W92" s="788" t="s">
        <v>39</v>
      </c>
      <c r="X92" s="789"/>
      <c r="Y92" s="790"/>
      <c r="Z92" s="788" t="s">
        <v>40</v>
      </c>
      <c r="AA92" s="789"/>
      <c r="AB92" s="790"/>
      <c r="AC92" s="791" t="s">
        <v>41</v>
      </c>
      <c r="AD92" s="792"/>
      <c r="AE92" s="793"/>
      <c r="AF92" s="24" t="s">
        <v>42</v>
      </c>
      <c r="AG92" s="25" t="s">
        <v>9</v>
      </c>
      <c r="AH92" s="773" t="s">
        <v>43</v>
      </c>
      <c r="AI92" s="774"/>
      <c r="AJ92" s="26"/>
      <c r="AK92" s="27">
        <v>2</v>
      </c>
      <c r="AL92" s="28" t="s">
        <v>44</v>
      </c>
      <c r="AM92" s="28"/>
      <c r="AN92" s="28"/>
      <c r="AO92" s="28"/>
      <c r="AP92" s="28"/>
      <c r="AQ92" s="28"/>
      <c r="AR92" s="29"/>
    </row>
    <row r="93" spans="1:54" ht="18.75" customHeight="1" x14ac:dyDescent="0.2">
      <c r="A93" s="742" t="str">
        <f>IF($AK94&gt;0,"1","")</f>
        <v>1</v>
      </c>
      <c r="B93" s="770" t="s">
        <v>10</v>
      </c>
      <c r="C93" s="771"/>
      <c r="D93" s="772"/>
      <c r="E93" s="746" t="str">
        <f>AU4</f>
        <v>CSRA Heat 14 Black</v>
      </c>
      <c r="F93" s="747"/>
      <c r="G93" s="747"/>
      <c r="H93" s="747"/>
      <c r="I93" s="747"/>
      <c r="J93" s="747"/>
      <c r="K93" s="748"/>
      <c r="L93" s="749">
        <f>IF($AK95=0,AF149,AF131)</f>
        <v>5</v>
      </c>
      <c r="M93" s="750"/>
      <c r="N93" s="750"/>
      <c r="O93" s="750"/>
      <c r="P93" s="750"/>
      <c r="Q93" s="785"/>
      <c r="R93" s="749">
        <f>IF($AK95=0,AG149,AG131)</f>
        <v>3</v>
      </c>
      <c r="S93" s="750"/>
      <c r="T93" s="750"/>
      <c r="U93" s="750"/>
      <c r="V93" s="750"/>
      <c r="W93" s="749">
        <f>AQ109</f>
        <v>16</v>
      </c>
      <c r="X93" s="750"/>
      <c r="Y93" s="750"/>
      <c r="Z93" s="722">
        <f>IF(AF143&gt;0,(AQ109/AF143),0)</f>
        <v>7.9601990049751242E-2</v>
      </c>
      <c r="AA93" s="723"/>
      <c r="AB93" s="723"/>
      <c r="AC93" s="726">
        <f>IF(AF157=0,0,(AF149/AF157))</f>
        <v>0.625</v>
      </c>
      <c r="AD93" s="727"/>
      <c r="AE93" s="728"/>
      <c r="AF93" s="732">
        <v>2</v>
      </c>
      <c r="AG93" s="732">
        <v>1</v>
      </c>
      <c r="AH93" s="734"/>
      <c r="AI93" s="735"/>
      <c r="AJ93" s="26"/>
      <c r="AK93" s="27">
        <v>10</v>
      </c>
      <c r="AL93" s="28" t="s">
        <v>47</v>
      </c>
      <c r="AM93" s="28"/>
      <c r="AN93" s="28"/>
      <c r="AO93" s="28"/>
      <c r="AP93" s="28"/>
      <c r="AQ93" s="28"/>
      <c r="AR93" s="29"/>
    </row>
    <row r="94" spans="1:54" ht="18.75" customHeight="1" thickBot="1" x14ac:dyDescent="0.25">
      <c r="A94" s="743"/>
      <c r="B94" s="767" t="s">
        <v>11</v>
      </c>
      <c r="C94" s="768"/>
      <c r="D94" s="769"/>
      <c r="E94" s="763" t="str">
        <f>AV4</f>
        <v>fj4csrah2pm</v>
      </c>
      <c r="F94" s="764"/>
      <c r="G94" s="764"/>
      <c r="H94" s="764"/>
      <c r="I94" s="764"/>
      <c r="J94" s="764"/>
      <c r="K94" s="764"/>
      <c r="L94" s="765"/>
      <c r="M94" s="766"/>
      <c r="N94" s="766"/>
      <c r="O94" s="766"/>
      <c r="P94" s="766"/>
      <c r="Q94" s="785"/>
      <c r="R94" s="765"/>
      <c r="S94" s="766"/>
      <c r="T94" s="766"/>
      <c r="U94" s="766"/>
      <c r="V94" s="766"/>
      <c r="W94" s="765"/>
      <c r="X94" s="766"/>
      <c r="Y94" s="766"/>
      <c r="Z94" s="753"/>
      <c r="AA94" s="754"/>
      <c r="AB94" s="754"/>
      <c r="AC94" s="755"/>
      <c r="AD94" s="756"/>
      <c r="AE94" s="757"/>
      <c r="AF94" s="758"/>
      <c r="AG94" s="758"/>
      <c r="AH94" s="759"/>
      <c r="AI94" s="760"/>
      <c r="AJ94" s="26"/>
      <c r="AK94" s="27">
        <v>5</v>
      </c>
      <c r="AL94" s="28" t="s">
        <v>50</v>
      </c>
      <c r="AM94" s="26"/>
      <c r="AN94" s="26"/>
      <c r="AO94" s="26"/>
      <c r="AP94" s="26"/>
      <c r="AQ94" s="26"/>
      <c r="AR94" s="3"/>
    </row>
    <row r="95" spans="1:54" ht="18.75" customHeight="1" x14ac:dyDescent="0.2">
      <c r="A95" s="742" t="str">
        <f>IF($AK94&gt;1,"2","")</f>
        <v>2</v>
      </c>
      <c r="B95" s="770" t="s">
        <v>10</v>
      </c>
      <c r="C95" s="771"/>
      <c r="D95" s="772"/>
      <c r="E95" s="746" t="str">
        <f>AU5</f>
        <v>Beaufort 14 Club</v>
      </c>
      <c r="F95" s="747"/>
      <c r="G95" s="747"/>
      <c r="H95" s="747"/>
      <c r="I95" s="747"/>
      <c r="J95" s="747"/>
      <c r="K95" s="748"/>
      <c r="L95" s="749">
        <f>IF($AK95=0,AF150,AF132)</f>
        <v>3</v>
      </c>
      <c r="M95" s="750"/>
      <c r="N95" s="750"/>
      <c r="O95" s="750"/>
      <c r="P95" s="750"/>
      <c r="Q95" s="785"/>
      <c r="R95" s="749">
        <f>IF($AK95=0,AG150,AG132)</f>
        <v>5</v>
      </c>
      <c r="S95" s="750"/>
      <c r="T95" s="750"/>
      <c r="U95" s="750"/>
      <c r="V95" s="750"/>
      <c r="W95" s="749">
        <f>AQ110</f>
        <v>-18</v>
      </c>
      <c r="X95" s="750"/>
      <c r="Y95" s="750"/>
      <c r="Z95" s="722">
        <f>IF(AF144&gt;0,(AQ110/AF144),0)</f>
        <v>-0.09</v>
      </c>
      <c r="AA95" s="723"/>
      <c r="AB95" s="723"/>
      <c r="AC95" s="726">
        <f>IF(AF158=0,0,(AF150/AF158))</f>
        <v>0.375</v>
      </c>
      <c r="AD95" s="727"/>
      <c r="AE95" s="728"/>
      <c r="AF95" s="732">
        <v>4</v>
      </c>
      <c r="AG95" s="732">
        <v>1</v>
      </c>
      <c r="AH95" s="734"/>
      <c r="AI95" s="735"/>
      <c r="AJ95" s="26"/>
      <c r="AK95" s="27">
        <v>0</v>
      </c>
      <c r="AL95" s="28" t="s">
        <v>53</v>
      </c>
      <c r="AM95" s="28"/>
      <c r="AN95" s="28"/>
      <c r="AO95" s="28"/>
      <c r="AP95" s="28"/>
      <c r="AQ95" s="28"/>
      <c r="AR95" s="29"/>
    </row>
    <row r="96" spans="1:54" ht="18.75" customHeight="1" thickBot="1" x14ac:dyDescent="0.25">
      <c r="A96" s="743"/>
      <c r="B96" s="761" t="s">
        <v>11</v>
      </c>
      <c r="C96" s="762"/>
      <c r="D96" s="762"/>
      <c r="E96" s="763" t="str">
        <f>AV5</f>
        <v>fj4beauf2pm</v>
      </c>
      <c r="F96" s="764"/>
      <c r="G96" s="764"/>
      <c r="H96" s="764"/>
      <c r="I96" s="764"/>
      <c r="J96" s="764"/>
      <c r="K96" s="764"/>
      <c r="L96" s="765"/>
      <c r="M96" s="766"/>
      <c r="N96" s="766"/>
      <c r="O96" s="766"/>
      <c r="P96" s="766"/>
      <c r="Q96" s="785"/>
      <c r="R96" s="765"/>
      <c r="S96" s="766"/>
      <c r="T96" s="766"/>
      <c r="U96" s="766"/>
      <c r="V96" s="766"/>
      <c r="W96" s="765"/>
      <c r="X96" s="766"/>
      <c r="Y96" s="766"/>
      <c r="Z96" s="753"/>
      <c r="AA96" s="754"/>
      <c r="AB96" s="754"/>
      <c r="AC96" s="755"/>
      <c r="AD96" s="756"/>
      <c r="AE96" s="757"/>
      <c r="AF96" s="758"/>
      <c r="AG96" s="758"/>
      <c r="AH96" s="759"/>
      <c r="AI96" s="760"/>
      <c r="AJ96" s="26"/>
      <c r="AK96" s="27">
        <v>1</v>
      </c>
      <c r="AL96" s="28" t="s">
        <v>56</v>
      </c>
      <c r="AM96" s="26"/>
      <c r="AN96" s="26"/>
      <c r="AO96" s="26"/>
      <c r="AP96" s="26"/>
      <c r="AQ96" s="26"/>
      <c r="AR96" s="3"/>
    </row>
    <row r="97" spans="1:44" ht="18.75" customHeight="1" x14ac:dyDescent="0.2">
      <c r="A97" s="742" t="str">
        <f>IF($AK94&gt;2,"3","")</f>
        <v>3</v>
      </c>
      <c r="B97" s="744" t="s">
        <v>10</v>
      </c>
      <c r="C97" s="745"/>
      <c r="D97" s="745"/>
      <c r="E97" s="746" t="str">
        <f>AU8</f>
        <v>Shelby Strikers</v>
      </c>
      <c r="F97" s="747"/>
      <c r="G97" s="747"/>
      <c r="H97" s="747"/>
      <c r="I97" s="747"/>
      <c r="J97" s="747"/>
      <c r="K97" s="748"/>
      <c r="L97" s="749">
        <f>IF($AK95=0,AF151,AF133)</f>
        <v>7</v>
      </c>
      <c r="M97" s="750"/>
      <c r="N97" s="750"/>
      <c r="O97" s="750"/>
      <c r="P97" s="750"/>
      <c r="Q97" s="785"/>
      <c r="R97" s="749">
        <f>IF($AK95=0,AG151,AG133)</f>
        <v>1</v>
      </c>
      <c r="S97" s="750"/>
      <c r="T97" s="750"/>
      <c r="U97" s="750"/>
      <c r="V97" s="750"/>
      <c r="W97" s="749">
        <f>AQ111</f>
        <v>34</v>
      </c>
      <c r="X97" s="750"/>
      <c r="Y97" s="750"/>
      <c r="Z97" s="722">
        <f>IF(AF145&gt;0,(AQ111/AF145),0)</f>
        <v>0.17</v>
      </c>
      <c r="AA97" s="723"/>
      <c r="AB97" s="723"/>
      <c r="AC97" s="726">
        <f>IF(AF159=0,0,(AF151/AF159))</f>
        <v>0.875</v>
      </c>
      <c r="AD97" s="727"/>
      <c r="AE97" s="728"/>
      <c r="AF97" s="732">
        <v>1</v>
      </c>
      <c r="AG97" s="732">
        <v>1</v>
      </c>
      <c r="AH97" s="734"/>
      <c r="AI97" s="735"/>
      <c r="AJ97" s="30"/>
      <c r="AK97" s="27">
        <v>8</v>
      </c>
      <c r="AL97" s="31" t="s">
        <v>59</v>
      </c>
      <c r="AM97" s="28"/>
      <c r="AN97" s="28"/>
      <c r="AO97" s="28"/>
      <c r="AP97" s="28"/>
      <c r="AQ97" s="28"/>
      <c r="AR97" s="29"/>
    </row>
    <row r="98" spans="1:44" ht="18.75" customHeight="1" thickBot="1" x14ac:dyDescent="0.25">
      <c r="A98" s="743"/>
      <c r="B98" s="761" t="s">
        <v>11</v>
      </c>
      <c r="C98" s="762"/>
      <c r="D98" s="762"/>
      <c r="E98" s="763" t="str">
        <f>AV8</f>
        <v>fj4shlby1cr</v>
      </c>
      <c r="F98" s="764"/>
      <c r="G98" s="764"/>
      <c r="H98" s="764"/>
      <c r="I98" s="764"/>
      <c r="J98" s="764"/>
      <c r="K98" s="764"/>
      <c r="L98" s="765"/>
      <c r="M98" s="766"/>
      <c r="N98" s="766"/>
      <c r="O98" s="766"/>
      <c r="P98" s="766"/>
      <c r="Q98" s="785"/>
      <c r="R98" s="765"/>
      <c r="S98" s="766"/>
      <c r="T98" s="766"/>
      <c r="U98" s="766"/>
      <c r="V98" s="766"/>
      <c r="W98" s="765"/>
      <c r="X98" s="766"/>
      <c r="Y98" s="766"/>
      <c r="Z98" s="753"/>
      <c r="AA98" s="754"/>
      <c r="AB98" s="754"/>
      <c r="AC98" s="755"/>
      <c r="AD98" s="756"/>
      <c r="AE98" s="757"/>
      <c r="AF98" s="758"/>
      <c r="AG98" s="758"/>
      <c r="AH98" s="759"/>
      <c r="AI98" s="760"/>
      <c r="AJ98" s="30"/>
      <c r="AK98" s="35"/>
      <c r="AL98" s="36"/>
      <c r="AM98" s="36"/>
      <c r="AN98" s="36"/>
      <c r="AO98" s="36"/>
      <c r="AP98" s="36"/>
      <c r="AQ98" s="26"/>
      <c r="AR98" s="3"/>
    </row>
    <row r="99" spans="1:44" ht="18.75" customHeight="1" x14ac:dyDescent="0.2">
      <c r="A99" s="742" t="str">
        <f>IF($AK94&gt;3,"4","")</f>
        <v>4</v>
      </c>
      <c r="B99" s="744" t="s">
        <v>10</v>
      </c>
      <c r="C99" s="745"/>
      <c r="D99" s="745"/>
      <c r="E99" s="746" t="str">
        <f>AU9</f>
        <v>Magnum 14 Black</v>
      </c>
      <c r="F99" s="747"/>
      <c r="G99" s="747"/>
      <c r="H99" s="747"/>
      <c r="I99" s="747"/>
      <c r="J99" s="747"/>
      <c r="K99" s="748"/>
      <c r="L99" s="749">
        <f>IF($AK95=0,AF152,AF134)</f>
        <v>4</v>
      </c>
      <c r="M99" s="750"/>
      <c r="N99" s="750"/>
      <c r="O99" s="750"/>
      <c r="P99" s="750"/>
      <c r="Q99" s="785"/>
      <c r="R99" s="749">
        <f>IF($AK95=0,AG152,AG134)</f>
        <v>4</v>
      </c>
      <c r="S99" s="750"/>
      <c r="T99" s="750"/>
      <c r="U99" s="750"/>
      <c r="V99" s="750"/>
      <c r="W99" s="749">
        <f>AQ112</f>
        <v>13</v>
      </c>
      <c r="X99" s="750"/>
      <c r="Y99" s="750"/>
      <c r="Z99" s="722">
        <f>IF(AF146&gt;0,(AQ112/AF146),0)</f>
        <v>6.4676616915422883E-2</v>
      </c>
      <c r="AA99" s="723"/>
      <c r="AB99" s="723"/>
      <c r="AC99" s="726">
        <f>IF(AF160=0,0,(AF152/AF160))</f>
        <v>0.5</v>
      </c>
      <c r="AD99" s="727"/>
      <c r="AE99" s="728"/>
      <c r="AF99" s="732">
        <v>3</v>
      </c>
      <c r="AG99" s="732">
        <v>1</v>
      </c>
      <c r="AH99" s="734"/>
      <c r="AI99" s="735"/>
      <c r="AJ99" s="7"/>
      <c r="AK99" s="36"/>
      <c r="AL99" s="36"/>
      <c r="AM99" s="36"/>
      <c r="AN99" s="36"/>
      <c r="AO99" s="36"/>
      <c r="AP99" s="36"/>
      <c r="AQ99" s="28"/>
      <c r="AR99" s="29"/>
    </row>
    <row r="100" spans="1:44" ht="18.75" customHeight="1" thickBot="1" x14ac:dyDescent="0.25">
      <c r="A100" s="743"/>
      <c r="B100" s="761" t="s">
        <v>11</v>
      </c>
      <c r="C100" s="762"/>
      <c r="D100" s="762"/>
      <c r="E100" s="763" t="str">
        <f>AV9</f>
        <v>fj4magnm5pm</v>
      </c>
      <c r="F100" s="764"/>
      <c r="G100" s="764"/>
      <c r="H100" s="764"/>
      <c r="I100" s="764"/>
      <c r="J100" s="764"/>
      <c r="K100" s="764"/>
      <c r="L100" s="765"/>
      <c r="M100" s="766"/>
      <c r="N100" s="766"/>
      <c r="O100" s="766"/>
      <c r="P100" s="766"/>
      <c r="Q100" s="785"/>
      <c r="R100" s="765"/>
      <c r="S100" s="766"/>
      <c r="T100" s="766"/>
      <c r="U100" s="766"/>
      <c r="V100" s="766"/>
      <c r="W100" s="765"/>
      <c r="X100" s="766"/>
      <c r="Y100" s="766"/>
      <c r="Z100" s="753"/>
      <c r="AA100" s="754"/>
      <c r="AB100" s="754"/>
      <c r="AC100" s="755"/>
      <c r="AD100" s="756"/>
      <c r="AE100" s="757"/>
      <c r="AF100" s="758"/>
      <c r="AG100" s="758"/>
      <c r="AH100" s="759"/>
      <c r="AI100" s="760"/>
      <c r="AJ100" s="7"/>
      <c r="AK100" s="36"/>
      <c r="AL100" s="36"/>
      <c r="AM100" s="36"/>
      <c r="AN100" s="36"/>
      <c r="AO100" s="36"/>
      <c r="AP100" s="36"/>
      <c r="AQ100" s="7"/>
      <c r="AR100" s="3"/>
    </row>
    <row r="101" spans="1:44" ht="18.75" customHeight="1" x14ac:dyDescent="0.2">
      <c r="A101" s="742" t="str">
        <f>IF($AK94&gt;4,"5","")</f>
        <v>5</v>
      </c>
      <c r="B101" s="744" t="s">
        <v>10</v>
      </c>
      <c r="C101" s="745"/>
      <c r="D101" s="745"/>
      <c r="E101" s="746" t="str">
        <f>AU12</f>
        <v>Vision 14 Regional</v>
      </c>
      <c r="F101" s="747"/>
      <c r="G101" s="747"/>
      <c r="H101" s="747"/>
      <c r="I101" s="747"/>
      <c r="J101" s="747"/>
      <c r="K101" s="748"/>
      <c r="L101" s="749">
        <f>IF($AK95=0,AF153,AF135)</f>
        <v>1</v>
      </c>
      <c r="M101" s="750"/>
      <c r="N101" s="750"/>
      <c r="O101" s="750"/>
      <c r="P101" s="750"/>
      <c r="Q101" s="785"/>
      <c r="R101" s="749">
        <f>IF($AK95=0,AG153,AG135)</f>
        <v>7</v>
      </c>
      <c r="S101" s="750"/>
      <c r="T101" s="750"/>
      <c r="U101" s="750"/>
      <c r="V101" s="750"/>
      <c r="W101" s="749">
        <f>AQ113</f>
        <v>-45</v>
      </c>
      <c r="X101" s="750"/>
      <c r="Y101" s="750"/>
      <c r="Z101" s="722">
        <f>IF(AF147&gt;0,(AQ113/AF147),0)</f>
        <v>-0.22500000000000001</v>
      </c>
      <c r="AA101" s="723"/>
      <c r="AB101" s="723"/>
      <c r="AC101" s="726">
        <f>IF(AF161=0,0,(AF153/AF161))</f>
        <v>0.125</v>
      </c>
      <c r="AD101" s="727"/>
      <c r="AE101" s="728"/>
      <c r="AF101" s="732">
        <v>5</v>
      </c>
      <c r="AG101" s="732">
        <v>1</v>
      </c>
      <c r="AH101" s="734"/>
      <c r="AI101" s="735"/>
      <c r="AJ101" s="7"/>
      <c r="AK101" s="36"/>
      <c r="AL101" s="36"/>
      <c r="AM101" s="36"/>
      <c r="AN101" s="36"/>
      <c r="AO101" s="36"/>
      <c r="AP101" s="36"/>
      <c r="AQ101" s="7"/>
      <c r="AR101" s="3"/>
    </row>
    <row r="102" spans="1:44" ht="18.75" customHeight="1" thickBot="1" x14ac:dyDescent="0.25">
      <c r="A102" s="743"/>
      <c r="B102" s="738" t="s">
        <v>11</v>
      </c>
      <c r="C102" s="739"/>
      <c r="D102" s="739"/>
      <c r="E102" s="740" t="str">
        <f>AV12</f>
        <v>fj4vison2pm</v>
      </c>
      <c r="F102" s="741"/>
      <c r="G102" s="741"/>
      <c r="H102" s="741"/>
      <c r="I102" s="741"/>
      <c r="J102" s="741"/>
      <c r="K102" s="741"/>
      <c r="L102" s="751"/>
      <c r="M102" s="752"/>
      <c r="N102" s="752"/>
      <c r="O102" s="752"/>
      <c r="P102" s="752"/>
      <c r="Q102" s="785"/>
      <c r="R102" s="751"/>
      <c r="S102" s="752"/>
      <c r="T102" s="752"/>
      <c r="U102" s="752"/>
      <c r="V102" s="752"/>
      <c r="W102" s="751"/>
      <c r="X102" s="752"/>
      <c r="Y102" s="752"/>
      <c r="Z102" s="724"/>
      <c r="AA102" s="725"/>
      <c r="AB102" s="725"/>
      <c r="AC102" s="729"/>
      <c r="AD102" s="730"/>
      <c r="AE102" s="731"/>
      <c r="AF102" s="733"/>
      <c r="AG102" s="733"/>
      <c r="AH102" s="736"/>
      <c r="AI102" s="737"/>
      <c r="AJ102" s="7"/>
      <c r="AK102" s="36"/>
      <c r="AL102" s="36"/>
      <c r="AM102" s="36"/>
      <c r="AN102" s="36"/>
      <c r="AO102" s="36"/>
      <c r="AP102" s="36"/>
      <c r="AQ102" s="7"/>
      <c r="AR102" s="3"/>
    </row>
    <row r="103" spans="1:44" ht="21" customHeight="1" thickTop="1" thickBot="1" x14ac:dyDescent="0.25">
      <c r="A103" s="39"/>
      <c r="B103" s="719" t="s">
        <v>63</v>
      </c>
      <c r="C103" s="720"/>
      <c r="D103" s="720"/>
      <c r="E103" s="720"/>
      <c r="F103" s="720"/>
      <c r="G103" s="720"/>
      <c r="H103" s="720"/>
      <c r="I103" s="720"/>
      <c r="J103" s="720"/>
      <c r="K103" s="720"/>
      <c r="L103" s="720"/>
      <c r="M103" s="720"/>
      <c r="N103" s="720"/>
      <c r="O103" s="720"/>
      <c r="P103" s="720"/>
      <c r="Q103" s="720"/>
      <c r="R103" s="720"/>
      <c r="S103" s="720"/>
      <c r="T103" s="720"/>
      <c r="U103" s="720"/>
      <c r="V103" s="720"/>
      <c r="W103" s="720"/>
      <c r="X103" s="720"/>
      <c r="Y103" s="720"/>
      <c r="Z103" s="720"/>
      <c r="AA103" s="720"/>
      <c r="AB103" s="720"/>
      <c r="AC103" s="720"/>
      <c r="AD103" s="720"/>
      <c r="AE103" s="720"/>
      <c r="AF103" s="720"/>
      <c r="AG103" s="720"/>
      <c r="AH103" s="720"/>
      <c r="AI103" s="721"/>
      <c r="AJ103" s="7"/>
      <c r="AK103" s="36"/>
      <c r="AL103" s="36"/>
      <c r="AM103" s="36"/>
      <c r="AN103" s="36"/>
      <c r="AO103" s="36"/>
      <c r="AP103" s="36"/>
      <c r="AQ103" s="7"/>
      <c r="AR103" s="3"/>
    </row>
    <row r="104" spans="1:44" ht="13.5" thickTop="1" x14ac:dyDescent="0.2">
      <c r="A104" s="4" t="s">
        <v>64</v>
      </c>
      <c r="B104" s="708">
        <v>0.35416666666666669</v>
      </c>
      <c r="C104" s="709"/>
      <c r="D104" s="710"/>
      <c r="E104" s="708">
        <v>0.38541666666666669</v>
      </c>
      <c r="F104" s="709"/>
      <c r="G104" s="710"/>
      <c r="H104" s="708">
        <v>0.41666666666666669</v>
      </c>
      <c r="I104" s="709"/>
      <c r="J104" s="710"/>
      <c r="K104" s="708">
        <v>0.44791666666666669</v>
      </c>
      <c r="L104" s="709"/>
      <c r="M104" s="710"/>
      <c r="N104" s="708">
        <v>0.47916666666666669</v>
      </c>
      <c r="O104" s="709"/>
      <c r="P104" s="710"/>
      <c r="Q104" s="708">
        <v>0.51041666666666663</v>
      </c>
      <c r="R104" s="709"/>
      <c r="S104" s="710"/>
      <c r="T104" s="708">
        <v>4.1666666666666664E-2</v>
      </c>
      <c r="U104" s="709"/>
      <c r="V104" s="710"/>
      <c r="W104" s="708">
        <v>7.2916666666666671E-2</v>
      </c>
      <c r="X104" s="709"/>
      <c r="Y104" s="710"/>
      <c r="Z104" s="708">
        <v>0.10416666666666667</v>
      </c>
      <c r="AA104" s="709"/>
      <c r="AB104" s="710"/>
      <c r="AC104" s="708">
        <v>0.13541666666666666</v>
      </c>
      <c r="AD104" s="709"/>
      <c r="AE104" s="710"/>
      <c r="AF104" s="711" t="s">
        <v>65</v>
      </c>
      <c r="AG104" s="712"/>
      <c r="AH104" s="712"/>
      <c r="AI104" s="712"/>
      <c r="AJ104" s="713"/>
      <c r="AK104" s="713"/>
      <c r="AL104" s="713"/>
      <c r="AM104" s="713"/>
      <c r="AN104" s="713"/>
      <c r="AO104" s="713"/>
      <c r="AP104" s="713"/>
      <c r="AQ104" s="714"/>
    </row>
    <row r="105" spans="1:44" x14ac:dyDescent="0.2">
      <c r="A105" s="40" t="s">
        <v>66</v>
      </c>
      <c r="B105" s="705">
        <v>0.35416666666666669</v>
      </c>
      <c r="C105" s="706"/>
      <c r="D105" s="707"/>
      <c r="E105" s="705">
        <v>0.38472222222222219</v>
      </c>
      <c r="F105" s="706"/>
      <c r="G105" s="707"/>
      <c r="H105" s="705">
        <v>0.42152777777777778</v>
      </c>
      <c r="I105" s="706"/>
      <c r="J105" s="707"/>
      <c r="K105" s="705">
        <v>0.44722222222222219</v>
      </c>
      <c r="L105" s="706"/>
      <c r="M105" s="707"/>
      <c r="N105" s="705">
        <v>0.4861111111111111</v>
      </c>
      <c r="O105" s="706"/>
      <c r="P105" s="707"/>
      <c r="Q105" s="705">
        <v>0.52430555555555558</v>
      </c>
      <c r="R105" s="706"/>
      <c r="S105" s="707"/>
      <c r="T105" s="705">
        <v>4.1666666666666664E-2</v>
      </c>
      <c r="U105" s="706"/>
      <c r="V105" s="707"/>
      <c r="W105" s="705">
        <v>7.4999999999999997E-2</v>
      </c>
      <c r="X105" s="706"/>
      <c r="Y105" s="707"/>
      <c r="Z105" s="705">
        <v>0.11458333333333333</v>
      </c>
      <c r="AA105" s="706"/>
      <c r="AB105" s="707"/>
      <c r="AC105" s="705">
        <v>0.14930555555555555</v>
      </c>
      <c r="AD105" s="706"/>
      <c r="AE105" s="707"/>
      <c r="AF105" s="711"/>
      <c r="AG105" s="712"/>
      <c r="AH105" s="712"/>
      <c r="AI105" s="712"/>
      <c r="AJ105" s="712"/>
      <c r="AK105" s="712"/>
      <c r="AL105" s="712"/>
      <c r="AM105" s="712"/>
      <c r="AN105" s="712"/>
      <c r="AO105" s="712"/>
      <c r="AP105" s="712"/>
      <c r="AQ105" s="715"/>
    </row>
    <row r="106" spans="1:44" x14ac:dyDescent="0.2">
      <c r="A106" s="40" t="s">
        <v>67</v>
      </c>
      <c r="B106" s="705">
        <v>0.37638888888888888</v>
      </c>
      <c r="C106" s="706"/>
      <c r="D106" s="707"/>
      <c r="E106" s="705"/>
      <c r="F106" s="706"/>
      <c r="G106" s="707"/>
      <c r="H106" s="705"/>
      <c r="I106" s="706"/>
      <c r="J106" s="707"/>
      <c r="K106" s="705"/>
      <c r="L106" s="706"/>
      <c r="M106" s="707"/>
      <c r="N106" s="705"/>
      <c r="O106" s="706"/>
      <c r="P106" s="707"/>
      <c r="Q106" s="705"/>
      <c r="R106" s="706"/>
      <c r="S106" s="707"/>
      <c r="T106" s="705"/>
      <c r="U106" s="706"/>
      <c r="V106" s="707"/>
      <c r="W106" s="705"/>
      <c r="X106" s="706"/>
      <c r="Y106" s="707"/>
      <c r="Z106" s="705"/>
      <c r="AA106" s="706"/>
      <c r="AB106" s="707"/>
      <c r="AC106" s="705"/>
      <c r="AD106" s="706"/>
      <c r="AE106" s="707"/>
      <c r="AF106" s="711"/>
      <c r="AG106" s="712"/>
      <c r="AH106" s="712"/>
      <c r="AI106" s="712"/>
      <c r="AJ106" s="712"/>
      <c r="AK106" s="712"/>
      <c r="AL106" s="712"/>
      <c r="AM106" s="712"/>
      <c r="AN106" s="712"/>
      <c r="AO106" s="712"/>
      <c r="AP106" s="712"/>
      <c r="AQ106" s="715"/>
    </row>
    <row r="107" spans="1:44" ht="13.5" thickBot="1" x14ac:dyDescent="0.25">
      <c r="A107" s="7"/>
      <c r="B107" s="597" t="s">
        <v>68</v>
      </c>
      <c r="C107" s="598"/>
      <c r="D107" s="604"/>
      <c r="E107" s="597" t="str">
        <f>IF(AK93&gt;1,"Match 2","")</f>
        <v>Match 2</v>
      </c>
      <c r="F107" s="598"/>
      <c r="G107" s="604"/>
      <c r="H107" s="597" t="str">
        <f>IF(AK93&gt;2,"Match 3","")</f>
        <v>Match 3</v>
      </c>
      <c r="I107" s="598"/>
      <c r="J107" s="604"/>
      <c r="K107" s="597" t="str">
        <f>IF(AK93&gt;3,"Match 4","")</f>
        <v>Match 4</v>
      </c>
      <c r="L107" s="598"/>
      <c r="M107" s="604"/>
      <c r="N107" s="597" t="str">
        <f>IF(AK93&gt;4,"Match 5","")</f>
        <v>Match 5</v>
      </c>
      <c r="O107" s="598"/>
      <c r="P107" s="604"/>
      <c r="Q107" s="597" t="str">
        <f>IF(AK93&gt;5,"Match 6","")</f>
        <v>Match 6</v>
      </c>
      <c r="R107" s="598"/>
      <c r="S107" s="604"/>
      <c r="T107" s="597" t="str">
        <f>IF(AK93&gt;6,"Match 7","")</f>
        <v>Match 7</v>
      </c>
      <c r="U107" s="598"/>
      <c r="V107" s="604"/>
      <c r="W107" s="597" t="str">
        <f>IF(AK93&gt;7,"Match 8","")</f>
        <v>Match 8</v>
      </c>
      <c r="X107" s="598"/>
      <c r="Y107" s="604"/>
      <c r="Z107" s="597" t="str">
        <f>IF(AK93&gt;8,"Match 9","")</f>
        <v>Match 9</v>
      </c>
      <c r="AA107" s="598"/>
      <c r="AB107" s="604"/>
      <c r="AC107" s="597" t="str">
        <f>IF(AK93&gt;9,"Match 10","")</f>
        <v>Match 10</v>
      </c>
      <c r="AD107" s="598"/>
      <c r="AE107" s="604"/>
      <c r="AF107" s="716"/>
      <c r="AG107" s="717"/>
      <c r="AH107" s="717"/>
      <c r="AI107" s="717"/>
      <c r="AJ107" s="717"/>
      <c r="AK107" s="717"/>
      <c r="AL107" s="717"/>
      <c r="AM107" s="717"/>
      <c r="AN107" s="717"/>
      <c r="AO107" s="717"/>
      <c r="AP107" s="717"/>
      <c r="AQ107" s="718"/>
    </row>
    <row r="108" spans="1:44" ht="15.75" x14ac:dyDescent="0.25">
      <c r="A108" s="7"/>
      <c r="B108" s="699" t="s">
        <v>69</v>
      </c>
      <c r="C108" s="700"/>
      <c r="D108" s="701"/>
      <c r="E108" s="699" t="s">
        <v>70</v>
      </c>
      <c r="F108" s="700"/>
      <c r="G108" s="701"/>
      <c r="H108" s="699" t="s">
        <v>71</v>
      </c>
      <c r="I108" s="700"/>
      <c r="J108" s="701"/>
      <c r="K108" s="699" t="s">
        <v>72</v>
      </c>
      <c r="L108" s="700"/>
      <c r="M108" s="701"/>
      <c r="N108" s="699" t="s">
        <v>73</v>
      </c>
      <c r="O108" s="700"/>
      <c r="P108" s="701"/>
      <c r="Q108" s="699" t="s">
        <v>71</v>
      </c>
      <c r="R108" s="700"/>
      <c r="S108" s="701"/>
      <c r="T108" s="699" t="s">
        <v>69</v>
      </c>
      <c r="U108" s="700"/>
      <c r="V108" s="701"/>
      <c r="W108" s="699" t="s">
        <v>73</v>
      </c>
      <c r="X108" s="700"/>
      <c r="Y108" s="701"/>
      <c r="Z108" s="699" t="s">
        <v>72</v>
      </c>
      <c r="AA108" s="700"/>
      <c r="AB108" s="701"/>
      <c r="AC108" s="699" t="s">
        <v>70</v>
      </c>
      <c r="AD108" s="700"/>
      <c r="AE108" s="701"/>
      <c r="AF108" s="41" t="s">
        <v>74</v>
      </c>
      <c r="AG108" s="42">
        <v>1</v>
      </c>
      <c r="AH108" s="42">
        <v>2</v>
      </c>
      <c r="AI108" s="42">
        <v>3</v>
      </c>
      <c r="AJ108" s="42">
        <v>4</v>
      </c>
      <c r="AK108" s="42">
        <v>5</v>
      </c>
      <c r="AL108" s="42">
        <v>6</v>
      </c>
      <c r="AM108" s="42">
        <v>7</v>
      </c>
      <c r="AN108" s="42">
        <v>8</v>
      </c>
      <c r="AO108" s="42">
        <v>9</v>
      </c>
      <c r="AP108" s="42">
        <v>10</v>
      </c>
      <c r="AQ108" s="43" t="s">
        <v>75</v>
      </c>
    </row>
    <row r="109" spans="1:44" ht="15.75" x14ac:dyDescent="0.25">
      <c r="A109" s="7"/>
      <c r="B109" s="44">
        <v>2</v>
      </c>
      <c r="C109" s="45" t="s">
        <v>76</v>
      </c>
      <c r="D109" s="46">
        <v>5</v>
      </c>
      <c r="E109" s="44">
        <v>1</v>
      </c>
      <c r="F109" s="45" t="str">
        <f>IF(AK93&gt;1,"v","")</f>
        <v>v</v>
      </c>
      <c r="G109" s="46">
        <v>4</v>
      </c>
      <c r="H109" s="44">
        <v>3</v>
      </c>
      <c r="I109" s="45" t="str">
        <f>IF(AK93&gt;2,"v","")</f>
        <v>v</v>
      </c>
      <c r="J109" s="46">
        <v>5</v>
      </c>
      <c r="K109" s="44">
        <v>2</v>
      </c>
      <c r="L109" s="45" t="str">
        <f>IF(AK93&gt;3,"v","")</f>
        <v>v</v>
      </c>
      <c r="M109" s="46">
        <v>4</v>
      </c>
      <c r="N109" s="44">
        <v>1</v>
      </c>
      <c r="O109" s="45" t="str">
        <f>IF(AK93&gt;4,"v","")</f>
        <v>v</v>
      </c>
      <c r="P109" s="46">
        <v>3</v>
      </c>
      <c r="Q109" s="44">
        <v>4</v>
      </c>
      <c r="R109" s="45" t="str">
        <f>IF(AK93&gt;5,"v","")</f>
        <v>v</v>
      </c>
      <c r="S109" s="46">
        <v>5</v>
      </c>
      <c r="T109" s="44">
        <v>2</v>
      </c>
      <c r="U109" s="45" t="str">
        <f>IF(AK93&gt;6,"v","")</f>
        <v>v</v>
      </c>
      <c r="V109" s="46">
        <v>3</v>
      </c>
      <c r="W109" s="44">
        <v>1</v>
      </c>
      <c r="X109" s="45" t="str">
        <f>IF(AK93&gt;7,"v","")</f>
        <v>v</v>
      </c>
      <c r="Y109" s="46">
        <v>5</v>
      </c>
      <c r="Z109" s="44">
        <v>3</v>
      </c>
      <c r="AA109" s="45" t="str">
        <f>IF(AK93&gt;8,"v","")</f>
        <v>v</v>
      </c>
      <c r="AB109" s="46">
        <v>4</v>
      </c>
      <c r="AC109" s="44">
        <v>1</v>
      </c>
      <c r="AD109" s="45" t="str">
        <f>IF(AK93&gt;9,"v","")</f>
        <v>v</v>
      </c>
      <c r="AE109" s="46">
        <v>2</v>
      </c>
      <c r="AF109" s="41" t="str">
        <f>IF(AK94&gt;0,"Team 1","")</f>
        <v>Team 1</v>
      </c>
      <c r="AG109" s="47" t="str">
        <f>IF(AK94&lt;1,"",IF(AK93&lt;1,"",IF(B109=1,B115-D115,IF(D109=1,D115-B115,""))))</f>
        <v/>
      </c>
      <c r="AH109" s="47">
        <f>IF(AK94&lt;1,"",IF(AK93&lt;2,"",IF(E109=1,E115-G115,IF(G109=1,G115-E115,""))))</f>
        <v>-1</v>
      </c>
      <c r="AI109" s="47" t="str">
        <f>IF(AK94&lt;1,"",IF(AK93&lt;3,"",IF(H109=1,H115-J115,IF(J109=1,J115-H115,""))))</f>
        <v/>
      </c>
      <c r="AJ109" s="47" t="str">
        <f>IF(AK94&lt;1,"",IF(AK93&lt;4,"",IF(K109=1,K115-M115,IF(M109=1,M115-K115,""))))</f>
        <v/>
      </c>
      <c r="AK109" s="47">
        <f>IF(AK94&lt;1,"",IF(AK93&lt;5,"",IF(N109=1,N115-P115,IF(P109=1,P115-N115,""))))</f>
        <v>2</v>
      </c>
      <c r="AL109" s="47" t="str">
        <f>IF(AK94&lt;1,"",IF(AK93&lt;6,"",IF(Q109=1,Q115-S115,IF(S109=1,S115-Q115,""))))</f>
        <v/>
      </c>
      <c r="AM109" s="47" t="str">
        <f>IF(AK94&lt;1,"",IF(AK93&lt;7,"",IF(T109=1,T115-V115,IF(V109=1,V115-T115,""))))</f>
        <v/>
      </c>
      <c r="AN109" s="47">
        <f>IF(AK94&lt;1,"",IF(AK93&lt;8,"",IF(W109=1,W115-Y115,IF(Y109=1,Y115-W115,""))))</f>
        <v>12</v>
      </c>
      <c r="AO109" s="47" t="str">
        <f>IF(AK94&lt;1,"",IF(AK93&lt;9,"",IF(Z109=1,Z115-AB115,IF(AB109=1,AB115-Z115,""))))</f>
        <v/>
      </c>
      <c r="AP109" s="47">
        <f>IF(AK94&lt;1,"",IF(AK93&lt;10,"",IF(AC109=1,AC115-AE115,IF(AE109=1,AE115-AC115,""))))</f>
        <v>3</v>
      </c>
      <c r="AQ109" s="43">
        <f>SUM(AG109:AP109)</f>
        <v>16</v>
      </c>
    </row>
    <row r="110" spans="1:44" ht="15" x14ac:dyDescent="0.2">
      <c r="A110" s="4" t="s">
        <v>77</v>
      </c>
      <c r="B110" s="48">
        <v>25</v>
      </c>
      <c r="C110" s="49" t="s">
        <v>78</v>
      </c>
      <c r="D110" s="50">
        <v>19</v>
      </c>
      <c r="E110" s="48">
        <v>26</v>
      </c>
      <c r="F110" s="49" t="str">
        <f>IF(AK93&gt;1,"/","")</f>
        <v>/</v>
      </c>
      <c r="G110" s="50">
        <v>24</v>
      </c>
      <c r="H110" s="48">
        <v>25</v>
      </c>
      <c r="I110" s="49" t="str">
        <f>IF(AK93&gt;2,"/","")</f>
        <v>/</v>
      </c>
      <c r="J110" s="50">
        <v>22</v>
      </c>
      <c r="K110" s="48">
        <v>25</v>
      </c>
      <c r="L110" s="49" t="str">
        <f>IF(AK93&gt;3,"/","")</f>
        <v>/</v>
      </c>
      <c r="M110" s="50">
        <v>19</v>
      </c>
      <c r="N110" s="48">
        <v>25</v>
      </c>
      <c r="O110" s="49" t="str">
        <f>IF(AK93&gt;4,"/","")</f>
        <v>/</v>
      </c>
      <c r="P110" s="50">
        <v>18</v>
      </c>
      <c r="Q110" s="48">
        <v>25</v>
      </c>
      <c r="R110" s="49" t="str">
        <f>IF(AK93&gt;5,"/","")</f>
        <v>/</v>
      </c>
      <c r="S110" s="50">
        <v>13</v>
      </c>
      <c r="T110" s="48">
        <v>20</v>
      </c>
      <c r="U110" s="49" t="str">
        <f>IF(AK93&gt;6,"/","")</f>
        <v>/</v>
      </c>
      <c r="V110" s="50">
        <v>25</v>
      </c>
      <c r="W110" s="48">
        <v>25</v>
      </c>
      <c r="X110" s="49" t="str">
        <f>IF(AK93&gt;7,"/","")</f>
        <v>/</v>
      </c>
      <c r="Y110" s="50">
        <v>18</v>
      </c>
      <c r="Z110" s="48">
        <v>25</v>
      </c>
      <c r="AA110" s="49" t="str">
        <f>IF(AK93&gt;8,"/","")</f>
        <v>/</v>
      </c>
      <c r="AB110" s="50">
        <v>20</v>
      </c>
      <c r="AC110" s="48">
        <v>25</v>
      </c>
      <c r="AD110" s="49" t="str">
        <f>IF(AK93&gt;9,"/","")</f>
        <v>/</v>
      </c>
      <c r="AE110" s="50">
        <v>15</v>
      </c>
      <c r="AF110" s="41" t="str">
        <f>IF(AK94&gt;1,"Team 2","")</f>
        <v>Team 2</v>
      </c>
      <c r="AG110" s="47">
        <f>IF(AK94&lt;2,"",IF(AK93&lt;1,"",IF(B109=2,B115-D115,IF(D109=2,D115-B115,""))))</f>
        <v>-1</v>
      </c>
      <c r="AH110" s="47" t="str">
        <f>IF(AK94&lt;2,"",IF(AK93&lt;2,"",IF(E109=2,E115-G115,IF(G109=2,G115-E115,""))))</f>
        <v/>
      </c>
      <c r="AI110" s="47" t="str">
        <f>IF(AK94&lt;2,"",IF(AK93&lt;3,"",IF(H109=2,H115-J115,IF(J109=2,J115-H115,""))))</f>
        <v/>
      </c>
      <c r="AJ110" s="47">
        <f>IF(AK94&lt;2,"",IF(AK93&lt;4,"",IF(K109=2,K115-M115,IF(M109=2,M115-K115,""))))</f>
        <v>1</v>
      </c>
      <c r="AK110" s="47" t="str">
        <f>IF(AK94&lt;2,"",IF(AK93&lt;5,"",IF(N109=2,N115-P115,IF(P109=2,P115-N115,""))))</f>
        <v/>
      </c>
      <c r="AL110" s="47" t="str">
        <f>IF(AK94&lt;2,"",IF(AK93&lt;6,"",IF(Q109=2,Q115-S115,IF(S109=2,S115-Q115,""))))</f>
        <v/>
      </c>
      <c r="AM110" s="47">
        <f>IF(AK94&lt;2,"",IF(AK93&lt;7,"",IF(T109=2,T115-V115,IF(V109=2,V115-T115,""))))</f>
        <v>-15</v>
      </c>
      <c r="AN110" s="47" t="str">
        <f>IF(AK94&lt;2,"",IF(AK93&lt;8,"",IF(W109=2,W115-Y115,IF(Y109=2,Y115-W115,""))))</f>
        <v/>
      </c>
      <c r="AO110" s="47" t="str">
        <f>IF(AK94&lt;2,"",IF(AK93&lt;9,"",IF(Z109=2,Z115-AB115,IF(AB109=2,AB115-Z115,""))))</f>
        <v/>
      </c>
      <c r="AP110" s="47">
        <f>IF(AK94&lt;2,"",IF(AK93&lt;10,"",IF(AC109=2,AC115-AE115,IF(AE109=2,AE115-AC115,""))))</f>
        <v>-3</v>
      </c>
      <c r="AQ110" s="43">
        <f>SUM(AG110:AP110)</f>
        <v>-18</v>
      </c>
    </row>
    <row r="111" spans="1:44" ht="15" x14ac:dyDescent="0.2">
      <c r="A111" s="3" t="str">
        <f>IF(AK92&gt;1,"Game 2","")</f>
        <v>Game 2</v>
      </c>
      <c r="B111" s="48">
        <v>18</v>
      </c>
      <c r="C111" s="49" t="s">
        <v>78</v>
      </c>
      <c r="D111" s="50">
        <v>25</v>
      </c>
      <c r="E111" s="48">
        <v>22</v>
      </c>
      <c r="F111" s="49" t="str">
        <f>IF(AK93&gt;1,IF(AK92&gt;1,"/",""),"")</f>
        <v>/</v>
      </c>
      <c r="G111" s="50">
        <v>25</v>
      </c>
      <c r="H111" s="48">
        <v>25</v>
      </c>
      <c r="I111" s="49" t="str">
        <f>IF(AK93&gt;2,IF(AK92&gt;1,"/",""),"")</f>
        <v>/</v>
      </c>
      <c r="J111" s="50">
        <v>14</v>
      </c>
      <c r="K111" s="48">
        <v>20</v>
      </c>
      <c r="L111" s="49" t="str">
        <f>IF(AK93&gt;3,IF(AK92&gt;1,"/",""),"")</f>
        <v>/</v>
      </c>
      <c r="M111" s="50">
        <v>25</v>
      </c>
      <c r="N111" s="48">
        <v>20</v>
      </c>
      <c r="O111" s="49" t="str">
        <f>IF(AK93&gt;4,IF(AK92&gt;1,"/",""),"")</f>
        <v>/</v>
      </c>
      <c r="P111" s="50">
        <v>25</v>
      </c>
      <c r="Q111" s="48">
        <v>25</v>
      </c>
      <c r="R111" s="49" t="str">
        <f>IF(AK93&gt;5,IF(AK92&gt;1,"/",""),"")</f>
        <v>/</v>
      </c>
      <c r="S111" s="50">
        <v>17</v>
      </c>
      <c r="T111" s="48">
        <v>15</v>
      </c>
      <c r="U111" s="49" t="str">
        <f>IF(AK93&gt;6,IF(AK92&gt;1,"/",""),"")</f>
        <v>/</v>
      </c>
      <c r="V111" s="50">
        <v>25</v>
      </c>
      <c r="W111" s="48">
        <v>25</v>
      </c>
      <c r="X111" s="49" t="str">
        <f>IF(AK93&gt;7,IF(AK92&gt;1,"/",""),"")</f>
        <v>/</v>
      </c>
      <c r="Y111" s="50">
        <v>20</v>
      </c>
      <c r="Z111" s="48">
        <v>25</v>
      </c>
      <c r="AA111" s="49" t="str">
        <f>IF(AK93&gt;8,IF(AK92&gt;1,"/",""),"")</f>
        <v>/</v>
      </c>
      <c r="AB111" s="50">
        <v>23</v>
      </c>
      <c r="AC111" s="48">
        <v>18</v>
      </c>
      <c r="AD111" s="49" t="str">
        <f>IF(AK93&gt;9,IF(AK92&gt;1,"/",""),"")</f>
        <v>/</v>
      </c>
      <c r="AE111" s="50">
        <v>25</v>
      </c>
      <c r="AF111" s="41" t="str">
        <f>IF(AK94&gt;2,"Team 3","")</f>
        <v>Team 3</v>
      </c>
      <c r="AG111" s="47" t="str">
        <f>IF(AK94&lt;3,"",IF(AK93&lt;1,"",IF(B109=3,B115-D115,IF(D109=3,D115-B115,""))))</f>
        <v/>
      </c>
      <c r="AH111" s="47" t="str">
        <f>IF(AK94&lt;3,"",IF(AK93&lt;2,"",IF(E109=3,E115-G115,IF(G109=3,G115-E115,""))))</f>
        <v/>
      </c>
      <c r="AI111" s="47">
        <f>IF(AK94&lt;3,"",IF(AK93&lt;3,"",IF(H109=3,H115-J115,IF(J109=3,J115-H115,""))))</f>
        <v>14</v>
      </c>
      <c r="AJ111" s="47" t="str">
        <f>IF(AK94&lt;3,"",IF(AK93&lt;4,"",IF(K109=3,K115-M115,IF(M109=3,M115-K115,""))))</f>
        <v/>
      </c>
      <c r="AK111" s="47">
        <f>IF(AK94&lt;3,"",IF(AK93&lt;5,"",IF(N109=3,N115-P115,IF(P109=3,P115-N115,""))))</f>
        <v>-2</v>
      </c>
      <c r="AL111" s="47" t="str">
        <f>IF(AK94&lt;3,"",IF(AK93&lt;6,"",IF(Q109=3,Q115-S115,IF(S109=3,S115-Q115,""))))</f>
        <v/>
      </c>
      <c r="AM111" s="47">
        <f>IF(AK94&lt;3,"",IF(AK93&lt;7,"",IF(T109=3,T115-V115,IF(V109=3,V115-T115,""))))</f>
        <v>15</v>
      </c>
      <c r="AN111" s="47" t="str">
        <f>IF(AK94&lt;3,"",IF(AK93&lt;8,"",IF(W109=3,W115-Y115,IF(Y109=3,Y115-W115,""))))</f>
        <v/>
      </c>
      <c r="AO111" s="47">
        <f>IF(AK94&lt;3,"",IF(AK93&lt;9,"",IF(Z109=3,Z115-AB115,IF(AB109=3,AB115-Z115,""))))</f>
        <v>7</v>
      </c>
      <c r="AP111" s="47" t="str">
        <f>IF(AK94&lt;3,"",IF(AK93&lt;9,"",IF(AC109=3,AC115-AE115,IF(AE109=3,AE115-AC115,""))))</f>
        <v/>
      </c>
      <c r="AQ111" s="43">
        <f>SUM(AG111:AP111)</f>
        <v>34</v>
      </c>
    </row>
    <row r="112" spans="1:44" ht="15" x14ac:dyDescent="0.2">
      <c r="A112" s="3" t="str">
        <f>IF(AK92&gt;2,"Game 3","")</f>
        <v/>
      </c>
      <c r="B112" s="48"/>
      <c r="C112" s="49" t="s">
        <v>78</v>
      </c>
      <c r="D112" s="50"/>
      <c r="E112" s="48"/>
      <c r="F112" s="49" t="str">
        <f>IF(AK93&gt;1,IF(AK92&gt;2,"/",""),"")</f>
        <v/>
      </c>
      <c r="G112" s="50"/>
      <c r="H112" s="48"/>
      <c r="I112" s="49" t="str">
        <f>IF(AK93&gt;2,IF(AK92&gt;2,"/",""),"")</f>
        <v/>
      </c>
      <c r="J112" s="50"/>
      <c r="K112" s="48"/>
      <c r="L112" s="49" t="str">
        <f>IF(AK93&gt;3,IF(AK92&gt;2,"/",""),"")</f>
        <v/>
      </c>
      <c r="M112" s="50"/>
      <c r="N112" s="48"/>
      <c r="O112" s="49" t="str">
        <f>IF(AK93&gt;4,IF(AK92&gt;2,"/",""),"")</f>
        <v/>
      </c>
      <c r="P112" s="50"/>
      <c r="Q112" s="48"/>
      <c r="R112" s="49" t="str">
        <f>IF(AK93&gt;5,IF(AK92&gt;2,"/",""),"")</f>
        <v/>
      </c>
      <c r="S112" s="50"/>
      <c r="T112" s="48"/>
      <c r="U112" s="49" t="str">
        <f>IF(AK93&gt;6,IF(AK92&gt;2,"/",""),"")</f>
        <v/>
      </c>
      <c r="V112" s="50"/>
      <c r="W112" s="48"/>
      <c r="X112" s="49" t="str">
        <f>IF(AK93&gt;7,IF(AK92&gt;2,"/",""),"")</f>
        <v/>
      </c>
      <c r="Y112" s="50"/>
      <c r="Z112" s="48"/>
      <c r="AA112" s="49" t="str">
        <f>IF(AK93&gt;8,IF(AK92&gt;2,"/",""),"")</f>
        <v/>
      </c>
      <c r="AB112" s="50"/>
      <c r="AC112" s="48"/>
      <c r="AD112" s="49" t="str">
        <f>IF(AK93&gt;9,IF(AK92&gt;2,"/",""),"")</f>
        <v/>
      </c>
      <c r="AE112" s="50"/>
      <c r="AF112" s="41" t="str">
        <f>IF(AK94&gt;3,"Team 4","")</f>
        <v>Team 4</v>
      </c>
      <c r="AG112" s="47" t="str">
        <f>IF(AK94&lt;4,"",IF(AK93&lt;1,"",IF(B109=4,B115-D115,IF(D109=4,D115-B115,""))))</f>
        <v/>
      </c>
      <c r="AH112" s="47">
        <f>IF(AK94&lt;4,"",IF(AK93&lt;2,"",IF(E109=4,E115-G115,IF(G109=4,G115-E115,""))))</f>
        <v>1</v>
      </c>
      <c r="AI112" s="47" t="str">
        <f>IF(AK94&lt;4,"",IF(AK93&lt;3,"",IF(H109=4,H115-J115,IF(J109=4,J115-H115,""))))</f>
        <v/>
      </c>
      <c r="AJ112" s="47">
        <f>IF(AK94&lt;4,"",IF(AK93&lt;4,"",IF(K109=4,K115-M115,IF(M109=4,M115-K115,""))))</f>
        <v>-1</v>
      </c>
      <c r="AK112" s="47" t="str">
        <f>IF(AK94&lt;4,"",IF(AK93&lt;5,"",IF(N109=4,N115-P115,IF(P109=4,P115-N115,""))))</f>
        <v/>
      </c>
      <c r="AL112" s="47">
        <f>IF(AK94&lt;4,"",IF(AK93&lt;6,"",IF(Q109=4,Q115-S115,IF(S109=4,S115-Q115,""))))</f>
        <v>20</v>
      </c>
      <c r="AM112" s="47" t="str">
        <f>IF(AK94&lt;4,"",IF(AK93&lt;7,"",IF(T109=4,T115-V115,IF(V109=4,V115-T115,""))))</f>
        <v/>
      </c>
      <c r="AN112" s="47" t="str">
        <f>IF(AK94&lt;4,"",IF(AK93&lt;8,"",IF(W109=4,W115-Y115,IF(Y109=4,Y115-W115,""))))</f>
        <v/>
      </c>
      <c r="AO112" s="47">
        <f>IF(AK94&lt;4,"",IF(AK93&lt;9,"",IF(Z109=4,Z115-AB115,IF(AB109=4,AB115-Z115,""))))</f>
        <v>-7</v>
      </c>
      <c r="AP112" s="47" t="str">
        <f>IF(AK94&lt;4,"",IF(AK93&lt;10,"",IF(AC109=4,AC115-AE115,IF(AE109=4,AE115-AC115,""))))</f>
        <v/>
      </c>
      <c r="AQ112" s="43">
        <f>SUM(AG112:AP112)</f>
        <v>13</v>
      </c>
    </row>
    <row r="113" spans="1:49" ht="15" x14ac:dyDescent="0.2">
      <c r="A113" s="3" t="str">
        <f>IF(AK92&gt;3,"Game 4","")</f>
        <v/>
      </c>
      <c r="B113" s="48"/>
      <c r="C113" s="49" t="s">
        <v>78</v>
      </c>
      <c r="D113" s="50"/>
      <c r="E113" s="48"/>
      <c r="F113" s="49" t="str">
        <f>IF(AK93&gt;1,IF(AK92&gt;3,"/",""),"")</f>
        <v/>
      </c>
      <c r="G113" s="50"/>
      <c r="H113" s="48"/>
      <c r="I113" s="49" t="str">
        <f>IF(AK93&gt;2,IF(AK92&gt;3,"/",""),"")</f>
        <v/>
      </c>
      <c r="J113" s="50"/>
      <c r="K113" s="48"/>
      <c r="L113" s="49" t="str">
        <f>IF(AK93&gt;3,IF(AK92&gt;3,"/",""),"")</f>
        <v/>
      </c>
      <c r="M113" s="50"/>
      <c r="N113" s="48"/>
      <c r="O113" s="49" t="str">
        <f>IF(AK93&gt;4,IF(AK92&gt;3,"/",""),"")</f>
        <v/>
      </c>
      <c r="P113" s="50"/>
      <c r="Q113" s="48"/>
      <c r="R113" s="49" t="str">
        <f>IF(AK93&gt;5,IF(AK92&gt;3,"/",""),"")</f>
        <v/>
      </c>
      <c r="S113" s="50"/>
      <c r="T113" s="48"/>
      <c r="U113" s="49" t="str">
        <f>IF(AK93&gt;6,IF(AK92&gt;3,"/",""),"")</f>
        <v/>
      </c>
      <c r="V113" s="50"/>
      <c r="W113" s="48"/>
      <c r="X113" s="49" t="str">
        <f>IF(AK93&gt;7,IF(AK92&gt;3,"/",""),"")</f>
        <v/>
      </c>
      <c r="Y113" s="50"/>
      <c r="Z113" s="48"/>
      <c r="AA113" s="49" t="str">
        <f>IF(AK93&gt;8,IF(AK92&gt;3,"/",""),"")</f>
        <v/>
      </c>
      <c r="AB113" s="50"/>
      <c r="AC113" s="48"/>
      <c r="AD113" s="49" t="str">
        <f>IF(AK93&gt;9,IF(AK92&gt;3,"/",""),"")</f>
        <v/>
      </c>
      <c r="AE113" s="50"/>
      <c r="AF113" s="41" t="str">
        <f>IF(AK94&gt;4,"Team 5","")</f>
        <v>Team 5</v>
      </c>
      <c r="AG113" s="51">
        <f>IF(AK94&lt;5,"",IF(AK93&lt;1,"",IF(B109=5,B115-D115,IF(D109=5,D115-B115,""))))</f>
        <v>1</v>
      </c>
      <c r="AH113" s="47" t="str">
        <f>IF(AK94&lt;5,"",IF(AK93&lt;2,"",IF(E109=5,E115-G115,IF(G109=5,G115-E115,""))))</f>
        <v/>
      </c>
      <c r="AI113" s="47">
        <f>IF(AK94&lt;5,"",IF(AK93&lt;3,"",IF(H109=5,H115-J115,IF(J109=5,J115-H115,""))))</f>
        <v>-14</v>
      </c>
      <c r="AJ113" s="47" t="str">
        <f>IF(AK94&lt;5,"",IF(AK93&lt;4,"",IF(K109=5,K115-M115,IF(M109=5,M115-K115,""))))</f>
        <v/>
      </c>
      <c r="AK113" s="47" t="str">
        <f>IF(AK94&lt;5,"",IF(AK93&lt;5,"",IF(N109=5,N115-P115,IF(P109=5,P115-N115,""))))</f>
        <v/>
      </c>
      <c r="AL113" s="47">
        <f>IF(AK94&lt;5,"",IF(AK93&lt;6,"",IF(Q109=5,Q115-S115,IF(S109=5,S115-Q115,""))))</f>
        <v>-20</v>
      </c>
      <c r="AM113" s="47" t="str">
        <f>IF(AK94&lt;5,"",IF(AK93&lt;7,"",IF(T109=5,T115-V115,IF(V109=5,V115-T115,""))))</f>
        <v/>
      </c>
      <c r="AN113" s="47">
        <f>IF(AK94&lt;5,"",IF(AK93&lt;8,"",IF(W109=5,W115-Y115,IF(Y109=5,Y115-W115,""))))</f>
        <v>-12</v>
      </c>
      <c r="AO113" s="47" t="str">
        <f>IF(AK94&lt;5,"",IF(AK93&lt;9,"",IF(Z109=5,Z115-AB115,IF(AB109=5,AB115-Z115,""))))</f>
        <v/>
      </c>
      <c r="AP113" s="47" t="str">
        <f>IF(AK94&lt;5,"",IF(AK93&lt;10,"",IF(AC109=5,AC115-AE115,IF(AE109=5,AE115-AC115,""))))</f>
        <v/>
      </c>
      <c r="AQ113" s="43">
        <f>SUM(AG113:AP113)</f>
        <v>-45</v>
      </c>
    </row>
    <row r="114" spans="1:49" ht="15" x14ac:dyDescent="0.2">
      <c r="A114" s="3" t="str">
        <f>IF(AK92&gt;4,"Game 5","")</f>
        <v/>
      </c>
      <c r="B114" s="48"/>
      <c r="C114" s="49" t="s">
        <v>78</v>
      </c>
      <c r="D114" s="50"/>
      <c r="E114" s="48"/>
      <c r="F114" s="49" t="str">
        <f>IF(AK93&gt;1,IF(AK92&gt;4,"/",""),"")</f>
        <v/>
      </c>
      <c r="G114" s="50"/>
      <c r="H114" s="48"/>
      <c r="I114" s="49" t="str">
        <f>IF(AK93&gt;2,IF(AK92&gt;4,"/",""),"")</f>
        <v/>
      </c>
      <c r="J114" s="50"/>
      <c r="K114" s="48"/>
      <c r="L114" s="49" t="str">
        <f>IF(AK93&gt;3,IF(AK92&gt;4,"/",""),"")</f>
        <v/>
      </c>
      <c r="M114" s="50"/>
      <c r="N114" s="48"/>
      <c r="O114" s="49" t="str">
        <f>IF(AK93&gt;4,IF(AK92&gt;4,"/",""),"")</f>
        <v/>
      </c>
      <c r="P114" s="50"/>
      <c r="Q114" s="48"/>
      <c r="R114" s="49" t="str">
        <f>IF(AK93&gt;5,IF(AK92&gt;4,"/",""),"")</f>
        <v/>
      </c>
      <c r="S114" s="50"/>
      <c r="T114" s="48"/>
      <c r="U114" s="49" t="str">
        <f>IF(AK93&gt;6,IF(AK92&gt;4,"/",""),"")</f>
        <v/>
      </c>
      <c r="V114" s="50"/>
      <c r="W114" s="48"/>
      <c r="X114" s="49" t="str">
        <f>IF(AK93&gt;7,IF(AK92&gt;4,"/",""),"")</f>
        <v/>
      </c>
      <c r="Y114" s="50"/>
      <c r="Z114" s="48"/>
      <c r="AA114" s="49" t="str">
        <f>IF(AK93&gt;8,IF(AK92&gt;4,"/",""),"")</f>
        <v/>
      </c>
      <c r="AB114" s="50"/>
      <c r="AC114" s="48"/>
      <c r="AD114" s="49" t="str">
        <f>IF(AK93&gt;9,IF(AK92&gt;4,"/",""),"")</f>
        <v/>
      </c>
      <c r="AE114" s="50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</row>
    <row r="115" spans="1:49" hidden="1" x14ac:dyDescent="0.2">
      <c r="A115" s="52"/>
      <c r="B115" s="52">
        <f>IF($AK92=5,SUM(B110:B114),IF($AK92=4,SUM(B110:B113),IF($AK92=3,SUM(B110:B112),IF($AK92=2,SUM(B110:B111),B110))))</f>
        <v>43</v>
      </c>
      <c r="C115" s="52"/>
      <c r="D115" s="52">
        <f>IF($AK92=5,SUM(D110:D114),IF($AK92=4,SUM(D110:D113),IF($AK92=3,SUM(D110:D112),IF($AK92=2,SUM(D110:D111),D110))))</f>
        <v>44</v>
      </c>
      <c r="E115" s="52">
        <f>IF($AK92=5,SUM(E110:E114),IF($AK92=4,SUM(E110:E113),IF($AK92=3,SUM(E110:E112),IF($AK92=2,SUM(E110:E111),E110))))</f>
        <v>48</v>
      </c>
      <c r="F115" s="52"/>
      <c r="G115" s="52">
        <f>IF($AK92=5,SUM(G110:G114),IF($AK92=4,SUM(G110:G113),IF($AK92=3,SUM(G110:G112),IF($AK92=2,SUM(G110:G111),G110))))</f>
        <v>49</v>
      </c>
      <c r="H115" s="52">
        <f>IF($AK92=5,SUM(H110:H114),IF($AK92=4,SUM(H110:H113),IF($AK92=3,SUM(H110:H112),IF($AK92=2,SUM(H110:H111),H110))))</f>
        <v>50</v>
      </c>
      <c r="I115" s="52"/>
      <c r="J115" s="52">
        <f>IF($AK92=5,SUM(J110:J114),IF($AK92=4,SUM(J110:J113),IF($AK92=3,SUM(J110:J112),IF($AK92=2,SUM(J110:J111),J110))))</f>
        <v>36</v>
      </c>
      <c r="K115" s="52">
        <f>IF($AK92=5,SUM(K110:K114),IF($AK92=4,SUM(K110:K113),IF($AK92=3,SUM(K110:K112),IF($AK92=2,SUM(K110:K111),K110))))</f>
        <v>45</v>
      </c>
      <c r="L115" s="52"/>
      <c r="M115" s="52">
        <f>IF($AK92=5,SUM(M110:M114),IF($AK92=4,SUM(M110:M113),IF($AK92=3,SUM(M110:M112),IF($AK92=2,SUM(M110:M111),M110))))</f>
        <v>44</v>
      </c>
      <c r="N115" s="52">
        <f>IF($AK92=5,SUM(N110:N114),IF($AK92=4,SUM(N110:N113),IF($AK92=3,SUM(N110:N112),IF($AK92=2,SUM(N110:N111),N110))))</f>
        <v>45</v>
      </c>
      <c r="O115" s="52"/>
      <c r="P115" s="52">
        <f>IF($AK92=5,SUM(P110:P114),IF($AK92=4,SUM(P110:P113),IF($AK92=3,SUM(P110:P112),IF($AK92=2,SUM(P110:P111),P110))))</f>
        <v>43</v>
      </c>
      <c r="Q115" s="52">
        <f>IF($AK92=5,SUM(Q110:Q114),IF($AK92=4,SUM(Q110:Q113),IF($AK92=3,SUM(Q110:Q112),IF($AK92=2,SUM(Q110:Q111),Q110))))</f>
        <v>50</v>
      </c>
      <c r="R115" s="52"/>
      <c r="S115" s="52">
        <f>IF($AK92=5,SUM(S110:S114),IF($AK92=4,SUM(S110:S113),IF($AK92=3,SUM(S110:S112),IF($AK92=2,SUM(S110:S111),S110))))</f>
        <v>30</v>
      </c>
      <c r="T115" s="52">
        <f>IF($AK92=5,SUM(T110:T114),IF($AK92=4,SUM(T110:T113),IF($AK92=3,SUM(T110:T112),IF($AK92=2,SUM(T110:T111),T110))))</f>
        <v>35</v>
      </c>
      <c r="U115" s="52"/>
      <c r="V115" s="52">
        <f>IF($AK92=5,SUM(V110:V114),IF($AK92=4,SUM(V110:V113),IF($AK92=3,SUM(V110:V112),IF($AK92=2,SUM(V110:V111),V110))))</f>
        <v>50</v>
      </c>
      <c r="W115" s="52">
        <f>IF($AK92=5,SUM(W110:W114),IF($AK92=4,SUM(W110:W113),IF($AK92=3,SUM(W110:W112),IF($AK92=2,SUM(W110:W111),W110))))</f>
        <v>50</v>
      </c>
      <c r="X115" s="52"/>
      <c r="Y115" s="52">
        <f>IF($AK92=5,SUM(Y110:Y114),IF($AK92=4,SUM(Y110:Y113),IF($AK92=3,SUM(Y110:Y112),IF($AK92=2,SUM(Y110:Y111),Y110))))</f>
        <v>38</v>
      </c>
      <c r="Z115" s="52">
        <f>IF($AK92=5,SUM(Z110:Z114),IF($AK92=4,SUM(Z110:Z113),IF($AK92=3,SUM(Z110:Z112),IF($AK92=2,SUM(Z110:Z111),Z110))))</f>
        <v>50</v>
      </c>
      <c r="AA115" s="52"/>
      <c r="AB115" s="52">
        <f>IF($AK92=5,SUM(AB110:AB114),IF($AK92=4,SUM(AB110:AB113),IF($AK92=3,SUM(AB110:AB112),IF($AK92=2,SUM(AB110:AB111),AB110))))</f>
        <v>43</v>
      </c>
      <c r="AC115" s="52">
        <f>IF($AK92=5,SUM(AC110:AC114),IF($AK92=4,SUM(AC110:AC113),IF($AK92=3,SUM(AC110:AC112),IF($AK92=2,SUM(AC110:AC111),AC110))))</f>
        <v>43</v>
      </c>
      <c r="AD115" s="52"/>
      <c r="AE115" s="52">
        <f>IF($AK92=5,SUM(AE110:AE114),IF($AK92=4,SUM(AE110:AE113),IF($AK92=3,SUM(AE110:AE112),IF($AK92=2,SUM(AE110:AE111),AE110))))</f>
        <v>40</v>
      </c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</row>
    <row r="116" spans="1:49" s="54" customFormat="1" ht="12.75" hidden="1" customHeight="1" x14ac:dyDescent="0.2">
      <c r="A116" s="54" t="s">
        <v>79</v>
      </c>
      <c r="B116" s="55">
        <f>IF(AND(B110&gt;D110,$AK93&gt;0,ISNUMBER(B110),ISNUMBER(D110)),1,0)</f>
        <v>1</v>
      </c>
      <c r="C116" s="55"/>
      <c r="D116" s="56">
        <f>IF(AND(D110&gt;B110,$AK93&gt;0,ISNUMBER(B110),ISNUMBER(D110)),1,0)</f>
        <v>0</v>
      </c>
      <c r="E116" s="55">
        <f>IF(AND(E110&gt;G110,$AK93&gt;1,ISNUMBER(E110),ISNUMBER(G110)),1,0)</f>
        <v>1</v>
      </c>
      <c r="F116" s="55"/>
      <c r="G116" s="56">
        <f>IF(AND(G110&gt;E110,$AK93&gt;1,ISNUMBER(E110),ISNUMBER(G110)),1,0)</f>
        <v>0</v>
      </c>
      <c r="H116" s="55">
        <f>IF(AND(H110&gt;J110,$AK93&gt;2,ISNUMBER(H110),ISNUMBER(J110)),1,0)</f>
        <v>1</v>
      </c>
      <c r="I116" s="55"/>
      <c r="J116" s="56">
        <f>IF(AND(J110&gt;H110,$AK93&gt;2,ISNUMBER(H110),ISNUMBER(J110)),1,0)</f>
        <v>0</v>
      </c>
      <c r="K116" s="55">
        <f>IF(AND(K110&gt;M110,$AK93&gt;3,ISNUMBER(K110),ISNUMBER(M110)),1,0)</f>
        <v>1</v>
      </c>
      <c r="L116" s="55"/>
      <c r="M116" s="56">
        <f>IF(AND(M110&gt;K110,$AK93&gt;3,ISNUMBER(K110),ISNUMBER(M110)),1,0)</f>
        <v>0</v>
      </c>
      <c r="N116" s="55">
        <f>IF(AND(N110&gt;P110,$AK93&gt;4,ISNUMBER(N110),ISNUMBER(P110)),1,0)</f>
        <v>1</v>
      </c>
      <c r="O116" s="55"/>
      <c r="P116" s="56">
        <f>IF(AND(P110&gt;N110,$AK93&gt;4,ISNUMBER(N110),ISNUMBER(P110)),1,0)</f>
        <v>0</v>
      </c>
      <c r="Q116" s="55">
        <f>IF(AND(Q110&gt;S110,$AK93&gt;5,ISNUMBER(Q110),ISNUMBER(S110)),1,0)</f>
        <v>1</v>
      </c>
      <c r="R116" s="55"/>
      <c r="S116" s="56">
        <f>IF(AND(S110&gt;Q110,$AK93&gt;5,ISNUMBER(Q110),ISNUMBER(S110)),1,0)</f>
        <v>0</v>
      </c>
      <c r="T116" s="55">
        <f>IF(AND(T110&gt;V110,$AK93&gt;6,ISNUMBER(T110),ISNUMBER(V110)),1,0)</f>
        <v>0</v>
      </c>
      <c r="U116" s="55"/>
      <c r="V116" s="56">
        <f>IF(AND(V110&gt;T110,$AK93&gt;6,ISNUMBER(T110),ISNUMBER(V110)),1,0)</f>
        <v>1</v>
      </c>
      <c r="W116" s="55">
        <f>IF(AND(W110&gt;Y110,$AK93&gt;7,ISNUMBER(W110),ISNUMBER(Y110)),1,0)</f>
        <v>1</v>
      </c>
      <c r="X116" s="55"/>
      <c r="Y116" s="56">
        <f>IF(AND(Y110&gt;W110,$AK93&gt;7,ISNUMBER(W110),ISNUMBER(Y110)),1,0)</f>
        <v>0</v>
      </c>
      <c r="Z116" s="55">
        <f>IF(AND(Z110&gt;AB110,$AK93&gt;8,ISNUMBER(Z110),ISNUMBER(AB110)),1,0)</f>
        <v>1</v>
      </c>
      <c r="AA116" s="55"/>
      <c r="AB116" s="56">
        <f>IF(AND(AB110&gt;Z110,$AK93&gt;8,ISNUMBER(Z110),ISNUMBER(AB110)),1,0)</f>
        <v>0</v>
      </c>
      <c r="AC116" s="55">
        <f>IF(AND(AC110&gt;AE110,$AK93&gt;9,ISNUMBER(AC110),ISNUMBER(AE110)),1,0)</f>
        <v>1</v>
      </c>
      <c r="AD116" s="55"/>
      <c r="AE116" s="56">
        <f>IF(AND(AE110&gt;AC110,$AK93&gt;9,ISNUMBER(AC110),ISNUMBER(AE110)),1,0)</f>
        <v>0</v>
      </c>
      <c r="AW116" s="57"/>
    </row>
    <row r="117" spans="1:49" s="54" customFormat="1" ht="12.75" hidden="1" customHeight="1" x14ac:dyDescent="0.2">
      <c r="A117" s="54" t="s">
        <v>80</v>
      </c>
      <c r="B117" s="55">
        <f>IF(AND(B111&gt;D111,$AK93&gt;0,$AK92&gt;1,ISNUMBER(B111),ISNUMBER(D111)),1,0)</f>
        <v>0</v>
      </c>
      <c r="C117" s="55"/>
      <c r="D117" s="56">
        <f>IF(AND(D111&gt;B111,$AK93&gt;0,$AK92&gt;1,ISNUMBER(B111),ISNUMBER(D111)),1,0)</f>
        <v>1</v>
      </c>
      <c r="E117" s="55">
        <f>IF(AND(E111&gt;G111,$AK93&gt;1,$AK92&gt;1,ISNUMBER(E111),ISNUMBER(G111)),1,0)</f>
        <v>0</v>
      </c>
      <c r="F117" s="55"/>
      <c r="G117" s="56">
        <f>IF(AND(G111&gt;E111,$AK93&gt;1,$AK92&gt;1,ISNUMBER(E111),ISNUMBER(G111)),1,0)</f>
        <v>1</v>
      </c>
      <c r="H117" s="55">
        <f>IF(AND(H111&gt;J111,$AK93&gt;2,$AK92&gt;1,ISNUMBER(H111),ISNUMBER(J111)),1,0)</f>
        <v>1</v>
      </c>
      <c r="I117" s="55"/>
      <c r="J117" s="56">
        <f>IF(AND(J111&gt;H111,$AK93&gt;2,$AK92&gt;1,ISNUMBER(H111),ISNUMBER(J111)),1,0)</f>
        <v>0</v>
      </c>
      <c r="K117" s="55">
        <f>IF(AND(K111&gt;M111,$AK93&gt;3,$AK92&gt;1,ISNUMBER(K111),ISNUMBER(M111)),1,0)</f>
        <v>0</v>
      </c>
      <c r="L117" s="55"/>
      <c r="M117" s="56">
        <f>IF(AND(M111&gt;K111,$AK93&gt;3,$AK92&gt;1,ISNUMBER(K111),ISNUMBER(M111)),1,0)</f>
        <v>1</v>
      </c>
      <c r="N117" s="55">
        <f>IF(AND(N111&gt;P111,$AK93&gt;4,$AK92&gt;1,ISNUMBER(N111),ISNUMBER(P111)),1,0)</f>
        <v>0</v>
      </c>
      <c r="O117" s="55"/>
      <c r="P117" s="56">
        <f>IF(AND(P111&gt;N111,$AK93&gt;4,$AK92&gt;1,ISNUMBER(N111),ISNUMBER(P111)),1,0)</f>
        <v>1</v>
      </c>
      <c r="Q117" s="55">
        <f>IF(AND(Q111&gt;S111,$AK93&gt;5,$AK92&gt;1,ISNUMBER(Q111),ISNUMBER(S111)),1,0)</f>
        <v>1</v>
      </c>
      <c r="R117" s="55"/>
      <c r="S117" s="56">
        <f>IF(AND(S111&gt;Q111,$AK93&gt;5,$AK92&gt;1,ISNUMBER(Q111),ISNUMBER(S111)),1,0)</f>
        <v>0</v>
      </c>
      <c r="T117" s="55">
        <f>IF(AND(T111&gt;V111,$AK93&gt;6,$AK92&gt;1,ISNUMBER(T111),ISNUMBER(V111)),1,0)</f>
        <v>0</v>
      </c>
      <c r="U117" s="55"/>
      <c r="V117" s="56">
        <f>IF(AND(V111&gt;T111,$AK93&gt;6,$AK92&gt;1,ISNUMBER(T111),ISNUMBER(V111)),1,0)</f>
        <v>1</v>
      </c>
      <c r="W117" s="55">
        <f>IF(AND(W111&gt;Y111,$AK93&gt;7,$AK92&gt;1,ISNUMBER(W111),ISNUMBER(Y111)),1,0)</f>
        <v>1</v>
      </c>
      <c r="X117" s="55"/>
      <c r="Y117" s="56">
        <f>IF(AND(Y111&gt;W111,$AK93&gt;7,$AK92&gt;1,ISNUMBER(W111),ISNUMBER(Y111)),1,0)</f>
        <v>0</v>
      </c>
      <c r="Z117" s="55">
        <f>IF(AND(Z111&gt;AB111,$AK93&gt;8,$AK92&gt;1,ISNUMBER(Z111),ISNUMBER(AB111)),1,0)</f>
        <v>1</v>
      </c>
      <c r="AA117" s="55"/>
      <c r="AB117" s="56">
        <f>IF(AND(AB111&gt;Z111,$AK93&gt;8,$AK92&gt;1,ISNUMBER(Z111),ISNUMBER(AB111)),1,0)</f>
        <v>0</v>
      </c>
      <c r="AC117" s="55">
        <f>IF(AND(AC111&gt;AE111,$AK93&gt;9,$AK92&gt;1,ISNUMBER(AC111),ISNUMBER(AE111)),1,0)</f>
        <v>0</v>
      </c>
      <c r="AD117" s="55"/>
      <c r="AE117" s="56">
        <f>IF(AND(AE111&gt;AC111,$AK93&gt;9,$AK92&gt;1,ISNUMBER(AC111),ISNUMBER(AE111)),1,0)</f>
        <v>1</v>
      </c>
      <c r="AW117" s="57"/>
    </row>
    <row r="118" spans="1:49" s="54" customFormat="1" ht="12.75" hidden="1" customHeight="1" x14ac:dyDescent="0.2">
      <c r="A118" s="54" t="s">
        <v>81</v>
      </c>
      <c r="B118" s="55">
        <f>IF(AND(B112&gt;D112,$AK93&gt;0,$AK92&gt;2,ISNUMBER(B112),ISNUMBER(D112)),1,0)</f>
        <v>0</v>
      </c>
      <c r="C118" s="55"/>
      <c r="D118" s="56">
        <f>IF(AND(D112&gt;B112,$AK93&gt;0,$AK92&gt;2,ISNUMBER(B112),ISNUMBER(D112)),1,0)</f>
        <v>0</v>
      </c>
      <c r="E118" s="55">
        <f>IF(AND(E112&gt;G112,$AK93&gt;1,$AK92&gt;2,ISNUMBER(E112),ISNUMBER(G112)),1,0)</f>
        <v>0</v>
      </c>
      <c r="F118" s="55"/>
      <c r="G118" s="56">
        <f>IF(AND(G112&gt;E112,$AK93&gt;1,$AK92&gt;2,ISNUMBER(E112),ISNUMBER(G112)),1,0)</f>
        <v>0</v>
      </c>
      <c r="H118" s="55">
        <f>IF(AND(H112&gt;J112,$AK93&gt;2,$AK92&gt;2,ISNUMBER(H112),ISNUMBER(J112)),1,0)</f>
        <v>0</v>
      </c>
      <c r="I118" s="55"/>
      <c r="J118" s="56">
        <f>IF(AND(J112&gt;H112,$AK93&gt;2,$AK92&gt;2,ISNUMBER(H112),ISNUMBER(J112)),1,0)</f>
        <v>0</v>
      </c>
      <c r="K118" s="55">
        <f>IF(AND(K112&gt;M112,$AK93&gt;3,$AK92&gt;2,ISNUMBER(K112),ISNUMBER(M112)),1,0)</f>
        <v>0</v>
      </c>
      <c r="L118" s="55"/>
      <c r="M118" s="56">
        <f>IF(AND(M112&gt;K112,$AK93&gt;3,$AK92&gt;2,ISNUMBER(K112),ISNUMBER(M112)),1,0)</f>
        <v>0</v>
      </c>
      <c r="N118" s="55">
        <f>IF(AND(N112&gt;P112,$AK93&gt;4,$AK92&gt;2,ISNUMBER(N112),ISNUMBER(P112)),1,0)</f>
        <v>0</v>
      </c>
      <c r="O118" s="55"/>
      <c r="P118" s="56">
        <f>IF(AND(P112&gt;N112,$AK93&gt;4,$AK92&gt;2,ISNUMBER(N112),ISNUMBER(P112)),1,0)</f>
        <v>0</v>
      </c>
      <c r="Q118" s="55">
        <f>IF(AND(Q112&gt;S112,$AK93&gt;5,$AK92&gt;2,ISNUMBER(Q112),ISNUMBER(S112)),1,0)</f>
        <v>0</v>
      </c>
      <c r="R118" s="55"/>
      <c r="S118" s="56">
        <f>IF(AND(S112&gt;Q112,$AK93&gt;5,$AK92&gt;2,ISNUMBER(Q112),ISNUMBER(S112)),1,0)</f>
        <v>0</v>
      </c>
      <c r="T118" s="55">
        <f>IF(AND(T112&gt;V112,$AK93&gt;6,$AK92&gt;2,ISNUMBER(T112),ISNUMBER(V112)),1,0)</f>
        <v>0</v>
      </c>
      <c r="U118" s="55"/>
      <c r="V118" s="56">
        <f>IF(AND(V112&gt;T112,$AK93&gt;6,$AK92&gt;2,ISNUMBER(T112),ISNUMBER(V112)),1,0)</f>
        <v>0</v>
      </c>
      <c r="W118" s="55">
        <f>IF(AND(W112&gt;Y112,$AK93&gt;7,$AK92&gt;2,ISNUMBER(W112),ISNUMBER(Y112)),1,0)</f>
        <v>0</v>
      </c>
      <c r="X118" s="55"/>
      <c r="Y118" s="56">
        <f>IF(AND(Y112&gt;W112,$AK93&gt;7,$AK92&gt;2,ISNUMBER(W112),ISNUMBER(Y112)),1,0)</f>
        <v>0</v>
      </c>
      <c r="Z118" s="55">
        <f>IF(AND(Z112&gt;AB112,$AK93&gt;8,$AK92&gt;2,ISNUMBER(Z112),ISNUMBER(AB112)),1,0)</f>
        <v>0</v>
      </c>
      <c r="AA118" s="55"/>
      <c r="AB118" s="56">
        <f>IF(AND(AB112&gt;Z112,$AK93&gt;8,$AK92&gt;2,ISNUMBER(Z112),ISNUMBER(AB112)),1,0)</f>
        <v>0</v>
      </c>
      <c r="AC118" s="55">
        <f>IF(AND(AC112&gt;AE112,$AK93&gt;9,$AK92&gt;2,ISNUMBER(AC112),ISNUMBER(AE112)),1,0)</f>
        <v>0</v>
      </c>
      <c r="AD118" s="55"/>
      <c r="AE118" s="56">
        <f>IF(AND(AE112&gt;AC112,$AK93&gt;9,$AK92&gt;2,ISNUMBER(AC112),ISNUMBER(AE112)),1,0)</f>
        <v>0</v>
      </c>
      <c r="AW118" s="57"/>
    </row>
    <row r="119" spans="1:49" s="54" customFormat="1" ht="12.75" hidden="1" customHeight="1" x14ac:dyDescent="0.2">
      <c r="A119" s="54" t="s">
        <v>82</v>
      </c>
      <c r="B119" s="55">
        <f>IF(AND(B113&gt;D113,$AK93&gt;0,$AK92&gt;3,ISNUMBER(B113),ISNUMBER(D113)),1,0)</f>
        <v>0</v>
      </c>
      <c r="C119" s="55"/>
      <c r="D119" s="56">
        <f>IF(AND(D113&gt;B113,$AK93&gt;0,$AK92&gt;3,ISNUMBER(B113),ISNUMBER(D113)),1,0)</f>
        <v>0</v>
      </c>
      <c r="E119" s="55">
        <f>IF(AND(E113&gt;G113,$AK93&gt;1,$AK92&gt;3,ISNUMBER(E113),ISNUMBER(G113)),1,0)</f>
        <v>0</v>
      </c>
      <c r="F119" s="55"/>
      <c r="G119" s="56">
        <f>IF(AND(G113&gt;E113,$AK93&gt;1,$AK92&gt;3,ISNUMBER(E113),ISNUMBER(G113)),1,0)</f>
        <v>0</v>
      </c>
      <c r="H119" s="55">
        <f>IF(AND(H113&gt;J113,$AK93&gt;2,$AK92&gt;3,ISNUMBER(H113),ISNUMBER(J113)),1,0)</f>
        <v>0</v>
      </c>
      <c r="I119" s="55"/>
      <c r="J119" s="56">
        <f>IF(AND(J113&gt;H113,$AK93&gt;2,$AK92&gt;3,ISNUMBER(H113),ISNUMBER(J113)),1,0)</f>
        <v>0</v>
      </c>
      <c r="K119" s="55">
        <f>IF(AND(K113&gt;M113,$AK93&gt;3,$AK92&gt;3,ISNUMBER(K113),ISNUMBER(M113)),1,0)</f>
        <v>0</v>
      </c>
      <c r="L119" s="55"/>
      <c r="M119" s="56">
        <f>IF(AND(M113&gt;K113,$AK93&gt;3,$AK92&gt;3,ISNUMBER(K113),ISNUMBER(M113)),1,0)</f>
        <v>0</v>
      </c>
      <c r="N119" s="55">
        <f>IF(AND(N113&gt;P113,$AK93&gt;4,$AK92&gt;3,ISNUMBER(N113),ISNUMBER(P113)),1,0)</f>
        <v>0</v>
      </c>
      <c r="O119" s="55"/>
      <c r="P119" s="56">
        <f>IF(AND(P113&gt;N113,$AK93&gt;4,$AK92&gt;3,ISNUMBER(N113),ISNUMBER(P113)),1,0)</f>
        <v>0</v>
      </c>
      <c r="Q119" s="55">
        <f>IF(AND(Q113&gt;S113,$AK93&gt;5,$AK92&gt;3,ISNUMBER(Q113),ISNUMBER(S113)),1,0)</f>
        <v>0</v>
      </c>
      <c r="R119" s="55"/>
      <c r="S119" s="56">
        <f>IF(AND(S113&gt;Q113,$AK93&gt;5,$AK92&gt;3,ISNUMBER(Q113),ISNUMBER(S113)),1,0)</f>
        <v>0</v>
      </c>
      <c r="T119" s="55">
        <f>IF(AND(T113&gt;V113,$AK93&gt;6,$AK92&gt;3,ISNUMBER(T113),ISNUMBER(V113)),1,0)</f>
        <v>0</v>
      </c>
      <c r="U119" s="55"/>
      <c r="V119" s="56">
        <f>IF(AND(V113&gt;T113,$AK93&gt;6,$AK92&gt;3,ISNUMBER(T113),ISNUMBER(V113)),1,0)</f>
        <v>0</v>
      </c>
      <c r="W119" s="55">
        <f>IF(AND(W113&gt;Y113,$AK93&gt;7,$AK92&gt;3,ISNUMBER(W113),ISNUMBER(Y113)),1,0)</f>
        <v>0</v>
      </c>
      <c r="X119" s="55"/>
      <c r="Y119" s="56">
        <f>IF(AND(Y113&gt;W113,$AK93&gt;7,$AK92&gt;3,ISNUMBER(W113),ISNUMBER(Y113)),1,0)</f>
        <v>0</v>
      </c>
      <c r="Z119" s="55">
        <f>IF(AND(Z113&gt;AB113,$AK93&gt;8,$AK92&gt;3,ISNUMBER(Z113),ISNUMBER(AB113)),1,0)</f>
        <v>0</v>
      </c>
      <c r="AA119" s="55"/>
      <c r="AB119" s="56">
        <f>IF(AND(AB113&gt;Z113,$AK93&gt;8,$AK92&gt;3,ISNUMBER(Z113),ISNUMBER(AB113)),1,0)</f>
        <v>0</v>
      </c>
      <c r="AC119" s="55">
        <f>IF(AND(AC113&gt;AE113,$AK93&gt;9,$AK92&gt;3,ISNUMBER(AC113),ISNUMBER(AE113)),1,0)</f>
        <v>0</v>
      </c>
      <c r="AD119" s="55"/>
      <c r="AE119" s="56">
        <f>IF(AND(AE113&gt;AC113,$AK93&gt;9,$AK92&gt;3,ISNUMBER(AC113),ISNUMBER(AE113)),1,0)</f>
        <v>0</v>
      </c>
      <c r="AW119" s="57"/>
    </row>
    <row r="120" spans="1:49" s="54" customFormat="1" ht="12.75" hidden="1" customHeight="1" x14ac:dyDescent="0.2">
      <c r="A120" s="54" t="s">
        <v>83</v>
      </c>
      <c r="B120" s="55">
        <f>IF(AND(B114&gt;D114,$AK93&gt;0,$AK92&gt;4,ISNUMBER(B114),ISNUMBER(D114)),1,0)</f>
        <v>0</v>
      </c>
      <c r="C120" s="55"/>
      <c r="D120" s="56">
        <f>IF(AND(D114&gt;B114,$AK93&gt;0,$AK92&gt;4,ISNUMBER(B114),ISNUMBER(D114)),1,0)</f>
        <v>0</v>
      </c>
      <c r="E120" s="55">
        <f>IF(AND(E114&gt;G114,$AK93&gt;1,$AK92&gt;4,ISNUMBER(E114),ISNUMBER(G114)),1,0)</f>
        <v>0</v>
      </c>
      <c r="F120" s="55"/>
      <c r="G120" s="56">
        <f>IF(AND(G114&gt;E114,$AK93&gt;1,$AK92&gt;4,ISNUMBER(E114),ISNUMBER(G114)),1,0)</f>
        <v>0</v>
      </c>
      <c r="H120" s="55">
        <f>IF(AND(H114&gt;J114,$AK93&gt;2,$AK92&gt;4,ISNUMBER(H114),ISNUMBER(J114)),1,0)</f>
        <v>0</v>
      </c>
      <c r="I120" s="55"/>
      <c r="J120" s="56">
        <f>IF(AND(J114&gt;H114,$AK93&gt;2,$AK92&gt;4,ISNUMBER(H114),ISNUMBER(J114)),1,0)</f>
        <v>0</v>
      </c>
      <c r="K120" s="55">
        <f>IF(AND(K114&gt;M114,$AK93&gt;3,$AK92&gt;4,ISNUMBER(K114),ISNUMBER(M114)),1,0)</f>
        <v>0</v>
      </c>
      <c r="L120" s="55"/>
      <c r="M120" s="56">
        <f>IF(AND(M114&gt;K114,$AK93&gt;3,$AK92&gt;4,ISNUMBER(K114),ISNUMBER(M114)),1,0)</f>
        <v>0</v>
      </c>
      <c r="N120" s="55">
        <f>IF(AND(N114&gt;P114,$AK93&gt;4,$AK92&gt;4,ISNUMBER(N114),ISNUMBER(P114)),1,0)</f>
        <v>0</v>
      </c>
      <c r="O120" s="55"/>
      <c r="P120" s="56">
        <f>IF(AND(P114&gt;N114,$AK93&gt;4,$AK92&gt;4,ISNUMBER(N114),ISNUMBER(P114)),1,0)</f>
        <v>0</v>
      </c>
      <c r="Q120" s="55">
        <f>IF(AND(Q114&gt;S114,$AK93&gt;5,$AK92&gt;4,ISNUMBER(Q114),ISNUMBER(S114)),1,0)</f>
        <v>0</v>
      </c>
      <c r="R120" s="55"/>
      <c r="S120" s="56">
        <f>IF(AND(S114&gt;Q114,$AK93&gt;5,$AK92&gt;4,ISNUMBER(Q114),ISNUMBER(S114)),1,0)</f>
        <v>0</v>
      </c>
      <c r="T120" s="55">
        <f>IF(AND(T114&gt;V114,$AK93&gt;6,$AK92&gt;4,ISNUMBER(T114),ISNUMBER(V114)),1,0)</f>
        <v>0</v>
      </c>
      <c r="U120" s="55"/>
      <c r="V120" s="56">
        <f>IF(AND(V114&gt;T114,$AK93&gt;6,$AK92&gt;4,ISNUMBER(T114),ISNUMBER(V114)),1,0)</f>
        <v>0</v>
      </c>
      <c r="W120" s="55">
        <f>IF(AND(W114&gt;Y114,$AK93&gt;7,$AK92&gt;4,ISNUMBER(W114),ISNUMBER(Y114)),1,0)</f>
        <v>0</v>
      </c>
      <c r="X120" s="55"/>
      <c r="Y120" s="56">
        <f>IF(AND(Y114&gt;W114,$AK93&gt;7,$AK92&gt;4,ISNUMBER(W114),ISNUMBER(Y114)),1,0)</f>
        <v>0</v>
      </c>
      <c r="Z120" s="55">
        <f>IF(AND(Z114&gt;AB114,$AK93&gt;8,$AK92&gt;4,ISNUMBER(Z114),ISNUMBER(AB114)),1,0)</f>
        <v>0</v>
      </c>
      <c r="AA120" s="55"/>
      <c r="AB120" s="56">
        <f>IF(AND(AB114&gt;Z114,$AK93&gt;8,$AK92&gt;4,ISNUMBER(Z114),ISNUMBER(AB114)),1,0)</f>
        <v>0</v>
      </c>
      <c r="AC120" s="55">
        <f>IF(AND(AC114&gt;AE114,$AK93&gt;9,$AK92&gt;4,ISNUMBER(AC114),ISNUMBER(AE114)),1,0)</f>
        <v>0</v>
      </c>
      <c r="AD120" s="55"/>
      <c r="AE120" s="56">
        <f>IF(AND(AE114&gt;AC114,$AK93&gt;9,$AK92&gt;4,ISNUMBER(AC114),ISNUMBER(AE114)),1,0)</f>
        <v>0</v>
      </c>
      <c r="AW120" s="57"/>
    </row>
    <row r="121" spans="1:49" s="54" customFormat="1" ht="38.25" hidden="1" customHeight="1" x14ac:dyDescent="0.2">
      <c r="A121" s="58" t="s">
        <v>84</v>
      </c>
      <c r="B121" s="54">
        <f>SUM(B116:B120)</f>
        <v>1</v>
      </c>
      <c r="D121" s="59">
        <f>SUM(D116:D120)</f>
        <v>1</v>
      </c>
      <c r="E121" s="54">
        <f>SUM(E116:E120)</f>
        <v>1</v>
      </c>
      <c r="G121" s="59">
        <f>SUM(G116:G120)</f>
        <v>1</v>
      </c>
      <c r="H121" s="54">
        <f>SUM(H116:H120)</f>
        <v>2</v>
      </c>
      <c r="J121" s="59">
        <f>SUM(J116:J120)</f>
        <v>0</v>
      </c>
      <c r="K121" s="54">
        <f>SUM(K116:K120)</f>
        <v>1</v>
      </c>
      <c r="M121" s="59">
        <f>SUM(M116:M120)</f>
        <v>1</v>
      </c>
      <c r="N121" s="54">
        <f>SUM(N116:N120)</f>
        <v>1</v>
      </c>
      <c r="P121" s="59">
        <f>SUM(P116:P120)</f>
        <v>1</v>
      </c>
      <c r="Q121" s="54">
        <f>SUM(Q116:Q120)</f>
        <v>2</v>
      </c>
      <c r="S121" s="59">
        <f>SUM(S116:S120)</f>
        <v>0</v>
      </c>
      <c r="T121" s="54">
        <f>SUM(T116:T120)</f>
        <v>0</v>
      </c>
      <c r="V121" s="59">
        <f>SUM(V116:V120)</f>
        <v>2</v>
      </c>
      <c r="W121" s="54">
        <f>SUM(W116:W120)</f>
        <v>2</v>
      </c>
      <c r="Y121" s="59">
        <f>SUM(Y116:Y120)</f>
        <v>0</v>
      </c>
      <c r="Z121" s="54">
        <f>SUM(Z116:Z120)</f>
        <v>2</v>
      </c>
      <c r="AB121" s="59">
        <f>SUM(AB116:AB120)</f>
        <v>0</v>
      </c>
      <c r="AC121" s="54">
        <f>SUM(AC116:AC120)</f>
        <v>1</v>
      </c>
      <c r="AE121" s="59">
        <f>SUM(AE116:AE120)</f>
        <v>1</v>
      </c>
      <c r="AW121" s="57"/>
    </row>
    <row r="122" spans="1:49" s="54" customFormat="1" ht="25.5" hidden="1" customHeight="1" x14ac:dyDescent="0.2">
      <c r="A122" s="58" t="s">
        <v>85</v>
      </c>
      <c r="B122" s="54">
        <f>IF(B121&gt;D121,IF(C156=AK92,1,IF(C156=AK92-1,1,0)),0)</f>
        <v>0</v>
      </c>
      <c r="C122" s="54">
        <f>B122+D122</f>
        <v>0</v>
      </c>
      <c r="D122" s="59">
        <f>IF(D121&gt;B121,IF(C156=AK92,1,IF(C156=AK92-1,1,0)),0)</f>
        <v>0</v>
      </c>
      <c r="E122" s="54">
        <f>IF(E121&gt;G121,IF(F156=AK92,1,IF(F156=AK92-1,1,0)),0)</f>
        <v>0</v>
      </c>
      <c r="F122" s="54">
        <f>E122+G122</f>
        <v>0</v>
      </c>
      <c r="G122" s="59">
        <f>IF(G121&gt;E121,IF(F156=AK92,1,IF(F156=AK92-1,1,0)),0)</f>
        <v>0</v>
      </c>
      <c r="H122" s="54">
        <f>IF(H121&gt;J121,IF(I156=AK92,1,IF(I156=AK92-1,1,0)),0)</f>
        <v>1</v>
      </c>
      <c r="I122" s="54">
        <f>H122+J122</f>
        <v>1</v>
      </c>
      <c r="J122" s="59">
        <f>IF(J121&gt;H121,IF(I156=AK92,1,IF(I156=AK92-1,1,0)),0)</f>
        <v>0</v>
      </c>
      <c r="K122" s="54">
        <f>IF(K121&gt;M121,IF(L156=AK92,1,IF(L156=AK92-1,1,0)),0)</f>
        <v>0</v>
      </c>
      <c r="L122" s="54">
        <f>K122+M122</f>
        <v>0</v>
      </c>
      <c r="M122" s="59">
        <f>IF(M121&gt;K121,IF(L156=AK92,1,IF(L156=AK92-1,1,0)),0)</f>
        <v>0</v>
      </c>
      <c r="N122" s="54">
        <f>IF(N121&gt;P121,IF(O156=AK92,1,IF(O156=AK92-1,1,0)),0)</f>
        <v>0</v>
      </c>
      <c r="O122" s="54">
        <f>N122+P122</f>
        <v>0</v>
      </c>
      <c r="P122" s="59">
        <f>IF(P121&gt;N121,IF(O156=AK92,1,IF(O156=AK92-1,1,0)),0)</f>
        <v>0</v>
      </c>
      <c r="Q122" s="54">
        <f>IF(Q121&gt;S121,IF(R156=AK92,1,IF(R156=AK92-1,1,0)),0)</f>
        <v>1</v>
      </c>
      <c r="R122" s="54">
        <f>Q122+S122</f>
        <v>1</v>
      </c>
      <c r="S122" s="59">
        <f>IF(S121&gt;Q121,IF(R156=AK92,1,IF(R156=AK92-1,1,0)),0)</f>
        <v>0</v>
      </c>
      <c r="T122" s="54">
        <f>IF(T121&gt;V121,IF(U156=AK92,1,IF(U156=AK92-1,1,0)),0)</f>
        <v>0</v>
      </c>
      <c r="U122" s="54">
        <f>T122+V122</f>
        <v>1</v>
      </c>
      <c r="V122" s="59">
        <f>IF(V121&gt;T121,IF(U156=AK92,1,IF(U156=AK92-1,1,0)),0)</f>
        <v>1</v>
      </c>
      <c r="W122" s="54">
        <f>IF(W121&gt;Y121,IF(X156=AK92,1,IF(X156=AK92-1,1,0)),0)</f>
        <v>1</v>
      </c>
      <c r="X122" s="54">
        <f>W122+Y122</f>
        <v>1</v>
      </c>
      <c r="Y122" s="59">
        <f>IF(Y121&gt;W121,IF(X156=AK92,1,IF(X156=AK92-1,1,0)),0)</f>
        <v>0</v>
      </c>
      <c r="Z122" s="54">
        <f>IF(Z121&gt;AB121,IF(AA156=AK92,1,IF(AA156=AK92-1,1,0)),0)</f>
        <v>1</v>
      </c>
      <c r="AA122" s="54">
        <f>Z122+AB122</f>
        <v>1</v>
      </c>
      <c r="AB122" s="59">
        <f>IF(AB121&gt;Z121,IF(AA156=AK92,1,IF(AA156=AK92-1,1,0)),0)</f>
        <v>0</v>
      </c>
      <c r="AC122" s="54">
        <f>IF(AC121&gt;AE121,IF(AD156=AK92,1,IF(AD156=AK92-1,1,0)),0)</f>
        <v>0</v>
      </c>
      <c r="AD122" s="54">
        <f>AC122+AE122</f>
        <v>0</v>
      </c>
      <c r="AE122" s="59">
        <f>IF(AE121&gt;AC121,IF(AD156=AK92,1,IF(AD156=AK92-1,1,0)),0)</f>
        <v>0</v>
      </c>
      <c r="AW122" s="57"/>
    </row>
    <row r="123" spans="1:49" s="54" customFormat="1" ht="25.5" hidden="1" customHeight="1" x14ac:dyDescent="0.2">
      <c r="A123" s="58"/>
      <c r="D123" s="59"/>
      <c r="G123" s="59"/>
      <c r="J123" s="59"/>
      <c r="M123" s="59"/>
      <c r="P123" s="59"/>
      <c r="S123" s="59"/>
      <c r="V123" s="59"/>
      <c r="Y123" s="59"/>
      <c r="AB123" s="59"/>
      <c r="AE123" s="59"/>
      <c r="AW123" s="57"/>
    </row>
    <row r="124" spans="1:49" s="54" customFormat="1" ht="12.75" hidden="1" customHeight="1" x14ac:dyDescent="0.2">
      <c r="A124" s="54" t="s">
        <v>86</v>
      </c>
      <c r="B124" s="54">
        <f>IF(B116=1,B110,0)</f>
        <v>25</v>
      </c>
      <c r="D124" s="59">
        <f t="shared" ref="D124:E128" si="11">IF(D116=1,D110,0)</f>
        <v>0</v>
      </c>
      <c r="E124" s="54">
        <f t="shared" si="11"/>
        <v>26</v>
      </c>
      <c r="G124" s="59">
        <f t="shared" ref="G124:H128" si="12">IF(G116=1,G110,0)</f>
        <v>0</v>
      </c>
      <c r="H124" s="54">
        <f t="shared" si="12"/>
        <v>25</v>
      </c>
      <c r="J124" s="59">
        <f t="shared" ref="J124:K128" si="13">IF(J116=1,J110,0)</f>
        <v>0</v>
      </c>
      <c r="K124" s="54">
        <f t="shared" si="13"/>
        <v>25</v>
      </c>
      <c r="M124" s="59">
        <f t="shared" ref="M124:N128" si="14">IF(M116=1,M110,0)</f>
        <v>0</v>
      </c>
      <c r="N124" s="54">
        <f t="shared" si="14"/>
        <v>25</v>
      </c>
      <c r="P124" s="59">
        <f t="shared" ref="P124:Q128" si="15">IF(P116=1,P110,0)</f>
        <v>0</v>
      </c>
      <c r="Q124" s="54">
        <f t="shared" si="15"/>
        <v>25</v>
      </c>
      <c r="S124" s="59">
        <f t="shared" ref="S124:T128" si="16">IF(S116=1,S110,0)</f>
        <v>0</v>
      </c>
      <c r="T124" s="54">
        <f t="shared" si="16"/>
        <v>0</v>
      </c>
      <c r="V124" s="59">
        <f t="shared" ref="V124:W128" si="17">IF(V116=1,V110,0)</f>
        <v>25</v>
      </c>
      <c r="W124" s="54">
        <f t="shared" si="17"/>
        <v>25</v>
      </c>
      <c r="Y124" s="59">
        <f t="shared" ref="Y124:Z128" si="18">IF(Y116=1,Y110,0)</f>
        <v>0</v>
      </c>
      <c r="Z124" s="54">
        <f t="shared" si="18"/>
        <v>25</v>
      </c>
      <c r="AB124" s="59">
        <f t="shared" ref="AB124:AC128" si="19">IF(AB116=1,AB110,0)</f>
        <v>0</v>
      </c>
      <c r="AC124" s="54">
        <f t="shared" si="19"/>
        <v>25</v>
      </c>
      <c r="AE124" s="59">
        <f>IF(AE116=1,AE110,0)</f>
        <v>0</v>
      </c>
      <c r="AW124" s="57"/>
    </row>
    <row r="125" spans="1:49" s="54" customFormat="1" ht="12.75" hidden="1" customHeight="1" x14ac:dyDescent="0.2">
      <c r="A125" s="54" t="s">
        <v>87</v>
      </c>
      <c r="B125" s="54">
        <f>IF(B117=1,B111,0)</f>
        <v>0</v>
      </c>
      <c r="D125" s="59">
        <f t="shared" si="11"/>
        <v>25</v>
      </c>
      <c r="E125" s="54">
        <f t="shared" si="11"/>
        <v>0</v>
      </c>
      <c r="G125" s="59">
        <f t="shared" si="12"/>
        <v>25</v>
      </c>
      <c r="H125" s="54">
        <f t="shared" si="12"/>
        <v>25</v>
      </c>
      <c r="J125" s="59">
        <f t="shared" si="13"/>
        <v>0</v>
      </c>
      <c r="K125" s="54">
        <f t="shared" si="13"/>
        <v>0</v>
      </c>
      <c r="M125" s="59">
        <f t="shared" si="14"/>
        <v>25</v>
      </c>
      <c r="N125" s="54">
        <f t="shared" si="14"/>
        <v>0</v>
      </c>
      <c r="P125" s="59">
        <f t="shared" si="15"/>
        <v>25</v>
      </c>
      <c r="Q125" s="54">
        <f t="shared" si="15"/>
        <v>25</v>
      </c>
      <c r="S125" s="59">
        <f t="shared" si="16"/>
        <v>0</v>
      </c>
      <c r="T125" s="54">
        <f t="shared" si="16"/>
        <v>0</v>
      </c>
      <c r="V125" s="59">
        <f t="shared" si="17"/>
        <v>25</v>
      </c>
      <c r="W125" s="54">
        <f t="shared" si="17"/>
        <v>25</v>
      </c>
      <c r="Y125" s="59">
        <f t="shared" si="18"/>
        <v>0</v>
      </c>
      <c r="Z125" s="54">
        <f t="shared" si="18"/>
        <v>25</v>
      </c>
      <c r="AB125" s="59">
        <f t="shared" si="19"/>
        <v>0</v>
      </c>
      <c r="AC125" s="54">
        <f t="shared" si="19"/>
        <v>0</v>
      </c>
      <c r="AE125" s="59">
        <f>IF(AE117=1,AE111,0)</f>
        <v>25</v>
      </c>
      <c r="AW125" s="57"/>
    </row>
    <row r="126" spans="1:49" s="54" customFormat="1" ht="12.75" hidden="1" customHeight="1" x14ac:dyDescent="0.2">
      <c r="A126" s="54" t="s">
        <v>88</v>
      </c>
      <c r="B126" s="54">
        <f>IF(B118=1,B112,0)</f>
        <v>0</v>
      </c>
      <c r="D126" s="59">
        <f t="shared" si="11"/>
        <v>0</v>
      </c>
      <c r="E126" s="54">
        <f t="shared" si="11"/>
        <v>0</v>
      </c>
      <c r="G126" s="59">
        <f t="shared" si="12"/>
        <v>0</v>
      </c>
      <c r="H126" s="54">
        <f t="shared" si="12"/>
        <v>0</v>
      </c>
      <c r="J126" s="59">
        <f t="shared" si="13"/>
        <v>0</v>
      </c>
      <c r="K126" s="54">
        <f t="shared" si="13"/>
        <v>0</v>
      </c>
      <c r="M126" s="59">
        <f t="shared" si="14"/>
        <v>0</v>
      </c>
      <c r="N126" s="54">
        <f t="shared" si="14"/>
        <v>0</v>
      </c>
      <c r="P126" s="59">
        <f t="shared" si="15"/>
        <v>0</v>
      </c>
      <c r="Q126" s="54">
        <f t="shared" si="15"/>
        <v>0</v>
      </c>
      <c r="S126" s="59">
        <f t="shared" si="16"/>
        <v>0</v>
      </c>
      <c r="T126" s="54">
        <f t="shared" si="16"/>
        <v>0</v>
      </c>
      <c r="V126" s="59">
        <f t="shared" si="17"/>
        <v>0</v>
      </c>
      <c r="W126" s="54">
        <f t="shared" si="17"/>
        <v>0</v>
      </c>
      <c r="Y126" s="59">
        <f t="shared" si="18"/>
        <v>0</v>
      </c>
      <c r="Z126" s="54">
        <f t="shared" si="18"/>
        <v>0</v>
      </c>
      <c r="AB126" s="59">
        <f t="shared" si="19"/>
        <v>0</v>
      </c>
      <c r="AC126" s="54">
        <f t="shared" si="19"/>
        <v>0</v>
      </c>
      <c r="AE126" s="59">
        <f>IF(AE118=1,AE112,0)</f>
        <v>0</v>
      </c>
      <c r="AW126" s="57"/>
    </row>
    <row r="127" spans="1:49" s="54" customFormat="1" ht="12.75" hidden="1" customHeight="1" x14ac:dyDescent="0.2">
      <c r="A127" s="54" t="s">
        <v>89</v>
      </c>
      <c r="B127" s="54">
        <f>IF(B119=1,B113,0)</f>
        <v>0</v>
      </c>
      <c r="D127" s="59">
        <f t="shared" si="11"/>
        <v>0</v>
      </c>
      <c r="E127" s="54">
        <f t="shared" si="11"/>
        <v>0</v>
      </c>
      <c r="G127" s="59">
        <f t="shared" si="12"/>
        <v>0</v>
      </c>
      <c r="H127" s="54">
        <f t="shared" si="12"/>
        <v>0</v>
      </c>
      <c r="J127" s="59">
        <f t="shared" si="13"/>
        <v>0</v>
      </c>
      <c r="K127" s="54">
        <f t="shared" si="13"/>
        <v>0</v>
      </c>
      <c r="M127" s="59">
        <f t="shared" si="14"/>
        <v>0</v>
      </c>
      <c r="N127" s="54">
        <f t="shared" si="14"/>
        <v>0</v>
      </c>
      <c r="P127" s="59">
        <f t="shared" si="15"/>
        <v>0</v>
      </c>
      <c r="Q127" s="54">
        <f t="shared" si="15"/>
        <v>0</v>
      </c>
      <c r="S127" s="59">
        <f t="shared" si="16"/>
        <v>0</v>
      </c>
      <c r="T127" s="54">
        <f t="shared" si="16"/>
        <v>0</v>
      </c>
      <c r="V127" s="59">
        <f t="shared" si="17"/>
        <v>0</v>
      </c>
      <c r="W127" s="54">
        <f t="shared" si="17"/>
        <v>0</v>
      </c>
      <c r="Y127" s="59">
        <f t="shared" si="18"/>
        <v>0</v>
      </c>
      <c r="Z127" s="54">
        <f t="shared" si="18"/>
        <v>0</v>
      </c>
      <c r="AB127" s="59">
        <f t="shared" si="19"/>
        <v>0</v>
      </c>
      <c r="AC127" s="54">
        <f t="shared" si="19"/>
        <v>0</v>
      </c>
      <c r="AE127" s="59">
        <f>IF(AE119=1,AE113,0)</f>
        <v>0</v>
      </c>
      <c r="AW127" s="57"/>
    </row>
    <row r="128" spans="1:49" s="54" customFormat="1" ht="12.75" hidden="1" customHeight="1" x14ac:dyDescent="0.2">
      <c r="A128" s="54" t="s">
        <v>90</v>
      </c>
      <c r="B128" s="54">
        <f>IF(B120=1,B114,0)</f>
        <v>0</v>
      </c>
      <c r="D128" s="59">
        <f t="shared" si="11"/>
        <v>0</v>
      </c>
      <c r="E128" s="54">
        <f t="shared" si="11"/>
        <v>0</v>
      </c>
      <c r="G128" s="59">
        <f t="shared" si="12"/>
        <v>0</v>
      </c>
      <c r="H128" s="54">
        <f t="shared" si="12"/>
        <v>0</v>
      </c>
      <c r="J128" s="59">
        <f t="shared" si="13"/>
        <v>0</v>
      </c>
      <c r="K128" s="54">
        <f t="shared" si="13"/>
        <v>0</v>
      </c>
      <c r="M128" s="59">
        <f t="shared" si="14"/>
        <v>0</v>
      </c>
      <c r="N128" s="54">
        <f t="shared" si="14"/>
        <v>0</v>
      </c>
      <c r="P128" s="59">
        <f t="shared" si="15"/>
        <v>0</v>
      </c>
      <c r="Q128" s="54">
        <f t="shared" si="15"/>
        <v>0</v>
      </c>
      <c r="S128" s="59">
        <f t="shared" si="16"/>
        <v>0</v>
      </c>
      <c r="T128" s="54">
        <f t="shared" si="16"/>
        <v>0</v>
      </c>
      <c r="V128" s="59">
        <f t="shared" si="17"/>
        <v>0</v>
      </c>
      <c r="W128" s="54">
        <f t="shared" si="17"/>
        <v>0</v>
      </c>
      <c r="Y128" s="59">
        <f t="shared" si="18"/>
        <v>0</v>
      </c>
      <c r="Z128" s="54">
        <f t="shared" si="18"/>
        <v>0</v>
      </c>
      <c r="AB128" s="59">
        <f t="shared" si="19"/>
        <v>0</v>
      </c>
      <c r="AC128" s="54">
        <f t="shared" si="19"/>
        <v>0</v>
      </c>
      <c r="AE128" s="59">
        <f>IF(AE120=1,AE114,0)</f>
        <v>0</v>
      </c>
      <c r="AW128" s="57"/>
    </row>
    <row r="129" spans="1:49" s="54" customFormat="1" ht="38.25" hidden="1" customHeight="1" x14ac:dyDescent="0.2">
      <c r="A129" s="58" t="s">
        <v>91</v>
      </c>
      <c r="B129" s="54">
        <f>SUM(B124:D128)</f>
        <v>50</v>
      </c>
      <c r="D129" s="59"/>
      <c r="E129" s="54">
        <f>SUM(E124:G128)</f>
        <v>51</v>
      </c>
      <c r="G129" s="59"/>
      <c r="H129" s="54">
        <f>SUM(H124:J128)</f>
        <v>50</v>
      </c>
      <c r="J129" s="59"/>
      <c r="K129" s="54">
        <f>SUM(K124:M128)</f>
        <v>50</v>
      </c>
      <c r="M129" s="59"/>
      <c r="N129" s="54">
        <f>SUM(N124:P128)</f>
        <v>50</v>
      </c>
      <c r="P129" s="59"/>
      <c r="Q129" s="54">
        <f>SUM(Q124:S128)</f>
        <v>50</v>
      </c>
      <c r="S129" s="59"/>
      <c r="T129" s="54">
        <f>SUM(T124:V128)</f>
        <v>50</v>
      </c>
      <c r="V129" s="59"/>
      <c r="W129" s="54">
        <f>SUM(W124:Y128)</f>
        <v>50</v>
      </c>
      <c r="Y129" s="59"/>
      <c r="Z129" s="54">
        <f>SUM(Z124:AB128)</f>
        <v>50</v>
      </c>
      <c r="AB129" s="59"/>
      <c r="AC129" s="54">
        <f>SUM(AC124:AE128)</f>
        <v>50</v>
      </c>
      <c r="AE129" s="59"/>
      <c r="AW129" s="57"/>
    </row>
    <row r="130" spans="1:49" s="54" customFormat="1" ht="38.25" hidden="1" customHeight="1" x14ac:dyDescent="0.2">
      <c r="A130" s="54" t="s">
        <v>92</v>
      </c>
      <c r="D130" s="59"/>
      <c r="G130" s="59"/>
      <c r="J130" s="59"/>
      <c r="M130" s="59"/>
      <c r="P130" s="59"/>
      <c r="S130" s="59"/>
      <c r="V130" s="59"/>
      <c r="Y130" s="59"/>
      <c r="AB130" s="59"/>
      <c r="AE130" s="59"/>
      <c r="AF130" s="58" t="s">
        <v>93</v>
      </c>
      <c r="AG130" s="54" t="s">
        <v>94</v>
      </c>
      <c r="AW130" s="57"/>
    </row>
    <row r="131" spans="1:49" s="54" customFormat="1" ht="12.75" hidden="1" customHeight="1" x14ac:dyDescent="0.2">
      <c r="A131" s="54" t="s">
        <v>95</v>
      </c>
      <c r="B131" s="54">
        <f>IF(B109=1,IF(B122=1,1,0),0)</f>
        <v>0</v>
      </c>
      <c r="D131" s="59">
        <f>IF(D109=1,IF(D122=1,1,0),0)</f>
        <v>0</v>
      </c>
      <c r="E131" s="54">
        <f>IF(E109=1,IF(E122=1,1,0),0)</f>
        <v>0</v>
      </c>
      <c r="G131" s="59">
        <f>IF(G109=1,IF(G122=1,1,0),0)</f>
        <v>0</v>
      </c>
      <c r="H131" s="54">
        <f>IF(H109=1,IF(H122=1,1,0),0)</f>
        <v>0</v>
      </c>
      <c r="J131" s="59">
        <f>IF(J109=1,IF(J122=1,1,0),0)</f>
        <v>0</v>
      </c>
      <c r="K131" s="54">
        <f>IF(K109=1,IF(K122=1,1,0),0)</f>
        <v>0</v>
      </c>
      <c r="M131" s="59">
        <f>IF(M109=1,IF(M122=1,1,0),0)</f>
        <v>0</v>
      </c>
      <c r="N131" s="54">
        <f>IF(N109=1,IF(N122=1,1,0),0)</f>
        <v>0</v>
      </c>
      <c r="P131" s="59">
        <f>IF(P109=1,IF(P122=1,1,0),0)</f>
        <v>0</v>
      </c>
      <c r="Q131" s="54">
        <f>IF(Q109=1,IF(Q122=1,1,0),0)</f>
        <v>0</v>
      </c>
      <c r="S131" s="59">
        <f>IF(S109=1,IF(S122=1,1,0),0)</f>
        <v>0</v>
      </c>
      <c r="T131" s="54">
        <f>IF(T109=1,IF(T122=1,1,0),0)</f>
        <v>0</v>
      </c>
      <c r="V131" s="59">
        <f>IF(V109=1,IF(V122=1,1,0),0)</f>
        <v>0</v>
      </c>
      <c r="W131" s="54">
        <f>IF(W109=1,IF(W122=1,1,0),0)</f>
        <v>1</v>
      </c>
      <c r="Y131" s="59">
        <f>IF(Y109=1,IF(Y122=1,1,0),0)</f>
        <v>0</v>
      </c>
      <c r="Z131" s="54">
        <f>IF(Z109=1,IF(Z122=1,1,0),0)</f>
        <v>0</v>
      </c>
      <c r="AB131" s="59">
        <f>IF(AB109=1,IF(AB122=1,1,0),0)</f>
        <v>0</v>
      </c>
      <c r="AC131" s="54">
        <f>IF(AC109=1,IF(AC122=1,1,0),0)</f>
        <v>0</v>
      </c>
      <c r="AE131" s="59">
        <f>IF(AE109=1,IF(AE122=1,1,0),0)</f>
        <v>0</v>
      </c>
      <c r="AF131" s="54">
        <f>SUM(B131:AE131)</f>
        <v>1</v>
      </c>
      <c r="AG131" s="54">
        <f>AF137-AF131</f>
        <v>0</v>
      </c>
      <c r="AW131" s="57"/>
    </row>
    <row r="132" spans="1:49" s="54" customFormat="1" ht="12.75" hidden="1" customHeight="1" x14ac:dyDescent="0.2">
      <c r="A132" s="54" t="s">
        <v>96</v>
      </c>
      <c r="B132" s="54">
        <f>IF(B109=2,IF(B122=1,1,0),0)</f>
        <v>0</v>
      </c>
      <c r="D132" s="59">
        <f>IF(D109=2,IF(D122=1,1,0),0)</f>
        <v>0</v>
      </c>
      <c r="E132" s="54">
        <f>IF(E109=2,IF(E122=1,1,0),0)</f>
        <v>0</v>
      </c>
      <c r="G132" s="59">
        <f>IF(G109=2,IF(G122=1,1,0),0)</f>
        <v>0</v>
      </c>
      <c r="H132" s="54">
        <f>IF(H109=2,IF(H122=1,1,0),0)</f>
        <v>0</v>
      </c>
      <c r="J132" s="59">
        <f>IF(J109=2,IF(J122=1,1,0),0)</f>
        <v>0</v>
      </c>
      <c r="K132" s="54">
        <f>IF(K109=2,IF(K122=1,1,0),0)</f>
        <v>0</v>
      </c>
      <c r="M132" s="59">
        <f>IF(M109=2,IF(M122=1,1,0),0)</f>
        <v>0</v>
      </c>
      <c r="N132" s="54">
        <f>IF(N109=2,IF(N122=1,1,0),0)</f>
        <v>0</v>
      </c>
      <c r="P132" s="59">
        <f>IF(P109=2,IF(P122=1,1,0),0)</f>
        <v>0</v>
      </c>
      <c r="Q132" s="54">
        <f>IF(Q109=2,IF(Q122=1,1,0),0)</f>
        <v>0</v>
      </c>
      <c r="S132" s="59">
        <f>IF(S109=2,IF(S122=1,1,0),0)</f>
        <v>0</v>
      </c>
      <c r="T132" s="54">
        <f>IF(T109=2,IF(T122=1,1,0),0)</f>
        <v>0</v>
      </c>
      <c r="V132" s="59">
        <f>IF(V109=2,IF(V122=1,1,0),0)</f>
        <v>0</v>
      </c>
      <c r="W132" s="54">
        <f>IF(W109=2,IF(W122=1,1,0),0)</f>
        <v>0</v>
      </c>
      <c r="Y132" s="59">
        <f>IF(Y109=2,IF(Y122=1,1,0),0)</f>
        <v>0</v>
      </c>
      <c r="Z132" s="54">
        <f>IF(Z109=2,IF(Z122=1,1,0),0)</f>
        <v>0</v>
      </c>
      <c r="AB132" s="59">
        <f>IF(AB109=2,IF(AB122=1,1,0),0)</f>
        <v>0</v>
      </c>
      <c r="AC132" s="54">
        <f>IF(AC109=2,IF(AC122=1,1,0),0)</f>
        <v>0</v>
      </c>
      <c r="AE132" s="59">
        <f>IF(AE109=2,IF(AE122=1,1,0),0)</f>
        <v>0</v>
      </c>
      <c r="AF132" s="54">
        <f>SUM(B132:AE132)</f>
        <v>0</v>
      </c>
      <c r="AG132" s="54">
        <f>AF138-AF132</f>
        <v>1</v>
      </c>
      <c r="AW132" s="57"/>
    </row>
    <row r="133" spans="1:49" s="54" customFormat="1" ht="12.75" hidden="1" customHeight="1" x14ac:dyDescent="0.2">
      <c r="A133" s="54" t="s">
        <v>97</v>
      </c>
      <c r="B133" s="54">
        <f>IF(B109=3,IF(B122=1,1,0),0)</f>
        <v>0</v>
      </c>
      <c r="D133" s="59">
        <f>IF(D109=3,IF(D122=1,1,0),0)</f>
        <v>0</v>
      </c>
      <c r="E133" s="54">
        <f>IF(E109=3,IF(E122=1,1,0),0)</f>
        <v>0</v>
      </c>
      <c r="G133" s="59">
        <f>IF(G109=3,IF(G122=1,1,0),0)</f>
        <v>0</v>
      </c>
      <c r="H133" s="54">
        <f>IF(H109=3,IF(H122=1,1,0),0)</f>
        <v>1</v>
      </c>
      <c r="J133" s="59">
        <f>IF(J109=3,IF(J122=1,1,0),0)</f>
        <v>0</v>
      </c>
      <c r="K133" s="54">
        <f>IF(K109=3,IF(K122=1,1,0),0)</f>
        <v>0</v>
      </c>
      <c r="M133" s="59">
        <f>IF(M109=3,IF(M122=1,1,0),0)</f>
        <v>0</v>
      </c>
      <c r="N133" s="54">
        <f>IF(N109=3,IF(N122=1,1,0),0)</f>
        <v>0</v>
      </c>
      <c r="P133" s="59">
        <f>IF(P109=3,IF(P122=1,1,0),0)</f>
        <v>0</v>
      </c>
      <c r="Q133" s="54">
        <f>IF(Q109=3,IF(Q122=1,1,0),0)</f>
        <v>0</v>
      </c>
      <c r="S133" s="59">
        <f>IF(S109=3,IF(S122=1,1,0),0)</f>
        <v>0</v>
      </c>
      <c r="T133" s="54">
        <f>IF(T109=3,IF(T122=1,1,0),0)</f>
        <v>0</v>
      </c>
      <c r="V133" s="59">
        <f>IF(V109=3,IF(V122=1,1,0),0)</f>
        <v>1</v>
      </c>
      <c r="W133" s="54">
        <f>IF(W109=3,IF(W122=1,1,0),0)</f>
        <v>0</v>
      </c>
      <c r="Y133" s="59">
        <f>IF(Y109=3,IF(Y122=1,1,0),0)</f>
        <v>0</v>
      </c>
      <c r="Z133" s="54">
        <f>IF(Z109=3,IF(Z122=1,1,0),0)</f>
        <v>1</v>
      </c>
      <c r="AB133" s="59">
        <f>IF(AB109=3,IF(AB122=1,1,0),0)</f>
        <v>0</v>
      </c>
      <c r="AC133" s="54">
        <f>IF(AC109=3,IF(AC122=1,1,0),0)</f>
        <v>0</v>
      </c>
      <c r="AE133" s="59">
        <f>IF(AE109=3,IF(AE122=1,1,0),0)</f>
        <v>0</v>
      </c>
      <c r="AF133" s="54">
        <f>SUM(B133:AE133)</f>
        <v>3</v>
      </c>
      <c r="AG133" s="54">
        <f>AF139-AF133</f>
        <v>0</v>
      </c>
      <c r="AW133" s="57"/>
    </row>
    <row r="134" spans="1:49" s="54" customFormat="1" ht="12.75" hidden="1" customHeight="1" x14ac:dyDescent="0.2">
      <c r="A134" s="54" t="s">
        <v>98</v>
      </c>
      <c r="B134" s="54">
        <f>IF(B109=4,IF(B122=1,1,0),0)</f>
        <v>0</v>
      </c>
      <c r="D134" s="59">
        <f>IF(D109=4,IF(D122=1,1,0),0)</f>
        <v>0</v>
      </c>
      <c r="E134" s="54">
        <f>IF(E109=4,IF(E122=1,1,0),0)</f>
        <v>0</v>
      </c>
      <c r="G134" s="59">
        <f>IF(G109=4,IF(G122=1,1,0),0)</f>
        <v>0</v>
      </c>
      <c r="H134" s="54">
        <f>IF(H109=4,IF(H122=1,1,0),0)</f>
        <v>0</v>
      </c>
      <c r="J134" s="59">
        <f>IF(J109=4,IF(J122=1,1,0),0)</f>
        <v>0</v>
      </c>
      <c r="K134" s="54">
        <f>IF(K109=4,IF(K122=1,1,0),0)</f>
        <v>0</v>
      </c>
      <c r="M134" s="59">
        <f>IF(M109=4,IF(M122=1,1,0),0)</f>
        <v>0</v>
      </c>
      <c r="N134" s="54">
        <f>IF(N109=4,IF(N122=1,1,0),0)</f>
        <v>0</v>
      </c>
      <c r="P134" s="59">
        <f>IF(P109=4,IF(P122=1,1,0),0)</f>
        <v>0</v>
      </c>
      <c r="Q134" s="54">
        <f>IF(Q109=4,IF(Q122=1,1,0),0)</f>
        <v>1</v>
      </c>
      <c r="S134" s="59">
        <f>IF(S109=4,IF(S122=1,1,0),0)</f>
        <v>0</v>
      </c>
      <c r="T134" s="54">
        <f>IF(T109=4,IF(T122=1,1,0),0)</f>
        <v>0</v>
      </c>
      <c r="V134" s="59">
        <f>IF(V109=4,IF(V122=1,1,0),0)</f>
        <v>0</v>
      </c>
      <c r="W134" s="54">
        <f>IF(W109=4,IF(W122=1,1,0),0)</f>
        <v>0</v>
      </c>
      <c r="Y134" s="59">
        <f>IF(Y109=4,IF(Y122=1,1,0),0)</f>
        <v>0</v>
      </c>
      <c r="Z134" s="54">
        <f>IF(Z109=4,IF(Z122=1,1,0),0)</f>
        <v>0</v>
      </c>
      <c r="AB134" s="59">
        <f>IF(AB109=4,IF(AB122=1,1,0),0)</f>
        <v>0</v>
      </c>
      <c r="AC134" s="54">
        <f>IF(AC109=4,IF(AC122=1,1,0),0)</f>
        <v>0</v>
      </c>
      <c r="AE134" s="59">
        <f>IF(AE109=4,IF(AE122=1,1,0),0)</f>
        <v>0</v>
      </c>
      <c r="AF134" s="54">
        <f>SUM(B134:AE134)</f>
        <v>1</v>
      </c>
      <c r="AG134" s="54">
        <f>AF140-AF134</f>
        <v>1</v>
      </c>
      <c r="AW134" s="57"/>
    </row>
    <row r="135" spans="1:49" s="54" customFormat="1" ht="12.75" hidden="1" customHeight="1" x14ac:dyDescent="0.2">
      <c r="A135" s="54" t="s">
        <v>99</v>
      </c>
      <c r="B135" s="54">
        <f>IF(B109=5,IF(B122=1,1,0),0)</f>
        <v>0</v>
      </c>
      <c r="D135" s="59">
        <f>IF(D109=5,IF(D122=1,1,0),0)</f>
        <v>0</v>
      </c>
      <c r="E135" s="54">
        <f>IF(E109=5,IF(E122=1,1,0),0)</f>
        <v>0</v>
      </c>
      <c r="G135" s="59">
        <f>IF(G109=5,IF(G122=1,1,0),0)</f>
        <v>0</v>
      </c>
      <c r="H135" s="54">
        <f>IF(H109=5,IF(H122=1,1,0),0)</f>
        <v>0</v>
      </c>
      <c r="J135" s="59">
        <f>IF(J109=5,IF(J122=1,1,0),0)</f>
        <v>0</v>
      </c>
      <c r="K135" s="54">
        <f>IF(K109=5,IF(K122=1,1,0),0)</f>
        <v>0</v>
      </c>
      <c r="M135" s="59">
        <f>IF(M109=5,IF(M122=1,1,0),0)</f>
        <v>0</v>
      </c>
      <c r="N135" s="54">
        <f>IF(N109=5,IF(N122=1,1,0),0)</f>
        <v>0</v>
      </c>
      <c r="P135" s="59">
        <f>IF(P109=5,IF(P122=1,1,0),0)</f>
        <v>0</v>
      </c>
      <c r="Q135" s="54">
        <f>IF(Q109=5,IF(Q122=1,1,0),0)</f>
        <v>0</v>
      </c>
      <c r="S135" s="59">
        <f>IF(S109=5,IF(S122=1,1,0),0)</f>
        <v>0</v>
      </c>
      <c r="T135" s="54">
        <f>IF(T109=5,IF(T122=1,1,0),0)</f>
        <v>0</v>
      </c>
      <c r="V135" s="59">
        <f>IF(V109=5,IF(V122=1,1,0),0)</f>
        <v>0</v>
      </c>
      <c r="W135" s="54">
        <f>IF(W109=5,IF(W122=1,1,0),0)</f>
        <v>0</v>
      </c>
      <c r="Y135" s="59">
        <f>IF(Y109=5,IF(Y122=1,1,0),0)</f>
        <v>0</v>
      </c>
      <c r="Z135" s="54">
        <f>IF(Z109=5,IF(Z122=1,1,0),0)</f>
        <v>0</v>
      </c>
      <c r="AB135" s="59">
        <f>IF(AB109=5,IF(AB122=1,1,0),0)</f>
        <v>0</v>
      </c>
      <c r="AC135" s="54">
        <f>IF(AC109=5,IF(AC122=1,1,0),0)</f>
        <v>0</v>
      </c>
      <c r="AE135" s="59">
        <f>IF(AE109=5,IF(AE122=1,1,0),0)</f>
        <v>0</v>
      </c>
      <c r="AF135" s="54">
        <f>SUM(B135:AE135)</f>
        <v>0</v>
      </c>
      <c r="AG135" s="54">
        <f>AF141-AF135</f>
        <v>3</v>
      </c>
      <c r="AW135" s="57"/>
    </row>
    <row r="136" spans="1:49" s="54" customFormat="1" ht="38.25" hidden="1" customHeight="1" x14ac:dyDescent="0.2">
      <c r="A136" s="58"/>
      <c r="D136" s="59"/>
      <c r="G136" s="59"/>
      <c r="J136" s="59"/>
      <c r="M136" s="59"/>
      <c r="P136" s="59"/>
      <c r="S136" s="59"/>
      <c r="V136" s="59"/>
      <c r="Y136" s="59"/>
      <c r="AB136" s="59"/>
      <c r="AE136" s="59"/>
      <c r="AF136" s="58" t="s">
        <v>100</v>
      </c>
      <c r="AW136" s="57"/>
    </row>
    <row r="137" spans="1:49" s="54" customFormat="1" ht="12.75" hidden="1" customHeight="1" x14ac:dyDescent="0.2">
      <c r="A137" s="54" t="s">
        <v>101</v>
      </c>
      <c r="B137" s="54">
        <f>IF(B109=1,IF(C122=1,1,0),0)</f>
        <v>0</v>
      </c>
      <c r="D137" s="59">
        <f>IF(D109=1,IF(C122=1,1,0),0)</f>
        <v>0</v>
      </c>
      <c r="E137" s="54">
        <f>IF(E109=1,IF(F122=1,1,0),0)</f>
        <v>0</v>
      </c>
      <c r="G137" s="59">
        <f>IF(G109=1,IF(F122=1,1,0),0)</f>
        <v>0</v>
      </c>
      <c r="H137" s="54">
        <f>IF(H109=1,IF(I122=1,1,0),0)</f>
        <v>0</v>
      </c>
      <c r="J137" s="59">
        <f>IF(J109=1,IF(I122=1,1,0),0)</f>
        <v>0</v>
      </c>
      <c r="K137" s="54">
        <f>IF(K109=1,IF(L122=1,1,0),0)</f>
        <v>0</v>
      </c>
      <c r="M137" s="59">
        <f>IF(M109=1,IF(L122=1,1,0),0)</f>
        <v>0</v>
      </c>
      <c r="N137" s="54">
        <f>IF(N109=1,IF(O122=1,1,0),0)</f>
        <v>0</v>
      </c>
      <c r="P137" s="59">
        <f>IF(P109=1,IF(O122=1,1,0),0)</f>
        <v>0</v>
      </c>
      <c r="Q137" s="54">
        <f>IF(Q109=1,IF(R122=1,1,0),0)</f>
        <v>0</v>
      </c>
      <c r="S137" s="59">
        <f>IF(S109=1,IF(R122=1,1,0),0)</f>
        <v>0</v>
      </c>
      <c r="T137" s="54">
        <f>IF(T109=1,IF(U122=1,1,0),0)</f>
        <v>0</v>
      </c>
      <c r="V137" s="59">
        <f>IF(V109=1,IF(U122=1,1,0),0)</f>
        <v>0</v>
      </c>
      <c r="W137" s="54">
        <f>IF(W109=1,IF(X122=1,1,0),0)</f>
        <v>1</v>
      </c>
      <c r="Y137" s="59">
        <f>IF(Y109=1,IF(X122=1,1,0),0)</f>
        <v>0</v>
      </c>
      <c r="Z137" s="54">
        <f>IF(Z109=1,IF(AA122=1,1,0),0)</f>
        <v>0</v>
      </c>
      <c r="AB137" s="59">
        <f>IF(AB109=1,IF(AA122=1,1,0),0)</f>
        <v>0</v>
      </c>
      <c r="AC137" s="54">
        <f>IF(AC109=1,IF(AD122=1,1,0),0)</f>
        <v>0</v>
      </c>
      <c r="AE137" s="59">
        <f>IF(AE109=1,IF(AD122=1,1,0),0)</f>
        <v>0</v>
      </c>
      <c r="AF137" s="54">
        <f>SUM(B137:AE137)</f>
        <v>1</v>
      </c>
      <c r="AW137" s="57"/>
    </row>
    <row r="138" spans="1:49" s="54" customFormat="1" ht="12.75" hidden="1" customHeight="1" x14ac:dyDescent="0.2">
      <c r="A138" s="54" t="s">
        <v>102</v>
      </c>
      <c r="B138" s="54">
        <f>IF(B109=2,IF(C122=1,1,0),0)</f>
        <v>0</v>
      </c>
      <c r="D138" s="59">
        <f>IF(D109=2,IF(C122=1,1,0),0)</f>
        <v>0</v>
      </c>
      <c r="E138" s="54">
        <f>IF(E109=2,IF(F122=1,1,0),0)</f>
        <v>0</v>
      </c>
      <c r="G138" s="59">
        <f>IF(G109=2,IF(F122=1,1,0),0)</f>
        <v>0</v>
      </c>
      <c r="H138" s="54">
        <f>IF(H109=2,IF(I122=1,1,0),0)</f>
        <v>0</v>
      </c>
      <c r="J138" s="59">
        <f>IF(J109=2,IF(I122=1,1,0),0)</f>
        <v>0</v>
      </c>
      <c r="K138" s="54">
        <f>IF(K109=2,IF(L122=1,1,0),0)</f>
        <v>0</v>
      </c>
      <c r="M138" s="59">
        <f>IF(M109=2,IF(L122=1,1,0),0)</f>
        <v>0</v>
      </c>
      <c r="N138" s="54">
        <f>IF(N109=2,IF(O122=1,1,0),0)</f>
        <v>0</v>
      </c>
      <c r="P138" s="59">
        <f>IF(P109=2,IF(O122=1,1,0),0)</f>
        <v>0</v>
      </c>
      <c r="Q138" s="54">
        <f>IF(Q109=2,IF(R122=1,1,0),0)</f>
        <v>0</v>
      </c>
      <c r="S138" s="59">
        <f>IF(S109=2,IF(R122=1,1,0),0)</f>
        <v>0</v>
      </c>
      <c r="T138" s="54">
        <f>IF(T109=2,IF(U122=1,1,0),0)</f>
        <v>1</v>
      </c>
      <c r="V138" s="59">
        <f>IF(V109=2,IF(U122=1,1,0),0)</f>
        <v>0</v>
      </c>
      <c r="W138" s="54">
        <f>IF(W109=2,IF(X122=1,1,0),0)</f>
        <v>0</v>
      </c>
      <c r="Y138" s="59">
        <f>IF(Y109=2,IF(X122=1,1,0),0)</f>
        <v>0</v>
      </c>
      <c r="Z138" s="54">
        <f>IF(Z109=2,IF(AA122=1,1,0),0)</f>
        <v>0</v>
      </c>
      <c r="AB138" s="59">
        <f>IF(AB109=2,IF(AA122=1,1,0),0)</f>
        <v>0</v>
      </c>
      <c r="AC138" s="54">
        <f>IF(AC109=2,IF(AD122=1,1,0),0)</f>
        <v>0</v>
      </c>
      <c r="AE138" s="59">
        <f>IF(AE109=2,IF(AD122=1,1,0),0)</f>
        <v>0</v>
      </c>
      <c r="AF138" s="54">
        <f>SUM(B138:AE138)</f>
        <v>1</v>
      </c>
      <c r="AW138" s="57"/>
    </row>
    <row r="139" spans="1:49" s="54" customFormat="1" ht="12.75" hidden="1" customHeight="1" x14ac:dyDescent="0.2">
      <c r="A139" s="54" t="s">
        <v>103</v>
      </c>
      <c r="B139" s="54">
        <f>IF(B109=3,IF(C122=1,1,0),0)</f>
        <v>0</v>
      </c>
      <c r="D139" s="59">
        <f>IF(D109=3,IF(C122=1,1,0),0)</f>
        <v>0</v>
      </c>
      <c r="E139" s="54">
        <f>IF(E109=3,IF(F122=1,1,0),0)</f>
        <v>0</v>
      </c>
      <c r="G139" s="59">
        <f>IF(G109=3,IF(F122=1,1,0),0)</f>
        <v>0</v>
      </c>
      <c r="H139" s="54">
        <f>IF(H109=3,IF(I122=1,1,0),0)</f>
        <v>1</v>
      </c>
      <c r="J139" s="59">
        <f>IF(J109=3,IF(I122=1,1,0),0)</f>
        <v>0</v>
      </c>
      <c r="K139" s="54">
        <f>IF(K109=3,IF(L122=1,1,0),0)</f>
        <v>0</v>
      </c>
      <c r="M139" s="59">
        <f>IF(M109=3,IF(L122=1,1,0),0)</f>
        <v>0</v>
      </c>
      <c r="N139" s="54">
        <f>IF(N109=3,IF(O122=1,1,0),0)</f>
        <v>0</v>
      </c>
      <c r="P139" s="59">
        <f>IF(P109=3,IF(O122=1,1,0),0)</f>
        <v>0</v>
      </c>
      <c r="Q139" s="54">
        <f>IF(Q109=3,IF(R122=1,1,0),0)</f>
        <v>0</v>
      </c>
      <c r="S139" s="59">
        <f>IF(S109=3,IF(R122=1,1,0),0)</f>
        <v>0</v>
      </c>
      <c r="T139" s="54">
        <f>IF(T109=3,IF(U122=1,1,0),0)</f>
        <v>0</v>
      </c>
      <c r="V139" s="59">
        <f>IF(V109=3,IF(U122=1,1,0),0)</f>
        <v>1</v>
      </c>
      <c r="W139" s="54">
        <f>IF(W109=3,IF(X122=1,1,0),0)</f>
        <v>0</v>
      </c>
      <c r="Y139" s="59">
        <f>IF(Y109=3,IF(X122=1,1,0),0)</f>
        <v>0</v>
      </c>
      <c r="Z139" s="54">
        <f>IF(Z109=3,IF(AA122=1,1,0),0)</f>
        <v>1</v>
      </c>
      <c r="AB139" s="59">
        <f>IF(AB109=3,IF(AA122=1,1,0),0)</f>
        <v>0</v>
      </c>
      <c r="AC139" s="54">
        <f>IF(AC109=3,IF(AD122=1,1,0),0)</f>
        <v>0</v>
      </c>
      <c r="AE139" s="59">
        <f>IF(AE109=3,IF(AD122=1,1,0),0)</f>
        <v>0</v>
      </c>
      <c r="AF139" s="54">
        <f>SUM(B139:AE139)</f>
        <v>3</v>
      </c>
      <c r="AW139" s="57"/>
    </row>
    <row r="140" spans="1:49" s="54" customFormat="1" ht="12.75" hidden="1" customHeight="1" x14ac:dyDescent="0.2">
      <c r="A140" s="54" t="s">
        <v>104</v>
      </c>
      <c r="B140" s="54">
        <f>IF(B109=4,IF(C122=1,1,0),0)</f>
        <v>0</v>
      </c>
      <c r="D140" s="59">
        <f>IF(D109=4,IF(C122=1,1,0),0)</f>
        <v>0</v>
      </c>
      <c r="E140" s="54">
        <f>IF(E109=4,IF(F122=1,1,0),0)</f>
        <v>0</v>
      </c>
      <c r="G140" s="59">
        <f>IF(G109=4,IF(F122=1,1,0),0)</f>
        <v>0</v>
      </c>
      <c r="H140" s="54">
        <f>IF(H109=4,IF(I122=1,1,0),0)</f>
        <v>0</v>
      </c>
      <c r="J140" s="59">
        <f>IF(J109=4,IF(I122=1,1,0),0)</f>
        <v>0</v>
      </c>
      <c r="K140" s="54">
        <f>IF(K109=4,IF(L122=1,1,0),0)</f>
        <v>0</v>
      </c>
      <c r="M140" s="59">
        <f>IF(M109=4,IF(L122=1,1,0),0)</f>
        <v>0</v>
      </c>
      <c r="N140" s="54">
        <f>IF(N109=4,IF(O122=1,1,0),0)</f>
        <v>0</v>
      </c>
      <c r="P140" s="59">
        <f>IF(P109=4,IF(O122=1,1,0),0)</f>
        <v>0</v>
      </c>
      <c r="Q140" s="54">
        <f>IF(Q109=4,IF(R122=1,1,0),0)</f>
        <v>1</v>
      </c>
      <c r="S140" s="59">
        <f>IF(S109=4,IF(R122=1,1,0),0)</f>
        <v>0</v>
      </c>
      <c r="T140" s="54">
        <f>IF(T109=4,IF(U122=1,1,0),0)</f>
        <v>0</v>
      </c>
      <c r="V140" s="59">
        <f>IF(V109=4,IF(U122=1,1,0),0)</f>
        <v>0</v>
      </c>
      <c r="W140" s="54">
        <f>IF(W109=4,IF(X122=1,1,0),0)</f>
        <v>0</v>
      </c>
      <c r="Y140" s="59">
        <f>IF(Y109=4,IF(X122=1,1,0),0)</f>
        <v>0</v>
      </c>
      <c r="Z140" s="54">
        <f>IF(Z109=4,IF(AA122=1,1,0),0)</f>
        <v>0</v>
      </c>
      <c r="AB140" s="59">
        <f>IF(AB109=4,IF(AA122=1,1,0),0)</f>
        <v>1</v>
      </c>
      <c r="AC140" s="54">
        <f>IF(AC109=4,IF(AD122=1,1,0),0)</f>
        <v>0</v>
      </c>
      <c r="AE140" s="59">
        <f>IF(AE109=4,IF(AD122=1,1,0),0)</f>
        <v>0</v>
      </c>
      <c r="AF140" s="54">
        <f>SUM(B140:AE140)</f>
        <v>2</v>
      </c>
      <c r="AW140" s="57"/>
    </row>
    <row r="141" spans="1:49" s="54" customFormat="1" ht="12.75" hidden="1" customHeight="1" x14ac:dyDescent="0.2">
      <c r="A141" s="54" t="s">
        <v>105</v>
      </c>
      <c r="B141" s="54">
        <f>IF(B109=5,IF(C122=1,1,0),0)</f>
        <v>0</v>
      </c>
      <c r="D141" s="59">
        <f>IF(D109=5,IF(C122=1,1,0),0)</f>
        <v>0</v>
      </c>
      <c r="E141" s="54">
        <f>IF(E109=5,IF(F122=1,1,0),0)</f>
        <v>0</v>
      </c>
      <c r="G141" s="59">
        <f>IF(G109=5,IF(F122=1,1,0),0)</f>
        <v>0</v>
      </c>
      <c r="H141" s="54">
        <f>IF(H109=5,IF(I122=1,1,0),0)</f>
        <v>0</v>
      </c>
      <c r="J141" s="59">
        <f>IF(J109=5,IF(I122=1,1,0),0)</f>
        <v>1</v>
      </c>
      <c r="K141" s="54">
        <f>IF(K109=5,IF(L122=1,1,0),0)</f>
        <v>0</v>
      </c>
      <c r="M141" s="59">
        <f>IF(M109=5,IF(L122=1,1,0),0)</f>
        <v>0</v>
      </c>
      <c r="N141" s="54">
        <f>IF(N109=5,IF(O122=1,1,0),0)</f>
        <v>0</v>
      </c>
      <c r="P141" s="59">
        <f>IF(P109=5,IF(O122=1,1,0),0)</f>
        <v>0</v>
      </c>
      <c r="Q141" s="54">
        <f>IF(Q109=5,IF(R122=1,1,0),0)</f>
        <v>0</v>
      </c>
      <c r="S141" s="59">
        <f>IF(S109=5,IF(R122=1,1,0),0)</f>
        <v>1</v>
      </c>
      <c r="T141" s="54">
        <f>IF(T109=5,IF(U122=1,1,0),0)</f>
        <v>0</v>
      </c>
      <c r="V141" s="59">
        <f>IF(V109=5,IF(U122=1,1,0),0)</f>
        <v>0</v>
      </c>
      <c r="W141" s="54">
        <f>IF(W109=5,IF(X122=1,1,0),0)</f>
        <v>0</v>
      </c>
      <c r="Y141" s="59">
        <f>IF(Y109=5,IF(X122=1,1,0),0)</f>
        <v>1</v>
      </c>
      <c r="Z141" s="54">
        <f>IF(Z109=5,IF(AA122=1,1,0),0)</f>
        <v>0</v>
      </c>
      <c r="AB141" s="59">
        <f>IF(AB109=5,IF(AA122=1,1,0),0)</f>
        <v>0</v>
      </c>
      <c r="AC141" s="54">
        <f>IF(AC109=5,IF(AD122=1,1,0),0)</f>
        <v>0</v>
      </c>
      <c r="AE141" s="59">
        <f>IF(AE109=5,IF(AD122=1,1,0),0)</f>
        <v>0</v>
      </c>
      <c r="AF141" s="54">
        <f>SUM(B141:AE141)</f>
        <v>3</v>
      </c>
      <c r="AW141" s="57"/>
    </row>
    <row r="142" spans="1:49" s="54" customFormat="1" ht="38.25" hidden="1" customHeight="1" x14ac:dyDescent="0.2">
      <c r="A142" s="58"/>
      <c r="D142" s="59"/>
      <c r="G142" s="59"/>
      <c r="J142" s="59"/>
      <c r="M142" s="59"/>
      <c r="P142" s="59"/>
      <c r="S142" s="59"/>
      <c r="V142" s="59"/>
      <c r="Y142" s="59"/>
      <c r="AB142" s="59"/>
      <c r="AE142" s="59"/>
      <c r="AF142" s="58" t="s">
        <v>106</v>
      </c>
      <c r="AG142" s="702"/>
      <c r="AH142" s="702"/>
      <c r="AI142" s="702"/>
      <c r="AJ142" s="702"/>
      <c r="AK142" s="702"/>
      <c r="AW142" s="57"/>
    </row>
    <row r="143" spans="1:49" s="54" customFormat="1" ht="12.75" hidden="1" customHeight="1" x14ac:dyDescent="0.2">
      <c r="A143" s="54" t="s">
        <v>101</v>
      </c>
      <c r="B143" s="54">
        <f>IF(B109=1,B129,0)</f>
        <v>0</v>
      </c>
      <c r="D143" s="59">
        <f>IF(D109=1,B129,0)</f>
        <v>0</v>
      </c>
      <c r="E143" s="54">
        <f>IF(E109=1,E129,0)</f>
        <v>51</v>
      </c>
      <c r="G143" s="59">
        <f>IF(G109=1,E129,0)</f>
        <v>0</v>
      </c>
      <c r="H143" s="54">
        <f>IF(H109=1,H129,0)</f>
        <v>0</v>
      </c>
      <c r="J143" s="59">
        <f>IF(J109=1,H129,0)</f>
        <v>0</v>
      </c>
      <c r="K143" s="54">
        <f>IF(K109=1,K129,0)</f>
        <v>0</v>
      </c>
      <c r="M143" s="59">
        <f>IF(M109=1,K129,0)</f>
        <v>0</v>
      </c>
      <c r="N143" s="54">
        <f>IF(N109=1,N129,0)</f>
        <v>50</v>
      </c>
      <c r="P143" s="59">
        <f>IF(P109=1,N129,0)</f>
        <v>0</v>
      </c>
      <c r="Q143" s="54">
        <f>IF(Q109=1,Q129,0)</f>
        <v>0</v>
      </c>
      <c r="S143" s="59">
        <f>IF(S109=1,Q129,0)</f>
        <v>0</v>
      </c>
      <c r="T143" s="54">
        <f>IF(T109=1,T129,0)</f>
        <v>0</v>
      </c>
      <c r="V143" s="59">
        <f>IF(V109=1,T129,0)</f>
        <v>0</v>
      </c>
      <c r="W143" s="54">
        <f>IF(W109=1,W129,0)</f>
        <v>50</v>
      </c>
      <c r="Y143" s="59">
        <f>IF(Y109=1,W129,0)</f>
        <v>0</v>
      </c>
      <c r="Z143" s="54">
        <f>IF(Z109=1,Z129,0)</f>
        <v>0</v>
      </c>
      <c r="AB143" s="59">
        <f>IF(AB109=1,Z129,0)</f>
        <v>0</v>
      </c>
      <c r="AC143" s="54">
        <f>IF(AC109=1,AC129,0)</f>
        <v>50</v>
      </c>
      <c r="AE143" s="59">
        <f>IF(AE109=1,AC129,0)</f>
        <v>0</v>
      </c>
      <c r="AF143" s="54">
        <f>SUM(B143:AE143)</f>
        <v>201</v>
      </c>
      <c r="AW143" s="57"/>
    </row>
    <row r="144" spans="1:49" s="54" customFormat="1" ht="12.75" hidden="1" customHeight="1" x14ac:dyDescent="0.2">
      <c r="A144" s="54" t="s">
        <v>102</v>
      </c>
      <c r="B144" s="54">
        <f>IF(B109=2,B129,0)</f>
        <v>50</v>
      </c>
      <c r="D144" s="59">
        <f>IF(D109=2,B129,0)</f>
        <v>0</v>
      </c>
      <c r="E144" s="54">
        <f>IF(E109=2,E129,0)</f>
        <v>0</v>
      </c>
      <c r="G144" s="59">
        <f>IF(G109=2,E129,0)</f>
        <v>0</v>
      </c>
      <c r="H144" s="54">
        <f>IF(H109=2,H129,0)</f>
        <v>0</v>
      </c>
      <c r="J144" s="59">
        <f>IF(J109=2,H129,0)</f>
        <v>0</v>
      </c>
      <c r="K144" s="54">
        <f>IF(K109=2,K129,0)</f>
        <v>50</v>
      </c>
      <c r="M144" s="59">
        <f>IF(M109=2,K129,0)</f>
        <v>0</v>
      </c>
      <c r="N144" s="54">
        <f>IF(N109=2,N129,0)</f>
        <v>0</v>
      </c>
      <c r="P144" s="59">
        <f>IF(P109=2,N129,0)</f>
        <v>0</v>
      </c>
      <c r="Q144" s="54">
        <f>IF(Q109=2,Q129,0)</f>
        <v>0</v>
      </c>
      <c r="S144" s="59">
        <f>IF(S109=2,Q129,0)</f>
        <v>0</v>
      </c>
      <c r="T144" s="54">
        <f>IF(T109=2,T129,0)</f>
        <v>50</v>
      </c>
      <c r="V144" s="59">
        <f>IF(V109=2,T129,0)</f>
        <v>0</v>
      </c>
      <c r="W144" s="54">
        <f>IF(W109=2,W129,0)</f>
        <v>0</v>
      </c>
      <c r="Y144" s="59">
        <f>IF(Y109=2,W129,0)</f>
        <v>0</v>
      </c>
      <c r="Z144" s="54">
        <f>IF(Z109=2,Z129,0)</f>
        <v>0</v>
      </c>
      <c r="AB144" s="59">
        <f>IF(AB109=2,Z129,0)</f>
        <v>0</v>
      </c>
      <c r="AC144" s="54">
        <f>IF(AC109=2,AC129,0)</f>
        <v>0</v>
      </c>
      <c r="AE144" s="59">
        <f>IF(AE109=2,AC129,0)</f>
        <v>50</v>
      </c>
      <c r="AF144" s="54">
        <f>SUM(B144:AE144)</f>
        <v>200</v>
      </c>
      <c r="AW144" s="57"/>
    </row>
    <row r="145" spans="1:49" s="54" customFormat="1" ht="12.75" hidden="1" customHeight="1" x14ac:dyDescent="0.2">
      <c r="A145" s="54" t="s">
        <v>103</v>
      </c>
      <c r="B145" s="54">
        <f>IF(B109=3,B129,0)</f>
        <v>0</v>
      </c>
      <c r="D145" s="59">
        <f>IF(D109=3,B129,0)</f>
        <v>0</v>
      </c>
      <c r="E145" s="54">
        <f>IF(E109=3,E129,0)</f>
        <v>0</v>
      </c>
      <c r="G145" s="59">
        <f>IF(G109=3,E129,0)</f>
        <v>0</v>
      </c>
      <c r="H145" s="54">
        <f>IF(H109=3,H129,0)</f>
        <v>50</v>
      </c>
      <c r="J145" s="59">
        <f>IF(J109=3,H129,0)</f>
        <v>0</v>
      </c>
      <c r="K145" s="54">
        <f>IF(K109=3,K129,0)</f>
        <v>0</v>
      </c>
      <c r="M145" s="59">
        <f>IF(M109=3,K129,0)</f>
        <v>0</v>
      </c>
      <c r="N145" s="54">
        <f>IF(N109=3,N129,0)</f>
        <v>0</v>
      </c>
      <c r="P145" s="59">
        <f>IF(P109=3,N129,0)</f>
        <v>50</v>
      </c>
      <c r="Q145" s="54">
        <f>IF(Q109=3,Q129,0)</f>
        <v>0</v>
      </c>
      <c r="S145" s="59">
        <f>IF(S109=3,Q129,0)</f>
        <v>0</v>
      </c>
      <c r="T145" s="54">
        <f>IF(T109=3,T129,0)</f>
        <v>0</v>
      </c>
      <c r="V145" s="59">
        <f>IF(V109=3,T129,0)</f>
        <v>50</v>
      </c>
      <c r="W145" s="54">
        <f>IF(W109=3,W129,0)</f>
        <v>0</v>
      </c>
      <c r="Y145" s="59">
        <f>IF(Y109=3,W129,0)</f>
        <v>0</v>
      </c>
      <c r="Z145" s="54">
        <f>IF(Z109=3,Z129,0)</f>
        <v>50</v>
      </c>
      <c r="AB145" s="59">
        <f>IF(AB109=3,Z129,0)</f>
        <v>0</v>
      </c>
      <c r="AC145" s="54">
        <f>IF(AC109=3,AC129,0)</f>
        <v>0</v>
      </c>
      <c r="AE145" s="59">
        <f>IF(AE109=3,AC129,0)</f>
        <v>0</v>
      </c>
      <c r="AF145" s="54">
        <f>SUM(B145:AE145)</f>
        <v>200</v>
      </c>
      <c r="AW145" s="57"/>
    </row>
    <row r="146" spans="1:49" s="54" customFormat="1" ht="12.75" hidden="1" customHeight="1" x14ac:dyDescent="0.2">
      <c r="A146" s="54" t="s">
        <v>104</v>
      </c>
      <c r="B146" s="54">
        <f>IF(B109=4,B129,0)</f>
        <v>0</v>
      </c>
      <c r="D146" s="59">
        <f>IF(D109=4,B129,0)</f>
        <v>0</v>
      </c>
      <c r="E146" s="54">
        <f>IF(E109=4,E129,0)</f>
        <v>0</v>
      </c>
      <c r="G146" s="59">
        <f>IF(G109=4,E129,0)</f>
        <v>51</v>
      </c>
      <c r="H146" s="54">
        <f>IF(H109=4,H129,0)</f>
        <v>0</v>
      </c>
      <c r="J146" s="59">
        <f>IF(J109=4,H129,0)</f>
        <v>0</v>
      </c>
      <c r="K146" s="54">
        <f>IF(K109=4,K129,0)</f>
        <v>0</v>
      </c>
      <c r="M146" s="59">
        <f>IF(M109=4,K129,0)</f>
        <v>50</v>
      </c>
      <c r="N146" s="54">
        <f>IF(N109=4,N129,0)</f>
        <v>0</v>
      </c>
      <c r="P146" s="59">
        <f>IF(P109=4,N129,0)</f>
        <v>0</v>
      </c>
      <c r="Q146" s="54">
        <f>IF(Q109=4,Q129,0)</f>
        <v>50</v>
      </c>
      <c r="S146" s="59">
        <f>IF(S109=4,Q129,0)</f>
        <v>0</v>
      </c>
      <c r="T146" s="54">
        <f>IF(T109=4,T129,0)</f>
        <v>0</v>
      </c>
      <c r="V146" s="59">
        <f>IF(V109=4,T129,0)</f>
        <v>0</v>
      </c>
      <c r="W146" s="54">
        <f>IF(W109=4,W129,0)</f>
        <v>0</v>
      </c>
      <c r="Y146" s="59">
        <f>IF(Y109=4,W129,0)</f>
        <v>0</v>
      </c>
      <c r="Z146" s="54">
        <f>IF(Z109=4,Z129,0)</f>
        <v>0</v>
      </c>
      <c r="AB146" s="59">
        <f>IF(AB109=4,Z129,0)</f>
        <v>50</v>
      </c>
      <c r="AC146" s="54">
        <f>IF(AC109=4,AC129,0)</f>
        <v>0</v>
      </c>
      <c r="AE146" s="59">
        <f>IF(AE109=4,AC129,0)</f>
        <v>0</v>
      </c>
      <c r="AF146" s="54">
        <f>SUM(B146:AE146)</f>
        <v>201</v>
      </c>
      <c r="AW146" s="57"/>
    </row>
    <row r="147" spans="1:49" s="54" customFormat="1" ht="12.75" hidden="1" customHeight="1" x14ac:dyDescent="0.2">
      <c r="A147" s="54" t="s">
        <v>105</v>
      </c>
      <c r="B147" s="54">
        <f>IF(B109=5,B129,0)</f>
        <v>0</v>
      </c>
      <c r="D147" s="59">
        <f>IF(D109=5,B129,0)</f>
        <v>50</v>
      </c>
      <c r="E147" s="54">
        <f>IF(E109=5,E129,0)</f>
        <v>0</v>
      </c>
      <c r="G147" s="59">
        <f>IF(G109=5,E129,0)</f>
        <v>0</v>
      </c>
      <c r="H147" s="54">
        <f>IF(H109=5,H129,0)</f>
        <v>0</v>
      </c>
      <c r="J147" s="59">
        <f>IF(J109=5,H129,0)</f>
        <v>50</v>
      </c>
      <c r="K147" s="54">
        <f>IF(K109=5,K129,0)</f>
        <v>0</v>
      </c>
      <c r="M147" s="59">
        <f>IF(M109=5,K129,0)</f>
        <v>0</v>
      </c>
      <c r="N147" s="54">
        <f>IF(N109=5,N129,0)</f>
        <v>0</v>
      </c>
      <c r="P147" s="59">
        <f>IF(P109=5,N129,0)</f>
        <v>0</v>
      </c>
      <c r="Q147" s="54">
        <f>IF(Q109=5,Q129,0)</f>
        <v>0</v>
      </c>
      <c r="S147" s="59">
        <f>IF(S109=5,Q129,0)</f>
        <v>50</v>
      </c>
      <c r="T147" s="54">
        <f>IF(T109=5,T129,0)</f>
        <v>0</v>
      </c>
      <c r="V147" s="59">
        <f>IF(V109=5,T129,0)</f>
        <v>0</v>
      </c>
      <c r="W147" s="54">
        <f>IF(W109=5,W129,0)</f>
        <v>0</v>
      </c>
      <c r="Y147" s="59">
        <f>IF(Y109=5,W129,0)</f>
        <v>50</v>
      </c>
      <c r="Z147" s="54">
        <f>IF(Z109=5,Z129,0)</f>
        <v>0</v>
      </c>
      <c r="AB147" s="59">
        <f>IF(AB109=5,Z129,0)</f>
        <v>0</v>
      </c>
      <c r="AC147" s="54">
        <f>IF(AC109=5,AC129,0)</f>
        <v>0</v>
      </c>
      <c r="AE147" s="59">
        <f>IF(AE109=5,AC129,0)</f>
        <v>0</v>
      </c>
      <c r="AF147" s="54">
        <f>SUM(B147:AE147)</f>
        <v>200</v>
      </c>
      <c r="AW147" s="57"/>
    </row>
    <row r="148" spans="1:49" s="54" customFormat="1" ht="38.25" hidden="1" customHeight="1" x14ac:dyDescent="0.2">
      <c r="A148" s="54" t="s">
        <v>107</v>
      </c>
      <c r="D148" s="59"/>
      <c r="G148" s="59"/>
      <c r="J148" s="59"/>
      <c r="M148" s="59"/>
      <c r="P148" s="59"/>
      <c r="S148" s="59"/>
      <c r="V148" s="59"/>
      <c r="Y148" s="59"/>
      <c r="AB148" s="59"/>
      <c r="AE148" s="59"/>
      <c r="AF148" s="58" t="s">
        <v>108</v>
      </c>
      <c r="AG148" s="54" t="s">
        <v>109</v>
      </c>
      <c r="AW148" s="57"/>
    </row>
    <row r="149" spans="1:49" s="54" customFormat="1" ht="12.75" hidden="1" customHeight="1" x14ac:dyDescent="0.2">
      <c r="A149" s="54" t="s">
        <v>95</v>
      </c>
      <c r="B149" s="54">
        <f>IF(B109=1,SUMIF(B116:B120,"&gt;0"),0)</f>
        <v>0</v>
      </c>
      <c r="D149" s="59">
        <f>IF(D109=1,SUMIF(D116:D120,"&gt;0"),0)</f>
        <v>0</v>
      </c>
      <c r="E149" s="54">
        <f>IF(E109=1,SUMIF(E116:E120,"&gt;0"),0)</f>
        <v>1</v>
      </c>
      <c r="G149" s="59">
        <f>IF(G109=1,SUMIF(G116:G120,"&gt;0"),0)</f>
        <v>0</v>
      </c>
      <c r="H149" s="54">
        <f>IF(H109=1,SUMIF(H116:H120,"&gt;0"),0)</f>
        <v>0</v>
      </c>
      <c r="J149" s="59">
        <f>IF(J109=1,SUMIF(J116:J120,"&gt;0"),0)</f>
        <v>0</v>
      </c>
      <c r="K149" s="54">
        <f>IF(K109=1,SUMIF(K116:K120,"&gt;0"),0)</f>
        <v>0</v>
      </c>
      <c r="M149" s="59">
        <f>IF(M109=1,SUMIF(M116:M120,"&gt;0"),0)</f>
        <v>0</v>
      </c>
      <c r="N149" s="54">
        <f>IF(N109=1,SUMIF(N116:N120,"&gt;0"),0)</f>
        <v>1</v>
      </c>
      <c r="P149" s="59">
        <f>IF(P109=1,SUMIF(P116:P120,"&gt;0"),0)</f>
        <v>0</v>
      </c>
      <c r="Q149" s="54">
        <f>IF(Q109=1,SUMIF(Q116:Q120,"&gt;0"),0)</f>
        <v>0</v>
      </c>
      <c r="S149" s="59">
        <f>IF(S109=1,SUMIF(S116:S120,"&gt;0"),0)</f>
        <v>0</v>
      </c>
      <c r="T149" s="54">
        <f>IF(T109=1,SUMIF(T116:T120,"&gt;0"),0)</f>
        <v>0</v>
      </c>
      <c r="V149" s="59">
        <f>IF(V109=1,SUMIF(V116:V120,"&gt;0"),0)</f>
        <v>0</v>
      </c>
      <c r="W149" s="54">
        <f>IF(W109=1,SUMIF(W116:W120,"&gt;0"),0)</f>
        <v>2</v>
      </c>
      <c r="Y149" s="59">
        <f>IF(Y109=1,SUMIF(Y116:Y120,"&gt;0"),0)</f>
        <v>0</v>
      </c>
      <c r="Z149" s="54">
        <f>IF(Z109=1,SUMIF(Z116:Z120,"&gt;0"),0)</f>
        <v>0</v>
      </c>
      <c r="AB149" s="59">
        <f>IF(AB109=1,SUMIF(AB116:AB120,"&gt;0"),0)</f>
        <v>0</v>
      </c>
      <c r="AC149" s="54">
        <f>IF(AC109=1,SUMIF(AC116:AC120,"&gt;0"),0)</f>
        <v>1</v>
      </c>
      <c r="AE149" s="59">
        <f>IF(AE109=1,SUMIF(AE116:AE120,"&gt;0"),0)</f>
        <v>0</v>
      </c>
      <c r="AF149" s="54">
        <f>SUM(B149:AE149)</f>
        <v>5</v>
      </c>
      <c r="AG149" s="54">
        <f>AF157-AF149</f>
        <v>3</v>
      </c>
      <c r="AW149" s="57"/>
    </row>
    <row r="150" spans="1:49" s="54" customFormat="1" ht="12.75" hidden="1" customHeight="1" x14ac:dyDescent="0.2">
      <c r="A150" s="54" t="s">
        <v>96</v>
      </c>
      <c r="B150" s="54">
        <f>IF(B109=2,SUMIF(B116:B120,"&gt;0"),0)</f>
        <v>1</v>
      </c>
      <c r="D150" s="59">
        <f>IF(D109=2,SUMIF(D116:D120,"&gt;0"),0)</f>
        <v>0</v>
      </c>
      <c r="E150" s="54">
        <f>IF(E109=2,SUMIF(E116:E120,"&gt;0"),0)</f>
        <v>0</v>
      </c>
      <c r="G150" s="59">
        <f>IF(G109=2,SUMIF(G116:G120,"&gt;0"),0)</f>
        <v>0</v>
      </c>
      <c r="H150" s="54">
        <f>IF(H109=2,SUMIF(H116:H120,"&gt;0"),0)</f>
        <v>0</v>
      </c>
      <c r="J150" s="59">
        <f>IF(J109=2,SUMIF(J116:J120,"&gt;0"),0)</f>
        <v>0</v>
      </c>
      <c r="K150" s="54">
        <f>IF(K109=2,SUMIF(K116:K120,"&gt;0"),0)</f>
        <v>1</v>
      </c>
      <c r="M150" s="59">
        <f>IF(M109=2,SUMIF(M116:M120,"&gt;0"),0)</f>
        <v>0</v>
      </c>
      <c r="N150" s="54">
        <f>IF(N109=2,SUMIF(N116:N120,"&gt;0"),0)</f>
        <v>0</v>
      </c>
      <c r="P150" s="59">
        <f>IF(P109=2,SUMIF(P116:P120,"&gt;0"),0)</f>
        <v>0</v>
      </c>
      <c r="Q150" s="54">
        <f>IF(Q109=2,SUMIF(Q116:Q120,"&gt;0"),0)</f>
        <v>0</v>
      </c>
      <c r="S150" s="59">
        <f>IF(S109=2,SUMIF(S116:S120,"&gt;0"),0)</f>
        <v>0</v>
      </c>
      <c r="T150" s="54">
        <f>IF(T109=2,SUMIF(T116:T120,"&gt;0"),0)</f>
        <v>0</v>
      </c>
      <c r="V150" s="59">
        <f>IF(V109=2,SUMIF(V116:V120,"&gt;0"),0)</f>
        <v>0</v>
      </c>
      <c r="W150" s="54">
        <f>IF(W109=2,SUMIF(W116:W120,"&gt;0"),0)</f>
        <v>0</v>
      </c>
      <c r="Y150" s="59">
        <f>IF(Y109=2,SUMIF(Y116:Y120,"&gt;0"),0)</f>
        <v>0</v>
      </c>
      <c r="Z150" s="54">
        <f>IF(Z109=2,SUMIF(Z116:Z120,"&gt;0"),0)</f>
        <v>0</v>
      </c>
      <c r="AB150" s="59">
        <f>IF(AB109=2,SUMIF(AB116:AB120,"&gt;0"),0)</f>
        <v>0</v>
      </c>
      <c r="AC150" s="54">
        <f>IF(AC109=2,SUMIF(AC116:AC120,"&gt;0"),0)</f>
        <v>0</v>
      </c>
      <c r="AE150" s="59">
        <f>IF(AE109=2,SUMIF(AE116:AE120,"&gt;0"),0)</f>
        <v>1</v>
      </c>
      <c r="AF150" s="54">
        <f>SUM(B150:AE150)</f>
        <v>3</v>
      </c>
      <c r="AG150" s="54">
        <f>AF158-AF150</f>
        <v>5</v>
      </c>
      <c r="AW150" s="57"/>
    </row>
    <row r="151" spans="1:49" s="54" customFormat="1" ht="12.75" hidden="1" customHeight="1" x14ac:dyDescent="0.2">
      <c r="A151" s="54" t="s">
        <v>97</v>
      </c>
      <c r="B151" s="54">
        <f>IF(B109=3,SUMIF(B116:B120,"&gt;0"),0)</f>
        <v>0</v>
      </c>
      <c r="D151" s="59">
        <f>IF(D109=3,SUMIF(D116:D120,"&gt;0"),0)</f>
        <v>0</v>
      </c>
      <c r="E151" s="54">
        <f>IF(E109=3,SUMIF(E116:E120,"&gt;0"),0)</f>
        <v>0</v>
      </c>
      <c r="G151" s="59">
        <f>IF(G109=3,SUMIF(G116:G120,"&gt;0"),0)</f>
        <v>0</v>
      </c>
      <c r="H151" s="54">
        <f>IF(H109=3,SUMIF(H116:H120,"&gt;0"),0)</f>
        <v>2</v>
      </c>
      <c r="J151" s="59">
        <f>IF(J109=3,SUMIF(J116:J120,"&gt;0"),0)</f>
        <v>0</v>
      </c>
      <c r="K151" s="54">
        <f>IF(K109=3,SUMIF(K116:K120,"&gt;0"),0)</f>
        <v>0</v>
      </c>
      <c r="M151" s="59">
        <f>IF(M109=3,SUMIF(M116:M120,"&gt;0"),0)</f>
        <v>0</v>
      </c>
      <c r="N151" s="54">
        <f>IF(N109=3,SUMIF(N116:N120,"&gt;0"),0)</f>
        <v>0</v>
      </c>
      <c r="P151" s="59">
        <f>IF(P109=3,SUMIF(P116:P120,"&gt;0"),0)</f>
        <v>1</v>
      </c>
      <c r="Q151" s="54">
        <f>IF(Q109=3,SUMIF(Q116:Q120,"&gt;0"),0)</f>
        <v>0</v>
      </c>
      <c r="S151" s="59">
        <f>IF(S109=3,SUMIF(S116:S120,"&gt;0"),0)</f>
        <v>0</v>
      </c>
      <c r="T151" s="54">
        <f>IF(T109=3,SUMIF(T116:T120,"&gt;0"),0)</f>
        <v>0</v>
      </c>
      <c r="V151" s="59">
        <f>IF(V109=3,SUMIF(V116:V120,"&gt;0"),0)</f>
        <v>2</v>
      </c>
      <c r="W151" s="54">
        <f>IF(W109=3,SUMIF(W116:W120,"&gt;0"),0)</f>
        <v>0</v>
      </c>
      <c r="Y151" s="59">
        <f>IF(Y109=3,SUMIF(Y116:Y120,"&gt;0"),0)</f>
        <v>0</v>
      </c>
      <c r="Z151" s="54">
        <f>IF(Z109=3,SUMIF(Z116:Z120,"&gt;0"),0)</f>
        <v>2</v>
      </c>
      <c r="AB151" s="59">
        <f>IF(AB109=3,SUMIF(AB116:AB120,"&gt;0"),0)</f>
        <v>0</v>
      </c>
      <c r="AC151" s="54">
        <f>IF(AC109=3,SUMIF(AC116:AC120,"&gt;0"),0)</f>
        <v>0</v>
      </c>
      <c r="AE151" s="59">
        <f>IF(AE109=3,SUMIF(AE116:AE120,"&gt;0"),0)</f>
        <v>0</v>
      </c>
      <c r="AF151" s="54">
        <f>SUM(B151:AE151)</f>
        <v>7</v>
      </c>
      <c r="AG151" s="54">
        <f>AF159-AF151</f>
        <v>1</v>
      </c>
      <c r="AW151" s="57"/>
    </row>
    <row r="152" spans="1:49" s="54" customFormat="1" ht="12.75" hidden="1" customHeight="1" x14ac:dyDescent="0.2">
      <c r="A152" s="54" t="s">
        <v>98</v>
      </c>
      <c r="B152" s="54">
        <f>IF(B109=4,SUMIF(B116:B120,"&gt;0"),0)</f>
        <v>0</v>
      </c>
      <c r="D152" s="59">
        <f>IF(D109=4,SUMIF(D116:D120,"&gt;0"),0)</f>
        <v>0</v>
      </c>
      <c r="E152" s="54">
        <f>IF(E109=4,SUMIF(E116:E120,"&gt;0"),0)</f>
        <v>0</v>
      </c>
      <c r="G152" s="59">
        <f>IF(G109=4,SUMIF(G116:G120,"&gt;0"),0)</f>
        <v>1</v>
      </c>
      <c r="H152" s="54">
        <f>IF(H109=4,SUMIF(H116:H120,"&gt;0"),0)</f>
        <v>0</v>
      </c>
      <c r="J152" s="59">
        <f>IF(J109=4,SUMIF(J116:J120,"&gt;0"),0)</f>
        <v>0</v>
      </c>
      <c r="K152" s="54">
        <f>IF(K109=4,SUMIF(K116:K120,"&gt;0"),0)</f>
        <v>0</v>
      </c>
      <c r="M152" s="59">
        <f>IF(M109=4,SUMIF(M116:M120,"&gt;0"),0)</f>
        <v>1</v>
      </c>
      <c r="N152" s="54">
        <f>IF(N109=4,SUMIF(N116:N120,"&gt;0"),0)</f>
        <v>0</v>
      </c>
      <c r="P152" s="59">
        <f>IF(P109=4,SUMIF(P116:P120,"&gt;0"),0)</f>
        <v>0</v>
      </c>
      <c r="Q152" s="54">
        <f>IF(Q109=4,SUMIF(Q116:Q120,"&gt;0"),0)</f>
        <v>2</v>
      </c>
      <c r="S152" s="59">
        <f>IF(S109=4,SUMIF(S116:S120,"&gt;0"),0)</f>
        <v>0</v>
      </c>
      <c r="T152" s="54">
        <f>IF(T109=4,SUMIF(T116:T120,"&gt;0"),0)</f>
        <v>0</v>
      </c>
      <c r="V152" s="59">
        <f>IF(V109=4,SUMIF(V116:V120,"&gt;0"),0)</f>
        <v>0</v>
      </c>
      <c r="W152" s="54">
        <f>IF(W109=4,SUMIF(W116:W120,"&gt;0"),0)</f>
        <v>0</v>
      </c>
      <c r="Y152" s="59">
        <f>IF(Y109=4,SUMIF(Y116:Y120,"&gt;0"),0)</f>
        <v>0</v>
      </c>
      <c r="Z152" s="54">
        <f>IF(Z109=4,SUMIF(Z116:Z120,"&gt;0"),0)</f>
        <v>0</v>
      </c>
      <c r="AB152" s="59">
        <f>IF(AB109=4,SUMIF(AB116:AB120,"&gt;0"),0)</f>
        <v>0</v>
      </c>
      <c r="AC152" s="54">
        <f>IF(AC109=4,SUMIF(AC116:AC120,"&gt;0"),0)</f>
        <v>0</v>
      </c>
      <c r="AE152" s="59">
        <f>IF(AE109=4,SUMIF(AE116:AE120,"&gt;0"),0)</f>
        <v>0</v>
      </c>
      <c r="AF152" s="54">
        <f>SUM(B152:AE152)</f>
        <v>4</v>
      </c>
      <c r="AG152" s="54">
        <f>AF160-AF152</f>
        <v>4</v>
      </c>
      <c r="AW152" s="57"/>
    </row>
    <row r="153" spans="1:49" s="54" customFormat="1" ht="12.75" hidden="1" customHeight="1" x14ac:dyDescent="0.2">
      <c r="A153" s="54" t="s">
        <v>99</v>
      </c>
      <c r="B153" s="54">
        <f>IF(B109=5,SUMIF(B116:B120,"&gt;0"),0)</f>
        <v>0</v>
      </c>
      <c r="D153" s="59">
        <f>IF(D109=5,SUMIF(D116:D120,"&gt;0"),0)</f>
        <v>1</v>
      </c>
      <c r="E153" s="54">
        <f>IF(E109=5,SUMIF(E116:E120,"&gt;0"),0)</f>
        <v>0</v>
      </c>
      <c r="G153" s="59">
        <f>IF(G109=5,SUMIF(G116:G120,"&gt;0"),0)</f>
        <v>0</v>
      </c>
      <c r="H153" s="54">
        <f>IF(H109=5,SUMIF(H116:H120,"&gt;0"),0)</f>
        <v>0</v>
      </c>
      <c r="J153" s="59">
        <f>IF(J109=5,SUMIF(J116:J120,"&gt;0"),0)</f>
        <v>0</v>
      </c>
      <c r="K153" s="54">
        <f>IF(K109=5,SUMIF(K116:K120,"&gt;0"),0)</f>
        <v>0</v>
      </c>
      <c r="M153" s="59">
        <f>IF(M109=5,SUMIF(M116:M120,"&gt;0"),0)</f>
        <v>0</v>
      </c>
      <c r="N153" s="54">
        <f>IF(N109=5,SUMIF(N116:N120,"&gt;0"),0)</f>
        <v>0</v>
      </c>
      <c r="P153" s="59">
        <f>IF(P109=5,SUMIF(P116:P120,"&gt;0"),0)</f>
        <v>0</v>
      </c>
      <c r="Q153" s="54">
        <f>IF(Q109=5,SUMIF(Q116:Q120,"&gt;0"),0)</f>
        <v>0</v>
      </c>
      <c r="S153" s="59">
        <f>IF(S109=5,SUMIF(S116:S120,"&gt;0"),0)</f>
        <v>0</v>
      </c>
      <c r="T153" s="54">
        <f>IF(T109=5,SUMIF(T116:T120,"&gt;0"),0)</f>
        <v>0</v>
      </c>
      <c r="V153" s="59">
        <f>IF(V109=5,SUMIF(V116:V120,"&gt;0"),0)</f>
        <v>0</v>
      </c>
      <c r="W153" s="54">
        <f>IF(W109=5,SUMIF(W116:W120,"&gt;0"),0)</f>
        <v>0</v>
      </c>
      <c r="Y153" s="59">
        <f>IF(Y109=5,SUMIF(Y116:Y120,"&gt;0"),0)</f>
        <v>0</v>
      </c>
      <c r="Z153" s="54">
        <f>IF(Z109=5,SUMIF(Z116:Z120,"&gt;0"),0)</f>
        <v>0</v>
      </c>
      <c r="AB153" s="59">
        <f>IF(AB109=5,SUMIF(AB116:AB120,"&gt;0"),0)</f>
        <v>0</v>
      </c>
      <c r="AC153" s="54">
        <f>IF(AC109=5,SUMIF(AC116:AC120,"&gt;0"),0)</f>
        <v>0</v>
      </c>
      <c r="AE153" s="59">
        <f>IF(AE109=5,SUMIF(AE116:AE120,"&gt;0"),0)</f>
        <v>0</v>
      </c>
      <c r="AF153" s="54">
        <f>SUM(B153:AE153)</f>
        <v>1</v>
      </c>
      <c r="AG153" s="54">
        <f>AF161-AF153</f>
        <v>7</v>
      </c>
      <c r="AW153" s="57"/>
    </row>
    <row r="154" spans="1:49" s="54" customFormat="1" ht="12.75" hidden="1" customHeight="1" x14ac:dyDescent="0.2">
      <c r="D154" s="59"/>
      <c r="G154" s="59"/>
      <c r="J154" s="59"/>
      <c r="M154" s="59"/>
      <c r="P154" s="59"/>
      <c r="S154" s="59"/>
      <c r="V154" s="59"/>
      <c r="Y154" s="59"/>
      <c r="AB154" s="59"/>
      <c r="AE154" s="59"/>
      <c r="AW154" s="57"/>
    </row>
    <row r="155" spans="1:49" s="54" customFormat="1" ht="12.75" hidden="1" customHeight="1" x14ac:dyDescent="0.2">
      <c r="D155" s="59"/>
      <c r="G155" s="59"/>
      <c r="J155" s="59"/>
      <c r="M155" s="59"/>
      <c r="P155" s="59"/>
      <c r="S155" s="59"/>
      <c r="V155" s="59"/>
      <c r="Y155" s="59"/>
      <c r="AB155" s="59"/>
      <c r="AE155" s="59"/>
      <c r="AW155" s="57"/>
    </row>
    <row r="156" spans="1:49" s="54" customFormat="1" ht="51" hidden="1" customHeight="1" x14ac:dyDescent="0.2">
      <c r="A156" s="58" t="s">
        <v>110</v>
      </c>
      <c r="C156" s="54">
        <f>SUMIF(B149:D153,"&gt;0")</f>
        <v>2</v>
      </c>
      <c r="D156" s="59"/>
      <c r="F156" s="54">
        <f>SUMIF(E149:G153,"&gt;0")</f>
        <v>2</v>
      </c>
      <c r="G156" s="59"/>
      <c r="I156" s="54">
        <f>SUMIF(H149:J153,"&gt;0")</f>
        <v>2</v>
      </c>
      <c r="J156" s="59"/>
      <c r="L156" s="54">
        <f>SUMIF(K149:M153,"&gt;0")</f>
        <v>2</v>
      </c>
      <c r="M156" s="59"/>
      <c r="O156" s="54">
        <f>SUMIF(N149:P153,"&gt;0")</f>
        <v>2</v>
      </c>
      <c r="P156" s="59"/>
      <c r="R156" s="54">
        <f>SUMIF(Q149:S153,"&gt;0")</f>
        <v>2</v>
      </c>
      <c r="S156" s="59"/>
      <c r="U156" s="54">
        <f>SUMIF(T149:V153,"&gt;0")</f>
        <v>2</v>
      </c>
      <c r="V156" s="59"/>
      <c r="X156" s="54">
        <f>SUMIF(W149:Y153,"&gt;0")</f>
        <v>2</v>
      </c>
      <c r="Y156" s="59"/>
      <c r="AA156" s="54">
        <f>SUMIF(Z149:AB153,"&gt;0")</f>
        <v>2</v>
      </c>
      <c r="AB156" s="59"/>
      <c r="AD156" s="54">
        <f>SUMIF(AC149:AE153,"&gt;0")</f>
        <v>2</v>
      </c>
      <c r="AE156" s="59"/>
      <c r="AF156" s="58" t="s">
        <v>111</v>
      </c>
      <c r="AW156" s="57"/>
    </row>
    <row r="157" spans="1:49" s="54" customFormat="1" ht="12.75" hidden="1" customHeight="1" x14ac:dyDescent="0.2">
      <c r="A157" s="54" t="s">
        <v>101</v>
      </c>
      <c r="B157" s="54">
        <f>IF(B109=1,C156,0)</f>
        <v>0</v>
      </c>
      <c r="D157" s="59">
        <f>IF(D109=1,C156,0)</f>
        <v>0</v>
      </c>
      <c r="E157" s="54">
        <f>IF(E109=1,F156,0)</f>
        <v>2</v>
      </c>
      <c r="G157" s="59">
        <f>IF(G109=1,F156,0)</f>
        <v>0</v>
      </c>
      <c r="H157" s="54">
        <f>IF(H109=1,I156,0)</f>
        <v>0</v>
      </c>
      <c r="J157" s="59">
        <f>IF(J109=1,I156,0)</f>
        <v>0</v>
      </c>
      <c r="K157" s="54">
        <f>IF(K109=1,L156,0)</f>
        <v>0</v>
      </c>
      <c r="M157" s="59">
        <f>IF(M109=1,L156,0)</f>
        <v>0</v>
      </c>
      <c r="N157" s="54">
        <f>IF(N109=1,O156,0)</f>
        <v>2</v>
      </c>
      <c r="P157" s="59">
        <f>IF(P109=1,O156,0)</f>
        <v>0</v>
      </c>
      <c r="Q157" s="54">
        <f>IF(Q109=1,R156,0)</f>
        <v>0</v>
      </c>
      <c r="S157" s="59">
        <f>IF(S109=1,R156,0)</f>
        <v>0</v>
      </c>
      <c r="T157" s="54">
        <f>IF(T109=1,U156,0)</f>
        <v>0</v>
      </c>
      <c r="V157" s="59">
        <f>IF(V109=1,U156,0)</f>
        <v>0</v>
      </c>
      <c r="W157" s="54">
        <f>IF(W109=1,X156,0)</f>
        <v>2</v>
      </c>
      <c r="Y157" s="59">
        <f>IF(Y109=1,X156,0)</f>
        <v>0</v>
      </c>
      <c r="Z157" s="54">
        <f>IF(Z109=1,AA156,0)</f>
        <v>0</v>
      </c>
      <c r="AB157" s="59">
        <f>IF(AB109=1,AA156,0)</f>
        <v>0</v>
      </c>
      <c r="AC157" s="54">
        <f>IF(AC109=1,AD156,0)</f>
        <v>2</v>
      </c>
      <c r="AE157" s="59">
        <f>IF(AE109=1,AD156,0)</f>
        <v>0</v>
      </c>
      <c r="AF157" s="54">
        <f>SUM(B157:AE157)</f>
        <v>8</v>
      </c>
      <c r="AW157" s="57"/>
    </row>
    <row r="158" spans="1:49" s="54" customFormat="1" ht="12.75" hidden="1" customHeight="1" x14ac:dyDescent="0.2">
      <c r="A158" s="54" t="s">
        <v>102</v>
      </c>
      <c r="B158" s="54">
        <f>IF(B109=2,C156,0)</f>
        <v>2</v>
      </c>
      <c r="D158" s="59">
        <f>IF(D109=2,C156,0)</f>
        <v>0</v>
      </c>
      <c r="E158" s="54">
        <f>IF(E109=2,F156,0)</f>
        <v>0</v>
      </c>
      <c r="G158" s="59">
        <f>IF(G109=2,F156,0)</f>
        <v>0</v>
      </c>
      <c r="H158" s="54">
        <f>IF(H109=2,I156,0)</f>
        <v>0</v>
      </c>
      <c r="J158" s="59">
        <f>IF(J109=2,I156,0)</f>
        <v>0</v>
      </c>
      <c r="K158" s="54">
        <f>IF(K109=2,L156,0)</f>
        <v>2</v>
      </c>
      <c r="M158" s="59">
        <f>IF(M109=2,L156,0)</f>
        <v>0</v>
      </c>
      <c r="N158" s="54">
        <f>IF(N109=2,O156,0)</f>
        <v>0</v>
      </c>
      <c r="P158" s="59">
        <f>IF(P109=2,O156,0)</f>
        <v>0</v>
      </c>
      <c r="Q158" s="54">
        <f>IF(Q109=2,R156,0)</f>
        <v>0</v>
      </c>
      <c r="S158" s="59">
        <f>IF(S109=2,R156,0)</f>
        <v>0</v>
      </c>
      <c r="T158" s="54">
        <f>IF(T109=2,U156,0)</f>
        <v>2</v>
      </c>
      <c r="V158" s="59">
        <f>IF(V109=2,U156,0)</f>
        <v>0</v>
      </c>
      <c r="W158" s="54">
        <f>IF(W109=2,X156,0)</f>
        <v>0</v>
      </c>
      <c r="Y158" s="59">
        <f>IF(Y109=2,X156,0)</f>
        <v>0</v>
      </c>
      <c r="Z158" s="54">
        <f>IF(Z109=2,AA156,0)</f>
        <v>0</v>
      </c>
      <c r="AB158" s="59">
        <f>IF(AB109=2,AA156,0)</f>
        <v>0</v>
      </c>
      <c r="AC158" s="54">
        <f>IF(AC109=2,AD156,0)</f>
        <v>0</v>
      </c>
      <c r="AE158" s="59">
        <f>IF(AE109=2,AD156,0)</f>
        <v>2</v>
      </c>
      <c r="AF158" s="54">
        <f>SUM(B158:AE158)</f>
        <v>8</v>
      </c>
      <c r="AW158" s="57"/>
    </row>
    <row r="159" spans="1:49" s="54" customFormat="1" ht="12.75" hidden="1" customHeight="1" x14ac:dyDescent="0.2">
      <c r="A159" s="54" t="s">
        <v>103</v>
      </c>
      <c r="B159" s="54">
        <f>IF(B109=3,C156,0)</f>
        <v>0</v>
      </c>
      <c r="D159" s="59">
        <f>IF(D109=3,C156,0)</f>
        <v>0</v>
      </c>
      <c r="E159" s="54">
        <f>IF(E109=3,F156,0)</f>
        <v>0</v>
      </c>
      <c r="G159" s="59">
        <f>IF(G109=3,F156,0)</f>
        <v>0</v>
      </c>
      <c r="H159" s="54">
        <f>IF(H109=3,I156,0)</f>
        <v>2</v>
      </c>
      <c r="J159" s="59">
        <f>IF(J109=3,I156,0)</f>
        <v>0</v>
      </c>
      <c r="K159" s="54">
        <f>IF(K109=3,L156,0)</f>
        <v>0</v>
      </c>
      <c r="M159" s="59">
        <f>IF(M109=3,L156,0)</f>
        <v>0</v>
      </c>
      <c r="N159" s="54">
        <f>IF(N109=3,O156,0)</f>
        <v>0</v>
      </c>
      <c r="P159" s="59">
        <f>IF(P109=3,O156,0)</f>
        <v>2</v>
      </c>
      <c r="Q159" s="54">
        <f>IF(Q109=3,R156,0)</f>
        <v>0</v>
      </c>
      <c r="S159" s="59">
        <f>IF(S109=3,R156,0)</f>
        <v>0</v>
      </c>
      <c r="T159" s="54">
        <f>IF(T109=3,U156,0)</f>
        <v>0</v>
      </c>
      <c r="V159" s="59">
        <f>IF(V109=3,U156,0)</f>
        <v>2</v>
      </c>
      <c r="W159" s="54">
        <f>IF(W109=3,X156,0)</f>
        <v>0</v>
      </c>
      <c r="Y159" s="59">
        <f>IF(Y109=3,X156,0)</f>
        <v>0</v>
      </c>
      <c r="Z159" s="54">
        <f>IF(Z109=3,AA156,0)</f>
        <v>2</v>
      </c>
      <c r="AB159" s="59">
        <f>IF(AB109=3,AA156,0)</f>
        <v>0</v>
      </c>
      <c r="AC159" s="54">
        <f>IF(AC109=3,AD156,0)</f>
        <v>0</v>
      </c>
      <c r="AE159" s="59">
        <f>IF(AE109=3,AD156,0)</f>
        <v>0</v>
      </c>
      <c r="AF159" s="54">
        <f>SUM(B159:AE159)</f>
        <v>8</v>
      </c>
      <c r="AW159" s="57"/>
    </row>
    <row r="160" spans="1:49" s="54" customFormat="1" ht="12.75" hidden="1" customHeight="1" x14ac:dyDescent="0.2">
      <c r="A160" s="54" t="s">
        <v>104</v>
      </c>
      <c r="B160" s="54">
        <f>IF(B109=4,C156,0)</f>
        <v>0</v>
      </c>
      <c r="D160" s="59">
        <f>IF(D109=4,C156,0)</f>
        <v>0</v>
      </c>
      <c r="E160" s="54">
        <f>IF(E109=4,F156,0)</f>
        <v>0</v>
      </c>
      <c r="G160" s="59">
        <f>IF(G109=4,F156,0)</f>
        <v>2</v>
      </c>
      <c r="H160" s="54">
        <f>IF(H109=4,I156,0)</f>
        <v>0</v>
      </c>
      <c r="J160" s="59">
        <f>IF(J109=4,I156,0)</f>
        <v>0</v>
      </c>
      <c r="K160" s="54">
        <f>IF(K109=4,L156,0)</f>
        <v>0</v>
      </c>
      <c r="M160" s="59">
        <f>IF(M109=4,L156,0)</f>
        <v>2</v>
      </c>
      <c r="N160" s="54">
        <f>IF(N109=4,O156,0)</f>
        <v>0</v>
      </c>
      <c r="P160" s="59">
        <f>IF(P109=4,O156,0)</f>
        <v>0</v>
      </c>
      <c r="Q160" s="54">
        <f>IF(Q109=4,R156,0)</f>
        <v>2</v>
      </c>
      <c r="S160" s="59">
        <f>IF(S109=4,R156,0)</f>
        <v>0</v>
      </c>
      <c r="T160" s="54">
        <f>IF(T109=4,U156,0)</f>
        <v>0</v>
      </c>
      <c r="V160" s="59">
        <f>IF(V109=4,U156,0)</f>
        <v>0</v>
      </c>
      <c r="W160" s="54">
        <f>IF(W109=4,X156,0)</f>
        <v>0</v>
      </c>
      <c r="Y160" s="59">
        <f>IF(Y109=4,X156,0)</f>
        <v>0</v>
      </c>
      <c r="Z160" s="54">
        <f>IF(Z109=4,AA156,0)</f>
        <v>0</v>
      </c>
      <c r="AB160" s="59">
        <f>IF(AB109=4,AA156,0)</f>
        <v>2</v>
      </c>
      <c r="AC160" s="54">
        <f>IF(AC109=4,AD156,0)</f>
        <v>0</v>
      </c>
      <c r="AE160" s="59">
        <f>IF(AE109=4,AD156,0)</f>
        <v>0</v>
      </c>
      <c r="AF160" s="54">
        <f>SUM(B160:AE160)</f>
        <v>8</v>
      </c>
      <c r="AW160" s="57"/>
    </row>
    <row r="161" spans="1:54" s="54" customFormat="1" ht="12.75" hidden="1" customHeight="1" x14ac:dyDescent="0.2">
      <c r="A161" s="54" t="s">
        <v>105</v>
      </c>
      <c r="B161" s="54">
        <f>IF(B109=5,C156,0)</f>
        <v>0</v>
      </c>
      <c r="D161" s="59">
        <f>IF(D109=5,C156,0)</f>
        <v>2</v>
      </c>
      <c r="E161" s="54">
        <f>IF(E109=5,F156,0)</f>
        <v>0</v>
      </c>
      <c r="G161" s="59">
        <f>IF(G109=5,F156,0)</f>
        <v>0</v>
      </c>
      <c r="H161" s="54">
        <f>IF(H109=5,I156,0)</f>
        <v>0</v>
      </c>
      <c r="J161" s="59">
        <f>IF(J109=5,I156,0)</f>
        <v>2</v>
      </c>
      <c r="K161" s="54">
        <f>IF(K109=5,L156,0)</f>
        <v>0</v>
      </c>
      <c r="M161" s="59">
        <f>IF(M109=5,L156,0)</f>
        <v>0</v>
      </c>
      <c r="N161" s="54">
        <f>IF(N109=5,O156,0)</f>
        <v>0</v>
      </c>
      <c r="P161" s="59">
        <f>IF(P109=5,O156,0)</f>
        <v>0</v>
      </c>
      <c r="Q161" s="54">
        <f>IF(Q109=5,R156,0)</f>
        <v>0</v>
      </c>
      <c r="S161" s="59">
        <f>IF(S109=5,R156,0)</f>
        <v>2</v>
      </c>
      <c r="T161" s="54">
        <f>IF(T109=5,U156,0)</f>
        <v>0</v>
      </c>
      <c r="V161" s="59">
        <f>IF(V109=5,U156,0)</f>
        <v>0</v>
      </c>
      <c r="W161" s="54">
        <f>IF(W109=5,X156,0)</f>
        <v>0</v>
      </c>
      <c r="Y161" s="59">
        <f>IF(Y109=5,X156,0)</f>
        <v>2</v>
      </c>
      <c r="Z161" s="54">
        <f>IF(Z109=5,AA156,0)</f>
        <v>0</v>
      </c>
      <c r="AB161" s="59">
        <f>IF(AB109=5,AA156,0)</f>
        <v>0</v>
      </c>
      <c r="AC161" s="54">
        <f>IF(AC109=5,AD156,0)</f>
        <v>0</v>
      </c>
      <c r="AE161" s="59">
        <f>IF(AE109=5,AD156,0)</f>
        <v>0</v>
      </c>
      <c r="AF161" s="54">
        <f>SUM(B161:AE161)</f>
        <v>8</v>
      </c>
      <c r="AW161" s="57"/>
    </row>
    <row r="162" spans="1:54" hidden="1" x14ac:dyDescent="0.2">
      <c r="A162" s="79"/>
      <c r="B162" s="79"/>
      <c r="C162" s="79"/>
      <c r="D162" s="79"/>
      <c r="E162" s="79"/>
      <c r="F162" s="79"/>
      <c r="G162" s="79"/>
      <c r="H162" s="79"/>
      <c r="I162" s="79"/>
      <c r="J162" s="79"/>
      <c r="K162" s="79"/>
      <c r="L162" s="79"/>
      <c r="M162" s="79"/>
      <c r="N162" s="79"/>
      <c r="O162" s="79"/>
      <c r="P162" s="79"/>
      <c r="Q162" s="79"/>
      <c r="R162" s="79"/>
      <c r="S162" s="79"/>
      <c r="T162" s="79"/>
      <c r="U162" s="79"/>
      <c r="V162" s="79"/>
      <c r="W162" s="79"/>
      <c r="X162" s="79"/>
      <c r="Y162" s="79"/>
      <c r="Z162" s="79"/>
      <c r="AA162" s="79"/>
      <c r="AB162" s="79"/>
      <c r="AC162" s="79"/>
      <c r="AD162" s="79"/>
      <c r="AE162" s="79"/>
      <c r="AF162" s="79"/>
      <c r="AG162" s="79"/>
      <c r="AH162" s="79"/>
      <c r="AI162" s="79"/>
      <c r="AJ162" s="79"/>
      <c r="AK162" s="79"/>
      <c r="AL162" s="79"/>
      <c r="AM162" s="79"/>
      <c r="AN162" s="80"/>
      <c r="AO162" s="80"/>
      <c r="AP162" s="80"/>
      <c r="AQ162" s="80"/>
      <c r="AR162" s="62"/>
      <c r="AS162" s="62"/>
      <c r="AT162" s="62"/>
      <c r="AU162" s="62"/>
      <c r="AV162" s="62"/>
      <c r="BB162" s="129"/>
    </row>
    <row r="163" spans="1:54" s="62" customFormat="1" hidden="1" x14ac:dyDescent="0.2">
      <c r="A163" s="63"/>
      <c r="B163" s="63"/>
      <c r="C163" s="63" t="s">
        <v>112</v>
      </c>
      <c r="D163" s="63">
        <v>1</v>
      </c>
      <c r="E163" s="63"/>
      <c r="F163" s="63"/>
      <c r="G163" s="63">
        <v>2</v>
      </c>
      <c r="H163" s="63"/>
      <c r="I163" s="63"/>
      <c r="J163" s="63">
        <v>3</v>
      </c>
      <c r="K163" s="63"/>
      <c r="L163" s="63"/>
      <c r="M163" s="63">
        <v>4</v>
      </c>
      <c r="N163" s="63"/>
      <c r="O163" s="63"/>
      <c r="P163" s="63">
        <v>5</v>
      </c>
      <c r="Q163" s="63"/>
      <c r="R163" s="63"/>
      <c r="S163" s="63">
        <v>6</v>
      </c>
      <c r="T163" s="63"/>
      <c r="U163" s="63"/>
      <c r="V163" s="63">
        <v>7</v>
      </c>
      <c r="W163" s="63"/>
      <c r="X163" s="63"/>
      <c r="Y163" s="63">
        <v>8</v>
      </c>
      <c r="Z163" s="63"/>
      <c r="AA163" s="63"/>
      <c r="AB163" s="63">
        <v>9</v>
      </c>
      <c r="AC163" s="63"/>
      <c r="AD163" s="63"/>
      <c r="AE163" s="63">
        <v>10</v>
      </c>
      <c r="AF163" s="4"/>
      <c r="AG163" s="63"/>
      <c r="AI163" s="64"/>
      <c r="AJ163" s="4"/>
      <c r="AK163" s="4"/>
      <c r="AL163" s="4"/>
      <c r="AM163" s="4"/>
      <c r="AN163" s="4"/>
      <c r="AO163" s="4"/>
      <c r="AT163" s="64" t="s">
        <v>113</v>
      </c>
      <c r="AW163" s="65"/>
      <c r="BB163" s="65"/>
    </row>
    <row r="164" spans="1:54" s="62" customFormat="1" hidden="1" x14ac:dyDescent="0.2">
      <c r="A164" s="66">
        <v>1</v>
      </c>
      <c r="B164" s="66" t="str">
        <f>E93</f>
        <v>CSRA Heat 14 Black</v>
      </c>
      <c r="C164" s="66">
        <f>VLOOKUP(B164,AU$3:AY$12,3,FALSE)</f>
        <v>1907.7374614602916</v>
      </c>
      <c r="D164" s="66">
        <f>IF(B157,B172,IF(D157,D172,C164))</f>
        <v>1907.7374614602916</v>
      </c>
      <c r="E164" s="66"/>
      <c r="F164" s="66"/>
      <c r="G164" s="66">
        <f>IF(E157,E172,IF(G157,G172,D164))</f>
        <v>1898.1207571248424</v>
      </c>
      <c r="H164" s="66"/>
      <c r="I164" s="66"/>
      <c r="J164" s="66">
        <f>IF(H157,H172,IF(J157,J172,G164))</f>
        <v>1898.1207571248424</v>
      </c>
      <c r="K164" s="66"/>
      <c r="L164" s="66"/>
      <c r="M164" s="66">
        <f>IF(K157,K172,IF(M157,M172,J164))</f>
        <v>1898.1207571248424</v>
      </c>
      <c r="N164" s="66"/>
      <c r="O164" s="66"/>
      <c r="P164" s="66">
        <f>IF(N157,N172,IF(P157,P172,M164))</f>
        <v>1898.1877496955749</v>
      </c>
      <c r="Q164" s="66"/>
      <c r="R164" s="66"/>
      <c r="S164" s="66">
        <f>IF(Q157,Q172,IF(S157,S172,P164))</f>
        <v>1898.1877496955749</v>
      </c>
      <c r="T164" s="66"/>
      <c r="U164" s="66"/>
      <c r="V164" s="66">
        <f>IF(T157,T172,IF(V157,V172,S164))</f>
        <v>1898.1877496955749</v>
      </c>
      <c r="W164" s="66"/>
      <c r="X164" s="66"/>
      <c r="Y164" s="66">
        <f>IF(W157,W172,IF(Y157,Y172,V164))</f>
        <v>1918.2455983865595</v>
      </c>
      <c r="Z164" s="66"/>
      <c r="AA164" s="66"/>
      <c r="AB164" s="66">
        <f>IF(Z157,Z172,IF(AB157,AB172,Y164))</f>
        <v>1918.2455983865595</v>
      </c>
      <c r="AC164" s="66"/>
      <c r="AD164" s="66"/>
      <c r="AE164" s="66">
        <f>IF(AC157,AC172,IF(AE157,AE172,AB164))</f>
        <v>1912.3556491393326</v>
      </c>
      <c r="AF164" s="4"/>
      <c r="AG164" s="4"/>
      <c r="AJ164" s="4"/>
      <c r="AK164" s="4"/>
      <c r="AL164" s="4"/>
      <c r="AM164" s="4"/>
      <c r="AN164" s="4"/>
      <c r="AO164" s="4"/>
      <c r="AT164" s="62" t="str">
        <f>B164</f>
        <v>CSRA Heat 14 Black</v>
      </c>
      <c r="AU164" s="62">
        <f>AE164</f>
        <v>1912.3556491393326</v>
      </c>
      <c r="AW164" s="65"/>
      <c r="BB164" s="65"/>
    </row>
    <row r="165" spans="1:54" s="62" customFormat="1" hidden="1" x14ac:dyDescent="0.2">
      <c r="A165" s="66">
        <v>2</v>
      </c>
      <c r="B165" s="66" t="str">
        <f>E95</f>
        <v>Beaufort 14 Club</v>
      </c>
      <c r="C165" s="66">
        <f>VLOOKUP(B165,AU$3:AY$12,3,FALSE)</f>
        <v>1899.6480727597882</v>
      </c>
      <c r="D165" s="66">
        <f>IF(B158,B172,IF(D158,D172,C165))</f>
        <v>1891.6355469674145</v>
      </c>
      <c r="E165" s="66"/>
      <c r="F165" s="66"/>
      <c r="G165" s="66">
        <f>IF(E158,E172,IF(G158,G172,D165))</f>
        <v>1891.6355469674145</v>
      </c>
      <c r="H165" s="66"/>
      <c r="I165" s="66"/>
      <c r="J165" s="66">
        <f>IF(H158,H172,IF(J158,J172,G165))</f>
        <v>1891.6355469674145</v>
      </c>
      <c r="K165" s="66"/>
      <c r="L165" s="66"/>
      <c r="M165" s="66">
        <f>IF(K158,K172,IF(M158,M172,J165))</f>
        <v>1884.2186020365077</v>
      </c>
      <c r="N165" s="66"/>
      <c r="O165" s="66"/>
      <c r="P165" s="66">
        <f>IF(N158,N172,IF(P158,P172,M165))</f>
        <v>1884.2186020365077</v>
      </c>
      <c r="Q165" s="66"/>
      <c r="R165" s="66"/>
      <c r="S165" s="66">
        <f>IF(Q158,Q172,IF(S158,S172,P165))</f>
        <v>1884.2186020365077</v>
      </c>
      <c r="T165" s="66"/>
      <c r="U165" s="66"/>
      <c r="V165" s="66">
        <f>IF(T158,T172,IF(V158,V172,S165))</f>
        <v>1853.5590753701861</v>
      </c>
      <c r="W165" s="66"/>
      <c r="X165" s="66"/>
      <c r="Y165" s="66">
        <f>IF(W158,W172,IF(Y158,Y172,V165))</f>
        <v>1853.5590753701861</v>
      </c>
      <c r="Z165" s="66"/>
      <c r="AA165" s="66"/>
      <c r="AB165" s="66">
        <f>IF(Z158,Z172,IF(AB158,AB172,Y165))</f>
        <v>1853.5590753701861</v>
      </c>
      <c r="AC165" s="66"/>
      <c r="AD165" s="66"/>
      <c r="AE165" s="66">
        <f>IF(AC158,AC172,IF(AE158,AE172,AB165))</f>
        <v>1859.449024617413</v>
      </c>
      <c r="AF165" s="4"/>
      <c r="AG165" s="4"/>
      <c r="AJ165" s="4"/>
      <c r="AL165" s="4"/>
      <c r="AM165" s="4"/>
      <c r="AN165" s="4"/>
      <c r="AO165" s="4"/>
      <c r="AT165" s="62" t="str">
        <f>B165</f>
        <v>Beaufort 14 Club</v>
      </c>
      <c r="AU165" s="62">
        <f>AE165</f>
        <v>1859.449024617413</v>
      </c>
      <c r="AW165" s="65"/>
      <c r="BB165" s="65"/>
    </row>
    <row r="166" spans="1:54" s="62" customFormat="1" hidden="1" x14ac:dyDescent="0.2">
      <c r="A166" s="66">
        <v>3</v>
      </c>
      <c r="B166" s="66" t="str">
        <f>E97</f>
        <v>Shelby Strikers</v>
      </c>
      <c r="C166" s="66">
        <f>VLOOKUP(B166,AU$3:AY$12,3,FALSE)</f>
        <v>1871.6837848905743</v>
      </c>
      <c r="D166" s="66">
        <f>IF(B159,B172,IF(D159,D172,C166))</f>
        <v>1871.6837848905743</v>
      </c>
      <c r="E166" s="66"/>
      <c r="F166" s="66"/>
      <c r="G166" s="66">
        <f>IF(E159,E172,IF(G159,G172,D166))</f>
        <v>1871.6837848905743</v>
      </c>
      <c r="H166" s="66"/>
      <c r="I166" s="66"/>
      <c r="J166" s="66">
        <f>IF(H159,H172,IF(J159,J172,G166))</f>
        <v>1898.8481207824198</v>
      </c>
      <c r="K166" s="66"/>
      <c r="L166" s="66"/>
      <c r="M166" s="66">
        <f>IF(K159,K172,IF(M159,M172,J166))</f>
        <v>1898.8481207824198</v>
      </c>
      <c r="N166" s="66"/>
      <c r="O166" s="66"/>
      <c r="P166" s="66">
        <f>IF(N159,N172,IF(P159,P172,M166))</f>
        <v>1898.7811282116872</v>
      </c>
      <c r="Q166" s="66"/>
      <c r="R166" s="66"/>
      <c r="S166" s="66">
        <f>IF(Q159,Q172,IF(S159,S172,P166))</f>
        <v>1898.7811282116872</v>
      </c>
      <c r="T166" s="66"/>
      <c r="U166" s="66"/>
      <c r="V166" s="66">
        <f>IF(T159,T172,IF(V159,V172,S166))</f>
        <v>1929.4406548780089</v>
      </c>
      <c r="W166" s="66"/>
      <c r="X166" s="66"/>
      <c r="Y166" s="66">
        <f>IF(W159,W172,IF(Y159,Y172,V166))</f>
        <v>1929.4406548780089</v>
      </c>
      <c r="Z166" s="66"/>
      <c r="AA166" s="66"/>
      <c r="AB166" s="66">
        <f>IF(Z159,Z172,IF(AB159,AB172,Y166))</f>
        <v>1953.9605143302995</v>
      </c>
      <c r="AC166" s="66"/>
      <c r="AD166" s="66"/>
      <c r="AE166" s="66">
        <f>IF(AC159,AC172,IF(AE159,AE172,AB166))</f>
        <v>1953.9605143302995</v>
      </c>
      <c r="AF166" s="4"/>
      <c r="AG166" s="4"/>
      <c r="AJ166" s="4"/>
      <c r="AL166" s="4"/>
      <c r="AM166" s="4"/>
      <c r="AN166" s="4"/>
      <c r="AO166" s="4"/>
      <c r="AT166" s="62" t="str">
        <f>B166</f>
        <v>Shelby Strikers</v>
      </c>
      <c r="AU166" s="62">
        <f>AE166</f>
        <v>1953.9605143302995</v>
      </c>
      <c r="AW166" s="65"/>
      <c r="BB166" s="65"/>
    </row>
    <row r="167" spans="1:54" s="62" customFormat="1" hidden="1" x14ac:dyDescent="0.2">
      <c r="A167" s="66">
        <v>4</v>
      </c>
      <c r="B167" s="66" t="str">
        <f>E99</f>
        <v>Magnum 14 Black</v>
      </c>
      <c r="C167" s="66">
        <f>VLOOKUP(B167,AU$3:AY$12,3,FALSE)</f>
        <v>1800</v>
      </c>
      <c r="D167" s="66">
        <f>IF(B160,B172,IF(D160,D172,C167))</f>
        <v>1800</v>
      </c>
      <c r="E167" s="66"/>
      <c r="F167" s="66"/>
      <c r="G167" s="66">
        <f>IF(E160,E172,IF(G160,G172,D167))</f>
        <v>1809.6167043354492</v>
      </c>
      <c r="H167" s="66"/>
      <c r="I167" s="66"/>
      <c r="J167" s="66">
        <f>IF(H160,H172,IF(J160,J172,G167))</f>
        <v>1809.6167043354492</v>
      </c>
      <c r="K167" s="66"/>
      <c r="L167" s="66"/>
      <c r="M167" s="66">
        <f>IF(K160,K172,IF(M160,M172,J167))</f>
        <v>1817.033649266356</v>
      </c>
      <c r="N167" s="66"/>
      <c r="O167" s="66"/>
      <c r="P167" s="66">
        <f>IF(N160,N172,IF(P160,P172,M167))</f>
        <v>1817.033649266356</v>
      </c>
      <c r="Q167" s="66"/>
      <c r="R167" s="66"/>
      <c r="S167" s="66">
        <f>IF(Q160,Q172,IF(S160,S172,P167))</f>
        <v>1846.6963694414294</v>
      </c>
      <c r="T167" s="66"/>
      <c r="U167" s="66"/>
      <c r="V167" s="66">
        <f>IF(T160,T172,IF(V160,V172,S167))</f>
        <v>1846.6963694414294</v>
      </c>
      <c r="W167" s="66"/>
      <c r="X167" s="66"/>
      <c r="Y167" s="66">
        <f>IF(W160,W172,IF(Y160,Y172,V167))</f>
        <v>1846.6963694414294</v>
      </c>
      <c r="Z167" s="66"/>
      <c r="AA167" s="66"/>
      <c r="AB167" s="66">
        <f>IF(Z160,Z172,IF(AB160,AB172,Y167))</f>
        <v>1822.1765099891388</v>
      </c>
      <c r="AC167" s="66"/>
      <c r="AD167" s="66"/>
      <c r="AE167" s="66">
        <f>IF(AC160,AC172,IF(AE160,AE172,AB167))</f>
        <v>1822.1765099891388</v>
      </c>
      <c r="AF167" s="4"/>
      <c r="AG167" s="4"/>
      <c r="AJ167" s="4"/>
      <c r="AL167" s="4"/>
      <c r="AM167" s="4"/>
      <c r="AN167" s="4"/>
      <c r="AO167" s="4"/>
      <c r="AT167" s="62" t="str">
        <f>B167</f>
        <v>Magnum 14 Black</v>
      </c>
      <c r="AU167" s="62">
        <f>AE167</f>
        <v>1822.1765099891388</v>
      </c>
      <c r="AW167" s="65"/>
      <c r="BB167" s="65"/>
    </row>
    <row r="168" spans="1:54" s="62" customFormat="1" hidden="1" x14ac:dyDescent="0.2">
      <c r="A168" s="66">
        <v>5</v>
      </c>
      <c r="B168" s="66" t="str">
        <f>E101</f>
        <v>Vision 14 Regional</v>
      </c>
      <c r="C168" s="66">
        <f>VLOOKUP(B168,AU$3:AY$12,3,FALSE)</f>
        <v>1810.7634942276854</v>
      </c>
      <c r="D168" s="66">
        <f>IF(B161,B172,IF(D161,D172,C168))</f>
        <v>1818.7760200200591</v>
      </c>
      <c r="E168" s="66"/>
      <c r="F168" s="66"/>
      <c r="G168" s="66">
        <f>IF(E161,E172,IF(G161,G172,D168))</f>
        <v>1818.7760200200591</v>
      </c>
      <c r="H168" s="66"/>
      <c r="I168" s="66"/>
      <c r="J168" s="66">
        <f>IF(H161,H172,IF(J161,J172,G168))</f>
        <v>1791.6116841282137</v>
      </c>
      <c r="K168" s="66"/>
      <c r="L168" s="66"/>
      <c r="M168" s="66">
        <f>IF(K161,K172,IF(M161,M172,J168))</f>
        <v>1791.6116841282137</v>
      </c>
      <c r="N168" s="66"/>
      <c r="O168" s="66"/>
      <c r="P168" s="66">
        <f>IF(N161,N172,IF(P161,P172,M168))</f>
        <v>1791.6116841282137</v>
      </c>
      <c r="Q168" s="66"/>
      <c r="R168" s="66"/>
      <c r="S168" s="66">
        <f>IF(Q161,Q172,IF(S161,S172,P168))</f>
        <v>1761.9489639531403</v>
      </c>
      <c r="T168" s="66"/>
      <c r="U168" s="66"/>
      <c r="V168" s="66">
        <f>IF(T161,T172,IF(V161,V172,S168))</f>
        <v>1761.9489639531403</v>
      </c>
      <c r="W168" s="66"/>
      <c r="X168" s="66"/>
      <c r="Y168" s="66">
        <f>IF(W161,W172,IF(Y161,Y172,V168))</f>
        <v>1741.8911152621556</v>
      </c>
      <c r="Z168" s="66"/>
      <c r="AA168" s="66"/>
      <c r="AB168" s="66">
        <f>IF(Z161,Z172,IF(AB161,AB172,Y168))</f>
        <v>1741.8911152621556</v>
      </c>
      <c r="AC168" s="66"/>
      <c r="AD168" s="66"/>
      <c r="AE168" s="66">
        <f>IF(AC161,AC172,IF(AE161,AE172,AB168))</f>
        <v>1741.8911152621556</v>
      </c>
      <c r="AF168" s="4"/>
      <c r="AG168" s="4"/>
      <c r="AJ168" s="4"/>
      <c r="AL168" s="4"/>
      <c r="AM168" s="4"/>
      <c r="AN168" s="4"/>
      <c r="AO168" s="4"/>
      <c r="AT168" s="62" t="str">
        <f>B168</f>
        <v>Vision 14 Regional</v>
      </c>
      <c r="AU168" s="62">
        <f>AE168</f>
        <v>1741.8911152621556</v>
      </c>
      <c r="AW168" s="65"/>
      <c r="BB168" s="65"/>
    </row>
    <row r="169" spans="1:54" s="62" customFormat="1" hidden="1" x14ac:dyDescent="0.2">
      <c r="A169" s="66"/>
      <c r="B169" s="66"/>
      <c r="C169" s="66"/>
      <c r="D169" s="66"/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66"/>
      <c r="AE169" s="66"/>
      <c r="AF169" s="4"/>
      <c r="AG169" s="4"/>
      <c r="AJ169" s="4"/>
      <c r="AL169" s="4"/>
      <c r="AM169" s="4"/>
      <c r="AN169" s="4"/>
      <c r="AO169" s="4"/>
      <c r="AW169" s="65"/>
      <c r="BB169" s="65"/>
    </row>
    <row r="170" spans="1:54" s="62" customFormat="1" hidden="1" x14ac:dyDescent="0.2">
      <c r="A170" s="66" t="s">
        <v>114</v>
      </c>
      <c r="B170" s="66">
        <f>VLOOKUP(B109,$A164:$AE168,3,FALSE)</f>
        <v>1899.6480727597882</v>
      </c>
      <c r="C170" s="66">
        <v>1</v>
      </c>
      <c r="D170" s="66">
        <f>VLOOKUP(D109,$A164:$AE168,3,FALSE)</f>
        <v>1810.7634942276854</v>
      </c>
      <c r="E170" s="66">
        <f>VLOOKUP(E109,$A164:$AE168,4,FALSE)</f>
        <v>1907.7374614602916</v>
      </c>
      <c r="F170" s="66">
        <v>2</v>
      </c>
      <c r="G170" s="66">
        <f>VLOOKUP(G109,$A164:$AE168,4,FALSE)</f>
        <v>1800</v>
      </c>
      <c r="H170" s="66">
        <f>VLOOKUP(H109,$A164:$AE168,7,FALSE)</f>
        <v>1871.6837848905743</v>
      </c>
      <c r="I170" s="66">
        <v>3</v>
      </c>
      <c r="J170" s="66">
        <f>VLOOKUP(J109,$A164:$AE168,7,FALSE)</f>
        <v>1818.7760200200591</v>
      </c>
      <c r="K170" s="66">
        <f>VLOOKUP(K109,$A164:$AE168,10,FALSE)</f>
        <v>1891.6355469674145</v>
      </c>
      <c r="L170" s="66">
        <v>4</v>
      </c>
      <c r="M170" s="66">
        <f>VLOOKUP(M109,$A164:$AE168,10,FALSE)</f>
        <v>1809.6167043354492</v>
      </c>
      <c r="N170" s="66">
        <f>VLOOKUP(N109,$A164:$AE168,13,FALSE)</f>
        <v>1898.1207571248424</v>
      </c>
      <c r="O170" s="66">
        <v>5</v>
      </c>
      <c r="P170" s="66">
        <f>VLOOKUP(P109,$A164:$AE168,13,FALSE)</f>
        <v>1898.8481207824198</v>
      </c>
      <c r="Q170" s="66">
        <f>VLOOKUP(Q109,$A164:$AE168,16,FALSE)</f>
        <v>1817.033649266356</v>
      </c>
      <c r="R170" s="66">
        <v>6</v>
      </c>
      <c r="S170" s="66">
        <f>VLOOKUP(S109,$A164:$AE168,16,FALSE)</f>
        <v>1791.6116841282137</v>
      </c>
      <c r="T170" s="66">
        <f>VLOOKUP(T109,$A164:$AE168,19,FALSE)</f>
        <v>1884.2186020365077</v>
      </c>
      <c r="U170" s="66">
        <v>7</v>
      </c>
      <c r="V170" s="66">
        <f>VLOOKUP(V109,$A164:$AE168,19,FALSE)</f>
        <v>1898.7811282116872</v>
      </c>
      <c r="W170" s="66">
        <f>VLOOKUP(W109,$A164:$AE168,22,FALSE)</f>
        <v>1898.1877496955749</v>
      </c>
      <c r="X170" s="66">
        <v>8</v>
      </c>
      <c r="Y170" s="66">
        <f>VLOOKUP(Y109,$A164:$AE168,22,FALSE)</f>
        <v>1761.9489639531403</v>
      </c>
      <c r="Z170" s="66">
        <f>VLOOKUP(Z109,$A164:$AE168,25,FALSE)</f>
        <v>1929.4406548780089</v>
      </c>
      <c r="AA170" s="66">
        <v>9</v>
      </c>
      <c r="AB170" s="66">
        <f>VLOOKUP(AB109,$A164:$AE168,25,FALSE)</f>
        <v>1846.6963694414294</v>
      </c>
      <c r="AC170" s="66">
        <f>VLOOKUP(AC109,$A164:$AE168,28,FALSE)</f>
        <v>1918.2455983865595</v>
      </c>
      <c r="AD170" s="66">
        <v>10</v>
      </c>
      <c r="AE170" s="66">
        <f>VLOOKUP(AE109,$A164:$AE168,28,FALSE)</f>
        <v>1853.5590753701861</v>
      </c>
      <c r="AF170" s="4"/>
      <c r="AG170" s="79"/>
      <c r="AH170" s="79"/>
      <c r="AI170" s="79"/>
      <c r="AJ170" s="79"/>
      <c r="AK170" s="79"/>
      <c r="AL170" s="79"/>
      <c r="AM170" s="79"/>
      <c r="AN170" s="80"/>
      <c r="AO170" s="80"/>
      <c r="AP170" s="80"/>
      <c r="AQ170" s="80"/>
      <c r="AW170" s="65"/>
      <c r="BB170" s="65"/>
    </row>
    <row r="171" spans="1:54" s="71" customFormat="1" hidden="1" x14ac:dyDescent="0.2">
      <c r="A171" s="67" t="s">
        <v>115</v>
      </c>
      <c r="B171" s="67">
        <f>1/(1+(10^-((B170-D170)/400)))*(B121+D121)</f>
        <v>1.2503914310116782</v>
      </c>
      <c r="C171" s="67"/>
      <c r="D171" s="67">
        <f>1/(1+(10^-((D170-B170)/400)))*(B121+D121)</f>
        <v>0.74960856898832173</v>
      </c>
      <c r="E171" s="67">
        <f>1/(1+(10^-((E170-G170)/400)))*(E121+G121)</f>
        <v>1.3005220104827884</v>
      </c>
      <c r="F171" s="67"/>
      <c r="G171" s="67">
        <f>1/(1+(10^-((G170-E170)/400)))*(E121+G121)</f>
        <v>0.69947798951721174</v>
      </c>
      <c r="H171" s="67">
        <f>1/(1+(10^-((H170-J170)/400)))*(H121+J121)</f>
        <v>1.1511145033798269</v>
      </c>
      <c r="I171" s="67"/>
      <c r="J171" s="67">
        <f>1/(1+(10^-((J170-H170)/400)))*(H121+J121)</f>
        <v>0.8488854966201731</v>
      </c>
      <c r="K171" s="67">
        <f>1/(1+(10^-((K170-M170)/400)))*(K121+M121)</f>
        <v>1.2317795290908353</v>
      </c>
      <c r="L171" s="67"/>
      <c r="M171" s="67">
        <f>1/(1+(10^-((M170-K170)/400)))*(K121+M121)</f>
        <v>0.76822047090916468</v>
      </c>
      <c r="N171" s="67">
        <f>1/(1+(10^-((N170-P170)/400)))*(N121+P121)</f>
        <v>0.99790648216460576</v>
      </c>
      <c r="O171" s="67"/>
      <c r="P171" s="67">
        <f>1/(1+(10^-((P170-N170)/400)))*(N121+P121)</f>
        <v>1.0020935178353942</v>
      </c>
      <c r="Q171" s="67">
        <f>1/(1+(10^-((Q170-S170)/400)))*(Q121+S121)</f>
        <v>1.0730399945289555</v>
      </c>
      <c r="R171" s="67"/>
      <c r="S171" s="67">
        <f>1/(1+(10^-((S170-Q170)/400)))*(Q121+S121)</f>
        <v>0.9269600054710444</v>
      </c>
      <c r="T171" s="67">
        <f>1/(1+(10^-((T170-V170)/400)))*(T121+V121)</f>
        <v>0.95811020832255434</v>
      </c>
      <c r="U171" s="67"/>
      <c r="V171" s="67">
        <f>1/(1+(10^-((V170-T170)/400)))*(T121+V121)</f>
        <v>1.0418897916774457</v>
      </c>
      <c r="W171" s="67">
        <f>1/(1+(10^-((W170-Y170)/400)))*(W121+Y121)</f>
        <v>1.3731922284067304</v>
      </c>
      <c r="X171" s="67"/>
      <c r="Y171" s="67">
        <f>1/(1+(10^-((Y170-W170)/400)))*(W121+Y121)</f>
        <v>0.6268077715932695</v>
      </c>
      <c r="Z171" s="67">
        <f>1/(1+(10^-((Z170-AB170)/400)))*(Z121+AB121)</f>
        <v>1.2337543921159171</v>
      </c>
      <c r="AA171" s="67"/>
      <c r="AB171" s="67">
        <f>1/(1+(10^-((AB170-Z170)/400)))*(Z121+AB121)</f>
        <v>0.76624560788408302</v>
      </c>
      <c r="AC171" s="67">
        <f>1/(1+(10^-((AC170-AE170)/400)))*(AC121+AE121)</f>
        <v>1.1840609139758385</v>
      </c>
      <c r="AD171" s="67"/>
      <c r="AE171" s="67">
        <f>1/(1+(10^-((AE170-AC170)/400)))*(AC121+AE121)</f>
        <v>0.81593908602416165</v>
      </c>
      <c r="AF171" s="68"/>
      <c r="AG171" s="69"/>
      <c r="AH171" s="69"/>
      <c r="AI171" s="69"/>
      <c r="AJ171" s="69"/>
      <c r="AK171" s="69"/>
      <c r="AL171" s="69"/>
      <c r="AM171" s="69"/>
      <c r="AN171" s="70"/>
      <c r="AO171" s="70"/>
      <c r="AP171" s="70"/>
      <c r="AQ171" s="70"/>
      <c r="AW171" s="72"/>
      <c r="BB171" s="72"/>
    </row>
    <row r="172" spans="1:54" s="77" customFormat="1" hidden="1" x14ac:dyDescent="0.2">
      <c r="A172" s="73" t="s">
        <v>116</v>
      </c>
      <c r="B172" s="73">
        <f>B170+(B121-B171)*$BA$1</f>
        <v>1891.6355469674145</v>
      </c>
      <c r="C172" s="73"/>
      <c r="D172" s="73">
        <f>D170+(D121-D171)*$BA$1</f>
        <v>1818.7760200200591</v>
      </c>
      <c r="E172" s="73">
        <f>E170+(E121-E171)*$BA$1</f>
        <v>1898.1207571248424</v>
      </c>
      <c r="F172" s="73"/>
      <c r="G172" s="73">
        <f>G170+(G121-G171)*$BA$1</f>
        <v>1809.6167043354492</v>
      </c>
      <c r="H172" s="73">
        <f>H170+(H121-H171)*$BA$1</f>
        <v>1898.8481207824198</v>
      </c>
      <c r="I172" s="73"/>
      <c r="J172" s="73">
        <f>J170+(J121-J171)*$BA$1</f>
        <v>1791.6116841282137</v>
      </c>
      <c r="K172" s="73">
        <f>K170+(K121-K171)*$BA$1</f>
        <v>1884.2186020365077</v>
      </c>
      <c r="L172" s="73"/>
      <c r="M172" s="73">
        <f>M170+(M121-M171)*$BA$1</f>
        <v>1817.033649266356</v>
      </c>
      <c r="N172" s="73">
        <f>N170+(N121-N171)*$BA$1</f>
        <v>1898.1877496955749</v>
      </c>
      <c r="O172" s="73"/>
      <c r="P172" s="73">
        <f>P170+(P121-P171)*$BA$1</f>
        <v>1898.7811282116872</v>
      </c>
      <c r="Q172" s="73">
        <f>Q170+(Q121-Q171)*$BA$1</f>
        <v>1846.6963694414294</v>
      </c>
      <c r="R172" s="73"/>
      <c r="S172" s="73">
        <f>S170+(S121-S171)*$BA$1</f>
        <v>1761.9489639531403</v>
      </c>
      <c r="T172" s="73">
        <f>T170+(T121-T171)*$BA$1</f>
        <v>1853.5590753701861</v>
      </c>
      <c r="U172" s="73"/>
      <c r="V172" s="73">
        <f>V170+(V121-V171)*$BA$1</f>
        <v>1929.4406548780089</v>
      </c>
      <c r="W172" s="73">
        <f>W170+(W121-W171)*$BA$1</f>
        <v>1918.2455983865595</v>
      </c>
      <c r="X172" s="73"/>
      <c r="Y172" s="73">
        <f>Y170+(Y121-Y171)*$BA$1</f>
        <v>1741.8911152621556</v>
      </c>
      <c r="Z172" s="73">
        <f>Z170+(Z121-Z171)*$BA$1</f>
        <v>1953.9605143302995</v>
      </c>
      <c r="AA172" s="73"/>
      <c r="AB172" s="73">
        <f>AB170+(AB121-AB171)*$BA$1</f>
        <v>1822.1765099891388</v>
      </c>
      <c r="AC172" s="73">
        <f>AC170+(AC121-AC171)*$BA$1</f>
        <v>1912.3556491393326</v>
      </c>
      <c r="AD172" s="73"/>
      <c r="AE172" s="73">
        <f>AE170+(AE121-AE171)*$BA$1</f>
        <v>1859.449024617413</v>
      </c>
      <c r="AF172" s="74"/>
      <c r="AG172" s="75"/>
      <c r="AH172" s="75"/>
      <c r="AI172" s="75"/>
      <c r="AJ172" s="75"/>
      <c r="AK172" s="75"/>
      <c r="AL172" s="75"/>
      <c r="AM172" s="75"/>
      <c r="AN172" s="76"/>
      <c r="AO172" s="76"/>
      <c r="AP172" s="76"/>
      <c r="AQ172" s="76"/>
      <c r="AW172" s="78"/>
      <c r="BB172" s="78"/>
    </row>
    <row r="173" spans="1:54" s="77" customFormat="1" hidden="1" x14ac:dyDescent="0.2">
      <c r="A173" s="73"/>
      <c r="B173" s="73"/>
      <c r="C173" s="73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N173" s="73"/>
      <c r="O173" s="73"/>
      <c r="P173" s="73"/>
      <c r="Q173" s="73"/>
      <c r="R173" s="73"/>
      <c r="S173" s="73"/>
      <c r="T173" s="73"/>
      <c r="U173" s="73"/>
      <c r="V173" s="73"/>
      <c r="W173" s="73"/>
      <c r="X173" s="73"/>
      <c r="Y173" s="73"/>
      <c r="Z173" s="73"/>
      <c r="AA173" s="73"/>
      <c r="AB173" s="73"/>
      <c r="AC173" s="73"/>
      <c r="AD173" s="73"/>
      <c r="AE173" s="73"/>
      <c r="AF173" s="74"/>
      <c r="AG173" s="75"/>
      <c r="AH173" s="75"/>
      <c r="AI173" s="75"/>
      <c r="AJ173" s="75"/>
      <c r="AK173" s="75"/>
      <c r="AL173" s="75"/>
      <c r="AM173" s="75"/>
      <c r="AN173" s="76"/>
      <c r="AO173" s="76"/>
      <c r="AP173" s="76"/>
      <c r="AQ173" s="76"/>
      <c r="AW173" s="78"/>
      <c r="BB173" s="78"/>
    </row>
    <row r="174" spans="1:54" s="62" customFormat="1" x14ac:dyDescent="0.2">
      <c r="A174" s="703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174" s="703"/>
      <c r="C174" s="703"/>
      <c r="D174" s="703"/>
      <c r="E174" s="703"/>
      <c r="F174" s="703"/>
      <c r="G174" s="703"/>
      <c r="H174" s="703"/>
      <c r="I174" s="703"/>
      <c r="J174" s="703"/>
      <c r="K174" s="703"/>
      <c r="L174" s="703"/>
      <c r="M174" s="703"/>
      <c r="N174" s="703"/>
      <c r="O174" s="703"/>
      <c r="P174" s="703"/>
      <c r="Q174" s="703"/>
      <c r="R174" s="703"/>
      <c r="S174" s="703"/>
      <c r="T174" s="703"/>
      <c r="U174" s="703"/>
      <c r="V174" s="703"/>
      <c r="W174" s="703"/>
      <c r="X174" s="703"/>
      <c r="Y174" s="703"/>
      <c r="Z174" s="703"/>
      <c r="AA174" s="703"/>
      <c r="AB174" s="703"/>
      <c r="AC174" s="703"/>
      <c r="AD174" s="703"/>
      <c r="AE174" s="703"/>
      <c r="AF174" s="703"/>
      <c r="AG174" s="703"/>
      <c r="AH174" s="703"/>
      <c r="AI174" s="703"/>
      <c r="AJ174" s="703"/>
      <c r="AK174" s="703"/>
      <c r="AL174" s="703"/>
      <c r="AM174" s="703"/>
      <c r="AN174" s="681"/>
      <c r="AO174" s="681"/>
      <c r="AP174" s="681"/>
      <c r="AQ174" s="681"/>
      <c r="AW174" s="65"/>
    </row>
    <row r="175" spans="1:54" s="62" customFormat="1" x14ac:dyDescent="0.2">
      <c r="A175" s="704"/>
      <c r="B175" s="704"/>
      <c r="C175" s="704"/>
      <c r="D175" s="704"/>
      <c r="E175" s="704"/>
      <c r="F175" s="704"/>
      <c r="G175" s="704"/>
      <c r="H175" s="704"/>
      <c r="I175" s="704"/>
      <c r="J175" s="704"/>
      <c r="K175" s="704"/>
      <c r="L175" s="704"/>
      <c r="M175" s="704"/>
      <c r="N175" s="704"/>
      <c r="O175" s="704"/>
      <c r="P175" s="704"/>
      <c r="Q175" s="704"/>
      <c r="R175" s="704"/>
      <c r="S175" s="704"/>
      <c r="T175" s="704"/>
      <c r="U175" s="704"/>
      <c r="V175" s="704"/>
      <c r="W175" s="704"/>
      <c r="X175" s="704"/>
      <c r="Y175" s="704"/>
      <c r="Z175" s="704"/>
      <c r="AA175" s="704"/>
      <c r="AB175" s="704"/>
      <c r="AC175" s="704"/>
      <c r="AD175" s="704"/>
      <c r="AE175" s="704"/>
      <c r="AF175" s="704"/>
      <c r="AG175" s="704"/>
      <c r="AH175" s="704"/>
      <c r="AI175" s="704"/>
      <c r="AJ175" s="704"/>
      <c r="AK175" s="704"/>
      <c r="AL175" s="704"/>
      <c r="AM175" s="704"/>
      <c r="AN175" s="704"/>
      <c r="AO175" s="704"/>
      <c r="AP175" s="704"/>
      <c r="AQ175" s="704"/>
      <c r="AW175" s="65"/>
    </row>
    <row r="176" spans="1:54" ht="21" thickBot="1" x14ac:dyDescent="0.35">
      <c r="A176" s="693" t="s">
        <v>118</v>
      </c>
      <c r="B176" s="693"/>
      <c r="C176" s="693"/>
      <c r="D176" s="693"/>
      <c r="E176" s="693"/>
      <c r="F176" s="693"/>
      <c r="G176" s="693"/>
      <c r="H176" s="693"/>
      <c r="I176" s="693"/>
      <c r="J176" s="693"/>
      <c r="K176" s="693"/>
      <c r="L176" s="693"/>
      <c r="M176" s="693"/>
      <c r="N176" s="693"/>
      <c r="O176" s="693"/>
      <c r="P176" s="693"/>
      <c r="Q176" s="693"/>
      <c r="R176" s="693"/>
      <c r="S176" s="693"/>
      <c r="T176" s="693"/>
      <c r="U176" s="693"/>
      <c r="V176" s="693"/>
      <c r="W176" s="693"/>
      <c r="X176" s="693"/>
      <c r="Y176" s="693"/>
      <c r="Z176" s="693"/>
      <c r="AA176" s="693"/>
      <c r="AB176" s="693"/>
      <c r="AC176" s="693"/>
      <c r="AD176" s="693"/>
      <c r="AE176" s="693"/>
      <c r="AF176" s="693"/>
      <c r="AG176" s="693"/>
      <c r="AH176" s="693"/>
      <c r="AI176" s="693"/>
      <c r="AJ176" s="693"/>
      <c r="AK176" s="693"/>
      <c r="AL176" s="693"/>
      <c r="AM176" s="693"/>
      <c r="AN176" s="693"/>
      <c r="AO176" s="693"/>
      <c r="AP176" s="693"/>
      <c r="AQ176" s="693"/>
    </row>
    <row r="177" spans="1:53" ht="13.5" thickBot="1" x14ac:dyDescent="0.25">
      <c r="A177" s="694" t="s">
        <v>119</v>
      </c>
      <c r="B177" s="696" t="s">
        <v>120</v>
      </c>
      <c r="C177" s="697"/>
      <c r="D177" s="697"/>
      <c r="E177" s="697"/>
      <c r="F177" s="697"/>
      <c r="G177" s="697"/>
      <c r="H177" s="697"/>
      <c r="I177" s="697"/>
      <c r="J177" s="697"/>
      <c r="K177" s="698"/>
      <c r="L177" s="696" t="s">
        <v>121</v>
      </c>
      <c r="M177" s="697"/>
      <c r="N177" s="697"/>
      <c r="O177" s="697"/>
      <c r="P177" s="697"/>
      <c r="Q177" s="697"/>
      <c r="R177" s="697"/>
      <c r="S177" s="697"/>
      <c r="T177" s="697"/>
      <c r="U177" s="698"/>
      <c r="V177" s="696" t="s">
        <v>122</v>
      </c>
      <c r="W177" s="697"/>
      <c r="X177" s="697"/>
      <c r="Y177" s="697"/>
      <c r="Z177" s="697"/>
      <c r="AA177" s="697"/>
      <c r="AB177" s="697"/>
      <c r="AC177" s="697"/>
      <c r="AD177" s="697"/>
      <c r="AE177" s="698"/>
      <c r="AF177" s="696" t="s">
        <v>123</v>
      </c>
      <c r="AG177" s="697"/>
      <c r="AH177" s="697"/>
      <c r="AI177" s="697"/>
      <c r="AJ177" s="697"/>
      <c r="AK177" s="697"/>
      <c r="AL177" s="697"/>
      <c r="AM177" s="697"/>
      <c r="AN177" s="697"/>
      <c r="AO177" s="698"/>
    </row>
    <row r="178" spans="1:53" ht="13.5" thickBot="1" x14ac:dyDescent="0.25">
      <c r="A178" s="695"/>
      <c r="B178" s="690" t="s">
        <v>10</v>
      </c>
      <c r="C178" s="691"/>
      <c r="D178" s="691"/>
      <c r="E178" s="691"/>
      <c r="F178" s="691"/>
      <c r="G178" s="692"/>
      <c r="H178" s="690" t="s">
        <v>124</v>
      </c>
      <c r="I178" s="691"/>
      <c r="J178" s="691"/>
      <c r="K178" s="692"/>
      <c r="L178" s="690" t="s">
        <v>10</v>
      </c>
      <c r="M178" s="691"/>
      <c r="N178" s="691"/>
      <c r="O178" s="691"/>
      <c r="P178" s="691"/>
      <c r="Q178" s="692"/>
      <c r="R178" s="690" t="s">
        <v>124</v>
      </c>
      <c r="S178" s="691"/>
      <c r="T178" s="691"/>
      <c r="U178" s="692"/>
      <c r="V178" s="690" t="s">
        <v>10</v>
      </c>
      <c r="W178" s="691"/>
      <c r="X178" s="691"/>
      <c r="Y178" s="691"/>
      <c r="Z178" s="691"/>
      <c r="AA178" s="692"/>
      <c r="AB178" s="690" t="s">
        <v>124</v>
      </c>
      <c r="AC178" s="691"/>
      <c r="AD178" s="691"/>
      <c r="AE178" s="692"/>
      <c r="AF178" s="690" t="s">
        <v>10</v>
      </c>
      <c r="AG178" s="691"/>
      <c r="AH178" s="691"/>
      <c r="AI178" s="691"/>
      <c r="AJ178" s="691"/>
      <c r="AK178" s="692"/>
      <c r="AL178" s="690" t="s">
        <v>124</v>
      </c>
      <c r="AM178" s="691"/>
      <c r="AN178" s="691"/>
      <c r="AO178" s="692"/>
    </row>
    <row r="179" spans="1:53" x14ac:dyDescent="0.2">
      <c r="A179" s="81" t="s">
        <v>125</v>
      </c>
      <c r="B179" s="682" t="str">
        <f>IF($AF$8=1,$E$8,IF($AF$10=1,$E$10,IF($AF$12=1,$E$12,IF($AF$14=1,$E$14,IF($AF$16=1,$E$16,"1st Place "&amp;$A179)))))</f>
        <v>Magnum Greenwood 14 Gold</v>
      </c>
      <c r="C179" s="683"/>
      <c r="D179" s="683"/>
      <c r="E179" s="683"/>
      <c r="F179" s="683"/>
      <c r="G179" s="683"/>
      <c r="H179" s="684" t="str">
        <f>IF($AF$8=1,$E$9,IF($AF$10=1,$E$11,IF($AF$12=1,$E$13,IF($AF$14=1,$E$15,IF($AF$16=1,$E$17,"1st Place "&amp;$A179)))))</f>
        <v>fj4magnm4pm</v>
      </c>
      <c r="I179" s="684"/>
      <c r="J179" s="684"/>
      <c r="K179" s="685"/>
      <c r="L179" s="682" t="str">
        <f>IF($AF$8=2,$E$8,IF($AF$10=2,$E$10,IF($AF$12=2,$E$12,IF($AF$14=2,$E$14,IF($AF$16=2,$E$16,"2nd Place "&amp;$A179)))))</f>
        <v>Foothills 14 Holland</v>
      </c>
      <c r="M179" s="683"/>
      <c r="N179" s="683"/>
      <c r="O179" s="683"/>
      <c r="P179" s="683"/>
      <c r="Q179" s="683"/>
      <c r="R179" s="684" t="str">
        <f>IF($AF$8=2,$E$9,IF($AF$10=2,$E$11,IF($AF$12=2,$E$13,IF($AF$14=2,$E$15,IF($AF$16=2,$E$17,"2nd Place "&amp;$A179)))))</f>
        <v>fj4footh1pm</v>
      </c>
      <c r="S179" s="684"/>
      <c r="T179" s="684"/>
      <c r="U179" s="685"/>
      <c r="V179" s="682" t="str">
        <f>IF($AF$8=3,$E$8,IF($AF$10=3,$E$10,IF($AF$12=3,$E$12,IF($AF$14=3,$E$14,IF($AF$16=3,$E$16,"3rd Place "&amp;$A179)))))</f>
        <v>Carolina Express</v>
      </c>
      <c r="W179" s="683"/>
      <c r="X179" s="683"/>
      <c r="Y179" s="683"/>
      <c r="Z179" s="683"/>
      <c r="AA179" s="683"/>
      <c r="AB179" s="684" t="str">
        <f>IF($AF$8=3,$E$9,IF($AF$10=3,$E$11,IF($AF$12=3,$E$13,IF($AF$14=3,$E$15,IF($AF$16=3,$E$17,"3rd Place "&amp;$A179)))))</f>
        <v>fj3196891pm</v>
      </c>
      <c r="AC179" s="684"/>
      <c r="AD179" s="684"/>
      <c r="AE179" s="685"/>
      <c r="AF179" s="682" t="str">
        <f>IF($AF$8=4,$E$8,IF($AF$10=4,$E$10,IF($AF$12=4,$E$12,IF($AF$14=4,$E$14,IF($AF$16=4,$E$16,"4th Place "&amp;$A179)))))</f>
        <v>Chas Jrs 14 White</v>
      </c>
      <c r="AG179" s="683"/>
      <c r="AH179" s="683"/>
      <c r="AI179" s="683"/>
      <c r="AJ179" s="683"/>
      <c r="AK179" s="683"/>
      <c r="AL179" s="684" t="str">
        <f>IF($AF$8=4,$E$9,IF($AF$10=4,$E$11,IF($AF$12=4,$E$13,IF($AF$14=4,$E$15,IF($AF$16=4,$E$17,"4th Place "&amp;$A179)))))</f>
        <v>fj4charl3pm</v>
      </c>
      <c r="AM179" s="684"/>
      <c r="AN179" s="684"/>
      <c r="AO179" s="685"/>
    </row>
    <row r="180" spans="1:53" ht="13.5" thickBot="1" x14ac:dyDescent="0.25">
      <c r="A180" s="82" t="s">
        <v>126</v>
      </c>
      <c r="B180" s="686" t="str">
        <f>IF($AF$93=1,$E$93,IF($AF$95=1,$E$95,IF($AF$97=1,$E$97,IF($AF$99=1,$E$99,IF($AF$101=1,$E$101,"1st Place "&amp;$A180)))))</f>
        <v>Shelby Strikers</v>
      </c>
      <c r="C180" s="687"/>
      <c r="D180" s="687"/>
      <c r="E180" s="687"/>
      <c r="F180" s="687"/>
      <c r="G180" s="687"/>
      <c r="H180" s="688" t="str">
        <f>IF($AF$93=1,$E$94,IF($AF$95=1,$E$96,IF($AF$97=1,$E$98,IF($AF$99=1,$E$100,IF($AF$101=1,$E$102,"1st Place "&amp;$A180)))))</f>
        <v>fj4shlby1cr</v>
      </c>
      <c r="I180" s="688"/>
      <c r="J180" s="688"/>
      <c r="K180" s="689"/>
      <c r="L180" s="686" t="str">
        <f>IF($AF$93=2,$E$93,IF($AF$95=2,$E$95,IF($AF$97=2,$E$97,IF($AF$99=2,$E$99,IF($AF$101=2,$E$101,"2nd Place "&amp;$A180)))))</f>
        <v>CSRA Heat 14 Black</v>
      </c>
      <c r="M180" s="687"/>
      <c r="N180" s="687"/>
      <c r="O180" s="687"/>
      <c r="P180" s="687"/>
      <c r="Q180" s="687"/>
      <c r="R180" s="688" t="str">
        <f>IF($AF$93=2,$E$94,IF($AF$95=2,$E$96,IF($AF$97=2,$E$98,IF($AF$99=2,$E$100,IF($AF$101=2,$E$102,"2nd Place "&amp;$A180)))))</f>
        <v>fj4csrah2pm</v>
      </c>
      <c r="S180" s="688"/>
      <c r="T180" s="688"/>
      <c r="U180" s="689"/>
      <c r="V180" s="686" t="str">
        <f>IF($AF$93=3,$E$93,IF($AF$95=3,$E$95,IF($AF$97=3,$E$97,IF($AF$99=3,$E$99,IF($AF$101=3,$E$101,"3rd Place "&amp;$A180)))))</f>
        <v>Magnum 14 Black</v>
      </c>
      <c r="W180" s="687"/>
      <c r="X180" s="687"/>
      <c r="Y180" s="687"/>
      <c r="Z180" s="687"/>
      <c r="AA180" s="687"/>
      <c r="AB180" s="688" t="str">
        <f>IF($AF$93=3,$E$94,IF($AF$95=3,$E$96,IF($AF$97=3,$E$98,IF($AF$99=3,$E$100,IF($AF$101=3,$E$102,"3rd Place "&amp;$A180)))))</f>
        <v>fj4magnm5pm</v>
      </c>
      <c r="AC180" s="688"/>
      <c r="AD180" s="688"/>
      <c r="AE180" s="689"/>
      <c r="AF180" s="686" t="str">
        <f>IF($AF$93=4,$E$93,IF($AF$95=4,$E$95,IF($AF$97=4,$E$97,IF($AF$99=4,$E$99,IF($AF$101=4,$E$101,"4th Place "&amp;$A180)))))</f>
        <v>Beaufort 14 Club</v>
      </c>
      <c r="AG180" s="687"/>
      <c r="AH180" s="687"/>
      <c r="AI180" s="687"/>
      <c r="AJ180" s="687"/>
      <c r="AK180" s="687"/>
      <c r="AL180" s="688" t="str">
        <f>IF($AF$93=4,$E$94,IF($AF$95=4,$E$96,IF($AF$97=4,$E$98,IF($AF$99=4,$E$100,IF($AF$101=4,$E$102,"4th Place "&amp;$A180)))))</f>
        <v>fj4beauf2pm</v>
      </c>
      <c r="AM180" s="688"/>
      <c r="AN180" s="688"/>
      <c r="AO180" s="689"/>
    </row>
    <row r="181" spans="1:53" s="3" customFormat="1" x14ac:dyDescent="0.2">
      <c r="A181" s="83"/>
      <c r="B181" s="84"/>
      <c r="C181" s="84"/>
      <c r="D181" s="84"/>
      <c r="E181" s="84"/>
      <c r="F181" s="84"/>
      <c r="G181" s="84"/>
      <c r="H181" s="84"/>
      <c r="I181" s="84"/>
      <c r="J181" s="84"/>
      <c r="K181" s="84"/>
      <c r="L181" s="84"/>
      <c r="M181" s="84"/>
      <c r="N181" s="84"/>
      <c r="O181" s="84"/>
      <c r="P181" s="84"/>
      <c r="Q181" s="84"/>
      <c r="R181" s="84"/>
      <c r="S181" s="84"/>
      <c r="T181" s="84"/>
      <c r="U181" s="84"/>
      <c r="V181" s="84"/>
      <c r="W181" s="84"/>
      <c r="X181" s="84"/>
      <c r="Y181" s="84"/>
      <c r="Z181" s="84"/>
      <c r="AA181" s="84"/>
      <c r="AB181" s="84"/>
      <c r="AC181" s="84"/>
      <c r="AD181" s="84"/>
      <c r="AE181" s="84"/>
      <c r="AF181" s="84"/>
      <c r="AG181" s="84"/>
      <c r="AH181" s="84"/>
      <c r="AI181" s="84"/>
      <c r="AJ181" s="84"/>
      <c r="AK181" s="84"/>
      <c r="AL181" s="84"/>
      <c r="AM181" s="84"/>
      <c r="AN181" s="84"/>
      <c r="AO181" s="84"/>
      <c r="AW181" s="129"/>
      <c r="AX181" s="4"/>
      <c r="AY181" s="4"/>
      <c r="AZ181" s="4"/>
      <c r="BA181" s="4"/>
    </row>
    <row r="182" spans="1:53" ht="15.75" x14ac:dyDescent="0.25">
      <c r="A182" s="676" t="s">
        <v>127</v>
      </c>
      <c r="B182" s="676"/>
      <c r="C182" s="676"/>
      <c r="D182" s="676"/>
      <c r="E182" s="676"/>
      <c r="F182" s="676"/>
      <c r="G182" s="676"/>
      <c r="H182" s="676"/>
      <c r="I182" s="676"/>
      <c r="J182" s="676"/>
      <c r="K182" s="676"/>
      <c r="L182" s="676"/>
      <c r="M182" s="676"/>
      <c r="N182" s="676"/>
      <c r="O182" s="676"/>
      <c r="P182" s="676"/>
      <c r="Q182" s="676"/>
      <c r="R182" s="676"/>
      <c r="S182" s="676"/>
      <c r="T182" s="676"/>
      <c r="U182" s="676"/>
      <c r="V182" s="676"/>
      <c r="W182" s="676"/>
      <c r="X182" s="676"/>
      <c r="Y182" s="676"/>
      <c r="Z182" s="676"/>
      <c r="AA182" s="676"/>
      <c r="AB182" s="676"/>
      <c r="AC182" s="676"/>
      <c r="AD182" s="676"/>
      <c r="AE182" s="676"/>
      <c r="AF182" s="676"/>
      <c r="AG182" s="676"/>
      <c r="AH182" s="676"/>
      <c r="AI182" s="676"/>
      <c r="AJ182" s="676"/>
      <c r="AK182" s="676"/>
      <c r="AL182" s="676"/>
      <c r="AM182" s="676"/>
      <c r="AN182" s="676"/>
      <c r="AO182" s="676"/>
      <c r="AP182" s="676"/>
      <c r="AQ182" s="676"/>
      <c r="AT182" s="85"/>
      <c r="AU182" s="85"/>
      <c r="AV182" s="85"/>
    </row>
    <row r="183" spans="1:53" ht="42.75" customHeight="1" x14ac:dyDescent="0.25">
      <c r="A183" s="677" t="s">
        <v>128</v>
      </c>
      <c r="B183" s="678"/>
      <c r="C183" s="678"/>
      <c r="D183" s="678"/>
      <c r="E183" s="678"/>
      <c r="F183" s="678"/>
      <c r="G183" s="678"/>
      <c r="H183" s="678"/>
      <c r="I183" s="678"/>
      <c r="J183" s="678"/>
      <c r="K183" s="678"/>
      <c r="L183" s="678"/>
      <c r="M183" s="678"/>
      <c r="N183" s="678"/>
      <c r="O183" s="678"/>
      <c r="P183" s="678"/>
      <c r="Q183" s="678"/>
      <c r="R183" s="678"/>
      <c r="S183" s="678"/>
      <c r="T183" s="678"/>
      <c r="U183" s="678"/>
      <c r="V183" s="678"/>
      <c r="W183" s="678"/>
      <c r="X183" s="678"/>
      <c r="Y183" s="678"/>
      <c r="Z183" s="678"/>
      <c r="AA183" s="678"/>
      <c r="AB183" s="678"/>
      <c r="AC183" s="678"/>
      <c r="AD183" s="678"/>
      <c r="AE183" s="678"/>
      <c r="AF183" s="678"/>
      <c r="AG183" s="678"/>
      <c r="AH183" s="678"/>
      <c r="AI183" s="678"/>
      <c r="AJ183" s="678"/>
      <c r="AK183" s="678"/>
      <c r="AL183" s="678"/>
      <c r="AM183" s="678"/>
      <c r="AN183" s="678"/>
      <c r="AO183" s="678"/>
      <c r="AP183" s="678"/>
      <c r="AQ183" s="678"/>
    </row>
    <row r="184" spans="1:53" x14ac:dyDescent="0.2">
      <c r="A184" s="679" t="s">
        <v>129</v>
      </c>
      <c r="B184" s="679"/>
      <c r="C184" s="679"/>
      <c r="D184" s="679"/>
      <c r="E184" s="679"/>
      <c r="F184" s="679"/>
      <c r="G184" s="679"/>
      <c r="H184" s="679"/>
      <c r="I184" s="679"/>
      <c r="J184" s="679"/>
      <c r="K184" s="679"/>
      <c r="L184" s="679"/>
      <c r="M184" s="679"/>
      <c r="N184" s="679"/>
      <c r="O184" s="679"/>
      <c r="P184" s="679"/>
      <c r="Q184" s="679"/>
      <c r="R184" s="679"/>
      <c r="S184" s="679"/>
      <c r="T184" s="679"/>
      <c r="U184" s="679"/>
      <c r="V184" s="679"/>
      <c r="W184" s="679"/>
      <c r="X184" s="679"/>
      <c r="Y184" s="679"/>
      <c r="Z184" s="679"/>
      <c r="AA184" s="679"/>
      <c r="AB184" s="679"/>
      <c r="AC184" s="679"/>
      <c r="AD184" s="679"/>
      <c r="AE184" s="679"/>
      <c r="AF184" s="679"/>
      <c r="AG184" s="679"/>
      <c r="AH184" s="679"/>
      <c r="AI184" s="679"/>
      <c r="AJ184" s="679"/>
      <c r="AK184" s="679"/>
      <c r="AL184" s="679"/>
      <c r="AM184" s="679"/>
      <c r="AN184" s="679"/>
      <c r="AO184" s="679"/>
      <c r="AP184" s="679"/>
      <c r="AQ184" s="679"/>
    </row>
    <row r="185" spans="1:53" x14ac:dyDescent="0.2">
      <c r="A185" s="679"/>
      <c r="B185" s="679"/>
      <c r="C185" s="679"/>
      <c r="D185" s="679"/>
      <c r="E185" s="679"/>
      <c r="F185" s="679"/>
      <c r="G185" s="679"/>
      <c r="H185" s="679"/>
      <c r="I185" s="679"/>
      <c r="J185" s="679"/>
      <c r="K185" s="679"/>
      <c r="L185" s="679"/>
      <c r="M185" s="679"/>
      <c r="N185" s="679"/>
      <c r="O185" s="679"/>
      <c r="P185" s="679"/>
      <c r="Q185" s="679"/>
      <c r="R185" s="679"/>
      <c r="S185" s="679"/>
      <c r="T185" s="679"/>
      <c r="U185" s="679"/>
      <c r="V185" s="679"/>
      <c r="W185" s="679"/>
      <c r="X185" s="679"/>
      <c r="Y185" s="679"/>
      <c r="Z185" s="679"/>
      <c r="AA185" s="679"/>
      <c r="AB185" s="679"/>
      <c r="AC185" s="679"/>
      <c r="AD185" s="679"/>
      <c r="AE185" s="679"/>
      <c r="AF185" s="679"/>
      <c r="AG185" s="679"/>
      <c r="AH185" s="679"/>
      <c r="AI185" s="679"/>
      <c r="AJ185" s="679"/>
      <c r="AK185" s="679"/>
      <c r="AL185" s="679"/>
      <c r="AM185" s="679"/>
      <c r="AN185" s="679"/>
      <c r="AO185" s="679"/>
      <c r="AP185" s="679"/>
      <c r="AQ185" s="679"/>
    </row>
    <row r="186" spans="1:53" x14ac:dyDescent="0.2">
      <c r="A186" s="680" t="s">
        <v>130</v>
      </c>
      <c r="B186" s="680"/>
      <c r="C186" s="680"/>
      <c r="D186" s="680"/>
      <c r="E186" s="680"/>
      <c r="F186" s="680"/>
      <c r="G186" s="680"/>
      <c r="H186" s="680"/>
      <c r="I186" s="680"/>
      <c r="J186" s="680"/>
      <c r="K186" s="680"/>
      <c r="L186" s="86"/>
    </row>
    <row r="187" spans="1:53" x14ac:dyDescent="0.2">
      <c r="C187" s="3"/>
      <c r="D187" s="3"/>
      <c r="E187" s="3"/>
      <c r="L187" s="86"/>
    </row>
    <row r="188" spans="1:53" x14ac:dyDescent="0.2">
      <c r="A188" s="681" t="s">
        <v>131</v>
      </c>
      <c r="B188" s="681"/>
      <c r="C188" s="681"/>
      <c r="D188" s="681"/>
      <c r="E188" s="681"/>
      <c r="F188" s="681"/>
      <c r="G188" s="681"/>
      <c r="H188" s="681"/>
      <c r="I188" s="681"/>
      <c r="J188" s="681"/>
      <c r="K188" s="681"/>
      <c r="L188" s="681"/>
      <c r="M188" s="681"/>
      <c r="N188" s="681"/>
      <c r="O188" s="681"/>
      <c r="P188" s="129"/>
      <c r="R188" s="681" t="s">
        <v>132</v>
      </c>
      <c r="S188" s="681"/>
      <c r="T188" s="681"/>
      <c r="U188" s="681"/>
      <c r="V188" s="681"/>
      <c r="W188" s="681"/>
      <c r="X188" s="681"/>
      <c r="Y188" s="681"/>
      <c r="Z188" s="681"/>
      <c r="AA188" s="681"/>
      <c r="AB188" s="681"/>
      <c r="AC188" s="681"/>
      <c r="AD188" s="681"/>
      <c r="AE188" s="681"/>
      <c r="AF188" s="681"/>
    </row>
    <row r="190" spans="1:53" ht="13.5" thickBot="1" x14ac:dyDescent="0.25">
      <c r="A190" s="649" t="str">
        <f>IF(B218=1,B210,IF(B218=2,B211,IF(B218=3,B212,IF(B218=4,B213,IF(OR(B218="B",B218="b"),"BYE","invalid")))))</f>
        <v>Magnum Greenwood 14 Gold</v>
      </c>
      <c r="B190" s="649"/>
      <c r="C190" s="649"/>
      <c r="D190" s="649"/>
      <c r="E190" s="649"/>
      <c r="F190" s="87"/>
      <c r="G190" s="87"/>
      <c r="H190" s="87"/>
      <c r="I190" s="87"/>
      <c r="J190" s="87"/>
      <c r="K190" s="87"/>
      <c r="L190" s="87"/>
      <c r="M190" s="87"/>
      <c r="N190" s="87"/>
      <c r="S190" s="130"/>
      <c r="T190" s="130"/>
      <c r="U190" s="649" t="str">
        <f>IF(W218=1,X210,IF(W218=2,X211,IF(W218=3,X212,IF(W218=4,X213,IF(OR(W218="B",W218="b"),"BYE","invalid")))))</f>
        <v>Carolina Express</v>
      </c>
      <c r="V190" s="649"/>
      <c r="W190" s="649"/>
      <c r="X190" s="649"/>
      <c r="Y190" s="649"/>
      <c r="Z190" s="649"/>
      <c r="AA190" s="649"/>
      <c r="AB190" s="87"/>
      <c r="AC190" s="87"/>
      <c r="AD190" s="87"/>
      <c r="AE190" s="87"/>
    </row>
    <row r="191" spans="1:53" x14ac:dyDescent="0.2">
      <c r="A191" s="651" t="s">
        <v>133</v>
      </c>
      <c r="B191" s="651"/>
      <c r="C191" s="651"/>
      <c r="D191" s="651"/>
      <c r="E191" s="651"/>
      <c r="F191" s="89"/>
      <c r="G191" s="87"/>
      <c r="H191" s="87"/>
      <c r="I191" s="87"/>
      <c r="J191" s="87"/>
      <c r="K191" s="87"/>
      <c r="L191" s="87"/>
      <c r="M191" s="87"/>
      <c r="N191" s="87"/>
      <c r="S191" s="90"/>
      <c r="T191" s="90"/>
      <c r="U191" s="652" t="s">
        <v>134</v>
      </c>
      <c r="V191" s="652"/>
      <c r="W191" s="652"/>
      <c r="X191" s="652"/>
      <c r="Y191" s="652"/>
      <c r="Z191" s="652"/>
      <c r="AA191" s="665"/>
      <c r="AB191" s="87"/>
      <c r="AC191" s="87"/>
      <c r="AD191" s="87"/>
      <c r="AE191" s="87"/>
    </row>
    <row r="192" spans="1:53" x14ac:dyDescent="0.2">
      <c r="A192" s="87"/>
      <c r="B192" s="87"/>
      <c r="C192" s="87"/>
      <c r="D192" s="87"/>
      <c r="E192" s="87"/>
      <c r="F192" s="89"/>
      <c r="G192" s="87"/>
      <c r="H192" s="87"/>
      <c r="I192" s="87"/>
      <c r="J192" s="87"/>
      <c r="K192" s="87"/>
      <c r="L192" s="87"/>
      <c r="M192" s="87"/>
      <c r="N192" s="87"/>
      <c r="R192" s="87"/>
      <c r="S192" s="87"/>
      <c r="T192" s="87"/>
      <c r="U192" s="87"/>
      <c r="V192" s="87"/>
      <c r="W192" s="87"/>
      <c r="X192" s="87"/>
      <c r="Y192" s="87"/>
      <c r="Z192" s="87"/>
      <c r="AA192" s="91"/>
      <c r="AB192" s="87"/>
      <c r="AC192" s="87"/>
      <c r="AD192" s="87"/>
      <c r="AE192" s="87"/>
    </row>
    <row r="193" spans="1:53" ht="13.5" thickBot="1" x14ac:dyDescent="0.25">
      <c r="A193" s="652" t="str">
        <f>B212&amp;" ref"</f>
        <v>Foothills 14 Holland ref</v>
      </c>
      <c r="B193" s="652"/>
      <c r="C193" s="652"/>
      <c r="D193" s="652"/>
      <c r="E193" s="665"/>
      <c r="F193" s="661" t="str">
        <f>IF(H218=1,B210,IF(H218=2,B211,IF(H218=3,B212,IF(H218=4,B213,"Winner Match 1"))))</f>
        <v>CSRA Heat 14 Black</v>
      </c>
      <c r="G193" s="662"/>
      <c r="H193" s="662"/>
      <c r="I193" s="662"/>
      <c r="J193" s="662"/>
      <c r="K193" s="662"/>
      <c r="L193" s="662"/>
      <c r="M193" s="662"/>
      <c r="N193" s="87"/>
      <c r="P193" s="92"/>
      <c r="Q193" s="92"/>
      <c r="R193" s="92"/>
      <c r="S193" s="92"/>
      <c r="T193" s="652" t="str">
        <f>X212&amp;" ref"</f>
        <v>Chas Jrs 14 White ref</v>
      </c>
      <c r="U193" s="652"/>
      <c r="V193" s="652"/>
      <c r="W193" s="652"/>
      <c r="X193" s="652"/>
      <c r="Y193" s="652"/>
      <c r="Z193" s="652"/>
      <c r="AA193" s="665"/>
      <c r="AB193" s="661" t="str">
        <f>IF(AC218=1,X210,IF(AC218=2,X211,IF(AC218=3,X212,IF(AC218=4,X213,"Winner Match 1"))))</f>
        <v>Carolina Express</v>
      </c>
      <c r="AC193" s="662"/>
      <c r="AD193" s="662"/>
      <c r="AE193" s="662"/>
      <c r="AF193" s="662"/>
      <c r="AG193" s="662"/>
      <c r="AH193" s="662"/>
    </row>
    <row r="194" spans="1:53" x14ac:dyDescent="0.2">
      <c r="A194" s="659" t="s">
        <v>135</v>
      </c>
      <c r="B194" s="659"/>
      <c r="C194" s="659"/>
      <c r="D194" s="659"/>
      <c r="E194" s="659"/>
      <c r="F194" s="672"/>
      <c r="G194" s="673"/>
      <c r="H194" s="673"/>
      <c r="I194" s="674"/>
      <c r="J194" s="657"/>
      <c r="K194" s="658"/>
      <c r="L194" s="658"/>
      <c r="M194" s="658"/>
      <c r="N194" s="87"/>
      <c r="O194" s="87"/>
      <c r="P194" s="93"/>
      <c r="Q194" s="6"/>
      <c r="R194" s="94"/>
      <c r="S194" s="94"/>
      <c r="T194" s="675" t="s">
        <v>136</v>
      </c>
      <c r="U194" s="675"/>
      <c r="V194" s="675"/>
      <c r="W194" s="675"/>
      <c r="X194" s="675"/>
      <c r="Y194" s="675"/>
      <c r="Z194" s="675"/>
      <c r="AA194" s="91"/>
      <c r="AB194" s="672"/>
      <c r="AC194" s="673"/>
      <c r="AD194" s="673"/>
      <c r="AE194" s="674"/>
      <c r="AF194" s="657"/>
      <c r="AG194" s="658"/>
      <c r="AH194" s="658"/>
    </row>
    <row r="195" spans="1:53" ht="13.5" thickBot="1" x14ac:dyDescent="0.25">
      <c r="A195" s="649" t="str">
        <f>IF(D218=1,B210,IF(D218=2,B211,IF(D218=3,B212,IF(D218=4,B213,IF(OR(D218="B",D218="b"),"BYE","invalid")))))</f>
        <v>CSRA Heat 14 Black</v>
      </c>
      <c r="B195" s="649"/>
      <c r="C195" s="649"/>
      <c r="D195" s="649"/>
      <c r="E195" s="650"/>
      <c r="F195" s="89"/>
      <c r="G195" s="87"/>
      <c r="H195" s="87"/>
      <c r="I195" s="87"/>
      <c r="J195" s="89"/>
      <c r="K195" s="87"/>
      <c r="L195" s="87"/>
      <c r="M195" s="87"/>
      <c r="N195" s="87"/>
      <c r="O195" s="87"/>
      <c r="P195" s="87"/>
      <c r="T195" s="87"/>
      <c r="U195" s="649" t="str">
        <f>IF(Y218=1,X210,IF(Y218=2,X211,IF(Y218=3,X212,IF(Y218=4,X213,IF(OR(Y218="B",Y218="b"),"BYE","invalid")))))</f>
        <v>Beaufort 14 Club</v>
      </c>
      <c r="V195" s="649"/>
      <c r="W195" s="649"/>
      <c r="X195" s="649"/>
      <c r="Y195" s="649"/>
      <c r="Z195" s="649"/>
      <c r="AA195" s="650"/>
      <c r="AB195" s="87"/>
      <c r="AC195" s="87"/>
      <c r="AD195" s="87"/>
      <c r="AE195" s="91"/>
      <c r="AF195" s="87"/>
      <c r="AG195" s="87"/>
    </row>
    <row r="196" spans="1:53" x14ac:dyDescent="0.2">
      <c r="A196" s="651" t="s">
        <v>137</v>
      </c>
      <c r="B196" s="651"/>
      <c r="C196" s="651"/>
      <c r="D196" s="651"/>
      <c r="E196" s="651"/>
      <c r="F196" s="87"/>
      <c r="G196" s="87"/>
      <c r="H196" s="87"/>
      <c r="I196" s="87"/>
      <c r="J196" s="89"/>
      <c r="K196" s="87"/>
      <c r="L196" s="87"/>
      <c r="M196" s="87"/>
      <c r="N196" s="87"/>
      <c r="O196" s="87"/>
      <c r="P196" s="87"/>
      <c r="U196" s="670" t="s">
        <v>138</v>
      </c>
      <c r="V196" s="670"/>
      <c r="W196" s="670"/>
      <c r="X196" s="670"/>
      <c r="Y196" s="670"/>
      <c r="Z196" s="670"/>
      <c r="AA196" s="670"/>
      <c r="AB196" s="87"/>
      <c r="AC196" s="87"/>
      <c r="AD196" s="87"/>
      <c r="AE196" s="91"/>
      <c r="AF196" s="87"/>
      <c r="AG196" s="87"/>
      <c r="AQ196" s="95"/>
      <c r="AR196" s="95"/>
      <c r="AS196" s="95"/>
    </row>
    <row r="197" spans="1:53" x14ac:dyDescent="0.2">
      <c r="A197" s="87"/>
      <c r="B197" s="87"/>
      <c r="C197" s="87"/>
      <c r="D197" s="87"/>
      <c r="E197" s="87"/>
      <c r="F197" s="664" t="s">
        <v>139</v>
      </c>
      <c r="G197" s="664"/>
      <c r="H197" s="664"/>
      <c r="I197" s="671"/>
      <c r="J197" s="89"/>
      <c r="K197" s="87"/>
      <c r="L197" s="87"/>
      <c r="M197" s="87"/>
      <c r="N197" s="87"/>
      <c r="O197" s="87"/>
      <c r="P197" s="87"/>
      <c r="R197" s="87"/>
      <c r="S197" s="87"/>
      <c r="T197" s="87"/>
      <c r="U197" s="87"/>
      <c r="V197" s="87"/>
      <c r="W197" s="92"/>
      <c r="X197" s="92"/>
      <c r="Y197" s="92"/>
      <c r="AA197" s="92"/>
      <c r="AB197" s="664" t="s">
        <v>139</v>
      </c>
      <c r="AC197" s="664"/>
      <c r="AD197" s="664"/>
      <c r="AE197" s="671"/>
      <c r="AF197" s="87"/>
      <c r="AG197" s="87"/>
    </row>
    <row r="198" spans="1:53" ht="13.5" thickBot="1" x14ac:dyDescent="0.25">
      <c r="A198" s="87"/>
      <c r="B198" s="87"/>
      <c r="C198" s="87"/>
      <c r="D198" s="87"/>
      <c r="E198" s="87"/>
      <c r="F198" s="87"/>
      <c r="G198" s="87"/>
      <c r="H198" s="87"/>
      <c r="I198" s="87"/>
      <c r="J198" s="666" t="str">
        <f>IF(K223=1,B210,IF(K223=2,B211,IF(K223=3,B212,IF(K223=4,B213,"Division Winner"))))</f>
        <v>Foothills 14 Holland</v>
      </c>
      <c r="K198" s="667"/>
      <c r="L198" s="667"/>
      <c r="M198" s="667"/>
      <c r="N198" s="667"/>
      <c r="O198" s="667"/>
      <c r="P198" s="667"/>
      <c r="Q198" s="130"/>
      <c r="R198" s="87"/>
      <c r="S198" s="87"/>
      <c r="T198" s="87"/>
      <c r="U198" s="87"/>
      <c r="V198" s="87"/>
      <c r="W198" s="87"/>
      <c r="X198" s="87"/>
      <c r="Y198" s="87"/>
      <c r="Z198" s="87"/>
      <c r="AA198" s="97"/>
      <c r="AB198" s="97"/>
      <c r="AC198" s="97"/>
      <c r="AD198" s="97"/>
      <c r="AE198" s="98"/>
      <c r="AF198" s="667" t="str">
        <f>IF(AF223=1,X210,IF(AF223=2,X211,IF(AF223=3,X212,IF(AF223=4,X213,"Division Winner"))))</f>
        <v>Carolina Express</v>
      </c>
      <c r="AG198" s="667"/>
      <c r="AH198" s="667"/>
      <c r="AI198" s="667"/>
      <c r="AJ198" s="667"/>
      <c r="AK198" s="97"/>
    </row>
    <row r="199" spans="1:53" ht="13.5" thickBot="1" x14ac:dyDescent="0.25">
      <c r="A199" s="649" t="str">
        <f>IF(E218=1,B210,IF(E218=2,B211,IF(E218=3,B212,IF(E218=4,B213,IF(OR(E218="B",E218="b"),"BYE","invalid")))))</f>
        <v>Shelby Strikers</v>
      </c>
      <c r="B199" s="649"/>
      <c r="C199" s="649"/>
      <c r="D199" s="649"/>
      <c r="E199" s="649"/>
      <c r="F199" s="659" t="s">
        <v>140</v>
      </c>
      <c r="G199" s="659"/>
      <c r="H199" s="659"/>
      <c r="I199" s="659"/>
      <c r="J199" s="663" t="s">
        <v>141</v>
      </c>
      <c r="K199" s="664"/>
      <c r="L199" s="664"/>
      <c r="M199" s="664"/>
      <c r="N199" s="664"/>
      <c r="O199" s="664"/>
      <c r="P199" s="664"/>
      <c r="R199" s="97"/>
      <c r="S199" s="97"/>
      <c r="T199" s="97"/>
      <c r="U199" s="649" t="str">
        <f>IF(Z218=1,X210,IF(Z218=2,X211,IF(Z218=3,X212,IF(Z218=4,X213,IF(OR(Z218="B",Z218="b"),"BYE","invalid")))))</f>
        <v>Magnum 14 Black</v>
      </c>
      <c r="V199" s="649"/>
      <c r="W199" s="649"/>
      <c r="X199" s="649"/>
      <c r="Y199" s="649"/>
      <c r="Z199" s="649"/>
      <c r="AA199" s="649"/>
      <c r="AB199" s="659" t="s">
        <v>142</v>
      </c>
      <c r="AC199" s="659"/>
      <c r="AD199" s="659"/>
      <c r="AE199" s="660"/>
      <c r="AF199" s="668" t="s">
        <v>143</v>
      </c>
      <c r="AG199" s="669"/>
      <c r="AH199" s="669"/>
      <c r="AI199" s="669"/>
      <c r="AJ199" s="669"/>
    </row>
    <row r="200" spans="1:53" x14ac:dyDescent="0.2">
      <c r="A200" s="651" t="s">
        <v>144</v>
      </c>
      <c r="B200" s="651"/>
      <c r="C200" s="651"/>
      <c r="D200" s="651"/>
      <c r="E200" s="651"/>
      <c r="F200" s="89"/>
      <c r="G200" s="87"/>
      <c r="H200" s="87"/>
      <c r="I200" s="87"/>
      <c r="J200" s="663"/>
      <c r="K200" s="664"/>
      <c r="L200" s="664"/>
      <c r="M200" s="664"/>
      <c r="N200" s="664"/>
      <c r="O200" s="664"/>
      <c r="P200" s="664"/>
      <c r="Q200" s="87"/>
      <c r="R200" s="95"/>
      <c r="S200" s="95"/>
      <c r="T200" s="95"/>
      <c r="U200" s="652" t="s">
        <v>145</v>
      </c>
      <c r="V200" s="652"/>
      <c r="W200" s="652"/>
      <c r="X200" s="652"/>
      <c r="Y200" s="652"/>
      <c r="Z200" s="652"/>
      <c r="AA200" s="665"/>
      <c r="AB200" s="87"/>
      <c r="AC200" s="87"/>
      <c r="AD200" s="87"/>
      <c r="AE200" s="91"/>
      <c r="AF200" s="87"/>
      <c r="AG200" s="87"/>
    </row>
    <row r="201" spans="1:53" x14ac:dyDescent="0.2">
      <c r="A201" s="87"/>
      <c r="B201" s="87"/>
      <c r="C201" s="87"/>
      <c r="D201" s="87"/>
      <c r="E201" s="87"/>
      <c r="F201" s="89"/>
      <c r="G201" s="87"/>
      <c r="H201" s="87"/>
      <c r="I201" s="87"/>
      <c r="J201" s="89"/>
      <c r="K201" s="87"/>
      <c r="L201" s="87"/>
      <c r="M201" s="87"/>
      <c r="N201" s="87"/>
      <c r="P201" s="87"/>
      <c r="Q201" s="87"/>
      <c r="R201" s="87"/>
      <c r="S201" s="87"/>
      <c r="T201" s="87"/>
      <c r="U201" s="87"/>
      <c r="V201" s="87"/>
      <c r="W201" s="87"/>
      <c r="X201" s="87"/>
      <c r="Y201" s="87"/>
      <c r="Z201" s="87"/>
      <c r="AA201" s="91"/>
      <c r="AB201" s="89"/>
      <c r="AC201" s="87"/>
      <c r="AD201" s="87"/>
      <c r="AE201" s="91"/>
      <c r="AF201" s="87"/>
      <c r="AG201" s="87"/>
      <c r="AW201" s="57"/>
      <c r="AX201" s="54"/>
      <c r="AY201" s="54"/>
      <c r="AZ201" s="54"/>
      <c r="BA201" s="54"/>
    </row>
    <row r="202" spans="1:53" ht="13.5" thickBot="1" x14ac:dyDescent="0.25">
      <c r="A202" s="664" t="s">
        <v>146</v>
      </c>
      <c r="B202" s="664"/>
      <c r="C202" s="664"/>
      <c r="D202" s="664"/>
      <c r="E202" s="93"/>
      <c r="F202" s="654"/>
      <c r="G202" s="655"/>
      <c r="H202" s="655"/>
      <c r="I202" s="656"/>
      <c r="J202" s="657"/>
      <c r="K202" s="658"/>
      <c r="L202" s="658"/>
      <c r="M202" s="658"/>
      <c r="N202" s="87"/>
      <c r="Q202" s="92"/>
      <c r="R202" s="92"/>
      <c r="S202" s="92"/>
      <c r="T202" s="664" t="s">
        <v>146</v>
      </c>
      <c r="U202" s="664"/>
      <c r="V202" s="664"/>
      <c r="W202" s="664"/>
      <c r="X202" s="664"/>
      <c r="Y202" s="664"/>
      <c r="Z202" s="664"/>
      <c r="AA202" s="87"/>
      <c r="AB202" s="654"/>
      <c r="AC202" s="655"/>
      <c r="AD202" s="655"/>
      <c r="AE202" s="656"/>
      <c r="AF202" s="657"/>
      <c r="AG202" s="658"/>
      <c r="AH202" s="658"/>
      <c r="AW202" s="57"/>
      <c r="AX202" s="54"/>
      <c r="AY202" s="54"/>
      <c r="AZ202" s="54"/>
      <c r="BA202" s="54"/>
    </row>
    <row r="203" spans="1:53" x14ac:dyDescent="0.2">
      <c r="A203" s="659" t="s">
        <v>135</v>
      </c>
      <c r="B203" s="659"/>
      <c r="C203" s="659"/>
      <c r="D203" s="659"/>
      <c r="E203" s="660"/>
      <c r="F203" s="661" t="str">
        <f>IF(J218=1,B210,IF(J218=2,B211,IF(J218=3,B212,IF(J218=4,B213,"Winner Match 2"))))</f>
        <v>Foothills 14 Holland</v>
      </c>
      <c r="G203" s="662"/>
      <c r="H203" s="662"/>
      <c r="I203" s="662"/>
      <c r="J203" s="662"/>
      <c r="K203" s="662"/>
      <c r="L203" s="662"/>
      <c r="M203" s="662"/>
      <c r="N203" s="87"/>
      <c r="P203" s="93"/>
      <c r="Q203" s="93"/>
      <c r="S203" s="94"/>
      <c r="T203" s="659" t="s">
        <v>136</v>
      </c>
      <c r="U203" s="659"/>
      <c r="V203" s="659"/>
      <c r="W203" s="659"/>
      <c r="X203" s="659"/>
      <c r="Y203" s="659"/>
      <c r="Z203" s="659"/>
      <c r="AA203" s="91"/>
      <c r="AB203" s="661" t="str">
        <f>IF(AE218=1,X210,IF(AE218=2,X211,IF(AE218=3,X212,IF(AE218=4,X213,"Winner Match 2"))))</f>
        <v>Chas Jrs 14 White</v>
      </c>
      <c r="AC203" s="662"/>
      <c r="AD203" s="662"/>
      <c r="AE203" s="662"/>
      <c r="AF203" s="662"/>
      <c r="AG203" s="662"/>
      <c r="AH203" s="662"/>
      <c r="AW203" s="57"/>
      <c r="AX203" s="54"/>
      <c r="AY203" s="54"/>
      <c r="AZ203" s="54"/>
      <c r="BA203" s="54"/>
    </row>
    <row r="204" spans="1:53" ht="13.5" thickBot="1" x14ac:dyDescent="0.25">
      <c r="A204" s="649" t="str">
        <f>IF(G218=1,B210,IF(G218=2,B211,IF(G218=3,B212,IF(G218=4,B213,IF(OR(G218="B",G218="b"),"BYE","invalid")))))</f>
        <v>Foothills 14 Holland</v>
      </c>
      <c r="B204" s="649"/>
      <c r="C204" s="649"/>
      <c r="D204" s="649"/>
      <c r="E204" s="650"/>
      <c r="F204" s="89"/>
      <c r="G204" s="87"/>
      <c r="H204" s="87"/>
      <c r="I204" s="87"/>
      <c r="J204" s="87"/>
      <c r="K204" s="87"/>
      <c r="L204" s="87"/>
      <c r="M204" s="87"/>
      <c r="N204" s="87"/>
      <c r="P204" s="87"/>
      <c r="Q204" s="87"/>
      <c r="R204" s="87"/>
      <c r="S204" s="97"/>
      <c r="T204" s="97"/>
      <c r="U204" s="649" t="str">
        <f>IF(AB218=1,X210,IF(AB218=2,X211,IF(AB218=3,X212,IF(AB218=4,X213,IF(OR(AB218="B",AB218="b"),"BYE","invalid")))))</f>
        <v>Chas Jrs 14 White</v>
      </c>
      <c r="V204" s="649"/>
      <c r="W204" s="649"/>
      <c r="X204" s="649"/>
      <c r="Y204" s="649"/>
      <c r="Z204" s="649"/>
      <c r="AA204" s="650"/>
      <c r="AB204" s="87"/>
      <c r="AC204" s="87"/>
      <c r="AD204" s="87"/>
      <c r="AE204" s="87"/>
      <c r="AW204" s="57"/>
      <c r="AX204" s="54"/>
      <c r="AY204" s="54"/>
      <c r="AZ204" s="54"/>
      <c r="BA204" s="54"/>
    </row>
    <row r="205" spans="1:53" x14ac:dyDescent="0.2">
      <c r="A205" s="651" t="s">
        <v>147</v>
      </c>
      <c r="B205" s="651"/>
      <c r="C205" s="651"/>
      <c r="D205" s="651"/>
      <c r="E205" s="651"/>
      <c r="S205" s="95"/>
      <c r="T205" s="95"/>
      <c r="U205" s="652" t="s">
        <v>148</v>
      </c>
      <c r="V205" s="652"/>
      <c r="W205" s="652"/>
      <c r="X205" s="652"/>
      <c r="Y205" s="652"/>
      <c r="Z205" s="652"/>
      <c r="AA205" s="652"/>
      <c r="AW205" s="57"/>
      <c r="AX205" s="54"/>
      <c r="AY205" s="54"/>
      <c r="AZ205" s="54"/>
      <c r="BA205" s="54"/>
    </row>
    <row r="206" spans="1:53" x14ac:dyDescent="0.2">
      <c r="AT206" s="54"/>
      <c r="AU206" s="54"/>
      <c r="AV206" s="54"/>
      <c r="AW206" s="57"/>
      <c r="AX206" s="54"/>
      <c r="AY206" s="54"/>
      <c r="AZ206" s="54"/>
      <c r="BA206" s="54"/>
    </row>
    <row r="207" spans="1:53" x14ac:dyDescent="0.2">
      <c r="AT207" s="54"/>
      <c r="AU207" s="54"/>
      <c r="AV207" s="54"/>
      <c r="AW207" s="57"/>
      <c r="AX207" s="54"/>
      <c r="AY207" s="54"/>
      <c r="AZ207" s="54"/>
      <c r="BA207" s="54"/>
    </row>
    <row r="208" spans="1:53" ht="16.5" thickBot="1" x14ac:dyDescent="0.3">
      <c r="A208" s="653" t="s">
        <v>149</v>
      </c>
      <c r="B208" s="653"/>
      <c r="C208" s="653"/>
      <c r="D208" s="653"/>
      <c r="E208" s="653"/>
      <c r="F208" s="653"/>
      <c r="G208" s="653"/>
      <c r="H208" s="653"/>
      <c r="I208" s="653"/>
      <c r="J208" s="653"/>
      <c r="Q208" s="99"/>
      <c r="R208" s="99"/>
      <c r="S208" s="99"/>
      <c r="U208" s="653" t="s">
        <v>150</v>
      </c>
      <c r="V208" s="653"/>
      <c r="W208" s="653"/>
      <c r="X208" s="653"/>
      <c r="Y208" s="653"/>
      <c r="Z208" s="653"/>
      <c r="AA208" s="653"/>
      <c r="AB208" s="653"/>
      <c r="AC208" s="653"/>
      <c r="AD208" s="653"/>
      <c r="AE208" s="653"/>
      <c r="AF208" s="653"/>
      <c r="AT208" s="54"/>
      <c r="AU208" s="54"/>
      <c r="AV208" s="54"/>
      <c r="AW208" s="57"/>
      <c r="AX208" s="54"/>
      <c r="AY208" s="54"/>
      <c r="AZ208" s="54"/>
      <c r="BA208" s="54"/>
    </row>
    <row r="209" spans="1:53" ht="13.5" thickBot="1" x14ac:dyDescent="0.25">
      <c r="A209" s="100" t="s">
        <v>151</v>
      </c>
      <c r="B209" s="643" t="s">
        <v>152</v>
      </c>
      <c r="C209" s="644"/>
      <c r="D209" s="644"/>
      <c r="E209" s="644"/>
      <c r="F209" s="644"/>
      <c r="G209" s="644"/>
      <c r="H209" s="644"/>
      <c r="I209" s="644"/>
      <c r="J209" s="645"/>
      <c r="K209" s="646" t="s">
        <v>153</v>
      </c>
      <c r="L209" s="647"/>
      <c r="M209" s="647"/>
      <c r="N209" s="647"/>
      <c r="O209" s="647"/>
      <c r="P209" s="647"/>
      <c r="Q209" s="648"/>
      <c r="U209" s="631" t="s">
        <v>151</v>
      </c>
      <c r="V209" s="632"/>
      <c r="W209" s="633"/>
      <c r="X209" s="643" t="s">
        <v>152</v>
      </c>
      <c r="Y209" s="644"/>
      <c r="Z209" s="644"/>
      <c r="AA209" s="644"/>
      <c r="AB209" s="644"/>
      <c r="AC209" s="644"/>
      <c r="AD209" s="644"/>
      <c r="AE209" s="644"/>
      <c r="AF209" s="645"/>
      <c r="AG209" s="646" t="s">
        <v>153</v>
      </c>
      <c r="AH209" s="647"/>
      <c r="AI209" s="647"/>
      <c r="AJ209" s="647"/>
      <c r="AK209" s="647"/>
      <c r="AL209" s="647"/>
      <c r="AM209" s="648"/>
      <c r="AT209" s="54"/>
      <c r="AU209" s="54"/>
      <c r="AV209" s="54"/>
      <c r="AW209" s="57"/>
      <c r="AX209" s="54"/>
      <c r="AY209" s="54"/>
      <c r="AZ209" s="54"/>
      <c r="BA209" s="54"/>
    </row>
    <row r="210" spans="1:53" ht="13.5" thickBot="1" x14ac:dyDescent="0.25">
      <c r="A210" s="100">
        <v>1</v>
      </c>
      <c r="B210" s="625" t="str">
        <f>B179</f>
        <v>Magnum Greenwood 14 Gold</v>
      </c>
      <c r="C210" s="626"/>
      <c r="D210" s="626"/>
      <c r="E210" s="626"/>
      <c r="F210" s="626"/>
      <c r="G210" s="626"/>
      <c r="H210" s="626"/>
      <c r="I210" s="626"/>
      <c r="J210" s="627"/>
      <c r="K210" s="628" t="str">
        <f>H179</f>
        <v>fj4magnm4pm</v>
      </c>
      <c r="L210" s="629"/>
      <c r="M210" s="629"/>
      <c r="N210" s="629"/>
      <c r="O210" s="629"/>
      <c r="P210" s="629"/>
      <c r="Q210" s="630"/>
      <c r="U210" s="631">
        <v>1</v>
      </c>
      <c r="V210" s="632"/>
      <c r="W210" s="633"/>
      <c r="X210" s="625" t="str">
        <f>V179</f>
        <v>Carolina Express</v>
      </c>
      <c r="Y210" s="626"/>
      <c r="Z210" s="626"/>
      <c r="AA210" s="626"/>
      <c r="AB210" s="626"/>
      <c r="AC210" s="626"/>
      <c r="AD210" s="626"/>
      <c r="AE210" s="626"/>
      <c r="AF210" s="627"/>
      <c r="AG210" s="628" t="str">
        <f>AB179</f>
        <v>fj3196891pm</v>
      </c>
      <c r="AH210" s="629"/>
      <c r="AI210" s="629"/>
      <c r="AJ210" s="629"/>
      <c r="AK210" s="629"/>
      <c r="AL210" s="629"/>
      <c r="AM210" s="630"/>
      <c r="AT210" s="54"/>
      <c r="AU210" s="54"/>
      <c r="AV210" s="54"/>
      <c r="AW210" s="57"/>
      <c r="AX210" s="54"/>
      <c r="AY210" s="54"/>
      <c r="AZ210" s="54"/>
      <c r="BA210" s="54"/>
    </row>
    <row r="211" spans="1:53" ht="13.5" thickBot="1" x14ac:dyDescent="0.25">
      <c r="A211" s="100">
        <v>2</v>
      </c>
      <c r="B211" s="625" t="str">
        <f>B180</f>
        <v>Shelby Strikers</v>
      </c>
      <c r="C211" s="626"/>
      <c r="D211" s="626"/>
      <c r="E211" s="626"/>
      <c r="F211" s="626"/>
      <c r="G211" s="626"/>
      <c r="H211" s="626"/>
      <c r="I211" s="626"/>
      <c r="J211" s="627"/>
      <c r="K211" s="628" t="str">
        <f>H180</f>
        <v>fj4shlby1cr</v>
      </c>
      <c r="L211" s="629"/>
      <c r="M211" s="629"/>
      <c r="N211" s="629"/>
      <c r="O211" s="629"/>
      <c r="P211" s="629"/>
      <c r="Q211" s="630"/>
      <c r="U211" s="631">
        <v>2</v>
      </c>
      <c r="V211" s="632"/>
      <c r="W211" s="633"/>
      <c r="X211" s="625" t="str">
        <f>V180</f>
        <v>Magnum 14 Black</v>
      </c>
      <c r="Y211" s="626"/>
      <c r="Z211" s="626"/>
      <c r="AA211" s="626"/>
      <c r="AB211" s="626"/>
      <c r="AC211" s="626"/>
      <c r="AD211" s="626"/>
      <c r="AE211" s="626"/>
      <c r="AF211" s="627"/>
      <c r="AG211" s="628" t="str">
        <f>AB180</f>
        <v>fj4magnm5pm</v>
      </c>
      <c r="AH211" s="629"/>
      <c r="AI211" s="629"/>
      <c r="AJ211" s="629"/>
      <c r="AK211" s="629"/>
      <c r="AL211" s="629"/>
      <c r="AM211" s="630"/>
      <c r="AT211" s="54"/>
      <c r="AU211" s="54"/>
      <c r="AV211" s="54"/>
      <c r="AW211" s="57"/>
      <c r="AX211" s="54"/>
      <c r="AY211" s="54"/>
      <c r="AZ211" s="54"/>
      <c r="BA211" s="54"/>
    </row>
    <row r="212" spans="1:53" ht="13.5" thickBot="1" x14ac:dyDescent="0.25">
      <c r="A212" s="100">
        <v>3</v>
      </c>
      <c r="B212" s="625" t="str">
        <f>L179</f>
        <v>Foothills 14 Holland</v>
      </c>
      <c r="C212" s="626"/>
      <c r="D212" s="626"/>
      <c r="E212" s="626"/>
      <c r="F212" s="626"/>
      <c r="G212" s="626"/>
      <c r="H212" s="626"/>
      <c r="I212" s="626"/>
      <c r="J212" s="627"/>
      <c r="K212" s="628" t="str">
        <f>R179</f>
        <v>fj4footh1pm</v>
      </c>
      <c r="L212" s="629"/>
      <c r="M212" s="629"/>
      <c r="N212" s="629"/>
      <c r="O212" s="629"/>
      <c r="P212" s="629"/>
      <c r="Q212" s="630"/>
      <c r="U212" s="631">
        <v>3</v>
      </c>
      <c r="V212" s="632"/>
      <c r="W212" s="633"/>
      <c r="X212" s="625" t="str">
        <f>AF179</f>
        <v>Chas Jrs 14 White</v>
      </c>
      <c r="Y212" s="626"/>
      <c r="Z212" s="626"/>
      <c r="AA212" s="626"/>
      <c r="AB212" s="626"/>
      <c r="AC212" s="626"/>
      <c r="AD212" s="626"/>
      <c r="AE212" s="626"/>
      <c r="AF212" s="627"/>
      <c r="AG212" s="628" t="str">
        <f>AL179</f>
        <v>fj4charl3pm</v>
      </c>
      <c r="AH212" s="629"/>
      <c r="AI212" s="629"/>
      <c r="AJ212" s="629"/>
      <c r="AK212" s="629"/>
      <c r="AL212" s="629"/>
      <c r="AM212" s="630"/>
      <c r="AT212" s="54"/>
      <c r="AU212" s="54"/>
      <c r="AV212" s="54"/>
      <c r="AW212" s="57"/>
      <c r="AX212" s="54"/>
      <c r="AY212" s="54"/>
      <c r="AZ212" s="54"/>
      <c r="BA212" s="54"/>
    </row>
    <row r="213" spans="1:53" ht="13.5" thickBot="1" x14ac:dyDescent="0.25">
      <c r="A213" s="100">
        <v>4</v>
      </c>
      <c r="B213" s="625" t="str">
        <f>L180</f>
        <v>CSRA Heat 14 Black</v>
      </c>
      <c r="C213" s="626"/>
      <c r="D213" s="626"/>
      <c r="E213" s="626"/>
      <c r="F213" s="626"/>
      <c r="G213" s="626"/>
      <c r="H213" s="626"/>
      <c r="I213" s="626"/>
      <c r="J213" s="627"/>
      <c r="K213" s="628" t="str">
        <f>R180</f>
        <v>fj4csrah2pm</v>
      </c>
      <c r="L213" s="629"/>
      <c r="M213" s="629"/>
      <c r="N213" s="629"/>
      <c r="O213" s="629"/>
      <c r="P213" s="629"/>
      <c r="Q213" s="630"/>
      <c r="U213" s="631">
        <v>4</v>
      </c>
      <c r="V213" s="632"/>
      <c r="W213" s="633"/>
      <c r="X213" s="625" t="str">
        <f>AF180</f>
        <v>Beaufort 14 Club</v>
      </c>
      <c r="Y213" s="626"/>
      <c r="Z213" s="626"/>
      <c r="AA213" s="626"/>
      <c r="AB213" s="626"/>
      <c r="AC213" s="626"/>
      <c r="AD213" s="626"/>
      <c r="AE213" s="626"/>
      <c r="AF213" s="627"/>
      <c r="AG213" s="628" t="str">
        <f>AL180</f>
        <v>fj4beauf2pm</v>
      </c>
      <c r="AH213" s="629"/>
      <c r="AI213" s="629"/>
      <c r="AJ213" s="629"/>
      <c r="AK213" s="629"/>
      <c r="AL213" s="629"/>
      <c r="AM213" s="630"/>
      <c r="AT213" s="54"/>
      <c r="AU213" s="54"/>
      <c r="AV213" s="54"/>
      <c r="AW213" s="57"/>
      <c r="AX213" s="54"/>
      <c r="AY213" s="54"/>
      <c r="AZ213" s="54"/>
      <c r="BA213" s="54"/>
    </row>
    <row r="214" spans="1:53" ht="13.5" thickBot="1" x14ac:dyDescent="0.25">
      <c r="AT214" s="54"/>
      <c r="AU214" s="54"/>
      <c r="AV214" s="54"/>
      <c r="AW214" s="57"/>
      <c r="AX214" s="54"/>
      <c r="AY214" s="54"/>
      <c r="AZ214" s="54"/>
      <c r="BA214" s="54"/>
    </row>
    <row r="215" spans="1:53" x14ac:dyDescent="0.2">
      <c r="B215" s="634" t="s">
        <v>154</v>
      </c>
      <c r="C215" s="606"/>
      <c r="D215" s="607"/>
      <c r="E215" s="605" t="s">
        <v>154</v>
      </c>
      <c r="F215" s="606"/>
      <c r="G215" s="607"/>
      <c r="H215" s="605" t="s">
        <v>14</v>
      </c>
      <c r="I215" s="606"/>
      <c r="J215" s="608"/>
      <c r="K215" s="609" t="s">
        <v>155</v>
      </c>
      <c r="L215" s="635"/>
      <c r="M215" s="635"/>
      <c r="N215" s="635"/>
      <c r="O215" s="635"/>
      <c r="P215" s="635"/>
      <c r="Q215" s="636"/>
      <c r="R215" s="101"/>
      <c r="S215" s="101"/>
      <c r="T215" s="101"/>
      <c r="U215" s="101"/>
      <c r="W215" s="634" t="s">
        <v>154</v>
      </c>
      <c r="X215" s="606"/>
      <c r="Y215" s="607"/>
      <c r="Z215" s="605" t="s">
        <v>154</v>
      </c>
      <c r="AA215" s="606"/>
      <c r="AB215" s="607"/>
      <c r="AC215" s="605" t="s">
        <v>14</v>
      </c>
      <c r="AD215" s="606"/>
      <c r="AE215" s="608"/>
      <c r="AF215" s="609" t="s">
        <v>155</v>
      </c>
      <c r="AG215" s="610"/>
      <c r="AH215" s="610"/>
      <c r="AI215" s="610"/>
      <c r="AJ215" s="611"/>
      <c r="AW215" s="57"/>
      <c r="AX215" s="54"/>
      <c r="AY215" s="54"/>
      <c r="AZ215" s="54"/>
      <c r="BA215" s="54"/>
    </row>
    <row r="216" spans="1:53" x14ac:dyDescent="0.2">
      <c r="A216" s="40" t="s">
        <v>156</v>
      </c>
      <c r="B216" s="618">
        <v>3</v>
      </c>
      <c r="C216" s="619"/>
      <c r="D216" s="620"/>
      <c r="E216" s="621" t="s">
        <v>157</v>
      </c>
      <c r="F216" s="619"/>
      <c r="G216" s="620"/>
      <c r="H216" s="621" t="s">
        <v>158</v>
      </c>
      <c r="I216" s="619"/>
      <c r="J216" s="622"/>
      <c r="K216" s="637"/>
      <c r="L216" s="638"/>
      <c r="M216" s="638"/>
      <c r="N216" s="638"/>
      <c r="O216" s="638"/>
      <c r="P216" s="638"/>
      <c r="Q216" s="639"/>
      <c r="R216" s="101"/>
      <c r="S216" s="101"/>
      <c r="T216" s="623" t="s">
        <v>156</v>
      </c>
      <c r="U216" s="623"/>
      <c r="V216" s="624"/>
      <c r="W216" s="618">
        <v>3</v>
      </c>
      <c r="X216" s="619"/>
      <c r="Y216" s="620"/>
      <c r="Z216" s="621" t="s">
        <v>157</v>
      </c>
      <c r="AA216" s="619"/>
      <c r="AB216" s="620"/>
      <c r="AC216" s="621" t="s">
        <v>158</v>
      </c>
      <c r="AD216" s="619"/>
      <c r="AE216" s="622"/>
      <c r="AF216" s="612"/>
      <c r="AG216" s="613"/>
      <c r="AH216" s="613"/>
      <c r="AI216" s="613"/>
      <c r="AJ216" s="614"/>
      <c r="AW216" s="57"/>
      <c r="AX216" s="54"/>
      <c r="AY216" s="54"/>
      <c r="AZ216" s="54"/>
      <c r="BA216" s="54"/>
    </row>
    <row r="217" spans="1:53" ht="13.5" thickBot="1" x14ac:dyDescent="0.25">
      <c r="A217" s="7"/>
      <c r="B217" s="603" t="s">
        <v>68</v>
      </c>
      <c r="C217" s="598"/>
      <c r="D217" s="604"/>
      <c r="E217" s="597" t="s">
        <v>159</v>
      </c>
      <c r="F217" s="598"/>
      <c r="G217" s="604"/>
      <c r="H217" s="597" t="s">
        <v>160</v>
      </c>
      <c r="I217" s="598"/>
      <c r="J217" s="599"/>
      <c r="K217" s="640"/>
      <c r="L217" s="641"/>
      <c r="M217" s="641"/>
      <c r="N217" s="641"/>
      <c r="O217" s="641"/>
      <c r="P217" s="641"/>
      <c r="Q217" s="642"/>
      <c r="R217" s="101"/>
      <c r="S217" s="101"/>
      <c r="T217" s="584"/>
      <c r="U217" s="584"/>
      <c r="V217" s="585"/>
      <c r="W217" s="603" t="s">
        <v>68</v>
      </c>
      <c r="X217" s="598"/>
      <c r="Y217" s="604"/>
      <c r="Z217" s="597" t="s">
        <v>159</v>
      </c>
      <c r="AA217" s="598"/>
      <c r="AB217" s="604"/>
      <c r="AC217" s="597" t="s">
        <v>160</v>
      </c>
      <c r="AD217" s="598"/>
      <c r="AE217" s="599"/>
      <c r="AF217" s="615"/>
      <c r="AG217" s="616"/>
      <c r="AH217" s="616"/>
      <c r="AI217" s="616"/>
      <c r="AJ217" s="617"/>
      <c r="AW217" s="57"/>
      <c r="AX217" s="54"/>
      <c r="AY217" s="54"/>
      <c r="AZ217" s="54"/>
      <c r="BA217" s="54"/>
    </row>
    <row r="218" spans="1:53" ht="13.5" thickBot="1" x14ac:dyDescent="0.25">
      <c r="A218" s="7"/>
      <c r="B218" s="102">
        <v>1</v>
      </c>
      <c r="C218" s="103" t="s">
        <v>76</v>
      </c>
      <c r="D218" s="104">
        <v>4</v>
      </c>
      <c r="E218" s="105">
        <v>2</v>
      </c>
      <c r="F218" s="103" t="s">
        <v>76</v>
      </c>
      <c r="G218" s="104">
        <v>3</v>
      </c>
      <c r="H218" s="106">
        <f>IF(OR(AND(OR(B222&gt;0,D222&gt;0),B222&gt;D222),OR(D218="b",D218="B")),B218,IF(OR(AND(OR(B222&gt;0,D222&gt;0),D222&gt;B222),OR(B218="b",B218="B")),D218,"W1"))</f>
        <v>4</v>
      </c>
      <c r="I218" s="107" t="s">
        <v>76</v>
      </c>
      <c r="J218" s="108">
        <f>IF(OR(AND(OR(E222&gt;0,G222&gt;0),E222&gt;G222),OR(G218="b",G218="B")),E218,IF(OR(AND(OR(E222&gt;0,G222&gt;0),G222&gt;E222),OR(E218="b",E218="B")),G218,"W2"))</f>
        <v>3</v>
      </c>
      <c r="K218" s="600" t="s">
        <v>161</v>
      </c>
      <c r="L218" s="601"/>
      <c r="M218" s="601"/>
      <c r="N218" s="602"/>
      <c r="R218" s="101"/>
      <c r="S218" s="101"/>
      <c r="T218" s="584"/>
      <c r="U218" s="584"/>
      <c r="V218" s="585"/>
      <c r="W218" s="102">
        <v>1</v>
      </c>
      <c r="X218" s="103" t="s">
        <v>76</v>
      </c>
      <c r="Y218" s="104">
        <v>4</v>
      </c>
      <c r="Z218" s="105">
        <v>2</v>
      </c>
      <c r="AA218" s="103" t="s">
        <v>76</v>
      </c>
      <c r="AB218" s="104">
        <v>3</v>
      </c>
      <c r="AC218" s="106">
        <f>IF(OR(AND(OR(W222&gt;0,Y222&gt;0),W222&gt;Y222),OR(Y218="b",Y218="B")),W218,IF(OR(AND(OR(W222&gt;0,Y222&gt;0),Y222&gt;W222),OR(W218="b",W218="B")),Y218,"W1"))</f>
        <v>1</v>
      </c>
      <c r="AD218" s="107" t="s">
        <v>76</v>
      </c>
      <c r="AE218" s="108">
        <f>IF(OR(AND(OR(Z222&gt;0,AB222&gt;0),Z222&gt;AB222),OR(AB222="b",AB222="B")),Z218,IF(OR(AND(OR(Z222&gt;0,AB222&gt;0),AB222&gt;Z222),OR(Z222="b",Z222="B")),AB218,"W2"))</f>
        <v>3</v>
      </c>
      <c r="AF218" s="600" t="s">
        <v>161</v>
      </c>
      <c r="AG218" s="602"/>
      <c r="AH218" s="101"/>
      <c r="AI218" s="101"/>
      <c r="AJ218" s="101"/>
      <c r="AW218" s="57"/>
      <c r="AX218" s="54"/>
      <c r="AY218" s="54"/>
      <c r="AZ218" s="54"/>
      <c r="BA218" s="54"/>
    </row>
    <row r="219" spans="1:53" ht="13.5" hidden="1" customHeight="1" x14ac:dyDescent="0.2">
      <c r="A219" s="7"/>
      <c r="B219" s="109">
        <f>IF(B223&gt;D223,1,0)</f>
        <v>0</v>
      </c>
      <c r="C219" s="110"/>
      <c r="D219" s="111">
        <f>IF(D223&gt;B223,1,0)</f>
        <v>1</v>
      </c>
      <c r="E219" s="109">
        <f>IF(E223&gt;G223,1,0)</f>
        <v>0</v>
      </c>
      <c r="F219" s="110"/>
      <c r="G219" s="111">
        <f>IF(G223&gt;E223,1,0)</f>
        <v>1</v>
      </c>
      <c r="H219" s="109">
        <f>IF(H223&gt;J223,1,0)</f>
        <v>0</v>
      </c>
      <c r="I219" s="110"/>
      <c r="J219" s="111">
        <f>IF(J223&gt;H223,1,0)</f>
        <v>1</v>
      </c>
      <c r="K219" s="112"/>
      <c r="L219" s="113"/>
      <c r="M219" s="113"/>
      <c r="N219" s="114"/>
      <c r="R219" s="101"/>
      <c r="S219" s="101"/>
      <c r="T219" s="584"/>
      <c r="U219" s="584"/>
      <c r="V219" s="585"/>
      <c r="W219" s="109">
        <f>IF(W223&gt;Y223,1,0)</f>
        <v>1</v>
      </c>
      <c r="X219" s="110"/>
      <c r="Y219" s="111">
        <f>IF(Y223&gt;W223,1,0)</f>
        <v>0</v>
      </c>
      <c r="Z219" s="109">
        <f>IF(Z223&gt;AB223,1,0)</f>
        <v>0</v>
      </c>
      <c r="AA219" s="110"/>
      <c r="AB219" s="111">
        <f>IF(AB223&gt;Z223,1,0)</f>
        <v>1</v>
      </c>
      <c r="AC219" s="109">
        <f>IF(AC223&gt;AE223,1,0)</f>
        <v>1</v>
      </c>
      <c r="AD219" s="110"/>
      <c r="AE219" s="111">
        <f>IF(AE223&gt;AC223,1,0)</f>
        <v>0</v>
      </c>
      <c r="AF219" s="115"/>
      <c r="AG219" s="116"/>
      <c r="AH219" s="101"/>
      <c r="AI219" s="101"/>
      <c r="AJ219" s="101"/>
      <c r="AW219" s="57"/>
      <c r="AX219" s="54"/>
      <c r="AY219" s="54"/>
      <c r="AZ219" s="54"/>
      <c r="BA219" s="54"/>
    </row>
    <row r="220" spans="1:53" ht="13.5" hidden="1" customHeight="1" x14ac:dyDescent="0.2">
      <c r="A220" s="7"/>
      <c r="B220" s="109">
        <f>IF(B224&gt;D224,1,0)</f>
        <v>0</v>
      </c>
      <c r="C220" s="110"/>
      <c r="D220" s="111">
        <f>IF(D224&gt;B224,1,0)</f>
        <v>0</v>
      </c>
      <c r="E220" s="109">
        <f>IF(E224&gt;G224,1,0)</f>
        <v>0</v>
      </c>
      <c r="F220" s="110"/>
      <c r="G220" s="111">
        <f>IF(G224&gt;E224,1,0)</f>
        <v>0</v>
      </c>
      <c r="H220" s="109">
        <f>IF(H224&gt;J224,1,0)</f>
        <v>1</v>
      </c>
      <c r="I220" s="110"/>
      <c r="J220" s="111">
        <f>IF(J224&gt;H224,1,0)</f>
        <v>0</v>
      </c>
      <c r="K220" s="112"/>
      <c r="L220" s="113"/>
      <c r="M220" s="113"/>
      <c r="N220" s="114"/>
      <c r="R220" s="101"/>
      <c r="S220" s="101"/>
      <c r="T220" s="584"/>
      <c r="U220" s="584"/>
      <c r="V220" s="585"/>
      <c r="W220" s="109">
        <f>IF(W224&gt;Y224,1,0)</f>
        <v>0</v>
      </c>
      <c r="X220" s="110"/>
      <c r="Y220" s="111">
        <f>IF(Y224&gt;W224,1,0)</f>
        <v>0</v>
      </c>
      <c r="Z220" s="109">
        <f>IF(Z224&gt;AB224,1,0)</f>
        <v>0</v>
      </c>
      <c r="AA220" s="110"/>
      <c r="AB220" s="111">
        <f>IF(AB224&gt;Z224,1,0)</f>
        <v>0</v>
      </c>
      <c r="AC220" s="109">
        <f>IF(AC224&gt;AE224,1,0)</f>
        <v>1</v>
      </c>
      <c r="AD220" s="110"/>
      <c r="AE220" s="111">
        <f>IF(AE224&gt;AC224,1,0)</f>
        <v>0</v>
      </c>
      <c r="AF220" s="115"/>
      <c r="AG220" s="116"/>
      <c r="AH220" s="101"/>
      <c r="AI220" s="101"/>
      <c r="AJ220" s="101"/>
      <c r="AW220" s="57"/>
      <c r="AX220" s="54"/>
      <c r="AY220" s="54"/>
      <c r="AZ220" s="54"/>
      <c r="BA220" s="54"/>
    </row>
    <row r="221" spans="1:53" ht="13.5" hidden="1" customHeight="1" thickBot="1" x14ac:dyDescent="0.25">
      <c r="A221" s="7"/>
      <c r="B221" s="109">
        <f>IF(B225&gt;D225,1,0)</f>
        <v>0</v>
      </c>
      <c r="C221" s="110"/>
      <c r="D221" s="111">
        <f>IF(D225&gt;B225,1,0)</f>
        <v>0</v>
      </c>
      <c r="E221" s="109">
        <f>IF(E225&gt;G225,1,0)</f>
        <v>0</v>
      </c>
      <c r="F221" s="110"/>
      <c r="G221" s="111">
        <f>IF(G225&gt;E225,1,0)</f>
        <v>0</v>
      </c>
      <c r="H221" s="109">
        <f>IF(H225&gt;J225,1,0)</f>
        <v>0</v>
      </c>
      <c r="I221" s="110"/>
      <c r="J221" s="111">
        <f>IF(J225&gt;H225,1,0)</f>
        <v>1</v>
      </c>
      <c r="K221" s="112"/>
      <c r="L221" s="113"/>
      <c r="M221" s="113"/>
      <c r="N221" s="114"/>
      <c r="R221" s="101"/>
      <c r="S221" s="101"/>
      <c r="T221" s="584"/>
      <c r="U221" s="584"/>
      <c r="V221" s="585"/>
      <c r="W221" s="109">
        <f>IF(W225&gt;Y225,1,0)</f>
        <v>0</v>
      </c>
      <c r="X221" s="110"/>
      <c r="Y221" s="111">
        <f>IF(Y225&gt;W225,1,0)</f>
        <v>0</v>
      </c>
      <c r="Z221" s="109">
        <f>IF(Z225&gt;AB225,1,0)</f>
        <v>0</v>
      </c>
      <c r="AA221" s="110"/>
      <c r="AB221" s="111">
        <f>IF(AB225&gt;Z225,1,0)</f>
        <v>0</v>
      </c>
      <c r="AC221" s="109">
        <f>IF(AC225&gt;AE225,1,0)</f>
        <v>0</v>
      </c>
      <c r="AD221" s="110"/>
      <c r="AE221" s="111">
        <f>IF(AE225&gt;AC225,1,0)</f>
        <v>0</v>
      </c>
      <c r="AF221" s="115"/>
      <c r="AG221" s="116"/>
      <c r="AH221" s="101"/>
      <c r="AI221" s="101"/>
      <c r="AJ221" s="101"/>
      <c r="AW221" s="57"/>
      <c r="AX221" s="54"/>
      <c r="AY221" s="54"/>
      <c r="AZ221" s="54"/>
      <c r="BA221" s="54"/>
    </row>
    <row r="222" spans="1:53" ht="13.5" hidden="1" customHeight="1" x14ac:dyDescent="0.2">
      <c r="A222" s="7"/>
      <c r="B222" s="109">
        <f>SUM(B219:B221)</f>
        <v>0</v>
      </c>
      <c r="C222" s="110"/>
      <c r="D222" s="109">
        <f>SUM(D219:D221)</f>
        <v>1</v>
      </c>
      <c r="E222" s="109">
        <f>SUM(E219:E221)</f>
        <v>0</v>
      </c>
      <c r="F222" s="110"/>
      <c r="G222" s="109">
        <f>SUM(G219:G221)</f>
        <v>1</v>
      </c>
      <c r="H222" s="109">
        <f>SUM(H219:H221)</f>
        <v>1</v>
      </c>
      <c r="I222" s="110"/>
      <c r="J222" s="109">
        <f>SUM(J219:J221)</f>
        <v>2</v>
      </c>
      <c r="K222" s="112"/>
      <c r="L222" s="113"/>
      <c r="M222" s="113"/>
      <c r="N222" s="114"/>
      <c r="R222" s="101"/>
      <c r="S222" s="101"/>
      <c r="T222" s="584"/>
      <c r="U222" s="584"/>
      <c r="V222" s="585"/>
      <c r="W222" s="109">
        <f>SUM(W219:W221)</f>
        <v>1</v>
      </c>
      <c r="X222" s="110"/>
      <c r="Y222" s="109">
        <f>SUM(Y219:Y221)</f>
        <v>0</v>
      </c>
      <c r="Z222" s="109">
        <f>SUM(Z219:Z221)</f>
        <v>0</v>
      </c>
      <c r="AA222" s="110"/>
      <c r="AB222" s="109">
        <f>SUM(AB219:AB221)</f>
        <v>1</v>
      </c>
      <c r="AC222" s="109">
        <f>SUM(AC219:AC221)</f>
        <v>2</v>
      </c>
      <c r="AD222" s="110"/>
      <c r="AE222" s="109">
        <f>SUM(AE219:AE221)</f>
        <v>0</v>
      </c>
      <c r="AF222" s="115"/>
      <c r="AG222" s="116"/>
      <c r="AH222" s="101"/>
      <c r="AI222" s="101"/>
      <c r="AJ222" s="101"/>
      <c r="AW222" s="57"/>
      <c r="AX222" s="54"/>
      <c r="AY222" s="54"/>
      <c r="AZ222" s="54"/>
      <c r="BA222" s="54"/>
    </row>
    <row r="223" spans="1:53" ht="12.75" customHeight="1" x14ac:dyDescent="0.2">
      <c r="A223" s="5" t="s">
        <v>77</v>
      </c>
      <c r="B223" s="117">
        <v>24</v>
      </c>
      <c r="C223" s="49" t="s">
        <v>78</v>
      </c>
      <c r="D223" s="118">
        <v>26</v>
      </c>
      <c r="E223" s="119">
        <v>23</v>
      </c>
      <c r="F223" s="49" t="s">
        <v>78</v>
      </c>
      <c r="G223" s="118">
        <v>25</v>
      </c>
      <c r="H223" s="119">
        <v>18</v>
      </c>
      <c r="I223" s="49" t="s">
        <v>78</v>
      </c>
      <c r="J223" s="120">
        <v>25</v>
      </c>
      <c r="K223" s="586">
        <f>IF(AND(OR(H222&gt;0,J222&gt;0),AND(1&lt;=H218,H218&lt;=4),AND(1&lt;=J218,J218&lt;=4)),IF(H222&gt;J222,H218,IF(J222&gt;H222,J218,"")),"")</f>
        <v>3</v>
      </c>
      <c r="L223" s="587"/>
      <c r="M223" s="587"/>
      <c r="N223" s="588"/>
      <c r="R223" s="101"/>
      <c r="S223" s="101"/>
      <c r="T223" s="121"/>
      <c r="U223" s="121"/>
      <c r="V223" s="5" t="s">
        <v>77</v>
      </c>
      <c r="W223" s="117">
        <v>26</v>
      </c>
      <c r="X223" s="49" t="s">
        <v>78</v>
      </c>
      <c r="Y223" s="118">
        <v>24</v>
      </c>
      <c r="Z223" s="119">
        <v>20</v>
      </c>
      <c r="AA223" s="49" t="s">
        <v>78</v>
      </c>
      <c r="AB223" s="118">
        <v>25</v>
      </c>
      <c r="AC223" s="119">
        <v>25</v>
      </c>
      <c r="AD223" s="49" t="s">
        <v>78</v>
      </c>
      <c r="AE223" s="120">
        <v>20</v>
      </c>
      <c r="AF223" s="586">
        <f>IF(AND(OR(AC222&gt;0,AE222&gt;0),AND(1&lt;=AC218,AC218&lt;=4),AND(1&lt;=AE218,AE218&lt;=4)),IF(AC222&gt;AE222,AC218,IF(AE222&gt;AC222,AE218,"")),"")</f>
        <v>1</v>
      </c>
      <c r="AG223" s="588"/>
      <c r="AH223" s="101"/>
      <c r="AI223" s="101"/>
      <c r="AJ223" s="101"/>
      <c r="AW223" s="57"/>
      <c r="AX223" s="54"/>
      <c r="AY223" s="54"/>
      <c r="AZ223" s="54"/>
      <c r="BA223" s="54"/>
    </row>
    <row r="224" spans="1:53" ht="12.75" customHeight="1" x14ac:dyDescent="0.2">
      <c r="A224" s="5" t="s">
        <v>162</v>
      </c>
      <c r="B224" s="117"/>
      <c r="C224" s="49" t="s">
        <v>78</v>
      </c>
      <c r="D224" s="118"/>
      <c r="E224" s="119"/>
      <c r="F224" s="49" t="s">
        <v>78</v>
      </c>
      <c r="G224" s="118"/>
      <c r="H224" s="119">
        <v>25</v>
      </c>
      <c r="I224" s="49" t="s">
        <v>78</v>
      </c>
      <c r="J224" s="120">
        <v>23</v>
      </c>
      <c r="K224" s="589"/>
      <c r="L224" s="590"/>
      <c r="M224" s="590"/>
      <c r="N224" s="591"/>
      <c r="R224" s="101"/>
      <c r="S224" s="101"/>
      <c r="T224" s="121"/>
      <c r="U224" s="121"/>
      <c r="V224" s="5" t="s">
        <v>162</v>
      </c>
      <c r="W224" s="117"/>
      <c r="X224" s="49" t="s">
        <v>78</v>
      </c>
      <c r="Y224" s="118"/>
      <c r="Z224" s="119"/>
      <c r="AA224" s="49" t="s">
        <v>78</v>
      </c>
      <c r="AB224" s="118"/>
      <c r="AC224" s="119">
        <v>25</v>
      </c>
      <c r="AD224" s="49" t="s">
        <v>78</v>
      </c>
      <c r="AE224" s="120">
        <v>14</v>
      </c>
      <c r="AF224" s="589"/>
      <c r="AG224" s="591"/>
      <c r="AH224" s="101"/>
      <c r="AI224" s="101"/>
      <c r="AJ224" s="101"/>
      <c r="AW224" s="57"/>
      <c r="AX224" s="54"/>
      <c r="AY224" s="54"/>
      <c r="AZ224" s="54"/>
      <c r="BA224" s="54"/>
    </row>
    <row r="225" spans="1:77" ht="13.5" customHeight="1" thickBot="1" x14ac:dyDescent="0.25">
      <c r="A225" s="5" t="s">
        <v>163</v>
      </c>
      <c r="B225" s="122"/>
      <c r="C225" s="123" t="s">
        <v>78</v>
      </c>
      <c r="D225" s="124"/>
      <c r="E225" s="125"/>
      <c r="F225" s="123" t="s">
        <v>78</v>
      </c>
      <c r="G225" s="124"/>
      <c r="H225" s="125">
        <v>8</v>
      </c>
      <c r="I225" s="123" t="s">
        <v>78</v>
      </c>
      <c r="J225" s="126">
        <v>15</v>
      </c>
      <c r="K225" s="592"/>
      <c r="L225" s="593"/>
      <c r="M225" s="593"/>
      <c r="N225" s="594"/>
      <c r="R225" s="101"/>
      <c r="S225" s="101"/>
      <c r="T225" s="121"/>
      <c r="U225" s="121"/>
      <c r="V225" s="5" t="s">
        <v>163</v>
      </c>
      <c r="W225" s="122"/>
      <c r="X225" s="123" t="s">
        <v>78</v>
      </c>
      <c r="Y225" s="124"/>
      <c r="Z225" s="125"/>
      <c r="AA225" s="123" t="s">
        <v>78</v>
      </c>
      <c r="AB225" s="124"/>
      <c r="AC225" s="125"/>
      <c r="AD225" s="123" t="s">
        <v>78</v>
      </c>
      <c r="AE225" s="126"/>
      <c r="AF225" s="592"/>
      <c r="AG225" s="594"/>
      <c r="AH225" s="101"/>
      <c r="AI225" s="101"/>
      <c r="AJ225" s="101"/>
      <c r="AW225" s="57"/>
      <c r="AX225" s="54"/>
      <c r="AY225" s="54"/>
      <c r="AZ225" s="54"/>
      <c r="BA225" s="54"/>
    </row>
    <row r="226" spans="1:77" hidden="1" x14ac:dyDescent="0.2">
      <c r="B226" s="3"/>
      <c r="C226" s="127" t="s">
        <v>112</v>
      </c>
      <c r="D226" s="3" t="s">
        <v>164</v>
      </c>
      <c r="E226" s="3"/>
      <c r="F226" s="127"/>
      <c r="G226" s="4" t="s">
        <v>165</v>
      </c>
      <c r="J226" s="4" t="s">
        <v>166</v>
      </c>
      <c r="W226" s="3"/>
      <c r="X226" s="127" t="s">
        <v>112</v>
      </c>
      <c r="Y226" s="3" t="s">
        <v>164</v>
      </c>
      <c r="Z226" s="3"/>
      <c r="AA226" s="127"/>
      <c r="AB226" s="4" t="s">
        <v>165</v>
      </c>
      <c r="AE226" s="4" t="s">
        <v>166</v>
      </c>
      <c r="AT226" s="4" t="str">
        <f>B227</f>
        <v>Magnum Greenwood 14 Gold</v>
      </c>
      <c r="AU226" s="4">
        <f>J227</f>
        <v>1900.734248323354</v>
      </c>
      <c r="AW226" s="57"/>
      <c r="AX226" s="54"/>
      <c r="AY226" s="54"/>
      <c r="AZ226" s="54"/>
      <c r="BA226" s="54"/>
      <c r="BB226" s="57"/>
      <c r="BC226" s="54"/>
      <c r="BD226" s="54"/>
      <c r="BE226" s="57"/>
      <c r="BF226" s="54"/>
      <c r="BG226" s="54"/>
      <c r="BH226" s="57"/>
      <c r="BI226" s="54"/>
      <c r="BJ226" s="54"/>
      <c r="BK226" s="57"/>
      <c r="BL226" s="54"/>
      <c r="BM226" s="54"/>
      <c r="BN226" s="57"/>
      <c r="BO226" s="54"/>
      <c r="BP226" s="54"/>
      <c r="BQ226" s="57"/>
      <c r="BR226" s="54"/>
      <c r="BS226" s="54"/>
      <c r="BT226" s="57"/>
      <c r="BU226" s="54"/>
      <c r="BV226" s="54"/>
      <c r="BW226" s="57"/>
      <c r="BX226" s="54"/>
      <c r="BY226" s="54"/>
    </row>
    <row r="227" spans="1:77" hidden="1" x14ac:dyDescent="0.2">
      <c r="A227" s="4">
        <v>1</v>
      </c>
      <c r="B227" s="4" t="str">
        <f>B210</f>
        <v>Magnum Greenwood 14 Gold</v>
      </c>
      <c r="C227" s="4">
        <f>VLOOKUP(B227,AU$2:AY$22,4,FALSE)</f>
        <v>1908.6489005204339</v>
      </c>
      <c r="D227" s="4">
        <f>IF(A227=B218,B233,IF(A227=D218,D233,C227))</f>
        <v>1900.734248323354</v>
      </c>
      <c r="G227" s="4">
        <f>IF(A227=E218,E233,IF(A227=G218,G233,D227))</f>
        <v>1900.734248323354</v>
      </c>
      <c r="J227" s="4">
        <f>IF(A227=H218,H233,IF(A227=J218,J233,G227))</f>
        <v>1900.734248323354</v>
      </c>
      <c r="U227" s="128"/>
      <c r="V227" s="128">
        <v>1</v>
      </c>
      <c r="W227" s="4" t="str">
        <f>X210</f>
        <v>Carolina Express</v>
      </c>
      <c r="X227" s="4">
        <f>VLOOKUP(W227,AU$2:AY$22,4,FALSE)</f>
        <v>1828.4916807253255</v>
      </c>
      <c r="Y227" s="4">
        <f>IF(V227=W218,W233,IF(V227=Y218,Y233,X227))</f>
        <v>1837.2026194688851</v>
      </c>
      <c r="AB227" s="4">
        <f>IF(V227=Z218,Z233,IF(V227=AB218,AB233,Y227))</f>
        <v>1837.2026194688851</v>
      </c>
      <c r="AE227" s="4">
        <f>IF(V227=AC218,AC233,IF(V227=AE218,AE233,AB227))</f>
        <v>1853.6534291311473</v>
      </c>
      <c r="AT227" s="4" t="str">
        <f>B228</f>
        <v>Shelby Strikers</v>
      </c>
      <c r="AU227" s="4">
        <f>J228</f>
        <v>1945.8582482864797</v>
      </c>
      <c r="AW227" s="57"/>
      <c r="AX227" s="54"/>
      <c r="AY227" s="54"/>
      <c r="AZ227" s="54"/>
      <c r="BA227" s="54"/>
      <c r="BB227" s="57"/>
      <c r="BC227" s="54"/>
      <c r="BD227" s="54"/>
      <c r="BE227" s="57"/>
      <c r="BF227" s="54"/>
      <c r="BG227" s="54"/>
      <c r="BH227" s="57"/>
      <c r="BI227" s="54"/>
      <c r="BJ227" s="54"/>
      <c r="BK227" s="57"/>
      <c r="BL227" s="54"/>
      <c r="BM227" s="54"/>
      <c r="BN227" s="57"/>
      <c r="BO227" s="54"/>
      <c r="BP227" s="54"/>
      <c r="BQ227" s="57"/>
      <c r="BR227" s="54"/>
      <c r="BS227" s="54"/>
      <c r="BT227" s="57"/>
      <c r="BU227" s="54"/>
      <c r="BV227" s="54"/>
      <c r="BW227" s="57"/>
      <c r="BX227" s="54"/>
      <c r="BY227" s="54"/>
    </row>
    <row r="228" spans="1:77" hidden="1" x14ac:dyDescent="0.2">
      <c r="A228" s="4">
        <v>2</v>
      </c>
      <c r="B228" s="4" t="str">
        <f>B211</f>
        <v>Shelby Strikers</v>
      </c>
      <c r="C228" s="4">
        <f>VLOOKUP(B228,AU$2:AY$22,4,FALSE)</f>
        <v>1953.9605143302995</v>
      </c>
      <c r="D228" s="4">
        <f>IF(A228=B218,B233,IF(A228=D218,D233,C228))</f>
        <v>1953.9605143302995</v>
      </c>
      <c r="G228" s="4">
        <f>IF(A228=E218,E233,IF(A228=G218,G233,D228))</f>
        <v>1945.8582482864797</v>
      </c>
      <c r="J228" s="4">
        <f>IF(A228=H218,H233,IF(A228=J218,J233,G228))</f>
        <v>1945.8582482864797</v>
      </c>
      <c r="U228" s="128"/>
      <c r="V228" s="128">
        <v>2</v>
      </c>
      <c r="W228" s="4" t="str">
        <f>X211</f>
        <v>Magnum 14 Black</v>
      </c>
      <c r="X228" s="4">
        <f>VLOOKUP(W228,AU$2:AY$22,4,FALSE)</f>
        <v>1822.1765099891388</v>
      </c>
      <c r="Y228" s="4">
        <f>IF(V228=W218,W233,IF(V228=Y218,Y233,X228))</f>
        <v>1822.1765099891388</v>
      </c>
      <c r="AB228" s="4">
        <f>IF(V228=Z218,Z233,IF(V228=AB218,AB233,Y228))</f>
        <v>1814.5725518335212</v>
      </c>
      <c r="AE228" s="4">
        <f>IF(V228=AC218,AC233,IF(V228=AE218,AE233,AB228))</f>
        <v>1814.5725518335212</v>
      </c>
      <c r="AT228" s="4" t="str">
        <f>B229</f>
        <v>Foothills 14 Holland</v>
      </c>
      <c r="AU228" s="4">
        <f>J229</f>
        <v>1963.0509671228099</v>
      </c>
      <c r="AW228" s="57"/>
      <c r="AX228" s="54"/>
      <c r="AY228" s="54"/>
      <c r="AZ228" s="54"/>
      <c r="BA228" s="54"/>
      <c r="BB228" s="57"/>
      <c r="BC228" s="54"/>
      <c r="BD228" s="54"/>
      <c r="BE228" s="57"/>
      <c r="BF228" s="54"/>
      <c r="BG228" s="54"/>
      <c r="BH228" s="57"/>
      <c r="BI228" s="54"/>
      <c r="BJ228" s="54"/>
      <c r="BK228" s="57"/>
      <c r="BL228" s="54"/>
      <c r="BM228" s="54"/>
      <c r="BN228" s="57"/>
      <c r="BO228" s="54"/>
      <c r="BP228" s="54"/>
      <c r="BQ228" s="57"/>
      <c r="BR228" s="54"/>
      <c r="BS228" s="54"/>
      <c r="BT228" s="57"/>
      <c r="BU228" s="54"/>
      <c r="BV228" s="54"/>
      <c r="BW228" s="57"/>
      <c r="BX228" s="54"/>
      <c r="BY228" s="54"/>
    </row>
    <row r="229" spans="1:77" hidden="1" x14ac:dyDescent="0.2">
      <c r="A229" s="4">
        <v>3</v>
      </c>
      <c r="B229" s="4" t="str">
        <f>B212</f>
        <v>Foothills 14 Holland</v>
      </c>
      <c r="C229" s="4">
        <f>VLOOKUP(B229,AU$2:AY$22,4,FALSE)</f>
        <v>1949.5189145317133</v>
      </c>
      <c r="D229" s="4">
        <f>IF(A229=B218,B233,IF(A229=D218,D233,C229))</f>
        <v>1949.5189145317133</v>
      </c>
      <c r="G229" s="4">
        <f>IF(A229=E218,E233,IF(A229=G218,G233,D229))</f>
        <v>1957.6211805755331</v>
      </c>
      <c r="J229" s="4">
        <f>IF(A229=H218,H233,IF(A229=J218,J233,G229))</f>
        <v>1963.0509671228099</v>
      </c>
      <c r="U229" s="128"/>
      <c r="V229" s="128">
        <v>3</v>
      </c>
      <c r="W229" s="4" t="str">
        <f>X212</f>
        <v>Chas Jrs 14 White</v>
      </c>
      <c r="X229" s="4">
        <f>VLOOKUP(W229,AU$2:AY$22,4,FALSE)</f>
        <v>1839.3904604185559</v>
      </c>
      <c r="Y229" s="4">
        <f>IF(V229=W218,W233,IF(V229=Y218,Y233,X229))</f>
        <v>1839.3904604185559</v>
      </c>
      <c r="AB229" s="4">
        <f>IF(V229=Z218,Z233,IF(V229=AB218,AB233,Y229))</f>
        <v>1846.9944185741736</v>
      </c>
      <c r="AE229" s="4">
        <f>IF(V229=AC218,AC233,IF(V229=AE218,AE233,AB229))</f>
        <v>1830.5436089119114</v>
      </c>
      <c r="AT229" s="4" t="str">
        <f>B230</f>
        <v>CSRA Heat 14 Black</v>
      </c>
      <c r="AU229" s="4">
        <f>J230</f>
        <v>1914.8405147891358</v>
      </c>
      <c r="AW229" s="57"/>
      <c r="AX229" s="54"/>
      <c r="AY229" s="54"/>
      <c r="AZ229" s="54"/>
      <c r="BA229" s="54"/>
      <c r="BB229" s="57"/>
      <c r="BC229" s="54"/>
      <c r="BD229" s="54"/>
      <c r="BE229" s="57"/>
      <c r="BF229" s="54"/>
      <c r="BG229" s="54"/>
      <c r="BH229" s="57"/>
      <c r="BI229" s="54"/>
      <c r="BJ229" s="54"/>
      <c r="BK229" s="57"/>
      <c r="BL229" s="54"/>
      <c r="BM229" s="54"/>
      <c r="BN229" s="57"/>
      <c r="BO229" s="54"/>
      <c r="BP229" s="54"/>
      <c r="BQ229" s="57"/>
      <c r="BR229" s="54"/>
      <c r="BS229" s="54"/>
      <c r="BT229" s="57"/>
      <c r="BU229" s="54"/>
      <c r="BV229" s="54"/>
      <c r="BW229" s="57"/>
      <c r="BX229" s="54"/>
      <c r="BY229" s="54"/>
    </row>
    <row r="230" spans="1:77" hidden="1" x14ac:dyDescent="0.2">
      <c r="A230" s="4">
        <v>4</v>
      </c>
      <c r="B230" s="4" t="str">
        <f>B213</f>
        <v>CSRA Heat 14 Black</v>
      </c>
      <c r="C230" s="4">
        <f>VLOOKUP(B230,AU$2:AY$22,4,FALSE)</f>
        <v>1912.3556491393326</v>
      </c>
      <c r="D230" s="4">
        <f>IF(A230=B218,B233,IF(A230=D218,D233,C230))</f>
        <v>1920.2703013364126</v>
      </c>
      <c r="G230" s="4">
        <f>IF(A230=E218,E233,IF(A230=G218,G233,D230))</f>
        <v>1920.2703013364126</v>
      </c>
      <c r="J230" s="4">
        <f>IF(A230=H218,H233,IF(A230=J218,J233,G230))</f>
        <v>1914.8405147891358</v>
      </c>
      <c r="U230" s="128"/>
      <c r="V230" s="128">
        <v>4</v>
      </c>
      <c r="W230" s="4" t="str">
        <f>X213</f>
        <v>Beaufort 14 Club</v>
      </c>
      <c r="X230" s="4">
        <f>VLOOKUP(W230,AU$2:AY$22,4,FALSE)</f>
        <v>1859.449024617413</v>
      </c>
      <c r="Y230" s="4">
        <f>IF(V230=W218,W233,IF(V230=Y218,Y233,X230))</f>
        <v>1850.7380858738534</v>
      </c>
      <c r="AB230" s="4">
        <f>IF(V230=Z218,Z233,IF(V230=AB218,AB233,Y230))</f>
        <v>1850.7380858738534</v>
      </c>
      <c r="AE230" s="4">
        <f>IF(V230=AC218,AC233,IF(V230=AE218,AE233,AB230))</f>
        <v>1850.7380858738534</v>
      </c>
      <c r="AT230" s="4" t="str">
        <f>W227</f>
        <v>Carolina Express</v>
      </c>
      <c r="AU230" s="4">
        <f>AE227</f>
        <v>1853.6534291311473</v>
      </c>
      <c r="AW230" s="57"/>
      <c r="AX230" s="54"/>
      <c r="AY230" s="54"/>
      <c r="AZ230" s="54"/>
      <c r="BA230" s="54"/>
      <c r="BB230" s="57"/>
      <c r="BC230" s="54"/>
      <c r="BD230" s="54"/>
      <c r="BE230" s="57"/>
      <c r="BF230" s="54"/>
      <c r="BG230" s="54"/>
      <c r="BH230" s="57"/>
      <c r="BI230" s="54"/>
      <c r="BJ230" s="54"/>
      <c r="BK230" s="57"/>
      <c r="BL230" s="54"/>
      <c r="BM230" s="54"/>
      <c r="BN230" s="57"/>
      <c r="BO230" s="54"/>
      <c r="BP230" s="54"/>
      <c r="BQ230" s="57"/>
      <c r="BR230" s="54"/>
      <c r="BS230" s="54"/>
      <c r="BT230" s="57"/>
      <c r="BU230" s="54"/>
      <c r="BV230" s="54"/>
      <c r="BW230" s="57"/>
      <c r="BX230" s="54"/>
      <c r="BY230" s="54"/>
    </row>
    <row r="231" spans="1:77" hidden="1" x14ac:dyDescent="0.2">
      <c r="A231" s="4" t="s">
        <v>114</v>
      </c>
      <c r="B231" s="4">
        <f>VLOOKUP(B218,$A227:$J230,3,FALSE)</f>
        <v>1908.6489005204339</v>
      </c>
      <c r="D231" s="4">
        <f>VLOOKUP(D218,$A227:$J230,3,FALSE)</f>
        <v>1912.3556491393326</v>
      </c>
      <c r="E231" s="4">
        <f>VLOOKUP(E218,$A227:$J230,4,FALSE)</f>
        <v>1953.9605143302995</v>
      </c>
      <c r="G231" s="4">
        <f>VLOOKUP(G218,$A227:$J230,4,FALSE)</f>
        <v>1949.5189145317133</v>
      </c>
      <c r="H231" s="4">
        <f>VLOOKUP(H218,$A227:$J230,7,FALSE)</f>
        <v>1920.2703013364126</v>
      </c>
      <c r="J231" s="4">
        <f>VLOOKUP(J218,$A227:$J230,7,FALSE)</f>
        <v>1957.6211805755331</v>
      </c>
      <c r="T231" s="595" t="s">
        <v>114</v>
      </c>
      <c r="U231" s="595"/>
      <c r="V231" s="595"/>
      <c r="W231" s="4">
        <f>VLOOKUP(W218,$V227:$AE230,3,FALSE)</f>
        <v>1828.4916807253255</v>
      </c>
      <c r="Y231" s="4">
        <f>VLOOKUP(Y218,$V227:$AE230,3,FALSE)</f>
        <v>1859.449024617413</v>
      </c>
      <c r="Z231" s="4">
        <f>VLOOKUP(Z218,$V227:$AE230,4,FALSE)</f>
        <v>1822.1765099891388</v>
      </c>
      <c r="AB231" s="4">
        <f>VLOOKUP(AB218,$V227:$AE230,4,FALSE)</f>
        <v>1839.3904604185559</v>
      </c>
      <c r="AC231" s="4">
        <f>VLOOKUP(AC218,$V227:$AE230,7,FALSE)</f>
        <v>1837.2026194688851</v>
      </c>
      <c r="AE231" s="4">
        <f>VLOOKUP(AE218,$V227:$AE230,7,FALSE)</f>
        <v>1846.9944185741736</v>
      </c>
      <c r="AT231" s="4" t="str">
        <f>W228</f>
        <v>Magnum 14 Black</v>
      </c>
      <c r="AU231" s="4">
        <f>AE228</f>
        <v>1814.5725518335212</v>
      </c>
      <c r="AW231" s="57"/>
      <c r="AX231" s="54"/>
      <c r="AY231" s="54"/>
      <c r="AZ231" s="54"/>
      <c r="BA231" s="54"/>
      <c r="BB231" s="57"/>
      <c r="BC231" s="54"/>
      <c r="BD231" s="54"/>
      <c r="BE231" s="57"/>
      <c r="BF231" s="54"/>
      <c r="BG231" s="54"/>
      <c r="BH231" s="57"/>
      <c r="BI231" s="54"/>
      <c r="BJ231" s="54"/>
      <c r="BK231" s="57"/>
      <c r="BL231" s="54"/>
      <c r="BM231" s="54"/>
      <c r="BN231" s="57"/>
      <c r="BO231" s="54"/>
      <c r="BP231" s="54"/>
      <c r="BQ231" s="57"/>
      <c r="BR231" s="54"/>
      <c r="BS231" s="54"/>
      <c r="BT231" s="57"/>
      <c r="BU231" s="54"/>
      <c r="BV231" s="54"/>
      <c r="BW231" s="57"/>
      <c r="BX231" s="54"/>
      <c r="BY231" s="54"/>
    </row>
    <row r="232" spans="1:77" hidden="1" x14ac:dyDescent="0.2">
      <c r="A232" s="68" t="s">
        <v>115</v>
      </c>
      <c r="B232" s="68">
        <f>1/(1+(10^-((B231-D231)/400)))*(B222+D222)</f>
        <v>0.49466576231749326</v>
      </c>
      <c r="C232" s="68"/>
      <c r="D232" s="68">
        <f>1/(1+(10^-((D231-B231)/400)))*(B222+D222)</f>
        <v>0.50533423768250685</v>
      </c>
      <c r="E232" s="68">
        <f>1/(1+(10^-((E231-G231)/400)))*(E222+G222)</f>
        <v>0.50639162773873836</v>
      </c>
      <c r="G232" s="68">
        <f>1/(1+(10^-((G231-E231)/400)))*(E222+G222)</f>
        <v>0.49360837226126164</v>
      </c>
      <c r="H232" s="68">
        <f>1/(1+(10^-((H231-J231)/400)))*(H222+J222)</f>
        <v>1.3393616592047937</v>
      </c>
      <c r="J232" s="68">
        <f>1/(1+(10^-((J231-H231)/400)))*(H222+J222)</f>
        <v>1.6606383407952063</v>
      </c>
      <c r="T232" s="596" t="s">
        <v>115</v>
      </c>
      <c r="U232" s="596"/>
      <c r="V232" s="596"/>
      <c r="W232" s="68">
        <f>1/(1+(10^-((W231-Y231)/400)))*(W222+Y222)</f>
        <v>0.45556632852752776</v>
      </c>
      <c r="X232" s="68"/>
      <c r="Y232" s="68">
        <f>1/(1+(10^-((Y231-W231)/400)))*(W222+Y222)</f>
        <v>0.54443367147247224</v>
      </c>
      <c r="Z232" s="68">
        <f>1/(1+(10^-((Z231-AB231)/400)))*(Z222+AB222)</f>
        <v>0.47524738472609984</v>
      </c>
      <c r="AB232" s="68">
        <f>1/(1+(10^-((AB231-Z231)/400)))*(Z222+AB222)</f>
        <v>0.52475261527390005</v>
      </c>
      <c r="AC232" s="68">
        <f>1/(1+(10^-((AC231-AE231)/400)))*(AC222+AE222)</f>
        <v>0.97182439610861748</v>
      </c>
      <c r="AE232" s="68">
        <f>1/(1+(10^-((AE231-AC231)/400)))*(AC222+AE222)</f>
        <v>1.0281756038913823</v>
      </c>
      <c r="AT232" s="4" t="str">
        <f>W229</f>
        <v>Chas Jrs 14 White</v>
      </c>
      <c r="AU232" s="4">
        <f>AE229</f>
        <v>1830.5436089119114</v>
      </c>
      <c r="AW232" s="57"/>
      <c r="AX232" s="54"/>
      <c r="AY232" s="54"/>
      <c r="AZ232" s="54"/>
      <c r="BA232" s="54"/>
      <c r="BB232" s="57"/>
      <c r="BC232" s="54"/>
      <c r="BD232" s="54"/>
      <c r="BE232" s="57"/>
      <c r="BF232" s="54"/>
      <c r="BG232" s="54"/>
      <c r="BH232" s="57"/>
      <c r="BI232" s="54"/>
      <c r="BJ232" s="54"/>
      <c r="BK232" s="57"/>
      <c r="BL232" s="54"/>
      <c r="BM232" s="54"/>
      <c r="BN232" s="57"/>
      <c r="BO232" s="54"/>
      <c r="BP232" s="54"/>
      <c r="BQ232" s="57"/>
      <c r="BR232" s="54"/>
      <c r="BS232" s="54"/>
      <c r="BT232" s="57"/>
      <c r="BU232" s="54"/>
      <c r="BV232" s="54"/>
      <c r="BW232" s="57"/>
      <c r="BX232" s="54"/>
      <c r="BY232" s="54"/>
    </row>
    <row r="233" spans="1:77" hidden="1" x14ac:dyDescent="0.2">
      <c r="A233" s="74" t="s">
        <v>116</v>
      </c>
      <c r="B233" s="74">
        <f>B231+(B222-B232)*$BA$2</f>
        <v>1900.734248323354</v>
      </c>
      <c r="C233" s="74"/>
      <c r="D233" s="74">
        <f>D231+(D222-D232)*$BA$2</f>
        <v>1920.2703013364126</v>
      </c>
      <c r="E233" s="74">
        <f>E231+(E222-E232)*$BA$2</f>
        <v>1945.8582482864797</v>
      </c>
      <c r="G233" s="74">
        <f>G231+(G222-G232)*$BA$2</f>
        <v>1957.6211805755331</v>
      </c>
      <c r="H233" s="74">
        <f>H231+(H222-H232)*$BA$2</f>
        <v>1914.8405147891358</v>
      </c>
      <c r="J233" s="74">
        <f>J231+(J222-J232)*$BA$2</f>
        <v>1963.0509671228099</v>
      </c>
      <c r="T233" s="582" t="s">
        <v>116</v>
      </c>
      <c r="U233" s="582"/>
      <c r="V233" s="582"/>
      <c r="W233" s="74">
        <f>W231+(W222-W232)*$BA$2</f>
        <v>1837.2026194688851</v>
      </c>
      <c r="X233" s="74"/>
      <c r="Y233" s="74">
        <f>Y231+(Y222-Y232)*$BA$2</f>
        <v>1850.7380858738534</v>
      </c>
      <c r="Z233" s="74">
        <f>Z231+(Z222-Z232)*$BA$2</f>
        <v>1814.5725518335212</v>
      </c>
      <c r="AB233" s="74">
        <f>AB231+(AB222-AB232)*$BA$2</f>
        <v>1846.9944185741736</v>
      </c>
      <c r="AC233" s="74">
        <f>AC231+(AC222-AC232)*$BA$2</f>
        <v>1853.6534291311473</v>
      </c>
      <c r="AE233" s="74">
        <f>AE231+(AE222-AE232)*$BA$2</f>
        <v>1830.5436089119114</v>
      </c>
      <c r="AT233" s="4" t="str">
        <f>W230</f>
        <v>Beaufort 14 Club</v>
      </c>
      <c r="AU233" s="4">
        <f>AE230</f>
        <v>1850.7380858738534</v>
      </c>
      <c r="AW233" s="57"/>
      <c r="AX233" s="54"/>
      <c r="AY233" s="54"/>
      <c r="AZ233" s="54"/>
      <c r="BA233" s="54"/>
      <c r="BB233" s="57"/>
      <c r="BC233" s="54"/>
      <c r="BD233" s="54"/>
      <c r="BE233" s="57"/>
      <c r="BF233" s="54"/>
      <c r="BG233" s="54"/>
      <c r="BH233" s="57"/>
      <c r="BI233" s="54"/>
      <c r="BJ233" s="54"/>
      <c r="BK233" s="57"/>
      <c r="BL233" s="54"/>
      <c r="BM233" s="54"/>
      <c r="BN233" s="57"/>
      <c r="BO233" s="54"/>
      <c r="BP233" s="54"/>
      <c r="BQ233" s="57"/>
      <c r="BR233" s="54"/>
      <c r="BS233" s="54"/>
      <c r="BT233" s="57"/>
      <c r="BU233" s="54"/>
      <c r="BV233" s="54"/>
      <c r="BW233" s="57"/>
      <c r="BX233" s="54"/>
      <c r="BY233" s="54"/>
    </row>
    <row r="234" spans="1:77" x14ac:dyDescent="0.2">
      <c r="A234" s="583" t="s">
        <v>167</v>
      </c>
      <c r="B234" s="583"/>
      <c r="C234" s="583"/>
      <c r="D234" s="583"/>
      <c r="E234" s="583"/>
      <c r="F234" s="583"/>
      <c r="G234" s="583"/>
      <c r="H234" s="583"/>
      <c r="I234" s="583"/>
      <c r="J234" s="583"/>
      <c r="K234" s="583"/>
      <c r="L234" s="583"/>
      <c r="M234" s="583"/>
      <c r="R234" s="101"/>
      <c r="S234" s="101"/>
      <c r="T234" s="121"/>
      <c r="U234" s="121"/>
      <c r="V234" s="583" t="s">
        <v>167</v>
      </c>
      <c r="W234" s="583"/>
      <c r="X234" s="583"/>
      <c r="Y234" s="583"/>
      <c r="Z234" s="583"/>
      <c r="AA234" s="583"/>
      <c r="AB234" s="583"/>
      <c r="AC234" s="583"/>
      <c r="AD234" s="583"/>
      <c r="AE234" s="583"/>
      <c r="AF234" s="583"/>
      <c r="AG234" s="583"/>
      <c r="AH234" s="101"/>
      <c r="AI234" s="101"/>
      <c r="AJ234" s="101"/>
      <c r="AW234" s="57"/>
      <c r="AX234" s="54"/>
      <c r="AY234" s="54"/>
      <c r="AZ234" s="54"/>
      <c r="BA234" s="54"/>
    </row>
    <row r="235" spans="1:77" x14ac:dyDescent="0.2">
      <c r="AT235" s="54"/>
      <c r="AU235" s="54"/>
      <c r="AV235" s="54"/>
      <c r="AW235" s="57"/>
      <c r="AX235" s="54"/>
      <c r="AY235" s="54"/>
      <c r="AZ235" s="54"/>
      <c r="BA235" s="54"/>
    </row>
    <row r="236" spans="1:77" x14ac:dyDescent="0.2">
      <c r="AT236" s="54"/>
      <c r="AU236" s="54"/>
      <c r="AV236" s="54"/>
      <c r="AW236" s="57"/>
      <c r="AX236" s="54"/>
      <c r="AY236" s="54"/>
      <c r="AZ236" s="54"/>
      <c r="BA236" s="54"/>
    </row>
    <row r="237" spans="1:77" x14ac:dyDescent="0.2">
      <c r="AT237" s="54"/>
      <c r="AU237" s="54"/>
      <c r="AV237" s="54"/>
      <c r="AW237" s="57"/>
      <c r="AX237" s="54"/>
      <c r="AY237" s="54"/>
      <c r="AZ237" s="54"/>
      <c r="BA237" s="54"/>
    </row>
    <row r="238" spans="1:77" x14ac:dyDescent="0.2">
      <c r="AT238" s="54"/>
      <c r="AU238" s="54"/>
      <c r="AV238" s="54"/>
      <c r="AW238" s="57"/>
      <c r="AX238" s="54"/>
      <c r="AY238" s="54"/>
      <c r="AZ238" s="54"/>
      <c r="BA238" s="54"/>
    </row>
    <row r="239" spans="1:77" x14ac:dyDescent="0.2">
      <c r="AT239" s="54"/>
      <c r="AU239" s="54"/>
      <c r="AV239" s="54"/>
      <c r="AW239" s="57"/>
      <c r="AX239" s="54"/>
      <c r="AY239" s="54"/>
      <c r="AZ239" s="54"/>
      <c r="BA239" s="54"/>
    </row>
    <row r="240" spans="1:77" x14ac:dyDescent="0.2">
      <c r="AT240" s="54"/>
      <c r="AU240" s="54"/>
      <c r="AV240" s="54"/>
      <c r="AW240" s="57"/>
      <c r="AX240" s="54"/>
      <c r="AY240" s="54"/>
      <c r="AZ240" s="54"/>
      <c r="BA240" s="54"/>
    </row>
    <row r="241" spans="46:53" x14ac:dyDescent="0.2">
      <c r="AT241" s="54"/>
      <c r="AU241" s="54"/>
      <c r="AV241" s="54"/>
      <c r="AW241" s="57"/>
      <c r="AX241" s="54"/>
      <c r="AY241" s="54"/>
      <c r="AZ241" s="54"/>
      <c r="BA241" s="54"/>
    </row>
    <row r="242" spans="46:53" x14ac:dyDescent="0.2">
      <c r="AT242" s="54"/>
      <c r="AU242" s="54"/>
      <c r="AV242" s="54"/>
      <c r="AW242" s="57"/>
      <c r="AX242" s="54"/>
      <c r="AY242" s="54"/>
      <c r="AZ242" s="54"/>
      <c r="BA242" s="54"/>
    </row>
    <row r="243" spans="46:53" x14ac:dyDescent="0.2">
      <c r="AT243" s="54"/>
      <c r="AU243" s="54"/>
      <c r="AV243" s="54"/>
      <c r="AW243" s="57"/>
      <c r="AX243" s="54"/>
      <c r="AY243" s="54"/>
      <c r="AZ243" s="54"/>
      <c r="BA243" s="54"/>
    </row>
    <row r="244" spans="46:53" x14ac:dyDescent="0.2">
      <c r="AT244" s="54"/>
      <c r="AU244" s="54"/>
      <c r="AV244" s="54"/>
      <c r="AW244" s="57"/>
      <c r="AX244" s="54"/>
      <c r="AY244" s="54"/>
      <c r="AZ244" s="54"/>
      <c r="BA244" s="54"/>
    </row>
    <row r="245" spans="46:53" x14ac:dyDescent="0.2">
      <c r="AT245" s="54"/>
      <c r="AU245" s="54"/>
      <c r="AV245" s="54"/>
      <c r="AW245" s="57"/>
      <c r="AX245" s="54"/>
      <c r="AY245" s="54"/>
      <c r="AZ245" s="54"/>
      <c r="BA245" s="54"/>
    </row>
    <row r="246" spans="46:53" x14ac:dyDescent="0.2">
      <c r="AT246" s="54"/>
      <c r="AU246" s="54"/>
      <c r="AV246" s="54"/>
      <c r="AW246" s="57"/>
      <c r="AX246" s="54"/>
      <c r="AY246" s="54"/>
      <c r="AZ246" s="54"/>
      <c r="BA246" s="54"/>
    </row>
    <row r="247" spans="46:53" x14ac:dyDescent="0.2">
      <c r="AT247" s="54"/>
      <c r="AU247" s="54"/>
      <c r="AV247" s="54"/>
    </row>
    <row r="248" spans="46:53" x14ac:dyDescent="0.2">
      <c r="AT248" s="54"/>
      <c r="AU248" s="54"/>
      <c r="AV248" s="54"/>
      <c r="AW248" s="65"/>
      <c r="AX248" s="62"/>
      <c r="AY248" s="62"/>
      <c r="AZ248" s="62"/>
      <c r="BA248" s="62"/>
    </row>
    <row r="249" spans="46:53" x14ac:dyDescent="0.2">
      <c r="AT249" s="54"/>
      <c r="AU249" s="54"/>
      <c r="AV249" s="54"/>
      <c r="AW249" s="65"/>
      <c r="AX249" s="62"/>
      <c r="AY249" s="62"/>
      <c r="AZ249" s="62"/>
      <c r="BA249" s="62"/>
    </row>
    <row r="250" spans="46:53" x14ac:dyDescent="0.2">
      <c r="AT250" s="54"/>
      <c r="AU250" s="54"/>
      <c r="AV250" s="54"/>
      <c r="AW250" s="65"/>
      <c r="AX250" s="62"/>
      <c r="AY250" s="62"/>
      <c r="AZ250" s="62"/>
      <c r="BA250" s="62"/>
    </row>
    <row r="251" spans="46:53" x14ac:dyDescent="0.2">
      <c r="AT251" s="54"/>
      <c r="AU251" s="54"/>
      <c r="AV251" s="54"/>
      <c r="AW251" s="65"/>
      <c r="AX251" s="62"/>
      <c r="AY251" s="62"/>
      <c r="AZ251" s="62"/>
      <c r="BA251" s="62"/>
    </row>
    <row r="252" spans="46:53" x14ac:dyDescent="0.2">
      <c r="AT252" s="54"/>
      <c r="AU252" s="54"/>
      <c r="AV252" s="54"/>
      <c r="AW252" s="65"/>
      <c r="AX252" s="62"/>
      <c r="AY252" s="62"/>
      <c r="AZ252" s="62"/>
      <c r="BA252" s="62"/>
    </row>
    <row r="253" spans="46:53" x14ac:dyDescent="0.2">
      <c r="AT253" s="54"/>
      <c r="AU253" s="54"/>
      <c r="AV253" s="54"/>
      <c r="AW253" s="65"/>
      <c r="AX253" s="62"/>
      <c r="AY253" s="62"/>
      <c r="AZ253" s="62"/>
      <c r="BA253" s="62"/>
    </row>
    <row r="254" spans="46:53" x14ac:dyDescent="0.2">
      <c r="AT254" s="54"/>
      <c r="AU254" s="54"/>
      <c r="AV254" s="54"/>
      <c r="AW254" s="65"/>
      <c r="AX254" s="62"/>
      <c r="AY254" s="62"/>
      <c r="AZ254" s="62"/>
      <c r="BA254" s="62"/>
    </row>
    <row r="255" spans="46:53" x14ac:dyDescent="0.2">
      <c r="AT255" s="54"/>
      <c r="AU255" s="54"/>
      <c r="AV255" s="54"/>
      <c r="AW255" s="65"/>
      <c r="AX255" s="62"/>
      <c r="AY255" s="62"/>
      <c r="AZ255" s="62"/>
      <c r="BA255" s="62"/>
    </row>
    <row r="256" spans="46:53" x14ac:dyDescent="0.2">
      <c r="AT256" s="54"/>
      <c r="AU256" s="54"/>
      <c r="AV256" s="54"/>
      <c r="AW256" s="72"/>
      <c r="AX256" s="71"/>
      <c r="AY256" s="71"/>
      <c r="AZ256" s="71"/>
      <c r="BA256" s="71"/>
    </row>
    <row r="257" spans="46:53" x14ac:dyDescent="0.2">
      <c r="AT257" s="54"/>
      <c r="AU257" s="54"/>
      <c r="AV257" s="54"/>
      <c r="AW257" s="78"/>
      <c r="AX257" s="77"/>
      <c r="AY257" s="77"/>
      <c r="AZ257" s="77"/>
      <c r="BA257" s="77"/>
    </row>
    <row r="258" spans="46:53" x14ac:dyDescent="0.2">
      <c r="AT258" s="54"/>
      <c r="AU258" s="54"/>
      <c r="AV258" s="54"/>
      <c r="AW258" s="78"/>
      <c r="AX258" s="77"/>
      <c r="AY258" s="77"/>
      <c r="AZ258" s="77"/>
      <c r="BA258" s="77"/>
    </row>
    <row r="259" spans="46:53" x14ac:dyDescent="0.2">
      <c r="AT259" s="54"/>
      <c r="AU259" s="54"/>
      <c r="AV259" s="54"/>
      <c r="AW259" s="65"/>
      <c r="AX259" s="62"/>
      <c r="AY259" s="62"/>
      <c r="AZ259" s="62"/>
      <c r="BA259" s="62"/>
    </row>
    <row r="260" spans="46:53" x14ac:dyDescent="0.2">
      <c r="AT260" s="62"/>
      <c r="AU260" s="62"/>
      <c r="AV260" s="62"/>
      <c r="AW260" s="65"/>
      <c r="AX260" s="62"/>
      <c r="AY260" s="62"/>
      <c r="AZ260" s="62"/>
      <c r="BA260" s="62"/>
    </row>
    <row r="261" spans="46:53" x14ac:dyDescent="0.2">
      <c r="AT261" s="62"/>
      <c r="AU261" s="62"/>
      <c r="AV261" s="62"/>
    </row>
    <row r="286" spans="46:53" x14ac:dyDescent="0.2">
      <c r="AT286" s="54"/>
      <c r="AU286" s="54"/>
      <c r="AV286" s="54"/>
      <c r="AW286" s="57"/>
      <c r="AX286" s="54"/>
      <c r="AY286" s="54"/>
      <c r="AZ286" s="54"/>
      <c r="BA286" s="54"/>
    </row>
    <row r="287" spans="46:53" x14ac:dyDescent="0.2">
      <c r="AT287" s="54"/>
      <c r="AU287" s="54"/>
      <c r="AV287" s="54"/>
      <c r="AW287" s="57"/>
      <c r="AX287" s="54"/>
      <c r="AY287" s="54"/>
      <c r="AZ287" s="54"/>
      <c r="BA287" s="54"/>
    </row>
    <row r="288" spans="46:53" x14ac:dyDescent="0.2">
      <c r="AT288" s="54"/>
      <c r="AU288" s="54"/>
      <c r="AV288" s="54"/>
      <c r="AW288" s="57"/>
      <c r="AX288" s="54"/>
      <c r="AY288" s="54"/>
      <c r="AZ288" s="54"/>
      <c r="BA288" s="54"/>
    </row>
    <row r="289" spans="46:53" x14ac:dyDescent="0.2">
      <c r="AT289" s="54"/>
      <c r="AU289" s="54"/>
      <c r="AV289" s="54"/>
      <c r="AW289" s="57"/>
      <c r="AX289" s="54"/>
      <c r="AY289" s="54"/>
      <c r="AZ289" s="54"/>
      <c r="BA289" s="54"/>
    </row>
    <row r="290" spans="46:53" x14ac:dyDescent="0.2">
      <c r="AT290" s="54"/>
      <c r="AU290" s="54"/>
      <c r="AV290" s="54"/>
      <c r="AW290" s="57"/>
      <c r="AX290" s="54"/>
      <c r="AY290" s="54"/>
      <c r="AZ290" s="54"/>
      <c r="BA290" s="54"/>
    </row>
    <row r="291" spans="46:53" x14ac:dyDescent="0.2">
      <c r="AT291" s="54"/>
      <c r="AU291" s="54"/>
      <c r="AV291" s="54"/>
      <c r="AW291" s="57"/>
      <c r="AX291" s="54"/>
      <c r="AY291" s="54"/>
      <c r="AZ291" s="54"/>
      <c r="BA291" s="54"/>
    </row>
    <row r="292" spans="46:53" x14ac:dyDescent="0.2">
      <c r="AT292" s="54"/>
      <c r="AU292" s="54"/>
      <c r="AV292" s="54"/>
      <c r="AW292" s="57"/>
      <c r="AX292" s="54"/>
      <c r="AY292" s="54"/>
      <c r="AZ292" s="54"/>
      <c r="BA292" s="54"/>
    </row>
    <row r="293" spans="46:53" x14ac:dyDescent="0.2">
      <c r="AT293" s="54"/>
      <c r="AU293" s="54"/>
      <c r="AV293" s="54"/>
      <c r="AW293" s="57"/>
      <c r="AX293" s="54"/>
      <c r="AY293" s="54"/>
      <c r="AZ293" s="54"/>
      <c r="BA293" s="54"/>
    </row>
    <row r="294" spans="46:53" x14ac:dyDescent="0.2">
      <c r="AT294" s="54"/>
      <c r="AU294" s="54"/>
      <c r="AV294" s="54"/>
      <c r="AW294" s="57"/>
      <c r="AX294" s="54"/>
      <c r="AY294" s="54"/>
      <c r="AZ294" s="54"/>
      <c r="BA294" s="54"/>
    </row>
    <row r="295" spans="46:53" x14ac:dyDescent="0.2">
      <c r="AT295" s="54"/>
      <c r="AU295" s="54"/>
      <c r="AV295" s="54"/>
      <c r="AW295" s="57"/>
      <c r="AX295" s="54"/>
      <c r="AY295" s="54"/>
      <c r="AZ295" s="54"/>
      <c r="BA295" s="54"/>
    </row>
    <row r="296" spans="46:53" x14ac:dyDescent="0.2">
      <c r="AT296" s="54"/>
      <c r="AU296" s="54"/>
      <c r="AV296" s="54"/>
      <c r="AW296" s="57"/>
      <c r="AX296" s="54"/>
      <c r="AY296" s="54"/>
      <c r="AZ296" s="54"/>
      <c r="BA296" s="54"/>
    </row>
    <row r="297" spans="46:53" x14ac:dyDescent="0.2">
      <c r="AT297" s="54"/>
      <c r="AU297" s="54"/>
      <c r="AV297" s="54"/>
      <c r="AW297" s="57"/>
      <c r="AX297" s="54"/>
      <c r="AY297" s="54"/>
      <c r="AZ297" s="54"/>
      <c r="BA297" s="54"/>
    </row>
    <row r="298" spans="46:53" x14ac:dyDescent="0.2">
      <c r="AT298" s="54"/>
      <c r="AU298" s="54"/>
      <c r="AV298" s="54"/>
      <c r="AW298" s="57"/>
      <c r="AX298" s="54"/>
      <c r="AY298" s="54"/>
      <c r="AZ298" s="54"/>
      <c r="BA298" s="54"/>
    </row>
    <row r="299" spans="46:53" x14ac:dyDescent="0.2">
      <c r="AT299" s="54"/>
      <c r="AU299" s="54"/>
      <c r="AV299" s="54"/>
      <c r="AW299" s="57"/>
      <c r="AX299" s="54"/>
      <c r="AY299" s="54"/>
      <c r="AZ299" s="54"/>
      <c r="BA299" s="54"/>
    </row>
    <row r="300" spans="46:53" x14ac:dyDescent="0.2">
      <c r="AT300" s="54"/>
      <c r="AU300" s="54"/>
      <c r="AV300" s="54"/>
      <c r="AW300" s="57"/>
      <c r="AX300" s="54"/>
      <c r="AY300" s="54"/>
      <c r="AZ300" s="54"/>
      <c r="BA300" s="54"/>
    </row>
    <row r="301" spans="46:53" x14ac:dyDescent="0.2">
      <c r="AT301" s="54"/>
      <c r="AU301" s="54"/>
      <c r="AV301" s="54"/>
      <c r="AW301" s="57"/>
      <c r="AX301" s="54"/>
      <c r="AY301" s="54"/>
      <c r="AZ301" s="54"/>
      <c r="BA301" s="54"/>
    </row>
    <row r="302" spans="46:53" x14ac:dyDescent="0.2">
      <c r="AT302" s="54"/>
      <c r="AU302" s="54"/>
      <c r="AV302" s="54"/>
      <c r="AW302" s="57"/>
      <c r="AX302" s="54"/>
      <c r="AY302" s="54"/>
      <c r="AZ302" s="54"/>
      <c r="BA302" s="54"/>
    </row>
    <row r="303" spans="46:53" x14ac:dyDescent="0.2">
      <c r="AT303" s="54"/>
      <c r="AU303" s="54"/>
      <c r="AV303" s="54"/>
      <c r="AW303" s="57"/>
      <c r="AX303" s="54"/>
      <c r="AY303" s="54"/>
      <c r="AZ303" s="54"/>
      <c r="BA303" s="54"/>
    </row>
    <row r="304" spans="46:53" x14ac:dyDescent="0.2">
      <c r="AT304" s="54"/>
      <c r="AU304" s="54"/>
      <c r="AV304" s="54"/>
      <c r="AW304" s="57"/>
      <c r="AX304" s="54"/>
      <c r="AY304" s="54"/>
      <c r="AZ304" s="54"/>
      <c r="BA304" s="54"/>
    </row>
    <row r="305" spans="46:53" x14ac:dyDescent="0.2">
      <c r="AT305" s="54"/>
      <c r="AU305" s="54"/>
      <c r="AV305" s="54"/>
      <c r="AW305" s="57"/>
      <c r="AX305" s="54"/>
      <c r="AY305" s="54"/>
      <c r="AZ305" s="54"/>
      <c r="BA305" s="54"/>
    </row>
    <row r="306" spans="46:53" x14ac:dyDescent="0.2">
      <c r="AT306" s="54"/>
      <c r="AU306" s="54"/>
      <c r="AV306" s="54"/>
      <c r="AW306" s="57"/>
      <c r="AX306" s="54"/>
      <c r="AY306" s="54"/>
      <c r="AZ306" s="54"/>
      <c r="BA306" s="54"/>
    </row>
    <row r="307" spans="46:53" x14ac:dyDescent="0.2">
      <c r="AT307" s="54"/>
      <c r="AU307" s="54"/>
      <c r="AV307" s="54"/>
      <c r="AW307" s="57"/>
      <c r="AX307" s="54"/>
      <c r="AY307" s="54"/>
      <c r="AZ307" s="54"/>
      <c r="BA307" s="54"/>
    </row>
    <row r="308" spans="46:53" x14ac:dyDescent="0.2">
      <c r="AT308" s="54"/>
      <c r="AU308" s="54"/>
      <c r="AV308" s="54"/>
      <c r="AW308" s="57"/>
      <c r="AX308" s="54"/>
      <c r="AY308" s="54"/>
      <c r="AZ308" s="54"/>
      <c r="BA308" s="54"/>
    </row>
    <row r="309" spans="46:53" x14ac:dyDescent="0.2">
      <c r="AT309" s="54"/>
      <c r="AU309" s="54"/>
      <c r="AV309" s="54"/>
      <c r="AW309" s="57"/>
      <c r="AX309" s="54"/>
      <c r="AY309" s="54"/>
      <c r="AZ309" s="54"/>
      <c r="BA309" s="54"/>
    </row>
    <row r="310" spans="46:53" x14ac:dyDescent="0.2">
      <c r="AT310" s="54"/>
      <c r="AU310" s="54"/>
      <c r="AV310" s="54"/>
      <c r="AW310" s="57"/>
      <c r="AX310" s="54"/>
      <c r="AY310" s="54"/>
      <c r="AZ310" s="54"/>
      <c r="BA310" s="54"/>
    </row>
    <row r="311" spans="46:53" x14ac:dyDescent="0.2">
      <c r="AT311" s="54"/>
      <c r="AU311" s="54"/>
      <c r="AV311" s="54"/>
      <c r="AW311" s="57"/>
      <c r="AX311" s="54"/>
      <c r="AY311" s="54"/>
      <c r="AZ311" s="54"/>
      <c r="BA311" s="54"/>
    </row>
    <row r="312" spans="46:53" x14ac:dyDescent="0.2">
      <c r="AT312" s="54"/>
      <c r="AU312" s="54"/>
      <c r="AV312" s="54"/>
      <c r="AW312" s="57"/>
      <c r="AX312" s="54"/>
      <c r="AY312" s="54"/>
      <c r="AZ312" s="54"/>
      <c r="BA312" s="54"/>
    </row>
    <row r="313" spans="46:53" x14ac:dyDescent="0.2">
      <c r="AT313" s="54"/>
      <c r="AU313" s="54"/>
      <c r="AV313" s="54"/>
      <c r="AW313" s="57"/>
      <c r="AX313" s="54"/>
      <c r="AY313" s="54"/>
      <c r="AZ313" s="54"/>
      <c r="BA313" s="54"/>
    </row>
    <row r="314" spans="46:53" x14ac:dyDescent="0.2">
      <c r="AT314" s="54"/>
      <c r="AU314" s="54"/>
      <c r="AV314" s="54"/>
      <c r="AW314" s="57"/>
      <c r="AX314" s="54"/>
      <c r="AY314" s="54"/>
      <c r="AZ314" s="54"/>
      <c r="BA314" s="54"/>
    </row>
    <row r="315" spans="46:53" x14ac:dyDescent="0.2">
      <c r="AT315" s="54"/>
      <c r="AU315" s="54"/>
      <c r="AV315" s="54"/>
      <c r="AW315" s="57"/>
      <c r="AX315" s="54"/>
      <c r="AY315" s="54"/>
      <c r="AZ315" s="54"/>
      <c r="BA315" s="54"/>
    </row>
    <row r="316" spans="46:53" x14ac:dyDescent="0.2">
      <c r="AT316" s="54"/>
      <c r="AU316" s="54"/>
      <c r="AV316" s="54"/>
      <c r="AW316" s="57"/>
      <c r="AX316" s="54"/>
      <c r="AY316" s="54"/>
      <c r="AZ316" s="54"/>
      <c r="BA316" s="54"/>
    </row>
    <row r="317" spans="46:53" x14ac:dyDescent="0.2">
      <c r="AT317" s="54"/>
      <c r="AU317" s="54"/>
      <c r="AV317" s="54"/>
      <c r="AW317" s="57"/>
      <c r="AX317" s="54"/>
      <c r="AY317" s="54"/>
      <c r="AZ317" s="54"/>
      <c r="BA317" s="54"/>
    </row>
    <row r="318" spans="46:53" x14ac:dyDescent="0.2">
      <c r="AT318" s="54"/>
      <c r="AU318" s="54"/>
      <c r="AV318" s="54"/>
      <c r="AW318" s="57"/>
      <c r="AX318" s="54"/>
      <c r="AY318" s="54"/>
      <c r="AZ318" s="54"/>
      <c r="BA318" s="54"/>
    </row>
    <row r="319" spans="46:53" x14ac:dyDescent="0.2">
      <c r="AT319" s="54"/>
      <c r="AU319" s="54"/>
      <c r="AV319" s="54"/>
      <c r="AW319" s="57"/>
      <c r="AX319" s="54"/>
      <c r="AY319" s="54"/>
      <c r="AZ319" s="54"/>
      <c r="BA319" s="54"/>
    </row>
    <row r="320" spans="46:53" x14ac:dyDescent="0.2">
      <c r="AT320" s="54"/>
      <c r="AU320" s="54"/>
      <c r="AV320" s="54"/>
      <c r="AW320" s="57"/>
      <c r="AX320" s="54"/>
      <c r="AY320" s="54"/>
      <c r="AZ320" s="54"/>
      <c r="BA320" s="54"/>
    </row>
    <row r="321" spans="46:53" x14ac:dyDescent="0.2">
      <c r="AT321" s="54"/>
      <c r="AU321" s="54"/>
      <c r="AV321" s="54"/>
      <c r="AW321" s="57"/>
      <c r="AX321" s="54"/>
      <c r="AY321" s="54"/>
      <c r="AZ321" s="54"/>
      <c r="BA321" s="54"/>
    </row>
    <row r="322" spans="46:53" x14ac:dyDescent="0.2">
      <c r="AT322" s="54"/>
      <c r="AU322" s="54"/>
      <c r="AV322" s="54"/>
      <c r="AW322" s="57"/>
      <c r="AX322" s="54"/>
      <c r="AY322" s="54"/>
      <c r="AZ322" s="54"/>
      <c r="BA322" s="54"/>
    </row>
    <row r="323" spans="46:53" x14ac:dyDescent="0.2">
      <c r="AT323" s="54"/>
      <c r="AU323" s="54"/>
      <c r="AV323" s="54"/>
      <c r="AW323" s="57"/>
      <c r="AX323" s="54"/>
      <c r="AY323" s="54"/>
      <c r="AZ323" s="54"/>
      <c r="BA323" s="54"/>
    </row>
    <row r="324" spans="46:53" x14ac:dyDescent="0.2">
      <c r="AT324" s="54"/>
      <c r="AU324" s="54"/>
      <c r="AV324" s="54"/>
      <c r="AW324" s="57"/>
      <c r="AX324" s="54"/>
      <c r="AY324" s="54"/>
      <c r="AZ324" s="54"/>
      <c r="BA324" s="54"/>
    </row>
    <row r="325" spans="46:53" x14ac:dyDescent="0.2">
      <c r="AT325" s="54"/>
      <c r="AU325" s="54"/>
      <c r="AV325" s="54"/>
      <c r="AW325" s="57"/>
      <c r="AX325" s="54"/>
      <c r="AY325" s="54"/>
      <c r="AZ325" s="54"/>
      <c r="BA325" s="54"/>
    </row>
    <row r="326" spans="46:53" x14ac:dyDescent="0.2">
      <c r="AT326" s="54"/>
      <c r="AU326" s="54"/>
      <c r="AV326" s="54"/>
      <c r="AW326" s="57"/>
      <c r="AX326" s="54"/>
      <c r="AY326" s="54"/>
      <c r="AZ326" s="54"/>
      <c r="BA326" s="54"/>
    </row>
    <row r="327" spans="46:53" x14ac:dyDescent="0.2">
      <c r="AT327" s="54"/>
      <c r="AU327" s="54"/>
      <c r="AV327" s="54"/>
      <c r="AW327" s="57"/>
      <c r="AX327" s="54"/>
      <c r="AY327" s="54"/>
      <c r="AZ327" s="54"/>
      <c r="BA327" s="54"/>
    </row>
    <row r="328" spans="46:53" x14ac:dyDescent="0.2">
      <c r="AT328" s="54"/>
      <c r="AU328" s="54"/>
      <c r="AV328" s="54"/>
      <c r="AW328" s="57"/>
      <c r="AX328" s="54"/>
      <c r="AY328" s="54"/>
      <c r="AZ328" s="54"/>
      <c r="BA328" s="54"/>
    </row>
    <row r="329" spans="46:53" x14ac:dyDescent="0.2">
      <c r="AT329" s="54"/>
      <c r="AU329" s="54"/>
      <c r="AV329" s="54"/>
      <c r="AW329" s="57"/>
      <c r="AX329" s="54"/>
      <c r="AY329" s="54"/>
      <c r="AZ329" s="54"/>
      <c r="BA329" s="54"/>
    </row>
    <row r="330" spans="46:53" x14ac:dyDescent="0.2">
      <c r="AT330" s="54"/>
      <c r="AU330" s="54"/>
      <c r="AV330" s="54"/>
      <c r="AW330" s="57"/>
      <c r="AX330" s="54"/>
      <c r="AY330" s="54"/>
      <c r="AZ330" s="54"/>
      <c r="BA330" s="54"/>
    </row>
    <row r="331" spans="46:53" x14ac:dyDescent="0.2">
      <c r="AT331" s="54"/>
      <c r="AU331" s="54"/>
      <c r="AV331" s="54"/>
      <c r="AW331" s="57"/>
      <c r="AX331" s="54"/>
      <c r="AY331" s="54"/>
      <c r="AZ331" s="54"/>
      <c r="BA331" s="54"/>
    </row>
    <row r="332" spans="46:53" x14ac:dyDescent="0.2">
      <c r="AT332" s="62"/>
      <c r="AU332" s="62"/>
      <c r="AV332" s="62"/>
    </row>
    <row r="333" spans="46:53" x14ac:dyDescent="0.2">
      <c r="AT333" s="62"/>
      <c r="AU333" s="62"/>
      <c r="AV333" s="62"/>
      <c r="AW333" s="65"/>
      <c r="AX333" s="62"/>
      <c r="AY333" s="62"/>
      <c r="AZ333" s="62"/>
      <c r="BA333" s="62"/>
    </row>
    <row r="334" spans="46:53" x14ac:dyDescent="0.2">
      <c r="AW334" s="65"/>
      <c r="AX334" s="62"/>
      <c r="AY334" s="62"/>
      <c r="AZ334" s="62"/>
      <c r="BA334" s="62"/>
    </row>
    <row r="335" spans="46:53" x14ac:dyDescent="0.2">
      <c r="AW335" s="65"/>
      <c r="AX335" s="62"/>
      <c r="AY335" s="62"/>
      <c r="AZ335" s="62"/>
      <c r="BA335" s="62"/>
    </row>
    <row r="336" spans="46:53" x14ac:dyDescent="0.2">
      <c r="AW336" s="65"/>
      <c r="AX336" s="62"/>
      <c r="AY336" s="62"/>
      <c r="AZ336" s="62"/>
      <c r="BA336" s="62"/>
    </row>
    <row r="337" spans="46:53" x14ac:dyDescent="0.2">
      <c r="AW337" s="65"/>
      <c r="AX337" s="62"/>
      <c r="AY337" s="62"/>
      <c r="AZ337" s="62"/>
      <c r="BA337" s="62"/>
    </row>
    <row r="338" spans="46:53" x14ac:dyDescent="0.2">
      <c r="AW338" s="65"/>
      <c r="AX338" s="62"/>
      <c r="AY338" s="62"/>
      <c r="AZ338" s="62"/>
      <c r="BA338" s="62"/>
    </row>
    <row r="339" spans="46:53" x14ac:dyDescent="0.2">
      <c r="AW339" s="65"/>
      <c r="AX339" s="62"/>
      <c r="AY339" s="62"/>
      <c r="AZ339" s="62"/>
      <c r="BA339" s="62"/>
    </row>
    <row r="340" spans="46:53" x14ac:dyDescent="0.2">
      <c r="AW340" s="65"/>
      <c r="AX340" s="62"/>
      <c r="AY340" s="62"/>
      <c r="AZ340" s="62"/>
      <c r="BA340" s="62"/>
    </row>
    <row r="341" spans="46:53" x14ac:dyDescent="0.2">
      <c r="AW341" s="72"/>
      <c r="AX341" s="71"/>
      <c r="AY341" s="71"/>
      <c r="AZ341" s="71"/>
      <c r="BA341" s="71"/>
    </row>
    <row r="342" spans="46:53" x14ac:dyDescent="0.2">
      <c r="AW342" s="78"/>
      <c r="AX342" s="77"/>
      <c r="AY342" s="77"/>
      <c r="AZ342" s="77"/>
      <c r="BA342" s="77"/>
    </row>
    <row r="343" spans="46:53" x14ac:dyDescent="0.2">
      <c r="AW343" s="78"/>
      <c r="AX343" s="77"/>
      <c r="AY343" s="77"/>
      <c r="AZ343" s="77"/>
      <c r="BA343" s="77"/>
    </row>
    <row r="344" spans="46:53" x14ac:dyDescent="0.2">
      <c r="AW344" s="65"/>
      <c r="AX344" s="62"/>
      <c r="AY344" s="62"/>
      <c r="AZ344" s="62"/>
      <c r="BA344" s="62"/>
    </row>
    <row r="345" spans="46:53" x14ac:dyDescent="0.2">
      <c r="AW345" s="65"/>
      <c r="AX345" s="62"/>
      <c r="AY345" s="62"/>
      <c r="AZ345" s="62"/>
      <c r="BA345" s="62"/>
    </row>
    <row r="348" spans="46:53" x14ac:dyDescent="0.2">
      <c r="AT348" s="95"/>
      <c r="AU348" s="95"/>
    </row>
    <row r="371" spans="46:53" x14ac:dyDescent="0.2">
      <c r="AW371" s="57"/>
      <c r="AX371" s="54"/>
      <c r="AY371" s="54"/>
      <c r="AZ371" s="54"/>
      <c r="BA371" s="54"/>
    </row>
    <row r="372" spans="46:53" x14ac:dyDescent="0.2">
      <c r="AW372" s="57"/>
      <c r="AX372" s="54"/>
      <c r="AY372" s="54"/>
      <c r="AZ372" s="54"/>
      <c r="BA372" s="54"/>
    </row>
    <row r="373" spans="46:53" x14ac:dyDescent="0.2">
      <c r="AW373" s="57"/>
      <c r="AX373" s="54"/>
      <c r="AY373" s="54"/>
      <c r="AZ373" s="54"/>
      <c r="BA373" s="54"/>
    </row>
    <row r="374" spans="46:53" x14ac:dyDescent="0.2">
      <c r="AW374" s="57"/>
      <c r="AX374" s="54"/>
      <c r="AY374" s="54"/>
      <c r="AZ374" s="54"/>
      <c r="BA374" s="54"/>
    </row>
    <row r="375" spans="46:53" x14ac:dyDescent="0.2">
      <c r="AW375" s="57"/>
      <c r="AX375" s="54"/>
      <c r="AY375" s="54"/>
      <c r="AZ375" s="54"/>
      <c r="BA375" s="54"/>
    </row>
    <row r="376" spans="46:53" x14ac:dyDescent="0.2">
      <c r="AW376" s="57"/>
      <c r="AX376" s="54"/>
      <c r="AY376" s="54"/>
      <c r="AZ376" s="54"/>
      <c r="BA376" s="54"/>
    </row>
    <row r="377" spans="46:53" x14ac:dyDescent="0.2">
      <c r="AW377" s="57"/>
      <c r="AX377" s="54"/>
      <c r="AY377" s="54"/>
      <c r="AZ377" s="54"/>
      <c r="BA377" s="54"/>
    </row>
    <row r="378" spans="46:53" x14ac:dyDescent="0.2">
      <c r="AW378" s="57"/>
      <c r="AX378" s="54"/>
      <c r="AY378" s="54"/>
      <c r="AZ378" s="54"/>
      <c r="BA378" s="54"/>
    </row>
    <row r="379" spans="46:53" x14ac:dyDescent="0.2">
      <c r="AW379" s="57"/>
      <c r="AX379" s="54"/>
      <c r="AY379" s="54"/>
      <c r="AZ379" s="54"/>
      <c r="BA379" s="54"/>
    </row>
    <row r="380" spans="46:53" x14ac:dyDescent="0.2">
      <c r="AW380" s="57"/>
      <c r="AX380" s="54"/>
      <c r="AY380" s="54"/>
      <c r="AZ380" s="54"/>
      <c r="BA380" s="54"/>
    </row>
    <row r="381" spans="46:53" x14ac:dyDescent="0.2">
      <c r="AW381" s="57"/>
      <c r="AX381" s="54"/>
      <c r="AY381" s="54"/>
      <c r="AZ381" s="54"/>
      <c r="BA381" s="54"/>
    </row>
    <row r="382" spans="46:53" x14ac:dyDescent="0.2">
      <c r="AW382" s="57"/>
      <c r="AX382" s="54"/>
      <c r="AY382" s="54"/>
      <c r="AZ382" s="54"/>
      <c r="BA382" s="54"/>
    </row>
    <row r="383" spans="46:53" x14ac:dyDescent="0.2">
      <c r="AW383" s="57"/>
      <c r="AX383" s="54"/>
      <c r="AY383" s="54"/>
      <c r="AZ383" s="54"/>
      <c r="BA383" s="54"/>
    </row>
    <row r="384" spans="46:53" x14ac:dyDescent="0.2">
      <c r="AT384" s="95"/>
      <c r="AU384" s="95"/>
      <c r="AW384" s="57"/>
      <c r="AX384" s="54"/>
      <c r="AY384" s="54"/>
      <c r="AZ384" s="54"/>
      <c r="BA384" s="54"/>
    </row>
    <row r="385" spans="49:53" x14ac:dyDescent="0.2">
      <c r="AW385" s="57"/>
      <c r="AX385" s="54"/>
      <c r="AY385" s="54"/>
      <c r="AZ385" s="54"/>
      <c r="BA385" s="54"/>
    </row>
    <row r="386" spans="49:53" x14ac:dyDescent="0.2">
      <c r="AW386" s="57"/>
      <c r="AX386" s="54"/>
      <c r="AY386" s="54"/>
      <c r="AZ386" s="54"/>
      <c r="BA386" s="54"/>
    </row>
    <row r="387" spans="49:53" x14ac:dyDescent="0.2">
      <c r="AW387" s="57"/>
      <c r="AX387" s="54"/>
      <c r="AY387" s="54"/>
      <c r="AZ387" s="54"/>
      <c r="BA387" s="54"/>
    </row>
    <row r="388" spans="49:53" x14ac:dyDescent="0.2">
      <c r="AW388" s="57"/>
      <c r="AX388" s="54"/>
      <c r="AY388" s="54"/>
      <c r="AZ388" s="54"/>
      <c r="BA388" s="54"/>
    </row>
    <row r="389" spans="49:53" x14ac:dyDescent="0.2">
      <c r="AW389" s="57"/>
      <c r="AX389" s="54"/>
      <c r="AY389" s="54"/>
      <c r="AZ389" s="54"/>
      <c r="BA389" s="54"/>
    </row>
    <row r="390" spans="49:53" x14ac:dyDescent="0.2">
      <c r="AW390" s="57"/>
      <c r="AX390" s="54"/>
      <c r="AY390" s="54"/>
      <c r="AZ390" s="54"/>
      <c r="BA390" s="54"/>
    </row>
    <row r="391" spans="49:53" x14ac:dyDescent="0.2">
      <c r="AW391" s="57"/>
      <c r="AX391" s="54"/>
      <c r="AY391" s="54"/>
      <c r="AZ391" s="54"/>
      <c r="BA391" s="54"/>
    </row>
    <row r="392" spans="49:53" x14ac:dyDescent="0.2">
      <c r="AW392" s="57"/>
      <c r="AX392" s="54"/>
      <c r="AY392" s="54"/>
      <c r="AZ392" s="54"/>
      <c r="BA392" s="54"/>
    </row>
    <row r="393" spans="49:53" x14ac:dyDescent="0.2">
      <c r="AW393" s="57"/>
      <c r="AX393" s="54"/>
      <c r="AY393" s="54"/>
      <c r="AZ393" s="54"/>
      <c r="BA393" s="54"/>
    </row>
    <row r="394" spans="49:53" x14ac:dyDescent="0.2">
      <c r="AW394" s="57"/>
      <c r="AX394" s="54"/>
      <c r="AY394" s="54"/>
      <c r="AZ394" s="54"/>
      <c r="BA394" s="54"/>
    </row>
    <row r="395" spans="49:53" x14ac:dyDescent="0.2">
      <c r="AW395" s="57"/>
      <c r="AX395" s="54"/>
      <c r="AY395" s="54"/>
      <c r="AZ395" s="54"/>
      <c r="BA395" s="54"/>
    </row>
    <row r="396" spans="49:53" x14ac:dyDescent="0.2">
      <c r="AW396" s="57"/>
      <c r="AX396" s="54"/>
      <c r="AY396" s="54"/>
      <c r="AZ396" s="54"/>
      <c r="BA396" s="54"/>
    </row>
    <row r="397" spans="49:53" x14ac:dyDescent="0.2">
      <c r="AW397" s="57"/>
      <c r="AX397" s="54"/>
      <c r="AY397" s="54"/>
      <c r="AZ397" s="54"/>
      <c r="BA397" s="54"/>
    </row>
    <row r="398" spans="49:53" x14ac:dyDescent="0.2">
      <c r="AW398" s="57"/>
      <c r="AX398" s="54"/>
      <c r="AY398" s="54"/>
      <c r="AZ398" s="54"/>
      <c r="BA398" s="54"/>
    </row>
    <row r="399" spans="49:53" x14ac:dyDescent="0.2">
      <c r="AW399" s="57"/>
      <c r="AX399" s="54"/>
      <c r="AY399" s="54"/>
      <c r="AZ399" s="54"/>
      <c r="BA399" s="54"/>
    </row>
    <row r="400" spans="49:53" x14ac:dyDescent="0.2">
      <c r="AW400" s="57"/>
      <c r="AX400" s="54"/>
      <c r="AY400" s="54"/>
      <c r="AZ400" s="54"/>
      <c r="BA400" s="54"/>
    </row>
    <row r="401" spans="49:53" x14ac:dyDescent="0.2">
      <c r="AW401" s="57"/>
      <c r="AX401" s="54"/>
      <c r="AY401" s="54"/>
      <c r="AZ401" s="54"/>
      <c r="BA401" s="54"/>
    </row>
    <row r="402" spans="49:53" x14ac:dyDescent="0.2">
      <c r="AW402" s="57"/>
      <c r="AX402" s="54"/>
      <c r="AY402" s="54"/>
      <c r="AZ402" s="54"/>
      <c r="BA402" s="54"/>
    </row>
    <row r="403" spans="49:53" x14ac:dyDescent="0.2">
      <c r="AW403" s="57"/>
      <c r="AX403" s="54"/>
      <c r="AY403" s="54"/>
      <c r="AZ403" s="54"/>
      <c r="BA403" s="54"/>
    </row>
    <row r="404" spans="49:53" x14ac:dyDescent="0.2">
      <c r="AW404" s="57"/>
      <c r="AX404" s="54"/>
      <c r="AY404" s="54"/>
      <c r="AZ404" s="54"/>
      <c r="BA404" s="54"/>
    </row>
    <row r="405" spans="49:53" x14ac:dyDescent="0.2">
      <c r="AW405" s="57"/>
      <c r="AX405" s="54"/>
      <c r="AY405" s="54"/>
      <c r="AZ405" s="54"/>
      <c r="BA405" s="54"/>
    </row>
    <row r="406" spans="49:53" x14ac:dyDescent="0.2">
      <c r="AW406" s="57"/>
      <c r="AX406" s="54"/>
      <c r="AY406" s="54"/>
      <c r="AZ406" s="54"/>
      <c r="BA406" s="54"/>
    </row>
    <row r="407" spans="49:53" x14ac:dyDescent="0.2">
      <c r="AW407" s="57"/>
      <c r="AX407" s="54"/>
      <c r="AY407" s="54"/>
      <c r="AZ407" s="54"/>
      <c r="BA407" s="54"/>
    </row>
    <row r="408" spans="49:53" x14ac:dyDescent="0.2">
      <c r="AW408" s="57"/>
      <c r="AX408" s="54"/>
      <c r="AY408" s="54"/>
      <c r="AZ408" s="54"/>
      <c r="BA408" s="54"/>
    </row>
    <row r="409" spans="49:53" x14ac:dyDescent="0.2">
      <c r="AW409" s="57"/>
      <c r="AX409" s="54"/>
      <c r="AY409" s="54"/>
      <c r="AZ409" s="54"/>
      <c r="BA409" s="54"/>
    </row>
    <row r="410" spans="49:53" x14ac:dyDescent="0.2">
      <c r="AW410" s="57"/>
      <c r="AX410" s="54"/>
      <c r="AY410" s="54"/>
      <c r="AZ410" s="54"/>
      <c r="BA410" s="54"/>
    </row>
    <row r="411" spans="49:53" x14ac:dyDescent="0.2">
      <c r="AW411" s="57"/>
      <c r="AX411" s="54"/>
      <c r="AY411" s="54"/>
      <c r="AZ411" s="54"/>
      <c r="BA411" s="54"/>
    </row>
    <row r="412" spans="49:53" x14ac:dyDescent="0.2">
      <c r="AW412" s="57"/>
      <c r="AX412" s="54"/>
      <c r="AY412" s="54"/>
      <c r="AZ412" s="54"/>
      <c r="BA412" s="54"/>
    </row>
    <row r="413" spans="49:53" x14ac:dyDescent="0.2">
      <c r="AW413" s="57"/>
      <c r="AX413" s="54"/>
      <c r="AY413" s="54"/>
      <c r="AZ413" s="54"/>
      <c r="BA413" s="54"/>
    </row>
    <row r="414" spans="49:53" x14ac:dyDescent="0.2">
      <c r="AW414" s="57"/>
      <c r="AX414" s="54"/>
      <c r="AY414" s="54"/>
      <c r="AZ414" s="54"/>
      <c r="BA414" s="54"/>
    </row>
    <row r="415" spans="49:53" x14ac:dyDescent="0.2">
      <c r="AW415" s="57"/>
      <c r="AX415" s="54"/>
      <c r="AY415" s="54"/>
      <c r="AZ415" s="54"/>
      <c r="BA415" s="54"/>
    </row>
    <row r="416" spans="49:53" x14ac:dyDescent="0.2">
      <c r="AW416" s="57"/>
      <c r="AX416" s="54"/>
      <c r="AY416" s="54"/>
      <c r="AZ416" s="54"/>
      <c r="BA416" s="54"/>
    </row>
    <row r="418" spans="49:53" x14ac:dyDescent="0.2">
      <c r="AW418" s="65"/>
      <c r="AX418" s="62"/>
      <c r="AY418" s="62"/>
      <c r="AZ418" s="62"/>
      <c r="BA418" s="62"/>
    </row>
    <row r="419" spans="49:53" x14ac:dyDescent="0.2">
      <c r="AW419" s="65"/>
      <c r="AX419" s="62"/>
      <c r="AY419" s="62"/>
      <c r="AZ419" s="62"/>
      <c r="BA419" s="62"/>
    </row>
    <row r="420" spans="49:53" x14ac:dyDescent="0.2">
      <c r="AW420" s="65"/>
      <c r="AX420" s="62"/>
      <c r="AY420" s="62"/>
      <c r="AZ420" s="62"/>
      <c r="BA420" s="62"/>
    </row>
    <row r="421" spans="49:53" x14ac:dyDescent="0.2">
      <c r="AW421" s="65"/>
      <c r="AX421" s="62"/>
      <c r="AY421" s="62"/>
      <c r="AZ421" s="62"/>
      <c r="BA421" s="62"/>
    </row>
    <row r="422" spans="49:53" x14ac:dyDescent="0.2">
      <c r="AW422" s="65"/>
      <c r="AX422" s="62"/>
      <c r="AY422" s="62"/>
      <c r="AZ422" s="62"/>
      <c r="BA422" s="62"/>
    </row>
    <row r="423" spans="49:53" x14ac:dyDescent="0.2">
      <c r="AW423" s="65"/>
      <c r="AX423" s="62"/>
      <c r="AY423" s="62"/>
      <c r="AZ423" s="62"/>
      <c r="BA423" s="62"/>
    </row>
    <row r="424" spans="49:53" x14ac:dyDescent="0.2">
      <c r="AW424" s="65"/>
      <c r="AX424" s="62"/>
      <c r="AY424" s="62"/>
      <c r="AZ424" s="62"/>
      <c r="BA424" s="62"/>
    </row>
    <row r="425" spans="49:53" x14ac:dyDescent="0.2">
      <c r="AW425" s="65"/>
      <c r="AX425" s="62"/>
      <c r="AY425" s="62"/>
      <c r="AZ425" s="62"/>
      <c r="BA425" s="62"/>
    </row>
    <row r="426" spans="49:53" x14ac:dyDescent="0.2">
      <c r="AW426" s="72"/>
      <c r="AX426" s="71"/>
      <c r="AY426" s="71"/>
      <c r="AZ426" s="71"/>
      <c r="BA426" s="71"/>
    </row>
    <row r="427" spans="49:53" x14ac:dyDescent="0.2">
      <c r="AW427" s="78"/>
      <c r="AX427" s="77"/>
      <c r="AY427" s="77"/>
      <c r="AZ427" s="77"/>
      <c r="BA427" s="77"/>
    </row>
    <row r="428" spans="49:53" x14ac:dyDescent="0.2">
      <c r="AW428" s="78"/>
      <c r="AX428" s="77"/>
      <c r="AY428" s="77"/>
      <c r="AZ428" s="77"/>
      <c r="BA428" s="77"/>
    </row>
    <row r="429" spans="49:53" x14ac:dyDescent="0.2">
      <c r="AW429" s="65"/>
      <c r="AX429" s="62"/>
      <c r="AY429" s="62"/>
      <c r="AZ429" s="62"/>
      <c r="BA429" s="62"/>
    </row>
    <row r="430" spans="49:53" x14ac:dyDescent="0.2">
      <c r="AW430" s="65"/>
      <c r="AX430" s="62"/>
      <c r="AY430" s="62"/>
      <c r="AZ430" s="62"/>
      <c r="BA430" s="62"/>
    </row>
    <row r="488" spans="49:49" x14ac:dyDescent="0.2">
      <c r="AW488" s="4"/>
    </row>
    <row r="489" spans="49:49" x14ac:dyDescent="0.2">
      <c r="AW489" s="4"/>
    </row>
    <row r="490" spans="49:49" x14ac:dyDescent="0.2">
      <c r="AW490" s="4"/>
    </row>
    <row r="491" spans="49:49" x14ac:dyDescent="0.2">
      <c r="AW491" s="4"/>
    </row>
    <row r="492" spans="49:49" x14ac:dyDescent="0.2">
      <c r="AW492" s="4"/>
    </row>
    <row r="493" spans="49:49" x14ac:dyDescent="0.2">
      <c r="AW493" s="4"/>
    </row>
    <row r="494" spans="49:49" x14ac:dyDescent="0.2">
      <c r="AW494" s="4"/>
    </row>
    <row r="495" spans="49:49" x14ac:dyDescent="0.2">
      <c r="AW495" s="4"/>
    </row>
    <row r="496" spans="49:49" x14ac:dyDescent="0.2">
      <c r="AW496" s="4"/>
    </row>
    <row r="542" spans="49:49" x14ac:dyDescent="0.2">
      <c r="AW542" s="4"/>
    </row>
    <row r="543" spans="49:49" x14ac:dyDescent="0.2">
      <c r="AW543" s="4"/>
    </row>
    <row r="544" spans="49:49" x14ac:dyDescent="0.2">
      <c r="AW544" s="4"/>
    </row>
    <row r="545" spans="49:49" x14ac:dyDescent="0.2">
      <c r="AW545" s="4"/>
    </row>
    <row r="546" spans="49:49" x14ac:dyDescent="0.2">
      <c r="AW546" s="4"/>
    </row>
    <row r="547" spans="49:49" x14ac:dyDescent="0.2">
      <c r="AW547" s="4"/>
    </row>
    <row r="548" spans="49:49" x14ac:dyDescent="0.2">
      <c r="AW548" s="4"/>
    </row>
    <row r="549" spans="49:49" x14ac:dyDescent="0.2">
      <c r="AW549" s="4"/>
    </row>
    <row r="550" spans="49:49" x14ac:dyDescent="0.2">
      <c r="AW550" s="4"/>
    </row>
    <row r="596" spans="49:49" x14ac:dyDescent="0.2">
      <c r="AW596" s="4"/>
    </row>
    <row r="597" spans="49:49" x14ac:dyDescent="0.2">
      <c r="AW597" s="4"/>
    </row>
    <row r="598" spans="49:49" x14ac:dyDescent="0.2">
      <c r="AW598" s="4"/>
    </row>
    <row r="599" spans="49:49" x14ac:dyDescent="0.2">
      <c r="AW599" s="4"/>
    </row>
    <row r="600" spans="49:49" x14ac:dyDescent="0.2">
      <c r="AW600" s="4"/>
    </row>
    <row r="601" spans="49:49" x14ac:dyDescent="0.2">
      <c r="AW601" s="4"/>
    </row>
    <row r="602" spans="49:49" x14ac:dyDescent="0.2">
      <c r="AW602" s="4"/>
    </row>
    <row r="603" spans="49:49" x14ac:dyDescent="0.2">
      <c r="AW603" s="4"/>
    </row>
    <row r="604" spans="49:49" x14ac:dyDescent="0.2">
      <c r="AW604" s="4"/>
    </row>
    <row r="650" spans="49:49" x14ac:dyDescent="0.2">
      <c r="AW650" s="4"/>
    </row>
    <row r="651" spans="49:49" x14ac:dyDescent="0.2">
      <c r="AW651" s="4"/>
    </row>
    <row r="652" spans="49:49" x14ac:dyDescent="0.2">
      <c r="AW652" s="4"/>
    </row>
    <row r="653" spans="49:49" x14ac:dyDescent="0.2">
      <c r="AW653" s="4"/>
    </row>
    <row r="654" spans="49:49" x14ac:dyDescent="0.2">
      <c r="AW654" s="4"/>
    </row>
    <row r="655" spans="49:49" x14ac:dyDescent="0.2">
      <c r="AW655" s="4"/>
    </row>
    <row r="656" spans="49:49" x14ac:dyDescent="0.2">
      <c r="AW656" s="4"/>
    </row>
    <row r="657" spans="49:49" x14ac:dyDescent="0.2">
      <c r="AW657" s="4"/>
    </row>
    <row r="658" spans="49:49" x14ac:dyDescent="0.2">
      <c r="AW658" s="4"/>
    </row>
  </sheetData>
  <sheetProtection sheet="1" objects="1" scenarios="1" formatCells="0" selectLockedCells="1"/>
  <mergeCells count="431">
    <mergeCell ref="T233:V233"/>
    <mergeCell ref="A234:M234"/>
    <mergeCell ref="V234:AG234"/>
    <mergeCell ref="T221:V221"/>
    <mergeCell ref="T222:V222"/>
    <mergeCell ref="K223:N225"/>
    <mergeCell ref="AF223:AG225"/>
    <mergeCell ref="T231:V231"/>
    <mergeCell ref="T232:V232"/>
    <mergeCell ref="AC217:AE217"/>
    <mergeCell ref="K218:N218"/>
    <mergeCell ref="T218:V218"/>
    <mergeCell ref="AF218:AG218"/>
    <mergeCell ref="T219:V219"/>
    <mergeCell ref="T220:V220"/>
    <mergeCell ref="B217:D217"/>
    <mergeCell ref="E217:G217"/>
    <mergeCell ref="H217:J217"/>
    <mergeCell ref="T217:V217"/>
    <mergeCell ref="W217:Y217"/>
    <mergeCell ref="Z217:AB217"/>
    <mergeCell ref="Z215:AB215"/>
    <mergeCell ref="AC215:AE215"/>
    <mergeCell ref="AF215:AJ217"/>
    <mergeCell ref="B216:D216"/>
    <mergeCell ref="E216:G216"/>
    <mergeCell ref="H216:J216"/>
    <mergeCell ref="T216:V216"/>
    <mergeCell ref="W216:Y216"/>
    <mergeCell ref="Z216:AB216"/>
    <mergeCell ref="AC216:AE216"/>
    <mergeCell ref="B213:J213"/>
    <mergeCell ref="K213:Q213"/>
    <mergeCell ref="U213:W213"/>
    <mergeCell ref="X213:AF213"/>
    <mergeCell ref="AG213:AM213"/>
    <mergeCell ref="B215:D215"/>
    <mergeCell ref="E215:G215"/>
    <mergeCell ref="H215:J215"/>
    <mergeCell ref="K215:Q217"/>
    <mergeCell ref="W215:Y215"/>
    <mergeCell ref="B211:J211"/>
    <mergeCell ref="K211:Q211"/>
    <mergeCell ref="U211:W211"/>
    <mergeCell ref="X211:AF211"/>
    <mergeCell ref="AG211:AM211"/>
    <mergeCell ref="B212:J212"/>
    <mergeCell ref="K212:Q212"/>
    <mergeCell ref="U212:W212"/>
    <mergeCell ref="X212:AF212"/>
    <mergeCell ref="AG212:AM212"/>
    <mergeCell ref="B209:J209"/>
    <mergeCell ref="K209:Q209"/>
    <mergeCell ref="U209:W209"/>
    <mergeCell ref="X209:AF209"/>
    <mergeCell ref="AG209:AM209"/>
    <mergeCell ref="B210:J210"/>
    <mergeCell ref="K210:Q210"/>
    <mergeCell ref="U210:W210"/>
    <mergeCell ref="X210:AF210"/>
    <mergeCell ref="AG210:AM210"/>
    <mergeCell ref="A204:E204"/>
    <mergeCell ref="U204:AA204"/>
    <mergeCell ref="A205:E205"/>
    <mergeCell ref="U205:AA205"/>
    <mergeCell ref="A208:J208"/>
    <mergeCell ref="U208:AF208"/>
    <mergeCell ref="AB202:AE202"/>
    <mergeCell ref="AF202:AH202"/>
    <mergeCell ref="A203:E203"/>
    <mergeCell ref="F203:M203"/>
    <mergeCell ref="T203:Z203"/>
    <mergeCell ref="AB203:AH203"/>
    <mergeCell ref="A200:E200"/>
    <mergeCell ref="J200:P200"/>
    <mergeCell ref="U200:AA200"/>
    <mergeCell ref="A202:D202"/>
    <mergeCell ref="F202:I202"/>
    <mergeCell ref="J202:M202"/>
    <mergeCell ref="T202:Z202"/>
    <mergeCell ref="J198:P198"/>
    <mergeCell ref="AF198:AJ198"/>
    <mergeCell ref="A199:E199"/>
    <mergeCell ref="F199:I199"/>
    <mergeCell ref="J199:P199"/>
    <mergeCell ref="U199:AA199"/>
    <mergeCell ref="AB199:AE199"/>
    <mergeCell ref="AF199:AJ199"/>
    <mergeCell ref="A195:E195"/>
    <mergeCell ref="U195:AA195"/>
    <mergeCell ref="A196:E196"/>
    <mergeCell ref="U196:AA196"/>
    <mergeCell ref="F197:I197"/>
    <mergeCell ref="AB197:AE197"/>
    <mergeCell ref="AB193:AH193"/>
    <mergeCell ref="A194:E194"/>
    <mergeCell ref="F194:I194"/>
    <mergeCell ref="J194:M194"/>
    <mergeCell ref="T194:Z194"/>
    <mergeCell ref="AB194:AE194"/>
    <mergeCell ref="AF194:AH194"/>
    <mergeCell ref="A190:E190"/>
    <mergeCell ref="U190:AA190"/>
    <mergeCell ref="A191:E191"/>
    <mergeCell ref="U191:AA191"/>
    <mergeCell ref="A193:E193"/>
    <mergeCell ref="F193:M193"/>
    <mergeCell ref="T193:AA193"/>
    <mergeCell ref="A182:AQ182"/>
    <mergeCell ref="A183:AQ183"/>
    <mergeCell ref="A184:AQ184"/>
    <mergeCell ref="A185:AQ185"/>
    <mergeCell ref="A186:K186"/>
    <mergeCell ref="A188:O188"/>
    <mergeCell ref="R188:AF188"/>
    <mergeCell ref="AF179:AK179"/>
    <mergeCell ref="AL179:AO179"/>
    <mergeCell ref="B180:G180"/>
    <mergeCell ref="H180:K180"/>
    <mergeCell ref="L180:Q180"/>
    <mergeCell ref="R180:U180"/>
    <mergeCell ref="V180:AA180"/>
    <mergeCell ref="AB180:AE180"/>
    <mergeCell ref="AF180:AK180"/>
    <mergeCell ref="AL180:AO180"/>
    <mergeCell ref="V178:AA178"/>
    <mergeCell ref="AB178:AE178"/>
    <mergeCell ref="AF178:AK178"/>
    <mergeCell ref="AL178:AO178"/>
    <mergeCell ref="B179:G179"/>
    <mergeCell ref="H179:K179"/>
    <mergeCell ref="L179:Q179"/>
    <mergeCell ref="R179:U179"/>
    <mergeCell ref="V179:AA179"/>
    <mergeCell ref="AB179:AE179"/>
    <mergeCell ref="A176:AQ176"/>
    <mergeCell ref="A177:A178"/>
    <mergeCell ref="B177:K177"/>
    <mergeCell ref="L177:U177"/>
    <mergeCell ref="V177:AE177"/>
    <mergeCell ref="AF177:AO177"/>
    <mergeCell ref="B178:G178"/>
    <mergeCell ref="H178:K178"/>
    <mergeCell ref="L178:Q178"/>
    <mergeCell ref="R178:U178"/>
    <mergeCell ref="Z108:AB108"/>
    <mergeCell ref="AC108:AE108"/>
    <mergeCell ref="AG142:AK142"/>
    <mergeCell ref="A174:AM174"/>
    <mergeCell ref="AN174:AQ174"/>
    <mergeCell ref="A175:AQ175"/>
    <mergeCell ref="Z107:AB107"/>
    <mergeCell ref="AC107:AE107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Z106:AB106"/>
    <mergeCell ref="AC106:AE106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Z105:AB105"/>
    <mergeCell ref="AC105:AE105"/>
    <mergeCell ref="B106:D106"/>
    <mergeCell ref="E106:G106"/>
    <mergeCell ref="H106:J106"/>
    <mergeCell ref="K106:M106"/>
    <mergeCell ref="N106:P106"/>
    <mergeCell ref="Q106:S106"/>
    <mergeCell ref="T106:V106"/>
    <mergeCell ref="W106:Y106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W104:Y104"/>
    <mergeCell ref="Z104:AB104"/>
    <mergeCell ref="Z101:AB102"/>
    <mergeCell ref="AC101:AE102"/>
    <mergeCell ref="AF101:AF102"/>
    <mergeCell ref="AG101:AG102"/>
    <mergeCell ref="AH101:AI102"/>
    <mergeCell ref="B102:D102"/>
    <mergeCell ref="E102:K102"/>
    <mergeCell ref="A101:A102"/>
    <mergeCell ref="B101:D101"/>
    <mergeCell ref="E101:K101"/>
    <mergeCell ref="L101:P102"/>
    <mergeCell ref="R101:V102"/>
    <mergeCell ref="W101:Y102"/>
    <mergeCell ref="Z99:AB100"/>
    <mergeCell ref="AC99:AE100"/>
    <mergeCell ref="AF99:AF100"/>
    <mergeCell ref="AG99:AG100"/>
    <mergeCell ref="AH99:AI100"/>
    <mergeCell ref="B100:D100"/>
    <mergeCell ref="E100:K100"/>
    <mergeCell ref="A99:A100"/>
    <mergeCell ref="B99:D99"/>
    <mergeCell ref="E99:K99"/>
    <mergeCell ref="L99:P100"/>
    <mergeCell ref="R99:V100"/>
    <mergeCell ref="W99:Y100"/>
    <mergeCell ref="Z97:AB98"/>
    <mergeCell ref="AC97:AE98"/>
    <mergeCell ref="AF97:AF98"/>
    <mergeCell ref="AG97:AG98"/>
    <mergeCell ref="AH97:AI98"/>
    <mergeCell ref="B98:D98"/>
    <mergeCell ref="E98:K98"/>
    <mergeCell ref="A97:A98"/>
    <mergeCell ref="B97:D97"/>
    <mergeCell ref="E97:K97"/>
    <mergeCell ref="L97:P98"/>
    <mergeCell ref="R97:V98"/>
    <mergeCell ref="W97:Y98"/>
    <mergeCell ref="Z95:AB96"/>
    <mergeCell ref="AC95:AE96"/>
    <mergeCell ref="AF95:AF96"/>
    <mergeCell ref="AG95:AG96"/>
    <mergeCell ref="AH95:AI96"/>
    <mergeCell ref="B96:D96"/>
    <mergeCell ref="E96:K96"/>
    <mergeCell ref="AG93:AG94"/>
    <mergeCell ref="AH93:AI94"/>
    <mergeCell ref="B94:D94"/>
    <mergeCell ref="E94:K94"/>
    <mergeCell ref="A95:A96"/>
    <mergeCell ref="B95:D95"/>
    <mergeCell ref="E95:K95"/>
    <mergeCell ref="L95:P96"/>
    <mergeCell ref="R95:V96"/>
    <mergeCell ref="W95:Y96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F93:AF94"/>
    <mergeCell ref="C91:H91"/>
    <mergeCell ref="I91:J91"/>
    <mergeCell ref="K91:AI91"/>
    <mergeCell ref="B92:K92"/>
    <mergeCell ref="L92:P92"/>
    <mergeCell ref="Q92:Q102"/>
    <mergeCell ref="R92:V92"/>
    <mergeCell ref="W92:Y92"/>
    <mergeCell ref="Z92:AB92"/>
    <mergeCell ref="AC92:AE92"/>
    <mergeCell ref="Z23:AB23"/>
    <mergeCell ref="AC23:AE23"/>
    <mergeCell ref="AG57:AK57"/>
    <mergeCell ref="A89:AM89"/>
    <mergeCell ref="AN89:AQ89"/>
    <mergeCell ref="A90:AQ90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Z16:AB17"/>
    <mergeCell ref="AC16:AE17"/>
    <mergeCell ref="AF16:AF17"/>
    <mergeCell ref="AG16:AG17"/>
    <mergeCell ref="AH16:AI17"/>
    <mergeCell ref="B17:D17"/>
    <mergeCell ref="E17:K17"/>
    <mergeCell ref="AG14:AG15"/>
    <mergeCell ref="AH14:AI15"/>
    <mergeCell ref="B15:D15"/>
    <mergeCell ref="E15:K15"/>
    <mergeCell ref="A16:A17"/>
    <mergeCell ref="B16:D16"/>
    <mergeCell ref="E16:K16"/>
    <mergeCell ref="L16:P17"/>
    <mergeCell ref="R16:V17"/>
    <mergeCell ref="W16:Y17"/>
    <mergeCell ref="AT13:AY14"/>
    <mergeCell ref="A14:A15"/>
    <mergeCell ref="B14:D14"/>
    <mergeCell ref="E14:K14"/>
    <mergeCell ref="L14:P15"/>
    <mergeCell ref="R14:V15"/>
    <mergeCell ref="W14:Y15"/>
    <mergeCell ref="Z14:AB15"/>
    <mergeCell ref="AC14:AE15"/>
    <mergeCell ref="AF14:AF15"/>
    <mergeCell ref="Z12:AB13"/>
    <mergeCell ref="AC12:AE13"/>
    <mergeCell ref="AF12:AF13"/>
    <mergeCell ref="AG12:AG13"/>
    <mergeCell ref="AH12:AI13"/>
    <mergeCell ref="B13:D13"/>
    <mergeCell ref="E13:K13"/>
    <mergeCell ref="A12:A13"/>
    <mergeCell ref="B12:D12"/>
    <mergeCell ref="E12:K12"/>
    <mergeCell ref="L12:P13"/>
    <mergeCell ref="R12:V13"/>
    <mergeCell ref="W12:Y13"/>
    <mergeCell ref="Z10:AB11"/>
    <mergeCell ref="AC10:AE11"/>
    <mergeCell ref="AF10:AF11"/>
    <mergeCell ref="AG10:AG11"/>
    <mergeCell ref="AH10:AI11"/>
    <mergeCell ref="B11:D11"/>
    <mergeCell ref="E11:K11"/>
    <mergeCell ref="A10:A11"/>
    <mergeCell ref="B10:D10"/>
    <mergeCell ref="E10:K10"/>
    <mergeCell ref="L10:P11"/>
    <mergeCell ref="R10:V11"/>
    <mergeCell ref="W10:Y11"/>
    <mergeCell ref="AC8:AE9"/>
    <mergeCell ref="AF8:AF9"/>
    <mergeCell ref="AG8:AG9"/>
    <mergeCell ref="AH8:AI9"/>
    <mergeCell ref="B9:D9"/>
    <mergeCell ref="E9:K9"/>
    <mergeCell ref="Z7:AB7"/>
    <mergeCell ref="AC7:AE7"/>
    <mergeCell ref="AH7:AI7"/>
    <mergeCell ref="A8:A9"/>
    <mergeCell ref="B8:D8"/>
    <mergeCell ref="E8:K8"/>
    <mergeCell ref="L8:P9"/>
    <mergeCell ref="R8:V9"/>
    <mergeCell ref="W8:Y9"/>
    <mergeCell ref="Z8:AB9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  <mergeCell ref="A1:AI1"/>
    <mergeCell ref="AT1:AW1"/>
    <mergeCell ref="AX1:AY1"/>
    <mergeCell ref="A2:I2"/>
    <mergeCell ref="J2:X2"/>
    <mergeCell ref="Y2:AC2"/>
    <mergeCell ref="AD2:AI2"/>
  </mergeCells>
  <conditionalFormatting sqref="A8 A93">
    <cfRule type="expression" dxfId="2141" priority="6" stopIfTrue="1">
      <formula>IF(AK9&gt;0,0,1)</formula>
    </cfRule>
  </conditionalFormatting>
  <conditionalFormatting sqref="A10:A11 A95:A96">
    <cfRule type="expression" dxfId="2140" priority="7" stopIfTrue="1">
      <formula>IF(AK9&gt;1,0,1)</formula>
    </cfRule>
  </conditionalFormatting>
  <conditionalFormatting sqref="A12:A13 A97:A98">
    <cfRule type="expression" dxfId="2139" priority="8" stopIfTrue="1">
      <formula>IF(AK9&gt;2,0,1)</formula>
    </cfRule>
  </conditionalFormatting>
  <conditionalFormatting sqref="A14:A15 A99:A100">
    <cfRule type="expression" dxfId="2138" priority="9" stopIfTrue="1">
      <formula>IF(AK9&gt;3,0,1)</formula>
    </cfRule>
  </conditionalFormatting>
  <conditionalFormatting sqref="A16:A17 A101:A102">
    <cfRule type="expression" dxfId="2137" priority="10" stopIfTrue="1">
      <formula>IF(AK9&gt;4,0,1)</formula>
    </cfRule>
  </conditionalFormatting>
  <conditionalFormatting sqref="B8 B93">
    <cfRule type="expression" dxfId="2136" priority="11" stopIfTrue="1">
      <formula>IF(AK9&gt;0,0,1)</formula>
    </cfRule>
  </conditionalFormatting>
  <conditionalFormatting sqref="B9 B94">
    <cfRule type="expression" dxfId="2135" priority="12" stopIfTrue="1">
      <formula>IF(AK9&gt;0,0,1)</formula>
    </cfRule>
  </conditionalFormatting>
  <conditionalFormatting sqref="B10 B95">
    <cfRule type="expression" dxfId="2134" priority="13" stopIfTrue="1">
      <formula>IF(AK9&gt;1,0,1)</formula>
    </cfRule>
  </conditionalFormatting>
  <conditionalFormatting sqref="B11:D11 B96:D96">
    <cfRule type="expression" dxfId="2133" priority="14" stopIfTrue="1">
      <formula>IF(AK9&gt;1,0,1)</formula>
    </cfRule>
  </conditionalFormatting>
  <conditionalFormatting sqref="B12:D12 B97:D97">
    <cfRule type="expression" dxfId="2132" priority="15" stopIfTrue="1">
      <formula>IF(AK9&gt;2,0,1)</formula>
    </cfRule>
  </conditionalFormatting>
  <conditionalFormatting sqref="B13:D13 B98:D98">
    <cfRule type="expression" dxfId="2131" priority="16" stopIfTrue="1">
      <formula>IF(AK9&gt;2,0,1)</formula>
    </cfRule>
  </conditionalFormatting>
  <conditionalFormatting sqref="B14:D14 B99:D99">
    <cfRule type="expression" dxfId="2130" priority="17" stopIfTrue="1">
      <formula>IF(AK9&gt;3,0,1)</formula>
    </cfRule>
  </conditionalFormatting>
  <conditionalFormatting sqref="B15:D15 B100:D100">
    <cfRule type="expression" dxfId="2129" priority="18" stopIfTrue="1">
      <formula>IF(AK9&gt;3,0,1)</formula>
    </cfRule>
  </conditionalFormatting>
  <conditionalFormatting sqref="B16:D16 B101:D101">
    <cfRule type="expression" dxfId="2128" priority="19" stopIfTrue="1">
      <formula>IF(AK9&gt;4,0,1)</formula>
    </cfRule>
  </conditionalFormatting>
  <conditionalFormatting sqref="B17:D17 B102:D102">
    <cfRule type="expression" dxfId="2127" priority="20" stopIfTrue="1">
      <formula>IF(AK9&gt;4,0,1)</formula>
    </cfRule>
  </conditionalFormatting>
  <conditionalFormatting sqref="E8 E93">
    <cfRule type="expression" dxfId="2126" priority="21" stopIfTrue="1">
      <formula>IF(AK9&gt;0,0,1)</formula>
    </cfRule>
  </conditionalFormatting>
  <conditionalFormatting sqref="E9 E94">
    <cfRule type="expression" dxfId="2125" priority="22" stopIfTrue="1">
      <formula>IF(AK9&gt;0,0,1)</formula>
    </cfRule>
  </conditionalFormatting>
  <conditionalFormatting sqref="E10 E95">
    <cfRule type="expression" dxfId="2124" priority="23" stopIfTrue="1">
      <formula>IF(AK9&gt;1,0,1)</formula>
    </cfRule>
  </conditionalFormatting>
  <conditionalFormatting sqref="E11 E96">
    <cfRule type="expression" dxfId="2123" priority="24" stopIfTrue="1">
      <formula>IF(AK9&gt;1,0,1)</formula>
    </cfRule>
  </conditionalFormatting>
  <conditionalFormatting sqref="E12 E97">
    <cfRule type="expression" dxfId="2122" priority="25" stopIfTrue="1">
      <formula>IF(AK9&gt;2,0,1)</formula>
    </cfRule>
  </conditionalFormatting>
  <conditionalFormatting sqref="E13 E98">
    <cfRule type="expression" dxfId="2121" priority="26" stopIfTrue="1">
      <formula>IF(AK9&gt;2,0,1)</formula>
    </cfRule>
  </conditionalFormatting>
  <conditionalFormatting sqref="E14 E99">
    <cfRule type="expression" dxfId="2120" priority="27" stopIfTrue="1">
      <formula>IF(AK9&gt;3,0,1)</formula>
    </cfRule>
  </conditionalFormatting>
  <conditionalFormatting sqref="E15 E100">
    <cfRule type="expression" dxfId="2119" priority="28" stopIfTrue="1">
      <formula>IF(AK9&gt;3,0,1)</formula>
    </cfRule>
  </conditionalFormatting>
  <conditionalFormatting sqref="E16 E101">
    <cfRule type="expression" dxfId="2118" priority="29" stopIfTrue="1">
      <formula>IF(AK9&gt;4,0,1)</formula>
    </cfRule>
  </conditionalFormatting>
  <conditionalFormatting sqref="E17 E102">
    <cfRule type="expression" dxfId="2117" priority="30" stopIfTrue="1">
      <formula>IF(AK9&gt;4,0,1)</formula>
    </cfRule>
  </conditionalFormatting>
  <conditionalFormatting sqref="AC8 AC93">
    <cfRule type="expression" dxfId="2116" priority="31" stopIfTrue="1">
      <formula>IF(AK11=1,IF(AK9&gt;0,0,1),1)</formula>
    </cfRule>
  </conditionalFormatting>
  <conditionalFormatting sqref="AC10:AE11 AC95:AE96">
    <cfRule type="expression" dxfId="2115" priority="32" stopIfTrue="1">
      <formula>IF(AK11=1,IF(AK9&gt;1,0,1),1)</formula>
    </cfRule>
  </conditionalFormatting>
  <conditionalFormatting sqref="AC12:AE13 AC97:AE98">
    <cfRule type="expression" dxfId="2114" priority="33" stopIfTrue="1">
      <formula>IF(AK11=1,IF(AK9&gt;2,0,1),1)</formula>
    </cfRule>
  </conditionalFormatting>
  <conditionalFormatting sqref="AC14:AE15 AC99:AE100">
    <cfRule type="expression" dxfId="2113" priority="34" stopIfTrue="1">
      <formula>IF(AK11=1,IF(AK9&gt;3,0,1),1)</formula>
    </cfRule>
  </conditionalFormatting>
  <conditionalFormatting sqref="AC16:AE17 AC101:AE102">
    <cfRule type="expression" dxfId="2112" priority="35" stopIfTrue="1">
      <formula>IF(AK11=1,IF(AK9&gt;4,0,1),1)</formula>
    </cfRule>
  </conditionalFormatting>
  <conditionalFormatting sqref="AH8 AH93">
    <cfRule type="expression" dxfId="2111" priority="36" stopIfTrue="1">
      <formula>IF(AK9&gt;0,0,1)</formula>
    </cfRule>
  </conditionalFormatting>
  <conditionalFormatting sqref="AH10:AI11 AH95:AI96">
    <cfRule type="expression" dxfId="2110" priority="37" stopIfTrue="1">
      <formula>IF(AK9&gt;1,0,1)</formula>
    </cfRule>
  </conditionalFormatting>
  <conditionalFormatting sqref="AH12:AI13 AH97:AI98">
    <cfRule type="expression" dxfId="2109" priority="38" stopIfTrue="1">
      <formula>IF(AK9&gt;2,0,1)</formula>
    </cfRule>
  </conditionalFormatting>
  <conditionalFormatting sqref="AH14:AI15 AH99:AI100">
    <cfRule type="expression" dxfId="2108" priority="39" stopIfTrue="1">
      <formula>IF(AK9&gt;3,0,1)</formula>
    </cfRule>
  </conditionalFormatting>
  <conditionalFormatting sqref="AH16:AI17 AH101:AI102">
    <cfRule type="expression" dxfId="2107" priority="40" stopIfTrue="1">
      <formula>IF(AK9&gt;4,0,1)</formula>
    </cfRule>
  </conditionalFormatting>
  <conditionalFormatting sqref="B19:D19 B104:D104">
    <cfRule type="expression" dxfId="2106" priority="41" stopIfTrue="1">
      <formula>IF(AK8&gt;0,0,1)</formula>
    </cfRule>
  </conditionalFormatting>
  <conditionalFormatting sqref="E19:G19 E104:G104">
    <cfRule type="expression" dxfId="2105" priority="42" stopIfTrue="1">
      <formula>IF(AK8&gt;1,0,1)</formula>
    </cfRule>
  </conditionalFormatting>
  <conditionalFormatting sqref="H19:J19 H104:J104">
    <cfRule type="expression" dxfId="2104" priority="43" stopIfTrue="1">
      <formula>IF(AK8&gt;2,0,1)</formula>
    </cfRule>
  </conditionalFormatting>
  <conditionalFormatting sqref="K19:M19 K104:M104">
    <cfRule type="expression" dxfId="2103" priority="44" stopIfTrue="1">
      <formula>IF(AK8&gt;3,0,1)</formula>
    </cfRule>
  </conditionalFormatting>
  <conditionalFormatting sqref="N19:P19 N104:P104">
    <cfRule type="expression" dxfId="2102" priority="45" stopIfTrue="1">
      <formula>IF(AK8&gt;4,0,1)</formula>
    </cfRule>
  </conditionalFormatting>
  <conditionalFormatting sqref="Q19:S19 Q104:S104">
    <cfRule type="expression" dxfId="2101" priority="46" stopIfTrue="1">
      <formula>IF(AK8&gt;5,0,1)</formula>
    </cfRule>
  </conditionalFormatting>
  <conditionalFormatting sqref="T19:V19 T104:V104">
    <cfRule type="expression" dxfId="2100" priority="47" stopIfTrue="1">
      <formula>IF(AK8&gt;6,0,1)</formula>
    </cfRule>
  </conditionalFormatting>
  <conditionalFormatting sqref="W19:Y19 W104:Y104">
    <cfRule type="expression" dxfId="2099" priority="48" stopIfTrue="1">
      <formula>IF(AK8&gt;7,0,1)</formula>
    </cfRule>
  </conditionalFormatting>
  <conditionalFormatting sqref="Z19:AB19 Z104:AB104">
    <cfRule type="expression" dxfId="2098" priority="49" stopIfTrue="1">
      <formula>IF(AK8&gt;8,0,1)</formula>
    </cfRule>
  </conditionalFormatting>
  <conditionalFormatting sqref="AC19:AE19 AC104:AE104">
    <cfRule type="expression" dxfId="2097" priority="50" stopIfTrue="1">
      <formula>IF(AK8&gt;9,0,1)</formula>
    </cfRule>
  </conditionalFormatting>
  <conditionalFormatting sqref="B20:D20 B105:D105">
    <cfRule type="expression" dxfId="2096" priority="51" stopIfTrue="1">
      <formula>IF(AK8&gt;0,0,1)</formula>
    </cfRule>
  </conditionalFormatting>
  <conditionalFormatting sqref="E20:G20 E105:G105">
    <cfRule type="expression" dxfId="2095" priority="52" stopIfTrue="1">
      <formula>IF(AK8&gt;1,0,1)</formula>
    </cfRule>
  </conditionalFormatting>
  <conditionalFormatting sqref="H20:J20 H105:J105">
    <cfRule type="expression" dxfId="2094" priority="53" stopIfTrue="1">
      <formula>IF(AK8&gt;2,0,1)</formula>
    </cfRule>
  </conditionalFormatting>
  <conditionalFormatting sqref="K20:M20 K105:M105">
    <cfRule type="expression" dxfId="2093" priority="54" stopIfTrue="1">
      <formula>IF(AK8&gt;3,0,1)</formula>
    </cfRule>
  </conditionalFormatting>
  <conditionalFormatting sqref="N20:P20 N105:P105">
    <cfRule type="expression" dxfId="2092" priority="55" stopIfTrue="1">
      <formula>IF(AK8&gt;4,0,1)</formula>
    </cfRule>
  </conditionalFormatting>
  <conditionalFormatting sqref="Q20:S20 Q105:S105">
    <cfRule type="expression" dxfId="2091" priority="56" stopIfTrue="1">
      <formula>IF(AK8&gt;5,0,1)</formula>
    </cfRule>
  </conditionalFormatting>
  <conditionalFormatting sqref="T20:V20 T105:V105">
    <cfRule type="expression" dxfId="2090" priority="57" stopIfTrue="1">
      <formula>IF(AK8&gt;6,0,1)</formula>
    </cfRule>
  </conditionalFormatting>
  <conditionalFormatting sqref="W20:Y20 W105:Y105">
    <cfRule type="expression" dxfId="2089" priority="58" stopIfTrue="1">
      <formula>IF(AK8&gt;7,0,1)</formula>
    </cfRule>
  </conditionalFormatting>
  <conditionalFormatting sqref="Z20:AB20 Z105:AB105">
    <cfRule type="expression" dxfId="2088" priority="59" stopIfTrue="1">
      <formula>IF(AK8&gt;8,0,1)</formula>
    </cfRule>
  </conditionalFormatting>
  <conditionalFormatting sqref="AC20:AE20 AC105:AE105">
    <cfRule type="expression" dxfId="2087" priority="60" stopIfTrue="1">
      <formula>IF(AK8&gt;9,0,1)</formula>
    </cfRule>
  </conditionalFormatting>
  <conditionalFormatting sqref="E22:G22 E107:G107">
    <cfRule type="expression" dxfId="2086" priority="61" stopIfTrue="1">
      <formula>IF(AK8&gt;1,0,1)</formula>
    </cfRule>
  </conditionalFormatting>
  <conditionalFormatting sqref="H22:J22 H107:J107">
    <cfRule type="expression" dxfId="2085" priority="62" stopIfTrue="1">
      <formula>IF(AK8&gt;2,0,1)</formula>
    </cfRule>
  </conditionalFormatting>
  <conditionalFormatting sqref="K22:M22 K107:M107">
    <cfRule type="expression" dxfId="2084" priority="63" stopIfTrue="1">
      <formula>IF(AK8&gt;3,0,1)</formula>
    </cfRule>
  </conditionalFormatting>
  <conditionalFormatting sqref="N22:P22 N107:P107">
    <cfRule type="expression" dxfId="2083" priority="64" stopIfTrue="1">
      <formula>IF(AK8&gt;4,0,1)</formula>
    </cfRule>
  </conditionalFormatting>
  <conditionalFormatting sqref="Q22:S22 Q107:S107">
    <cfRule type="expression" dxfId="2082" priority="65" stopIfTrue="1">
      <formula>IF(AK8&gt;5,0,1)</formula>
    </cfRule>
  </conditionalFormatting>
  <conditionalFormatting sqref="T22:V22 T107:V107">
    <cfRule type="expression" dxfId="2081" priority="66" stopIfTrue="1">
      <formula>IF(AK8&gt;6,0,1)</formula>
    </cfRule>
  </conditionalFormatting>
  <conditionalFormatting sqref="W22:Y22 W107:Y107">
    <cfRule type="expression" dxfId="2080" priority="67" stopIfTrue="1">
      <formula>IF(AK8&gt;7,0,1)</formula>
    </cfRule>
  </conditionalFormatting>
  <conditionalFormatting sqref="Z22:AB22 Z107:AB107">
    <cfRule type="expression" dxfId="2079" priority="68" stopIfTrue="1">
      <formula>IF(AK8&gt;8,0,1)</formula>
    </cfRule>
  </conditionalFormatting>
  <conditionalFormatting sqref="AC22:AE22 AC107:AE107">
    <cfRule type="expression" dxfId="2078" priority="69" stopIfTrue="1">
      <formula>IF(AK8&gt;9,0,1)</formula>
    </cfRule>
  </conditionalFormatting>
  <conditionalFormatting sqref="B24 B109">
    <cfRule type="expression" dxfId="2077" priority="70" stopIfTrue="1">
      <formula>IF(AK8&gt;0,0,1)</formula>
    </cfRule>
  </conditionalFormatting>
  <conditionalFormatting sqref="C24 C109">
    <cfRule type="expression" dxfId="2076" priority="71" stopIfTrue="1">
      <formula>IF(AK8&gt;0,0,1)</formula>
    </cfRule>
  </conditionalFormatting>
  <conditionalFormatting sqref="D24 D109">
    <cfRule type="expression" dxfId="2075" priority="72" stopIfTrue="1">
      <formula>IF(AK8&gt;0,0,1)</formula>
    </cfRule>
  </conditionalFormatting>
  <conditionalFormatting sqref="E23:G23 E108:G108">
    <cfRule type="expression" dxfId="2074" priority="73" stopIfTrue="1">
      <formula>IF(AK8&gt;1,0,1)</formula>
    </cfRule>
  </conditionalFormatting>
  <conditionalFormatting sqref="F24 F109">
    <cfRule type="expression" dxfId="2073" priority="74" stopIfTrue="1">
      <formula>IF(AK8&gt;1,0,1)</formula>
    </cfRule>
  </conditionalFormatting>
  <conditionalFormatting sqref="G24 G109">
    <cfRule type="expression" dxfId="2072" priority="75" stopIfTrue="1">
      <formula>IF(AK8&gt;1,0,1)</formula>
    </cfRule>
  </conditionalFormatting>
  <conditionalFormatting sqref="H23:J23 H108:J108">
    <cfRule type="expression" dxfId="2071" priority="76" stopIfTrue="1">
      <formula>IF(AK8&gt;2,0,1)</formula>
    </cfRule>
  </conditionalFormatting>
  <conditionalFormatting sqref="I24 I109">
    <cfRule type="expression" dxfId="2070" priority="77" stopIfTrue="1">
      <formula>IF(AK8&gt;2,0,1)</formula>
    </cfRule>
  </conditionalFormatting>
  <conditionalFormatting sqref="J24 J109">
    <cfRule type="expression" dxfId="2069" priority="78" stopIfTrue="1">
      <formula>IF(AK8&gt;2,0,1)</formula>
    </cfRule>
  </conditionalFormatting>
  <conditionalFormatting sqref="K23:M23 K108:M108">
    <cfRule type="expression" dxfId="2068" priority="79" stopIfTrue="1">
      <formula>IF(AK8&gt;3,0,1)</formula>
    </cfRule>
  </conditionalFormatting>
  <conditionalFormatting sqref="L24 L109">
    <cfRule type="expression" dxfId="2067" priority="80" stopIfTrue="1">
      <formula>IF(AK8&gt;3,0,1)</formula>
    </cfRule>
  </conditionalFormatting>
  <conditionalFormatting sqref="M24 M109">
    <cfRule type="expression" dxfId="2066" priority="81" stopIfTrue="1">
      <formula>IF(AK8&gt;3,0,1)</formula>
    </cfRule>
  </conditionalFormatting>
  <conditionalFormatting sqref="N23:P23 N108:P108">
    <cfRule type="expression" dxfId="2065" priority="82" stopIfTrue="1">
      <formula>IF(AK8&gt;4,0,1)</formula>
    </cfRule>
  </conditionalFormatting>
  <conditionalFormatting sqref="O24 O109">
    <cfRule type="expression" dxfId="2064" priority="83" stopIfTrue="1">
      <formula>IF(AK8&gt;4,0,1)</formula>
    </cfRule>
  </conditionalFormatting>
  <conditionalFormatting sqref="P24 P109">
    <cfRule type="expression" dxfId="2063" priority="84" stopIfTrue="1">
      <formula>IF(AK8&gt;4,0,1)</formula>
    </cfRule>
  </conditionalFormatting>
  <conditionalFormatting sqref="Q23:S23 Q108:S108">
    <cfRule type="expression" dxfId="2062" priority="85" stopIfTrue="1">
      <formula>IF(AK8&gt;5,0,1)</formula>
    </cfRule>
  </conditionalFormatting>
  <conditionalFormatting sqref="R24 R109">
    <cfRule type="expression" dxfId="2061" priority="86" stopIfTrue="1">
      <formula>IF(AK8&gt;5,0,1)</formula>
    </cfRule>
  </conditionalFormatting>
  <conditionalFormatting sqref="S24 S109">
    <cfRule type="expression" dxfId="2060" priority="87" stopIfTrue="1">
      <formula>IF(AK8&gt;5,0,1)</formula>
    </cfRule>
  </conditionalFormatting>
  <conditionalFormatting sqref="T23:V23 T108:V108">
    <cfRule type="expression" dxfId="2059" priority="88" stopIfTrue="1">
      <formula>IF(AK8&gt;6,0,1)</formula>
    </cfRule>
  </conditionalFormatting>
  <conditionalFormatting sqref="U24 U109">
    <cfRule type="expression" dxfId="2058" priority="89" stopIfTrue="1">
      <formula>IF(AK8&gt;6,0,1)</formula>
    </cfRule>
  </conditionalFormatting>
  <conditionalFormatting sqref="V24 V109">
    <cfRule type="expression" dxfId="2057" priority="90" stopIfTrue="1">
      <formula>IF(AK8&gt;6,0,1)</formula>
    </cfRule>
  </conditionalFormatting>
  <conditionalFormatting sqref="W23:Y23 W108:Y108">
    <cfRule type="expression" dxfId="2056" priority="91" stopIfTrue="1">
      <formula>IF(AK8&gt;7,0,1)</formula>
    </cfRule>
  </conditionalFormatting>
  <conditionalFormatting sqref="X24 X109">
    <cfRule type="expression" dxfId="2055" priority="92" stopIfTrue="1">
      <formula>IF(AK8&gt;7,0,1)</formula>
    </cfRule>
  </conditionalFormatting>
  <conditionalFormatting sqref="Y24 Y109">
    <cfRule type="expression" dxfId="2054" priority="93" stopIfTrue="1">
      <formula>IF(AK8&gt;7,0,1)</formula>
    </cfRule>
  </conditionalFormatting>
  <conditionalFormatting sqref="Z23:AB23 Z108:AB108">
    <cfRule type="expression" dxfId="2053" priority="94" stopIfTrue="1">
      <formula>IF(AK8&gt;8,0,1)</formula>
    </cfRule>
  </conditionalFormatting>
  <conditionalFormatting sqref="AA24 AA109">
    <cfRule type="expression" dxfId="2052" priority="95" stopIfTrue="1">
      <formula>IF(AK8&gt;8,0,1)</formula>
    </cfRule>
  </conditionalFormatting>
  <conditionalFormatting sqref="AB24 AB109">
    <cfRule type="expression" dxfId="2051" priority="96" stopIfTrue="1">
      <formula>IF(AK8&gt;8,0,1)</formula>
    </cfRule>
  </conditionalFormatting>
  <conditionalFormatting sqref="AC23:AE23 AC108:AE108">
    <cfRule type="expression" dxfId="2050" priority="97" stopIfTrue="1">
      <formula>IF(AK8&gt;9,0,1)</formula>
    </cfRule>
  </conditionalFormatting>
  <conditionalFormatting sqref="AD24 AD109">
    <cfRule type="expression" dxfId="2049" priority="98" stopIfTrue="1">
      <formula>IF(AK8&gt;9,0,1)</formula>
    </cfRule>
  </conditionalFormatting>
  <conditionalFormatting sqref="AE24 AE109">
    <cfRule type="expression" dxfId="2048" priority="99" stopIfTrue="1">
      <formula>IF(AK8&gt;9,0,1)</formula>
    </cfRule>
  </conditionalFormatting>
  <conditionalFormatting sqref="A26 A111">
    <cfRule type="expression" dxfId="2047" priority="100" stopIfTrue="1">
      <formula>IF(AK7&gt;1,0,1)</formula>
    </cfRule>
  </conditionalFormatting>
  <conditionalFormatting sqref="A27 A112">
    <cfRule type="expression" dxfId="2046" priority="101" stopIfTrue="1">
      <formula>IF(AK7&gt;2,0,1)</formula>
    </cfRule>
  </conditionalFormatting>
  <conditionalFormatting sqref="A28 A113">
    <cfRule type="expression" dxfId="2045" priority="102" stopIfTrue="1">
      <formula>IF(AK7&gt;3,0,1)</formula>
    </cfRule>
  </conditionalFormatting>
  <conditionalFormatting sqref="A29 A114">
    <cfRule type="expression" dxfId="2044" priority="103" stopIfTrue="1">
      <formula>IF(AK7&gt;4,0,1)</formula>
    </cfRule>
  </conditionalFormatting>
  <conditionalFormatting sqref="B25:D25 B110:D110">
    <cfRule type="expression" dxfId="2043" priority="104" stopIfTrue="1">
      <formula>IF($AK8&gt;0,0,1)</formula>
    </cfRule>
  </conditionalFormatting>
  <conditionalFormatting sqref="B26:D26 B111:D111">
    <cfRule type="expression" dxfId="2042" priority="105" stopIfTrue="1">
      <formula>IF($AK8&lt;1,1,IF($AK7&lt;2,1,0))</formula>
    </cfRule>
  </conditionalFormatting>
  <conditionalFormatting sqref="B27:D27 B112:D112">
    <cfRule type="expression" dxfId="2041" priority="106" stopIfTrue="1">
      <formula>IF($AK8&lt;1,1,IF($AK7&lt;3,1,0))</formula>
    </cfRule>
  </conditionalFormatting>
  <conditionalFormatting sqref="B28:D28 B113:D113">
    <cfRule type="expression" dxfId="2040" priority="107" stopIfTrue="1">
      <formula>IF($AK8&lt;1,1,IF($AK7&lt;4,1,0))</formula>
    </cfRule>
  </conditionalFormatting>
  <conditionalFormatting sqref="B29:D29 B114:D114">
    <cfRule type="expression" dxfId="2039" priority="108" stopIfTrue="1">
      <formula>IF($AK8&lt;1,1,IF($AK7&lt;5,1,0))</formula>
    </cfRule>
  </conditionalFormatting>
  <conditionalFormatting sqref="AF26 AF111">
    <cfRule type="expression" dxfId="2038" priority="109" stopIfTrue="1">
      <formula>IF($AK9&gt;2,0,1)</formula>
    </cfRule>
  </conditionalFormatting>
  <conditionalFormatting sqref="AF25 AF110">
    <cfRule type="expression" dxfId="2037" priority="110" stopIfTrue="1">
      <formula>IF($AK9&gt;1,0,1)</formula>
    </cfRule>
  </conditionalFormatting>
  <conditionalFormatting sqref="AF24 AF109">
    <cfRule type="expression" dxfId="2036" priority="111" stopIfTrue="1">
      <formula>IF($AK9&gt;0,0,1)</formula>
    </cfRule>
  </conditionalFormatting>
  <conditionalFormatting sqref="AF27 AF112">
    <cfRule type="expression" dxfId="2035" priority="112" stopIfTrue="1">
      <formula>IF($AK9&gt;3,0,1)</formula>
    </cfRule>
  </conditionalFormatting>
  <conditionalFormatting sqref="AF28 AF113">
    <cfRule type="expression" dxfId="2034" priority="113" stopIfTrue="1">
      <formula>IF($AK9&gt;4,0,1)</formula>
    </cfRule>
  </conditionalFormatting>
  <conditionalFormatting sqref="AG23 AG108">
    <cfRule type="expression" dxfId="2033" priority="114" stopIfTrue="1">
      <formula>IF($AK8&lt;1,1,0)</formula>
    </cfRule>
  </conditionalFormatting>
  <conditionalFormatting sqref="AH23 AH108">
    <cfRule type="expression" dxfId="2032" priority="115" stopIfTrue="1">
      <formula>IF($AK8&lt;2,1,0)</formula>
    </cfRule>
  </conditionalFormatting>
  <conditionalFormatting sqref="AI23 AI108">
    <cfRule type="expression" dxfId="2031" priority="116" stopIfTrue="1">
      <formula>IF($AK8&lt;3,1,0)</formula>
    </cfRule>
  </conditionalFormatting>
  <conditionalFormatting sqref="AJ23 AJ108">
    <cfRule type="expression" dxfId="2030" priority="117" stopIfTrue="1">
      <formula>IF($AK8&lt;4,1,0)</formula>
    </cfRule>
  </conditionalFormatting>
  <conditionalFormatting sqref="AK23 AK108">
    <cfRule type="expression" dxfId="2029" priority="118" stopIfTrue="1">
      <formula>IF($AK8&lt;5,1,0)</formula>
    </cfRule>
  </conditionalFormatting>
  <conditionalFormatting sqref="AL23 AL108">
    <cfRule type="expression" dxfId="2028" priority="119" stopIfTrue="1">
      <formula>IF($AK8&lt;6,1,0)</formula>
    </cfRule>
  </conditionalFormatting>
  <conditionalFormatting sqref="AM23 AM108">
    <cfRule type="expression" dxfId="2027" priority="120" stopIfTrue="1">
      <formula>IF($AK8&lt;7,1,0)</formula>
    </cfRule>
  </conditionalFormatting>
  <conditionalFormatting sqref="AN23 AN108">
    <cfRule type="expression" dxfId="2026" priority="121" stopIfTrue="1">
      <formula>IF($AK8&lt;8,1,0)</formula>
    </cfRule>
  </conditionalFormatting>
  <conditionalFormatting sqref="AO23 AO108">
    <cfRule type="expression" dxfId="2025" priority="122" stopIfTrue="1">
      <formula>IF($AK8&lt;9,1,0)</formula>
    </cfRule>
  </conditionalFormatting>
  <conditionalFormatting sqref="AP23 AP108">
    <cfRule type="expression" dxfId="2024" priority="123" stopIfTrue="1">
      <formula>IF($AK8&lt;10,1,0)</formula>
    </cfRule>
  </conditionalFormatting>
  <conditionalFormatting sqref="AQ24 AQ109">
    <cfRule type="expression" dxfId="2023" priority="124" stopIfTrue="1">
      <formula>IF($AK9&gt;0,0,1)</formula>
    </cfRule>
  </conditionalFormatting>
  <conditionalFormatting sqref="AQ25 AQ110">
    <cfRule type="expression" dxfId="2022" priority="125" stopIfTrue="1">
      <formula>IF($AK9&gt;1,0,1)</formula>
    </cfRule>
  </conditionalFormatting>
  <conditionalFormatting sqref="AQ26 H25:J25 AQ111 H110:J110">
    <cfRule type="expression" dxfId="2021" priority="126" stopIfTrue="1">
      <formula>IF($AK8&gt;2,0,1)</formula>
    </cfRule>
  </conditionalFormatting>
  <conditionalFormatting sqref="K25:M25 K110:M110">
    <cfRule type="expression" dxfId="2020" priority="127" stopIfTrue="1">
      <formula>IF($AK8&gt;3,0,1)</formula>
    </cfRule>
  </conditionalFormatting>
  <conditionalFormatting sqref="AQ28 AQ113">
    <cfRule type="expression" dxfId="2019" priority="128" stopIfTrue="1">
      <formula>IF($AK9&gt;4,0,1)</formula>
    </cfRule>
  </conditionalFormatting>
  <conditionalFormatting sqref="E26:G26 E111:G111">
    <cfRule type="expression" dxfId="2018" priority="129" stopIfTrue="1">
      <formula>IF($AK8&lt;2,1,IF($AK7&lt;2,1,0))</formula>
    </cfRule>
  </conditionalFormatting>
  <conditionalFormatting sqref="E27:G27 E112:G112">
    <cfRule type="expression" dxfId="2017" priority="130" stopIfTrue="1">
      <formula>IF($AK8&lt;2,1,IF($AK7&lt;3,1,0))</formula>
    </cfRule>
  </conditionalFormatting>
  <conditionalFormatting sqref="E28:G28 E113:G113">
    <cfRule type="expression" dxfId="2016" priority="131" stopIfTrue="1">
      <formula>IF($AK8&lt;2,1,IF($AK7&lt;4,1,0))</formula>
    </cfRule>
  </conditionalFormatting>
  <conditionalFormatting sqref="E29:G29 E114:G114">
    <cfRule type="expression" dxfId="2015" priority="132" stopIfTrue="1">
      <formula>IF($AK8&lt;2,1,IF($AK7&lt;5,1,0))</formula>
    </cfRule>
  </conditionalFormatting>
  <conditionalFormatting sqref="N25:P25 N110:P110">
    <cfRule type="expression" dxfId="2014" priority="133" stopIfTrue="1">
      <formula>IF($AK8&gt;4,0,1)</formula>
    </cfRule>
  </conditionalFormatting>
  <conditionalFormatting sqref="Q25:S25 Q110:S110">
    <cfRule type="expression" dxfId="2013" priority="134" stopIfTrue="1">
      <formula>IF($AK8&gt;5,0,1)</formula>
    </cfRule>
  </conditionalFormatting>
  <conditionalFormatting sqref="T25:V25 T110:V110">
    <cfRule type="expression" dxfId="2012" priority="135" stopIfTrue="1">
      <formula>IF($AK8&gt;6,0,1)</formula>
    </cfRule>
  </conditionalFormatting>
  <conditionalFormatting sqref="W25:Y25 W110:Y110">
    <cfRule type="expression" dxfId="2011" priority="136" stopIfTrue="1">
      <formula>IF($AK8&gt;7,0,1)</formula>
    </cfRule>
  </conditionalFormatting>
  <conditionalFormatting sqref="Z25:AB25 Z110:AB110">
    <cfRule type="expression" dxfId="2010" priority="137" stopIfTrue="1">
      <formula>IF($AK8&gt;8,0,1)</formula>
    </cfRule>
  </conditionalFormatting>
  <conditionalFormatting sqref="AC25:AE25 AC110:AE110">
    <cfRule type="expression" dxfId="2009" priority="138" stopIfTrue="1">
      <formula>IF($AK8&gt;9,0,1)</formula>
    </cfRule>
  </conditionalFormatting>
  <conditionalFormatting sqref="H26:J26 H111:J111">
    <cfRule type="expression" dxfId="2008" priority="139" stopIfTrue="1">
      <formula>IF($AK8&lt;3,1,IF($AK7&lt;2,1,0))</formula>
    </cfRule>
  </conditionalFormatting>
  <conditionalFormatting sqref="K26:M26 K111:M111">
    <cfRule type="expression" dxfId="2007" priority="140" stopIfTrue="1">
      <formula>IF($AK8&lt;4,1,IF($AK7&lt;2,1,0))</formula>
    </cfRule>
  </conditionalFormatting>
  <conditionalFormatting sqref="N26:P26 N111:P111">
    <cfRule type="expression" dxfId="2006" priority="141" stopIfTrue="1">
      <formula>IF($AK8&lt;5,1,IF($AK7&lt;2,1,0))</formula>
    </cfRule>
  </conditionalFormatting>
  <conditionalFormatting sqref="Q26:S26 Q111:S111">
    <cfRule type="expression" dxfId="2005" priority="142" stopIfTrue="1">
      <formula>IF($AK8&lt;6,1,IF($AK7&lt;2,1,0))</formula>
    </cfRule>
  </conditionalFormatting>
  <conditionalFormatting sqref="T26:V26 T111:V111">
    <cfRule type="expression" dxfId="2004" priority="143" stopIfTrue="1">
      <formula>IF($AK8&lt;7,1,IF($AK7&lt;2,1,0))</formula>
    </cfRule>
  </conditionalFormatting>
  <conditionalFormatting sqref="W26:Y26 W111:Y111">
    <cfRule type="expression" dxfId="2003" priority="144" stopIfTrue="1">
      <formula>IF($AK8&lt;8,1,IF($AK7&lt;2,1,0))</formula>
    </cfRule>
  </conditionalFormatting>
  <conditionalFormatting sqref="Z26:AB26 Z111:AB111">
    <cfRule type="expression" dxfId="2002" priority="145" stopIfTrue="1">
      <formula>IF($AK8&lt;9,1,IF($AK7&lt;2,1,0))</formula>
    </cfRule>
  </conditionalFormatting>
  <conditionalFormatting sqref="AC26:AE26 AC111:AE111">
    <cfRule type="expression" dxfId="2001" priority="146" stopIfTrue="1">
      <formula>IF($AK8&lt;10,1,IF($AK7&lt;2,1,0))</formula>
    </cfRule>
  </conditionalFormatting>
  <conditionalFormatting sqref="H27:J27 H112:J112">
    <cfRule type="expression" dxfId="2000" priority="147" stopIfTrue="1">
      <formula>IF($AK8&lt;3,1,IF($AK7&lt;3,1,0))</formula>
    </cfRule>
  </conditionalFormatting>
  <conditionalFormatting sqref="K27:M27 K112:M112">
    <cfRule type="expression" dxfId="1999" priority="148" stopIfTrue="1">
      <formula>IF($AK8&lt;4,1,IF($AK7&lt;3,1,0))</formula>
    </cfRule>
  </conditionalFormatting>
  <conditionalFormatting sqref="N27:P27 N112:P112">
    <cfRule type="expression" dxfId="1998" priority="149" stopIfTrue="1">
      <formula>IF($AK8&lt;5,1,IF($AK7&lt;3,1,0))</formula>
    </cfRule>
  </conditionalFormatting>
  <conditionalFormatting sqref="Q27:S27 Q112:S112">
    <cfRule type="expression" dxfId="1997" priority="150" stopIfTrue="1">
      <formula>IF($AK8&lt;6,1,IF($AK7&lt;3,1,0))</formula>
    </cfRule>
  </conditionalFormatting>
  <conditionalFormatting sqref="T27:V27 T112:V112">
    <cfRule type="expression" dxfId="1996" priority="151" stopIfTrue="1">
      <formula>IF($AK8&lt;7,1,IF($AK7&lt;3,1,0))</formula>
    </cfRule>
  </conditionalFormatting>
  <conditionalFormatting sqref="W27:Y27 W112:Y112">
    <cfRule type="expression" dxfId="1995" priority="152" stopIfTrue="1">
      <formula>IF($AK8&lt;8,1,IF($AK7&lt;3,1,0))</formula>
    </cfRule>
  </conditionalFormatting>
  <conditionalFormatting sqref="Z27:AB27 Z112:AB112">
    <cfRule type="expression" dxfId="1994" priority="153" stopIfTrue="1">
      <formula>IF($AK8&lt;9,1,IF($AK7&lt;3,1,0))</formula>
    </cfRule>
  </conditionalFormatting>
  <conditionalFormatting sqref="AC27:AE27 AC112:AE112">
    <cfRule type="expression" dxfId="1993" priority="154" stopIfTrue="1">
      <formula>IF($AK8&lt;10,1,IF($AK7&lt;3,1,0))</formula>
    </cfRule>
  </conditionalFormatting>
  <conditionalFormatting sqref="H28:J28 H113:J113">
    <cfRule type="expression" dxfId="1992" priority="155" stopIfTrue="1">
      <formula>IF($AK8&lt;3,1,IF($AK7&lt;4,1,0))</formula>
    </cfRule>
  </conditionalFormatting>
  <conditionalFormatting sqref="K28:M28 K113:M113">
    <cfRule type="expression" dxfId="1991" priority="156" stopIfTrue="1">
      <formula>IF($AK8&lt;4,1,IF($AK7&lt;4,1,0))</formula>
    </cfRule>
  </conditionalFormatting>
  <conditionalFormatting sqref="N28:P28 N113:P113">
    <cfRule type="expression" dxfId="1990" priority="157" stopIfTrue="1">
      <formula>IF($AK8&lt;5,1,IF($AK7&lt;4,1,0))</formula>
    </cfRule>
  </conditionalFormatting>
  <conditionalFormatting sqref="Q28:S28 Q113:S113">
    <cfRule type="expression" dxfId="1989" priority="158" stopIfTrue="1">
      <formula>IF($AK8&lt;6,1,IF($AK7&lt;4,1,0))</formula>
    </cfRule>
  </conditionalFormatting>
  <conditionalFormatting sqref="T28:V28 T113:V113">
    <cfRule type="expression" dxfId="1988" priority="159" stopIfTrue="1">
      <formula>IF($AK8&lt;7,1,IF($AK7&lt;4,1,0))</formula>
    </cfRule>
  </conditionalFormatting>
  <conditionalFormatting sqref="W28:Y28 W113:Y113">
    <cfRule type="expression" dxfId="1987" priority="160" stopIfTrue="1">
      <formula>IF($AK8&lt;8,1,IF($AK7&lt;4,1,0))</formula>
    </cfRule>
  </conditionalFormatting>
  <conditionalFormatting sqref="Z28:AB28 Z113:AB113">
    <cfRule type="expression" dxfId="1986" priority="161" stopIfTrue="1">
      <formula>IF($AK8&lt;9,1,IF($AK7&lt;4,1,0))</formula>
    </cfRule>
  </conditionalFormatting>
  <conditionalFormatting sqref="AC28:AE28 AC113:AE113">
    <cfRule type="expression" dxfId="1985" priority="162" stopIfTrue="1">
      <formula>IF($AK8&lt;10,1,IF($AK7&lt;4,1,0))</formula>
    </cfRule>
  </conditionalFormatting>
  <conditionalFormatting sqref="H29:J29 H114:J114">
    <cfRule type="expression" dxfId="1984" priority="163" stopIfTrue="1">
      <formula>IF($AK8&lt;3,1,IF($AK7&lt;5,1,0))</formula>
    </cfRule>
  </conditionalFormatting>
  <conditionalFormatting sqref="K29:M29 K114:M114">
    <cfRule type="expression" dxfId="1983" priority="164" stopIfTrue="1">
      <formula>IF($AK8&lt;4,1,IF($AK7&lt;5,1,0))</formula>
    </cfRule>
  </conditionalFormatting>
  <conditionalFormatting sqref="N29:P29 N114:P114">
    <cfRule type="expression" dxfId="1982" priority="165" stopIfTrue="1">
      <formula>IF($AK8&lt;5,1,IF($AK7&lt;5,1,0))</formula>
    </cfRule>
  </conditionalFormatting>
  <conditionalFormatting sqref="Q29:S29 Q114:S114">
    <cfRule type="expression" dxfId="1981" priority="166" stopIfTrue="1">
      <formula>IF($AK8&lt;6,1,IF($AK7&lt;5,1,0))</formula>
    </cfRule>
  </conditionalFormatting>
  <conditionalFormatting sqref="T29:V29 T114:V114">
    <cfRule type="expression" dxfId="1980" priority="167" stopIfTrue="1">
      <formula>IF($AK8&lt;7,1,IF($AK7&lt;5,1,0))</formula>
    </cfRule>
  </conditionalFormatting>
  <conditionalFormatting sqref="W29:Y29 W114:Y114">
    <cfRule type="expression" dxfId="1979" priority="168" stopIfTrue="1">
      <formula>IF($AK8&lt;8,1,IF($AK7&lt;5,1,0))</formula>
    </cfRule>
  </conditionalFormatting>
  <conditionalFormatting sqref="Z29:AB29 Z114:AB114">
    <cfRule type="expression" dxfId="1978" priority="169" stopIfTrue="1">
      <formula>IF($AK8&lt;9,1,IF($AK7&lt;5,1,0))</formula>
    </cfRule>
  </conditionalFormatting>
  <conditionalFormatting sqref="AC29:AE29 AC114:AE114">
    <cfRule type="expression" dxfId="1977" priority="170" stopIfTrue="1">
      <formula>IF($AK8&lt;10,1,IF($AK7&lt;5,1,0))</formula>
    </cfRule>
  </conditionalFormatting>
  <conditionalFormatting sqref="R14:AB15 AF14:AF15 L14:P15 R99:AB100 AF99:AF100 L99:P100 AG14 AG99">
    <cfRule type="expression" dxfId="1976" priority="171" stopIfTrue="1">
      <formula>IF($AK9&gt;3,0,1)</formula>
    </cfRule>
  </conditionalFormatting>
  <conditionalFormatting sqref="R16:AB17 AF16:AF17 L16:P17 R101:AB102 AF101:AF102 L101:P102 AG16 AG101">
    <cfRule type="expression" dxfId="1975" priority="172" stopIfTrue="1">
      <formula>IF($AK9&gt;4,0,1)</formula>
    </cfRule>
  </conditionalFormatting>
  <conditionalFormatting sqref="R8:AB9 AF8:AF9 L8:P9 R93:AB94 AF93:AF94 L93:P94 AG8 AG93">
    <cfRule type="expression" dxfId="1974" priority="173" stopIfTrue="1">
      <formula>IF($AK9&gt;0,0,1)</formula>
    </cfRule>
  </conditionalFormatting>
  <conditionalFormatting sqref="R10:AB11 AF10:AF11 L10:P11 R95:AB96 AF95:AF96 L95:P96 AG10 AG95">
    <cfRule type="expression" dxfId="1973" priority="174" stopIfTrue="1">
      <formula>IF($AK9&gt;1,0,1)</formula>
    </cfRule>
  </conditionalFormatting>
  <conditionalFormatting sqref="R12:AB13 AF12:AF13 L12:P13 R97:AB98 AF97:AF98 L97:P98 AG12 AG97">
    <cfRule type="expression" dxfId="1972" priority="175" stopIfTrue="1">
      <formula>IF($AK9&gt;2,0,1)</formula>
    </cfRule>
  </conditionalFormatting>
  <conditionalFormatting sqref="E24 E109">
    <cfRule type="expression" dxfId="1971" priority="176" stopIfTrue="1">
      <formula>IF(AK8&gt;1,0,1)</formula>
    </cfRule>
  </conditionalFormatting>
  <conditionalFormatting sqref="H24 H109">
    <cfRule type="expression" dxfId="1970" priority="177" stopIfTrue="1">
      <formula>IF(AK8&gt;2,0,1)</formula>
    </cfRule>
  </conditionalFormatting>
  <conditionalFormatting sqref="K24 K109">
    <cfRule type="expression" dxfId="1969" priority="178" stopIfTrue="1">
      <formula>IF(AK8&gt;3,0,1)</formula>
    </cfRule>
  </conditionalFormatting>
  <conditionalFormatting sqref="N24 N109">
    <cfRule type="expression" dxfId="1968" priority="179" stopIfTrue="1">
      <formula>IF(AK8&gt;4,0,1)</formula>
    </cfRule>
  </conditionalFormatting>
  <conditionalFormatting sqref="Q24 Q109">
    <cfRule type="expression" dxfId="1967" priority="180" stopIfTrue="1">
      <formula>IF(AK8&gt;5,0,1)</formula>
    </cfRule>
  </conditionalFormatting>
  <conditionalFormatting sqref="T24 T109">
    <cfRule type="expression" dxfId="1966" priority="181" stopIfTrue="1">
      <formula>IF(AK8&gt;6,0,1)</formula>
    </cfRule>
  </conditionalFormatting>
  <conditionalFormatting sqref="W24 W109">
    <cfRule type="expression" dxfId="1965" priority="182" stopIfTrue="1">
      <formula>IF(AK8&gt;7,0,1)</formula>
    </cfRule>
  </conditionalFormatting>
  <conditionalFormatting sqref="Z24 Z109">
    <cfRule type="expression" dxfId="1964" priority="183" stopIfTrue="1">
      <formula>IF(AK8&gt;8,0,1)</formula>
    </cfRule>
  </conditionalFormatting>
  <conditionalFormatting sqref="AC24 AC109">
    <cfRule type="expression" dxfId="1963" priority="184" stopIfTrue="1">
      <formula>IF(AK8&gt;9,0,1)</formula>
    </cfRule>
  </conditionalFormatting>
  <conditionalFormatting sqref="AQ27 AQ112">
    <cfRule type="expression" dxfId="1962" priority="185" stopIfTrue="1">
      <formula>IF($AK9&gt;3,0,1)</formula>
    </cfRule>
  </conditionalFormatting>
  <conditionalFormatting sqref="E25:G25 E110:G110">
    <cfRule type="expression" dxfId="1961" priority="186" stopIfTrue="1">
      <formula>IF($AK8&gt;1,0,1)</formula>
    </cfRule>
  </conditionalFormatting>
  <conditionalFormatting sqref="B21:D21 B106:D106">
    <cfRule type="expression" dxfId="1960" priority="187" stopIfTrue="1">
      <formula>IF(AK8&gt;0,0,1)</formula>
    </cfRule>
  </conditionalFormatting>
  <conditionalFormatting sqref="E21:G21 E106:G106">
    <cfRule type="expression" dxfId="1959" priority="188" stopIfTrue="1">
      <formula>IF(AK8&gt;1,0,1)</formula>
    </cfRule>
  </conditionalFormatting>
  <conditionalFormatting sqref="H21:J21 H106:J106">
    <cfRule type="expression" dxfId="1958" priority="189" stopIfTrue="1">
      <formula>IF(AK8&gt;2,0,1)</formula>
    </cfRule>
  </conditionalFormatting>
  <conditionalFormatting sqref="K21:M21 K106:M106">
    <cfRule type="expression" dxfId="1957" priority="190" stopIfTrue="1">
      <formula>IF(AK8&gt;3,0,1)</formula>
    </cfRule>
  </conditionalFormatting>
  <conditionalFormatting sqref="N21:P21 N106:P106">
    <cfRule type="expression" dxfId="1956" priority="191" stopIfTrue="1">
      <formula>IF(AK8&gt;4,0,1)</formula>
    </cfRule>
  </conditionalFormatting>
  <conditionalFormatting sqref="Q21:S21 Q106:S106">
    <cfRule type="expression" dxfId="1955" priority="192" stopIfTrue="1">
      <formula>IF(AK8&gt;5,0,1)</formula>
    </cfRule>
  </conditionalFormatting>
  <conditionalFormatting sqref="T21:V21 T106:V106">
    <cfRule type="expression" dxfId="1954" priority="193" stopIfTrue="1">
      <formula>IF(AK8&gt;6,0,1)</formula>
    </cfRule>
  </conditionalFormatting>
  <conditionalFormatting sqref="W21:Y21 W106:Y106">
    <cfRule type="expression" dxfId="1953" priority="194" stopIfTrue="1">
      <formula>IF(AK8&gt;7,0,1)</formula>
    </cfRule>
  </conditionalFormatting>
  <conditionalFormatting sqref="Z21:AB21 Z106:AB106">
    <cfRule type="expression" dxfId="1952" priority="195" stopIfTrue="1">
      <formula>IF(AK8&gt;8,0,1)</formula>
    </cfRule>
  </conditionalFormatting>
  <conditionalFormatting sqref="AC21:AE21 AC106:AE106">
    <cfRule type="expression" dxfId="1951" priority="196" stopIfTrue="1">
      <formula>IF(AK8&gt;9,0,1)</formula>
    </cfRule>
  </conditionalFormatting>
  <conditionalFormatting sqref="X224:X225 W215:W216 X215:Y215 W218:Y223 Z219:AE222 AA223:AA225 I223:I225 C224:C225 B215:B216 C215:D215 B218:D223 E219:J222 F223:F225 AD223:AD225">
    <cfRule type="expression" dxfId="1950" priority="197" stopIfTrue="1">
      <formula>IF(#REF!&gt;0,0,1)</formula>
    </cfRule>
  </conditionalFormatting>
  <conditionalFormatting sqref="AA215:AB215 AB223 AA218:AB218 Z223 Z215:Z218 F215:G215 G223 F218:G218 E223 E215:E218">
    <cfRule type="expression" dxfId="1949" priority="198" stopIfTrue="1">
      <formula>IF(#REF!&gt;1,0,1)</formula>
    </cfRule>
  </conditionalFormatting>
  <conditionalFormatting sqref="AC215:AC218 AD215:AE215 AE223 AD218:AE218 AC223 H223 H215:H218 I215:J215 J223 I218:J218">
    <cfRule type="expression" dxfId="1948" priority="199" stopIfTrue="1">
      <formula>IF(#REF!&gt;2,0,1)</formula>
    </cfRule>
  </conditionalFormatting>
  <conditionalFormatting sqref="W224 Y224 B224 D224">
    <cfRule type="expression" dxfId="1947" priority="200" stopIfTrue="1">
      <formula>IF(#REF!&lt;1,1,IF(#REF!&lt;2,1,0))</formula>
    </cfRule>
  </conditionalFormatting>
  <conditionalFormatting sqref="Z224 AB224 E224 G224">
    <cfRule type="expression" dxfId="1946" priority="201" stopIfTrue="1">
      <formula>IF(#REF!&lt;2,1,IF(#REF!&lt;2,1,0))</formula>
    </cfRule>
  </conditionalFormatting>
  <conditionalFormatting sqref="AC224 AE224 H224 J224">
    <cfRule type="expression" dxfId="1945" priority="202" stopIfTrue="1">
      <formula>IF(#REF!&lt;3,1,IF(#REF!&lt;2,1,0))</formula>
    </cfRule>
  </conditionalFormatting>
  <conditionalFormatting sqref="Y225 B225 D225 W225">
    <cfRule type="expression" dxfId="1944" priority="203" stopIfTrue="1">
      <formula>IF(#REF!&lt;1,1,IF(#REF!&lt;3,1,0))</formula>
    </cfRule>
  </conditionalFormatting>
  <conditionalFormatting sqref="AB225 E225 G225 Z225">
    <cfRule type="expression" dxfId="1943" priority="204" stopIfTrue="1">
      <formula>IF(#REF!&lt;2,1,IF(#REF!&lt;3,1,0))</formula>
    </cfRule>
  </conditionalFormatting>
  <conditionalFormatting sqref="AE225 H225 J225 AC225">
    <cfRule type="expression" dxfId="1942" priority="205" stopIfTrue="1">
      <formula>IF(#REF!&lt;3,1,IF(#REF!&lt;3,1,0))</formula>
    </cfRule>
  </conditionalFormatting>
  <conditionalFormatting sqref="AG24:AP28 AG109:AP113">
    <cfRule type="cellIs" dxfId="1941" priority="206" stopIfTrue="1" operator="notBetween">
      <formula>-9999</formula>
      <formula>9999</formula>
    </cfRule>
  </conditionalFormatting>
  <conditionalFormatting sqref="AC7 AC92">
    <cfRule type="expression" dxfId="1940" priority="207" stopIfTrue="1">
      <formula>IF($AK$11=0,1,0)</formula>
    </cfRule>
  </conditionalFormatting>
  <conditionalFormatting sqref="B22:D23 B107:D108">
    <cfRule type="cellIs" dxfId="1939" priority="208" stopIfTrue="1" operator="equal">
      <formula>99</formula>
    </cfRule>
  </conditionalFormatting>
  <conditionalFormatting sqref="X226 AA226 C226 F226">
    <cfRule type="expression" dxfId="1938" priority="209" stopIfTrue="1">
      <formula>IF(#REF!&gt;0,0,1)</formula>
    </cfRule>
  </conditionalFormatting>
  <conditionalFormatting sqref="K215">
    <cfRule type="expression" dxfId="1937" priority="5" stopIfTrue="1">
      <formula>IF(#REF!&gt;2,0,1)</formula>
    </cfRule>
  </conditionalFormatting>
  <conditionalFormatting sqref="K215">
    <cfRule type="expression" dxfId="1936" priority="4" stopIfTrue="1">
      <formula>IF(ISNUMBER(K223),0,1)</formula>
    </cfRule>
  </conditionalFormatting>
  <conditionalFormatting sqref="AF215">
    <cfRule type="expression" dxfId="1935" priority="3" stopIfTrue="1">
      <formula>IF(ISNUMBER(AF223),0,1)</formula>
    </cfRule>
  </conditionalFormatting>
  <conditionalFormatting sqref="B18">
    <cfRule type="expression" dxfId="1934" priority="2" stopIfTrue="1">
      <formula>IF($AK$9&gt;0,0,1)</formula>
    </cfRule>
  </conditionalFormatting>
  <conditionalFormatting sqref="B103">
    <cfRule type="expression" dxfId="1933" priority="1" stopIfTrue="1">
      <formula>IF($AK$9&gt;0,0,1)</formula>
    </cfRule>
  </conditionalFormatting>
  <pageMargins left="0.25" right="0.25" top="0.25" bottom="0.25" header="0" footer="0"/>
  <pageSetup scale="80" fitToHeight="5" orientation="landscape" r:id="rId1"/>
  <headerFooter alignWithMargins="0"/>
  <rowBreaks count="2" manualBreakCount="2">
    <brk id="90" max="42" man="1"/>
    <brk id="181" max="42" man="1"/>
  </rowBreaks>
  <drawing r:id="rId2"/>
  <legacyDrawing r:id="rId3"/>
  <controls>
    <mc:AlternateContent xmlns:mc="http://schemas.openxmlformats.org/markup-compatibility/2006">
      <mc:Choice Requires="x14">
        <control shapeId="19458" r:id="rId4" name="Pool2RecalcFinish">
          <controlPr defaultSize="0" autoLine="0" r:id="rId5">
            <anchor moveWithCells="1" sizeWithCells="1">
              <from>
                <xdr:col>36</xdr:col>
                <xdr:colOff>104775</xdr:colOff>
                <xdr:row>98</xdr:row>
                <xdr:rowOff>9525</xdr:rowOff>
              </from>
              <to>
                <xdr:col>41</xdr:col>
                <xdr:colOff>228600</xdr:colOff>
                <xdr:row>101</xdr:row>
                <xdr:rowOff>104775</xdr:rowOff>
              </to>
            </anchor>
          </controlPr>
        </control>
      </mc:Choice>
      <mc:Fallback>
        <control shapeId="19458" r:id="rId4" name="Pool2RecalcFinish"/>
      </mc:Fallback>
    </mc:AlternateContent>
    <mc:AlternateContent xmlns:mc="http://schemas.openxmlformats.org/markup-compatibility/2006">
      <mc:Choice Requires="x14">
        <control shapeId="19457" r:id="rId6" name="Pool1RecalcFinish">
          <controlPr defaultSize="0" autoLine="0" r:id="rId7">
            <anchor moveWithCells="1" sizeWithCells="1">
              <from>
                <xdr:col>36</xdr:col>
                <xdr:colOff>104775</xdr:colOff>
                <xdr:row>13</xdr:row>
                <xdr:rowOff>9525</xdr:rowOff>
              </from>
              <to>
                <xdr:col>41</xdr:col>
                <xdr:colOff>228600</xdr:colOff>
                <xdr:row>16</xdr:row>
                <xdr:rowOff>104775</xdr:rowOff>
              </to>
            </anchor>
          </controlPr>
        </control>
      </mc:Choice>
      <mc:Fallback>
        <control shapeId="19457" r:id="rId6" name="Pool1RecalcFinish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9">
    <tabColor indexed="11"/>
  </sheetPr>
  <dimension ref="A1:BY658"/>
  <sheetViews>
    <sheetView topLeftCell="H1" zoomScale="90" zoomScaleNormal="90" workbookViewId="0">
      <selection activeCell="AV4" sqref="AU4:AV4"/>
    </sheetView>
  </sheetViews>
  <sheetFormatPr defaultColWidth="8.7109375" defaultRowHeight="12.75" x14ac:dyDescent="0.2"/>
  <cols>
    <col min="1" max="1" width="8.7109375" style="4"/>
    <col min="2" max="2" width="3.7109375" style="4" customWidth="1"/>
    <col min="3" max="3" width="2.28515625" style="4" customWidth="1"/>
    <col min="4" max="5" width="3.7109375" style="4" customWidth="1"/>
    <col min="6" max="6" width="2.28515625" style="4" customWidth="1"/>
    <col min="7" max="8" width="3.7109375" style="4" customWidth="1"/>
    <col min="9" max="9" width="2.28515625" style="4" customWidth="1"/>
    <col min="10" max="11" width="3.7109375" style="4" customWidth="1"/>
    <col min="12" max="12" width="2.28515625" style="4" customWidth="1"/>
    <col min="13" max="14" width="3.7109375" style="4" customWidth="1"/>
    <col min="15" max="15" width="2.28515625" style="4" customWidth="1"/>
    <col min="16" max="17" width="3.7109375" style="4" customWidth="1"/>
    <col min="18" max="18" width="2.28515625" style="4" customWidth="1"/>
    <col min="19" max="20" width="3.7109375" style="4" customWidth="1"/>
    <col min="21" max="21" width="2.28515625" style="4" customWidth="1"/>
    <col min="22" max="23" width="3.7109375" style="4" customWidth="1"/>
    <col min="24" max="24" width="2.28515625" style="4" customWidth="1"/>
    <col min="25" max="26" width="3.7109375" style="4" customWidth="1"/>
    <col min="27" max="27" width="2.28515625" style="4" customWidth="1"/>
    <col min="28" max="29" width="3.7109375" style="4" customWidth="1"/>
    <col min="30" max="30" width="2.28515625" style="4" customWidth="1"/>
    <col min="31" max="31" width="3.7109375" style="4" customWidth="1"/>
    <col min="32" max="32" width="9.7109375" style="4" customWidth="1"/>
    <col min="33" max="42" width="3.7109375" style="4" customWidth="1"/>
    <col min="43" max="43" width="11" style="4" customWidth="1"/>
    <col min="44" max="46" width="8.7109375" style="4"/>
    <col min="47" max="47" width="21" style="4" customWidth="1"/>
    <col min="48" max="48" width="24.42578125" style="4" customWidth="1"/>
    <col min="49" max="49" width="15.28515625" style="129" customWidth="1"/>
    <col min="50" max="50" width="10.5703125" style="4" customWidth="1"/>
    <col min="51" max="51" width="11.28515625" style="4" customWidth="1"/>
    <col min="52" max="52" width="25" style="4" customWidth="1"/>
    <col min="53" max="53" width="6" style="4" customWidth="1"/>
    <col min="54" max="257" width="8.7109375" style="4"/>
    <col min="258" max="258" width="3.7109375" style="4" customWidth="1"/>
    <col min="259" max="259" width="2.28515625" style="4" customWidth="1"/>
    <col min="260" max="261" width="3.7109375" style="4" customWidth="1"/>
    <col min="262" max="262" width="2.28515625" style="4" customWidth="1"/>
    <col min="263" max="264" width="3.7109375" style="4" customWidth="1"/>
    <col min="265" max="265" width="2.28515625" style="4" customWidth="1"/>
    <col min="266" max="267" width="3.7109375" style="4" customWidth="1"/>
    <col min="268" max="268" width="2.28515625" style="4" customWidth="1"/>
    <col min="269" max="270" width="3.7109375" style="4" customWidth="1"/>
    <col min="271" max="271" width="2.28515625" style="4" customWidth="1"/>
    <col min="272" max="273" width="3.7109375" style="4" customWidth="1"/>
    <col min="274" max="274" width="2.28515625" style="4" customWidth="1"/>
    <col min="275" max="276" width="3.7109375" style="4" customWidth="1"/>
    <col min="277" max="277" width="2.28515625" style="4" customWidth="1"/>
    <col min="278" max="279" width="3.7109375" style="4" customWidth="1"/>
    <col min="280" max="280" width="2.28515625" style="4" customWidth="1"/>
    <col min="281" max="282" width="3.7109375" style="4" customWidth="1"/>
    <col min="283" max="283" width="2.28515625" style="4" customWidth="1"/>
    <col min="284" max="285" width="3.7109375" style="4" customWidth="1"/>
    <col min="286" max="286" width="2.28515625" style="4" customWidth="1"/>
    <col min="287" max="287" width="3.7109375" style="4" customWidth="1"/>
    <col min="288" max="288" width="9.7109375" style="4" customWidth="1"/>
    <col min="289" max="298" width="3.7109375" style="4" customWidth="1"/>
    <col min="299" max="299" width="11" style="4" customWidth="1"/>
    <col min="300" max="302" width="8.7109375" style="4"/>
    <col min="303" max="303" width="21" style="4" customWidth="1"/>
    <col min="304" max="304" width="24.42578125" style="4" customWidth="1"/>
    <col min="305" max="305" width="15.28515625" style="4" customWidth="1"/>
    <col min="306" max="306" width="10.5703125" style="4" customWidth="1"/>
    <col min="307" max="307" width="11.28515625" style="4" customWidth="1"/>
    <col min="308" max="308" width="25" style="4" customWidth="1"/>
    <col min="309" max="309" width="6" style="4" customWidth="1"/>
    <col min="310" max="513" width="8.7109375" style="4"/>
    <col min="514" max="514" width="3.7109375" style="4" customWidth="1"/>
    <col min="515" max="515" width="2.28515625" style="4" customWidth="1"/>
    <col min="516" max="517" width="3.7109375" style="4" customWidth="1"/>
    <col min="518" max="518" width="2.28515625" style="4" customWidth="1"/>
    <col min="519" max="520" width="3.7109375" style="4" customWidth="1"/>
    <col min="521" max="521" width="2.28515625" style="4" customWidth="1"/>
    <col min="522" max="523" width="3.7109375" style="4" customWidth="1"/>
    <col min="524" max="524" width="2.28515625" style="4" customWidth="1"/>
    <col min="525" max="526" width="3.7109375" style="4" customWidth="1"/>
    <col min="527" max="527" width="2.28515625" style="4" customWidth="1"/>
    <col min="528" max="529" width="3.7109375" style="4" customWidth="1"/>
    <col min="530" max="530" width="2.28515625" style="4" customWidth="1"/>
    <col min="531" max="532" width="3.7109375" style="4" customWidth="1"/>
    <col min="533" max="533" width="2.28515625" style="4" customWidth="1"/>
    <col min="534" max="535" width="3.7109375" style="4" customWidth="1"/>
    <col min="536" max="536" width="2.28515625" style="4" customWidth="1"/>
    <col min="537" max="538" width="3.7109375" style="4" customWidth="1"/>
    <col min="539" max="539" width="2.28515625" style="4" customWidth="1"/>
    <col min="540" max="541" width="3.7109375" style="4" customWidth="1"/>
    <col min="542" max="542" width="2.28515625" style="4" customWidth="1"/>
    <col min="543" max="543" width="3.7109375" style="4" customWidth="1"/>
    <col min="544" max="544" width="9.7109375" style="4" customWidth="1"/>
    <col min="545" max="554" width="3.7109375" style="4" customWidth="1"/>
    <col min="555" max="555" width="11" style="4" customWidth="1"/>
    <col min="556" max="558" width="8.7109375" style="4"/>
    <col min="559" max="559" width="21" style="4" customWidth="1"/>
    <col min="560" max="560" width="24.42578125" style="4" customWidth="1"/>
    <col min="561" max="561" width="15.28515625" style="4" customWidth="1"/>
    <col min="562" max="562" width="10.5703125" style="4" customWidth="1"/>
    <col min="563" max="563" width="11.28515625" style="4" customWidth="1"/>
    <col min="564" max="564" width="25" style="4" customWidth="1"/>
    <col min="565" max="565" width="6" style="4" customWidth="1"/>
    <col min="566" max="769" width="8.7109375" style="4"/>
    <col min="770" max="770" width="3.7109375" style="4" customWidth="1"/>
    <col min="771" max="771" width="2.28515625" style="4" customWidth="1"/>
    <col min="772" max="773" width="3.7109375" style="4" customWidth="1"/>
    <col min="774" max="774" width="2.28515625" style="4" customWidth="1"/>
    <col min="775" max="776" width="3.7109375" style="4" customWidth="1"/>
    <col min="777" max="777" width="2.28515625" style="4" customWidth="1"/>
    <col min="778" max="779" width="3.7109375" style="4" customWidth="1"/>
    <col min="780" max="780" width="2.28515625" style="4" customWidth="1"/>
    <col min="781" max="782" width="3.7109375" style="4" customWidth="1"/>
    <col min="783" max="783" width="2.28515625" style="4" customWidth="1"/>
    <col min="784" max="785" width="3.7109375" style="4" customWidth="1"/>
    <col min="786" max="786" width="2.28515625" style="4" customWidth="1"/>
    <col min="787" max="788" width="3.7109375" style="4" customWidth="1"/>
    <col min="789" max="789" width="2.28515625" style="4" customWidth="1"/>
    <col min="790" max="791" width="3.7109375" style="4" customWidth="1"/>
    <col min="792" max="792" width="2.28515625" style="4" customWidth="1"/>
    <col min="793" max="794" width="3.7109375" style="4" customWidth="1"/>
    <col min="795" max="795" width="2.28515625" style="4" customWidth="1"/>
    <col min="796" max="797" width="3.7109375" style="4" customWidth="1"/>
    <col min="798" max="798" width="2.28515625" style="4" customWidth="1"/>
    <col min="799" max="799" width="3.7109375" style="4" customWidth="1"/>
    <col min="800" max="800" width="9.7109375" style="4" customWidth="1"/>
    <col min="801" max="810" width="3.7109375" style="4" customWidth="1"/>
    <col min="811" max="811" width="11" style="4" customWidth="1"/>
    <col min="812" max="814" width="8.7109375" style="4"/>
    <col min="815" max="815" width="21" style="4" customWidth="1"/>
    <col min="816" max="816" width="24.42578125" style="4" customWidth="1"/>
    <col min="817" max="817" width="15.28515625" style="4" customWidth="1"/>
    <col min="818" max="818" width="10.5703125" style="4" customWidth="1"/>
    <col min="819" max="819" width="11.28515625" style="4" customWidth="1"/>
    <col min="820" max="820" width="25" style="4" customWidth="1"/>
    <col min="821" max="821" width="6" style="4" customWidth="1"/>
    <col min="822" max="1025" width="8.7109375" style="4"/>
    <col min="1026" max="1026" width="3.7109375" style="4" customWidth="1"/>
    <col min="1027" max="1027" width="2.28515625" style="4" customWidth="1"/>
    <col min="1028" max="1029" width="3.7109375" style="4" customWidth="1"/>
    <col min="1030" max="1030" width="2.28515625" style="4" customWidth="1"/>
    <col min="1031" max="1032" width="3.7109375" style="4" customWidth="1"/>
    <col min="1033" max="1033" width="2.28515625" style="4" customWidth="1"/>
    <col min="1034" max="1035" width="3.7109375" style="4" customWidth="1"/>
    <col min="1036" max="1036" width="2.28515625" style="4" customWidth="1"/>
    <col min="1037" max="1038" width="3.7109375" style="4" customWidth="1"/>
    <col min="1039" max="1039" width="2.28515625" style="4" customWidth="1"/>
    <col min="1040" max="1041" width="3.7109375" style="4" customWidth="1"/>
    <col min="1042" max="1042" width="2.28515625" style="4" customWidth="1"/>
    <col min="1043" max="1044" width="3.7109375" style="4" customWidth="1"/>
    <col min="1045" max="1045" width="2.28515625" style="4" customWidth="1"/>
    <col min="1046" max="1047" width="3.7109375" style="4" customWidth="1"/>
    <col min="1048" max="1048" width="2.28515625" style="4" customWidth="1"/>
    <col min="1049" max="1050" width="3.7109375" style="4" customWidth="1"/>
    <col min="1051" max="1051" width="2.28515625" style="4" customWidth="1"/>
    <col min="1052" max="1053" width="3.7109375" style="4" customWidth="1"/>
    <col min="1054" max="1054" width="2.28515625" style="4" customWidth="1"/>
    <col min="1055" max="1055" width="3.7109375" style="4" customWidth="1"/>
    <col min="1056" max="1056" width="9.7109375" style="4" customWidth="1"/>
    <col min="1057" max="1066" width="3.7109375" style="4" customWidth="1"/>
    <col min="1067" max="1067" width="11" style="4" customWidth="1"/>
    <col min="1068" max="1070" width="8.7109375" style="4"/>
    <col min="1071" max="1071" width="21" style="4" customWidth="1"/>
    <col min="1072" max="1072" width="24.42578125" style="4" customWidth="1"/>
    <col min="1073" max="1073" width="15.28515625" style="4" customWidth="1"/>
    <col min="1074" max="1074" width="10.5703125" style="4" customWidth="1"/>
    <col min="1075" max="1075" width="11.28515625" style="4" customWidth="1"/>
    <col min="1076" max="1076" width="25" style="4" customWidth="1"/>
    <col min="1077" max="1077" width="6" style="4" customWidth="1"/>
    <col min="1078" max="1281" width="8.7109375" style="4"/>
    <col min="1282" max="1282" width="3.7109375" style="4" customWidth="1"/>
    <col min="1283" max="1283" width="2.28515625" style="4" customWidth="1"/>
    <col min="1284" max="1285" width="3.7109375" style="4" customWidth="1"/>
    <col min="1286" max="1286" width="2.28515625" style="4" customWidth="1"/>
    <col min="1287" max="1288" width="3.7109375" style="4" customWidth="1"/>
    <col min="1289" max="1289" width="2.28515625" style="4" customWidth="1"/>
    <col min="1290" max="1291" width="3.7109375" style="4" customWidth="1"/>
    <col min="1292" max="1292" width="2.28515625" style="4" customWidth="1"/>
    <col min="1293" max="1294" width="3.7109375" style="4" customWidth="1"/>
    <col min="1295" max="1295" width="2.28515625" style="4" customWidth="1"/>
    <col min="1296" max="1297" width="3.7109375" style="4" customWidth="1"/>
    <col min="1298" max="1298" width="2.28515625" style="4" customWidth="1"/>
    <col min="1299" max="1300" width="3.7109375" style="4" customWidth="1"/>
    <col min="1301" max="1301" width="2.28515625" style="4" customWidth="1"/>
    <col min="1302" max="1303" width="3.7109375" style="4" customWidth="1"/>
    <col min="1304" max="1304" width="2.28515625" style="4" customWidth="1"/>
    <col min="1305" max="1306" width="3.7109375" style="4" customWidth="1"/>
    <col min="1307" max="1307" width="2.28515625" style="4" customWidth="1"/>
    <col min="1308" max="1309" width="3.7109375" style="4" customWidth="1"/>
    <col min="1310" max="1310" width="2.28515625" style="4" customWidth="1"/>
    <col min="1311" max="1311" width="3.7109375" style="4" customWidth="1"/>
    <col min="1312" max="1312" width="9.7109375" style="4" customWidth="1"/>
    <col min="1313" max="1322" width="3.7109375" style="4" customWidth="1"/>
    <col min="1323" max="1323" width="11" style="4" customWidth="1"/>
    <col min="1324" max="1326" width="8.7109375" style="4"/>
    <col min="1327" max="1327" width="21" style="4" customWidth="1"/>
    <col min="1328" max="1328" width="24.42578125" style="4" customWidth="1"/>
    <col min="1329" max="1329" width="15.28515625" style="4" customWidth="1"/>
    <col min="1330" max="1330" width="10.5703125" style="4" customWidth="1"/>
    <col min="1331" max="1331" width="11.28515625" style="4" customWidth="1"/>
    <col min="1332" max="1332" width="25" style="4" customWidth="1"/>
    <col min="1333" max="1333" width="6" style="4" customWidth="1"/>
    <col min="1334" max="1537" width="8.7109375" style="4"/>
    <col min="1538" max="1538" width="3.7109375" style="4" customWidth="1"/>
    <col min="1539" max="1539" width="2.28515625" style="4" customWidth="1"/>
    <col min="1540" max="1541" width="3.7109375" style="4" customWidth="1"/>
    <col min="1542" max="1542" width="2.28515625" style="4" customWidth="1"/>
    <col min="1543" max="1544" width="3.7109375" style="4" customWidth="1"/>
    <col min="1545" max="1545" width="2.28515625" style="4" customWidth="1"/>
    <col min="1546" max="1547" width="3.7109375" style="4" customWidth="1"/>
    <col min="1548" max="1548" width="2.28515625" style="4" customWidth="1"/>
    <col min="1549" max="1550" width="3.7109375" style="4" customWidth="1"/>
    <col min="1551" max="1551" width="2.28515625" style="4" customWidth="1"/>
    <col min="1552" max="1553" width="3.7109375" style="4" customWidth="1"/>
    <col min="1554" max="1554" width="2.28515625" style="4" customWidth="1"/>
    <col min="1555" max="1556" width="3.7109375" style="4" customWidth="1"/>
    <col min="1557" max="1557" width="2.28515625" style="4" customWidth="1"/>
    <col min="1558" max="1559" width="3.7109375" style="4" customWidth="1"/>
    <col min="1560" max="1560" width="2.28515625" style="4" customWidth="1"/>
    <col min="1561" max="1562" width="3.7109375" style="4" customWidth="1"/>
    <col min="1563" max="1563" width="2.28515625" style="4" customWidth="1"/>
    <col min="1564" max="1565" width="3.7109375" style="4" customWidth="1"/>
    <col min="1566" max="1566" width="2.28515625" style="4" customWidth="1"/>
    <col min="1567" max="1567" width="3.7109375" style="4" customWidth="1"/>
    <col min="1568" max="1568" width="9.7109375" style="4" customWidth="1"/>
    <col min="1569" max="1578" width="3.7109375" style="4" customWidth="1"/>
    <col min="1579" max="1579" width="11" style="4" customWidth="1"/>
    <col min="1580" max="1582" width="8.7109375" style="4"/>
    <col min="1583" max="1583" width="21" style="4" customWidth="1"/>
    <col min="1584" max="1584" width="24.42578125" style="4" customWidth="1"/>
    <col min="1585" max="1585" width="15.28515625" style="4" customWidth="1"/>
    <col min="1586" max="1586" width="10.5703125" style="4" customWidth="1"/>
    <col min="1587" max="1587" width="11.28515625" style="4" customWidth="1"/>
    <col min="1588" max="1588" width="25" style="4" customWidth="1"/>
    <col min="1589" max="1589" width="6" style="4" customWidth="1"/>
    <col min="1590" max="1793" width="8.7109375" style="4"/>
    <col min="1794" max="1794" width="3.7109375" style="4" customWidth="1"/>
    <col min="1795" max="1795" width="2.28515625" style="4" customWidth="1"/>
    <col min="1796" max="1797" width="3.7109375" style="4" customWidth="1"/>
    <col min="1798" max="1798" width="2.28515625" style="4" customWidth="1"/>
    <col min="1799" max="1800" width="3.7109375" style="4" customWidth="1"/>
    <col min="1801" max="1801" width="2.28515625" style="4" customWidth="1"/>
    <col min="1802" max="1803" width="3.7109375" style="4" customWidth="1"/>
    <col min="1804" max="1804" width="2.28515625" style="4" customWidth="1"/>
    <col min="1805" max="1806" width="3.7109375" style="4" customWidth="1"/>
    <col min="1807" max="1807" width="2.28515625" style="4" customWidth="1"/>
    <col min="1808" max="1809" width="3.7109375" style="4" customWidth="1"/>
    <col min="1810" max="1810" width="2.28515625" style="4" customWidth="1"/>
    <col min="1811" max="1812" width="3.7109375" style="4" customWidth="1"/>
    <col min="1813" max="1813" width="2.28515625" style="4" customWidth="1"/>
    <col min="1814" max="1815" width="3.7109375" style="4" customWidth="1"/>
    <col min="1816" max="1816" width="2.28515625" style="4" customWidth="1"/>
    <col min="1817" max="1818" width="3.7109375" style="4" customWidth="1"/>
    <col min="1819" max="1819" width="2.28515625" style="4" customWidth="1"/>
    <col min="1820" max="1821" width="3.7109375" style="4" customWidth="1"/>
    <col min="1822" max="1822" width="2.28515625" style="4" customWidth="1"/>
    <col min="1823" max="1823" width="3.7109375" style="4" customWidth="1"/>
    <col min="1824" max="1824" width="9.7109375" style="4" customWidth="1"/>
    <col min="1825" max="1834" width="3.7109375" style="4" customWidth="1"/>
    <col min="1835" max="1835" width="11" style="4" customWidth="1"/>
    <col min="1836" max="1838" width="8.7109375" style="4"/>
    <col min="1839" max="1839" width="21" style="4" customWidth="1"/>
    <col min="1840" max="1840" width="24.42578125" style="4" customWidth="1"/>
    <col min="1841" max="1841" width="15.28515625" style="4" customWidth="1"/>
    <col min="1842" max="1842" width="10.5703125" style="4" customWidth="1"/>
    <col min="1843" max="1843" width="11.28515625" style="4" customWidth="1"/>
    <col min="1844" max="1844" width="25" style="4" customWidth="1"/>
    <col min="1845" max="1845" width="6" style="4" customWidth="1"/>
    <col min="1846" max="2049" width="8.7109375" style="4"/>
    <col min="2050" max="2050" width="3.7109375" style="4" customWidth="1"/>
    <col min="2051" max="2051" width="2.28515625" style="4" customWidth="1"/>
    <col min="2052" max="2053" width="3.7109375" style="4" customWidth="1"/>
    <col min="2054" max="2054" width="2.28515625" style="4" customWidth="1"/>
    <col min="2055" max="2056" width="3.7109375" style="4" customWidth="1"/>
    <col min="2057" max="2057" width="2.28515625" style="4" customWidth="1"/>
    <col min="2058" max="2059" width="3.7109375" style="4" customWidth="1"/>
    <col min="2060" max="2060" width="2.28515625" style="4" customWidth="1"/>
    <col min="2061" max="2062" width="3.7109375" style="4" customWidth="1"/>
    <col min="2063" max="2063" width="2.28515625" style="4" customWidth="1"/>
    <col min="2064" max="2065" width="3.7109375" style="4" customWidth="1"/>
    <col min="2066" max="2066" width="2.28515625" style="4" customWidth="1"/>
    <col min="2067" max="2068" width="3.7109375" style="4" customWidth="1"/>
    <col min="2069" max="2069" width="2.28515625" style="4" customWidth="1"/>
    <col min="2070" max="2071" width="3.7109375" style="4" customWidth="1"/>
    <col min="2072" max="2072" width="2.28515625" style="4" customWidth="1"/>
    <col min="2073" max="2074" width="3.7109375" style="4" customWidth="1"/>
    <col min="2075" max="2075" width="2.28515625" style="4" customWidth="1"/>
    <col min="2076" max="2077" width="3.7109375" style="4" customWidth="1"/>
    <col min="2078" max="2078" width="2.28515625" style="4" customWidth="1"/>
    <col min="2079" max="2079" width="3.7109375" style="4" customWidth="1"/>
    <col min="2080" max="2080" width="9.7109375" style="4" customWidth="1"/>
    <col min="2081" max="2090" width="3.7109375" style="4" customWidth="1"/>
    <col min="2091" max="2091" width="11" style="4" customWidth="1"/>
    <col min="2092" max="2094" width="8.7109375" style="4"/>
    <col min="2095" max="2095" width="21" style="4" customWidth="1"/>
    <col min="2096" max="2096" width="24.42578125" style="4" customWidth="1"/>
    <col min="2097" max="2097" width="15.28515625" style="4" customWidth="1"/>
    <col min="2098" max="2098" width="10.5703125" style="4" customWidth="1"/>
    <col min="2099" max="2099" width="11.28515625" style="4" customWidth="1"/>
    <col min="2100" max="2100" width="25" style="4" customWidth="1"/>
    <col min="2101" max="2101" width="6" style="4" customWidth="1"/>
    <col min="2102" max="2305" width="8.7109375" style="4"/>
    <col min="2306" max="2306" width="3.7109375" style="4" customWidth="1"/>
    <col min="2307" max="2307" width="2.28515625" style="4" customWidth="1"/>
    <col min="2308" max="2309" width="3.7109375" style="4" customWidth="1"/>
    <col min="2310" max="2310" width="2.28515625" style="4" customWidth="1"/>
    <col min="2311" max="2312" width="3.7109375" style="4" customWidth="1"/>
    <col min="2313" max="2313" width="2.28515625" style="4" customWidth="1"/>
    <col min="2314" max="2315" width="3.7109375" style="4" customWidth="1"/>
    <col min="2316" max="2316" width="2.28515625" style="4" customWidth="1"/>
    <col min="2317" max="2318" width="3.7109375" style="4" customWidth="1"/>
    <col min="2319" max="2319" width="2.28515625" style="4" customWidth="1"/>
    <col min="2320" max="2321" width="3.7109375" style="4" customWidth="1"/>
    <col min="2322" max="2322" width="2.28515625" style="4" customWidth="1"/>
    <col min="2323" max="2324" width="3.7109375" style="4" customWidth="1"/>
    <col min="2325" max="2325" width="2.28515625" style="4" customWidth="1"/>
    <col min="2326" max="2327" width="3.7109375" style="4" customWidth="1"/>
    <col min="2328" max="2328" width="2.28515625" style="4" customWidth="1"/>
    <col min="2329" max="2330" width="3.7109375" style="4" customWidth="1"/>
    <col min="2331" max="2331" width="2.28515625" style="4" customWidth="1"/>
    <col min="2332" max="2333" width="3.7109375" style="4" customWidth="1"/>
    <col min="2334" max="2334" width="2.28515625" style="4" customWidth="1"/>
    <col min="2335" max="2335" width="3.7109375" style="4" customWidth="1"/>
    <col min="2336" max="2336" width="9.7109375" style="4" customWidth="1"/>
    <col min="2337" max="2346" width="3.7109375" style="4" customWidth="1"/>
    <col min="2347" max="2347" width="11" style="4" customWidth="1"/>
    <col min="2348" max="2350" width="8.7109375" style="4"/>
    <col min="2351" max="2351" width="21" style="4" customWidth="1"/>
    <col min="2352" max="2352" width="24.42578125" style="4" customWidth="1"/>
    <col min="2353" max="2353" width="15.28515625" style="4" customWidth="1"/>
    <col min="2354" max="2354" width="10.5703125" style="4" customWidth="1"/>
    <col min="2355" max="2355" width="11.28515625" style="4" customWidth="1"/>
    <col min="2356" max="2356" width="25" style="4" customWidth="1"/>
    <col min="2357" max="2357" width="6" style="4" customWidth="1"/>
    <col min="2358" max="2561" width="8.7109375" style="4"/>
    <col min="2562" max="2562" width="3.7109375" style="4" customWidth="1"/>
    <col min="2563" max="2563" width="2.28515625" style="4" customWidth="1"/>
    <col min="2564" max="2565" width="3.7109375" style="4" customWidth="1"/>
    <col min="2566" max="2566" width="2.28515625" style="4" customWidth="1"/>
    <col min="2567" max="2568" width="3.7109375" style="4" customWidth="1"/>
    <col min="2569" max="2569" width="2.28515625" style="4" customWidth="1"/>
    <col min="2570" max="2571" width="3.7109375" style="4" customWidth="1"/>
    <col min="2572" max="2572" width="2.28515625" style="4" customWidth="1"/>
    <col min="2573" max="2574" width="3.7109375" style="4" customWidth="1"/>
    <col min="2575" max="2575" width="2.28515625" style="4" customWidth="1"/>
    <col min="2576" max="2577" width="3.7109375" style="4" customWidth="1"/>
    <col min="2578" max="2578" width="2.28515625" style="4" customWidth="1"/>
    <col min="2579" max="2580" width="3.7109375" style="4" customWidth="1"/>
    <col min="2581" max="2581" width="2.28515625" style="4" customWidth="1"/>
    <col min="2582" max="2583" width="3.7109375" style="4" customWidth="1"/>
    <col min="2584" max="2584" width="2.28515625" style="4" customWidth="1"/>
    <col min="2585" max="2586" width="3.7109375" style="4" customWidth="1"/>
    <col min="2587" max="2587" width="2.28515625" style="4" customWidth="1"/>
    <col min="2588" max="2589" width="3.7109375" style="4" customWidth="1"/>
    <col min="2590" max="2590" width="2.28515625" style="4" customWidth="1"/>
    <col min="2591" max="2591" width="3.7109375" style="4" customWidth="1"/>
    <col min="2592" max="2592" width="9.7109375" style="4" customWidth="1"/>
    <col min="2593" max="2602" width="3.7109375" style="4" customWidth="1"/>
    <col min="2603" max="2603" width="11" style="4" customWidth="1"/>
    <col min="2604" max="2606" width="8.7109375" style="4"/>
    <col min="2607" max="2607" width="21" style="4" customWidth="1"/>
    <col min="2608" max="2608" width="24.42578125" style="4" customWidth="1"/>
    <col min="2609" max="2609" width="15.28515625" style="4" customWidth="1"/>
    <col min="2610" max="2610" width="10.5703125" style="4" customWidth="1"/>
    <col min="2611" max="2611" width="11.28515625" style="4" customWidth="1"/>
    <col min="2612" max="2612" width="25" style="4" customWidth="1"/>
    <col min="2613" max="2613" width="6" style="4" customWidth="1"/>
    <col min="2614" max="2817" width="8.7109375" style="4"/>
    <col min="2818" max="2818" width="3.7109375" style="4" customWidth="1"/>
    <col min="2819" max="2819" width="2.28515625" style="4" customWidth="1"/>
    <col min="2820" max="2821" width="3.7109375" style="4" customWidth="1"/>
    <col min="2822" max="2822" width="2.28515625" style="4" customWidth="1"/>
    <col min="2823" max="2824" width="3.7109375" style="4" customWidth="1"/>
    <col min="2825" max="2825" width="2.28515625" style="4" customWidth="1"/>
    <col min="2826" max="2827" width="3.7109375" style="4" customWidth="1"/>
    <col min="2828" max="2828" width="2.28515625" style="4" customWidth="1"/>
    <col min="2829" max="2830" width="3.7109375" style="4" customWidth="1"/>
    <col min="2831" max="2831" width="2.28515625" style="4" customWidth="1"/>
    <col min="2832" max="2833" width="3.7109375" style="4" customWidth="1"/>
    <col min="2834" max="2834" width="2.28515625" style="4" customWidth="1"/>
    <col min="2835" max="2836" width="3.7109375" style="4" customWidth="1"/>
    <col min="2837" max="2837" width="2.28515625" style="4" customWidth="1"/>
    <col min="2838" max="2839" width="3.7109375" style="4" customWidth="1"/>
    <col min="2840" max="2840" width="2.28515625" style="4" customWidth="1"/>
    <col min="2841" max="2842" width="3.7109375" style="4" customWidth="1"/>
    <col min="2843" max="2843" width="2.28515625" style="4" customWidth="1"/>
    <col min="2844" max="2845" width="3.7109375" style="4" customWidth="1"/>
    <col min="2846" max="2846" width="2.28515625" style="4" customWidth="1"/>
    <col min="2847" max="2847" width="3.7109375" style="4" customWidth="1"/>
    <col min="2848" max="2848" width="9.7109375" style="4" customWidth="1"/>
    <col min="2849" max="2858" width="3.7109375" style="4" customWidth="1"/>
    <col min="2859" max="2859" width="11" style="4" customWidth="1"/>
    <col min="2860" max="2862" width="8.7109375" style="4"/>
    <col min="2863" max="2863" width="21" style="4" customWidth="1"/>
    <col min="2864" max="2864" width="24.42578125" style="4" customWidth="1"/>
    <col min="2865" max="2865" width="15.28515625" style="4" customWidth="1"/>
    <col min="2866" max="2866" width="10.5703125" style="4" customWidth="1"/>
    <col min="2867" max="2867" width="11.28515625" style="4" customWidth="1"/>
    <col min="2868" max="2868" width="25" style="4" customWidth="1"/>
    <col min="2869" max="2869" width="6" style="4" customWidth="1"/>
    <col min="2870" max="3073" width="8.7109375" style="4"/>
    <col min="3074" max="3074" width="3.7109375" style="4" customWidth="1"/>
    <col min="3075" max="3075" width="2.28515625" style="4" customWidth="1"/>
    <col min="3076" max="3077" width="3.7109375" style="4" customWidth="1"/>
    <col min="3078" max="3078" width="2.28515625" style="4" customWidth="1"/>
    <col min="3079" max="3080" width="3.7109375" style="4" customWidth="1"/>
    <col min="3081" max="3081" width="2.28515625" style="4" customWidth="1"/>
    <col min="3082" max="3083" width="3.7109375" style="4" customWidth="1"/>
    <col min="3084" max="3084" width="2.28515625" style="4" customWidth="1"/>
    <col min="3085" max="3086" width="3.7109375" style="4" customWidth="1"/>
    <col min="3087" max="3087" width="2.28515625" style="4" customWidth="1"/>
    <col min="3088" max="3089" width="3.7109375" style="4" customWidth="1"/>
    <col min="3090" max="3090" width="2.28515625" style="4" customWidth="1"/>
    <col min="3091" max="3092" width="3.7109375" style="4" customWidth="1"/>
    <col min="3093" max="3093" width="2.28515625" style="4" customWidth="1"/>
    <col min="3094" max="3095" width="3.7109375" style="4" customWidth="1"/>
    <col min="3096" max="3096" width="2.28515625" style="4" customWidth="1"/>
    <col min="3097" max="3098" width="3.7109375" style="4" customWidth="1"/>
    <col min="3099" max="3099" width="2.28515625" style="4" customWidth="1"/>
    <col min="3100" max="3101" width="3.7109375" style="4" customWidth="1"/>
    <col min="3102" max="3102" width="2.28515625" style="4" customWidth="1"/>
    <col min="3103" max="3103" width="3.7109375" style="4" customWidth="1"/>
    <col min="3104" max="3104" width="9.7109375" style="4" customWidth="1"/>
    <col min="3105" max="3114" width="3.7109375" style="4" customWidth="1"/>
    <col min="3115" max="3115" width="11" style="4" customWidth="1"/>
    <col min="3116" max="3118" width="8.7109375" style="4"/>
    <col min="3119" max="3119" width="21" style="4" customWidth="1"/>
    <col min="3120" max="3120" width="24.42578125" style="4" customWidth="1"/>
    <col min="3121" max="3121" width="15.28515625" style="4" customWidth="1"/>
    <col min="3122" max="3122" width="10.5703125" style="4" customWidth="1"/>
    <col min="3123" max="3123" width="11.28515625" style="4" customWidth="1"/>
    <col min="3124" max="3124" width="25" style="4" customWidth="1"/>
    <col min="3125" max="3125" width="6" style="4" customWidth="1"/>
    <col min="3126" max="3329" width="8.7109375" style="4"/>
    <col min="3330" max="3330" width="3.7109375" style="4" customWidth="1"/>
    <col min="3331" max="3331" width="2.28515625" style="4" customWidth="1"/>
    <col min="3332" max="3333" width="3.7109375" style="4" customWidth="1"/>
    <col min="3334" max="3334" width="2.28515625" style="4" customWidth="1"/>
    <col min="3335" max="3336" width="3.7109375" style="4" customWidth="1"/>
    <col min="3337" max="3337" width="2.28515625" style="4" customWidth="1"/>
    <col min="3338" max="3339" width="3.7109375" style="4" customWidth="1"/>
    <col min="3340" max="3340" width="2.28515625" style="4" customWidth="1"/>
    <col min="3341" max="3342" width="3.7109375" style="4" customWidth="1"/>
    <col min="3343" max="3343" width="2.28515625" style="4" customWidth="1"/>
    <col min="3344" max="3345" width="3.7109375" style="4" customWidth="1"/>
    <col min="3346" max="3346" width="2.28515625" style="4" customWidth="1"/>
    <col min="3347" max="3348" width="3.7109375" style="4" customWidth="1"/>
    <col min="3349" max="3349" width="2.28515625" style="4" customWidth="1"/>
    <col min="3350" max="3351" width="3.7109375" style="4" customWidth="1"/>
    <col min="3352" max="3352" width="2.28515625" style="4" customWidth="1"/>
    <col min="3353" max="3354" width="3.7109375" style="4" customWidth="1"/>
    <col min="3355" max="3355" width="2.28515625" style="4" customWidth="1"/>
    <col min="3356" max="3357" width="3.7109375" style="4" customWidth="1"/>
    <col min="3358" max="3358" width="2.28515625" style="4" customWidth="1"/>
    <col min="3359" max="3359" width="3.7109375" style="4" customWidth="1"/>
    <col min="3360" max="3360" width="9.7109375" style="4" customWidth="1"/>
    <col min="3361" max="3370" width="3.7109375" style="4" customWidth="1"/>
    <col min="3371" max="3371" width="11" style="4" customWidth="1"/>
    <col min="3372" max="3374" width="8.7109375" style="4"/>
    <col min="3375" max="3375" width="21" style="4" customWidth="1"/>
    <col min="3376" max="3376" width="24.42578125" style="4" customWidth="1"/>
    <col min="3377" max="3377" width="15.28515625" style="4" customWidth="1"/>
    <col min="3378" max="3378" width="10.5703125" style="4" customWidth="1"/>
    <col min="3379" max="3379" width="11.28515625" style="4" customWidth="1"/>
    <col min="3380" max="3380" width="25" style="4" customWidth="1"/>
    <col min="3381" max="3381" width="6" style="4" customWidth="1"/>
    <col min="3382" max="3585" width="8.7109375" style="4"/>
    <col min="3586" max="3586" width="3.7109375" style="4" customWidth="1"/>
    <col min="3587" max="3587" width="2.28515625" style="4" customWidth="1"/>
    <col min="3588" max="3589" width="3.7109375" style="4" customWidth="1"/>
    <col min="3590" max="3590" width="2.28515625" style="4" customWidth="1"/>
    <col min="3591" max="3592" width="3.7109375" style="4" customWidth="1"/>
    <col min="3593" max="3593" width="2.28515625" style="4" customWidth="1"/>
    <col min="3594" max="3595" width="3.7109375" style="4" customWidth="1"/>
    <col min="3596" max="3596" width="2.28515625" style="4" customWidth="1"/>
    <col min="3597" max="3598" width="3.7109375" style="4" customWidth="1"/>
    <col min="3599" max="3599" width="2.28515625" style="4" customWidth="1"/>
    <col min="3600" max="3601" width="3.7109375" style="4" customWidth="1"/>
    <col min="3602" max="3602" width="2.28515625" style="4" customWidth="1"/>
    <col min="3603" max="3604" width="3.7109375" style="4" customWidth="1"/>
    <col min="3605" max="3605" width="2.28515625" style="4" customWidth="1"/>
    <col min="3606" max="3607" width="3.7109375" style="4" customWidth="1"/>
    <col min="3608" max="3608" width="2.28515625" style="4" customWidth="1"/>
    <col min="3609" max="3610" width="3.7109375" style="4" customWidth="1"/>
    <col min="3611" max="3611" width="2.28515625" style="4" customWidth="1"/>
    <col min="3612" max="3613" width="3.7109375" style="4" customWidth="1"/>
    <col min="3614" max="3614" width="2.28515625" style="4" customWidth="1"/>
    <col min="3615" max="3615" width="3.7109375" style="4" customWidth="1"/>
    <col min="3616" max="3616" width="9.7109375" style="4" customWidth="1"/>
    <col min="3617" max="3626" width="3.7109375" style="4" customWidth="1"/>
    <col min="3627" max="3627" width="11" style="4" customWidth="1"/>
    <col min="3628" max="3630" width="8.7109375" style="4"/>
    <col min="3631" max="3631" width="21" style="4" customWidth="1"/>
    <col min="3632" max="3632" width="24.42578125" style="4" customWidth="1"/>
    <col min="3633" max="3633" width="15.28515625" style="4" customWidth="1"/>
    <col min="3634" max="3634" width="10.5703125" style="4" customWidth="1"/>
    <col min="3635" max="3635" width="11.28515625" style="4" customWidth="1"/>
    <col min="3636" max="3636" width="25" style="4" customWidth="1"/>
    <col min="3637" max="3637" width="6" style="4" customWidth="1"/>
    <col min="3638" max="3841" width="8.7109375" style="4"/>
    <col min="3842" max="3842" width="3.7109375" style="4" customWidth="1"/>
    <col min="3843" max="3843" width="2.28515625" style="4" customWidth="1"/>
    <col min="3844" max="3845" width="3.7109375" style="4" customWidth="1"/>
    <col min="3846" max="3846" width="2.28515625" style="4" customWidth="1"/>
    <col min="3847" max="3848" width="3.7109375" style="4" customWidth="1"/>
    <col min="3849" max="3849" width="2.28515625" style="4" customWidth="1"/>
    <col min="3850" max="3851" width="3.7109375" style="4" customWidth="1"/>
    <col min="3852" max="3852" width="2.28515625" style="4" customWidth="1"/>
    <col min="3853" max="3854" width="3.7109375" style="4" customWidth="1"/>
    <col min="3855" max="3855" width="2.28515625" style="4" customWidth="1"/>
    <col min="3856" max="3857" width="3.7109375" style="4" customWidth="1"/>
    <col min="3858" max="3858" width="2.28515625" style="4" customWidth="1"/>
    <col min="3859" max="3860" width="3.7109375" style="4" customWidth="1"/>
    <col min="3861" max="3861" width="2.28515625" style="4" customWidth="1"/>
    <col min="3862" max="3863" width="3.7109375" style="4" customWidth="1"/>
    <col min="3864" max="3864" width="2.28515625" style="4" customWidth="1"/>
    <col min="3865" max="3866" width="3.7109375" style="4" customWidth="1"/>
    <col min="3867" max="3867" width="2.28515625" style="4" customWidth="1"/>
    <col min="3868" max="3869" width="3.7109375" style="4" customWidth="1"/>
    <col min="3870" max="3870" width="2.28515625" style="4" customWidth="1"/>
    <col min="3871" max="3871" width="3.7109375" style="4" customWidth="1"/>
    <col min="3872" max="3872" width="9.7109375" style="4" customWidth="1"/>
    <col min="3873" max="3882" width="3.7109375" style="4" customWidth="1"/>
    <col min="3883" max="3883" width="11" style="4" customWidth="1"/>
    <col min="3884" max="3886" width="8.7109375" style="4"/>
    <col min="3887" max="3887" width="21" style="4" customWidth="1"/>
    <col min="3888" max="3888" width="24.42578125" style="4" customWidth="1"/>
    <col min="3889" max="3889" width="15.28515625" style="4" customWidth="1"/>
    <col min="3890" max="3890" width="10.5703125" style="4" customWidth="1"/>
    <col min="3891" max="3891" width="11.28515625" style="4" customWidth="1"/>
    <col min="3892" max="3892" width="25" style="4" customWidth="1"/>
    <col min="3893" max="3893" width="6" style="4" customWidth="1"/>
    <col min="3894" max="4097" width="8.7109375" style="4"/>
    <col min="4098" max="4098" width="3.7109375" style="4" customWidth="1"/>
    <col min="4099" max="4099" width="2.28515625" style="4" customWidth="1"/>
    <col min="4100" max="4101" width="3.7109375" style="4" customWidth="1"/>
    <col min="4102" max="4102" width="2.28515625" style="4" customWidth="1"/>
    <col min="4103" max="4104" width="3.7109375" style="4" customWidth="1"/>
    <col min="4105" max="4105" width="2.28515625" style="4" customWidth="1"/>
    <col min="4106" max="4107" width="3.7109375" style="4" customWidth="1"/>
    <col min="4108" max="4108" width="2.28515625" style="4" customWidth="1"/>
    <col min="4109" max="4110" width="3.7109375" style="4" customWidth="1"/>
    <col min="4111" max="4111" width="2.28515625" style="4" customWidth="1"/>
    <col min="4112" max="4113" width="3.7109375" style="4" customWidth="1"/>
    <col min="4114" max="4114" width="2.28515625" style="4" customWidth="1"/>
    <col min="4115" max="4116" width="3.7109375" style="4" customWidth="1"/>
    <col min="4117" max="4117" width="2.28515625" style="4" customWidth="1"/>
    <col min="4118" max="4119" width="3.7109375" style="4" customWidth="1"/>
    <col min="4120" max="4120" width="2.28515625" style="4" customWidth="1"/>
    <col min="4121" max="4122" width="3.7109375" style="4" customWidth="1"/>
    <col min="4123" max="4123" width="2.28515625" style="4" customWidth="1"/>
    <col min="4124" max="4125" width="3.7109375" style="4" customWidth="1"/>
    <col min="4126" max="4126" width="2.28515625" style="4" customWidth="1"/>
    <col min="4127" max="4127" width="3.7109375" style="4" customWidth="1"/>
    <col min="4128" max="4128" width="9.7109375" style="4" customWidth="1"/>
    <col min="4129" max="4138" width="3.7109375" style="4" customWidth="1"/>
    <col min="4139" max="4139" width="11" style="4" customWidth="1"/>
    <col min="4140" max="4142" width="8.7109375" style="4"/>
    <col min="4143" max="4143" width="21" style="4" customWidth="1"/>
    <col min="4144" max="4144" width="24.42578125" style="4" customWidth="1"/>
    <col min="4145" max="4145" width="15.28515625" style="4" customWidth="1"/>
    <col min="4146" max="4146" width="10.5703125" style="4" customWidth="1"/>
    <col min="4147" max="4147" width="11.28515625" style="4" customWidth="1"/>
    <col min="4148" max="4148" width="25" style="4" customWidth="1"/>
    <col min="4149" max="4149" width="6" style="4" customWidth="1"/>
    <col min="4150" max="4353" width="8.7109375" style="4"/>
    <col min="4354" max="4354" width="3.7109375" style="4" customWidth="1"/>
    <col min="4355" max="4355" width="2.28515625" style="4" customWidth="1"/>
    <col min="4356" max="4357" width="3.7109375" style="4" customWidth="1"/>
    <col min="4358" max="4358" width="2.28515625" style="4" customWidth="1"/>
    <col min="4359" max="4360" width="3.7109375" style="4" customWidth="1"/>
    <col min="4361" max="4361" width="2.28515625" style="4" customWidth="1"/>
    <col min="4362" max="4363" width="3.7109375" style="4" customWidth="1"/>
    <col min="4364" max="4364" width="2.28515625" style="4" customWidth="1"/>
    <col min="4365" max="4366" width="3.7109375" style="4" customWidth="1"/>
    <col min="4367" max="4367" width="2.28515625" style="4" customWidth="1"/>
    <col min="4368" max="4369" width="3.7109375" style="4" customWidth="1"/>
    <col min="4370" max="4370" width="2.28515625" style="4" customWidth="1"/>
    <col min="4371" max="4372" width="3.7109375" style="4" customWidth="1"/>
    <col min="4373" max="4373" width="2.28515625" style="4" customWidth="1"/>
    <col min="4374" max="4375" width="3.7109375" style="4" customWidth="1"/>
    <col min="4376" max="4376" width="2.28515625" style="4" customWidth="1"/>
    <col min="4377" max="4378" width="3.7109375" style="4" customWidth="1"/>
    <col min="4379" max="4379" width="2.28515625" style="4" customWidth="1"/>
    <col min="4380" max="4381" width="3.7109375" style="4" customWidth="1"/>
    <col min="4382" max="4382" width="2.28515625" style="4" customWidth="1"/>
    <col min="4383" max="4383" width="3.7109375" style="4" customWidth="1"/>
    <col min="4384" max="4384" width="9.7109375" style="4" customWidth="1"/>
    <col min="4385" max="4394" width="3.7109375" style="4" customWidth="1"/>
    <col min="4395" max="4395" width="11" style="4" customWidth="1"/>
    <col min="4396" max="4398" width="8.7109375" style="4"/>
    <col min="4399" max="4399" width="21" style="4" customWidth="1"/>
    <col min="4400" max="4400" width="24.42578125" style="4" customWidth="1"/>
    <col min="4401" max="4401" width="15.28515625" style="4" customWidth="1"/>
    <col min="4402" max="4402" width="10.5703125" style="4" customWidth="1"/>
    <col min="4403" max="4403" width="11.28515625" style="4" customWidth="1"/>
    <col min="4404" max="4404" width="25" style="4" customWidth="1"/>
    <col min="4405" max="4405" width="6" style="4" customWidth="1"/>
    <col min="4406" max="4609" width="8.7109375" style="4"/>
    <col min="4610" max="4610" width="3.7109375" style="4" customWidth="1"/>
    <col min="4611" max="4611" width="2.28515625" style="4" customWidth="1"/>
    <col min="4612" max="4613" width="3.7109375" style="4" customWidth="1"/>
    <col min="4614" max="4614" width="2.28515625" style="4" customWidth="1"/>
    <col min="4615" max="4616" width="3.7109375" style="4" customWidth="1"/>
    <col min="4617" max="4617" width="2.28515625" style="4" customWidth="1"/>
    <col min="4618" max="4619" width="3.7109375" style="4" customWidth="1"/>
    <col min="4620" max="4620" width="2.28515625" style="4" customWidth="1"/>
    <col min="4621" max="4622" width="3.7109375" style="4" customWidth="1"/>
    <col min="4623" max="4623" width="2.28515625" style="4" customWidth="1"/>
    <col min="4624" max="4625" width="3.7109375" style="4" customWidth="1"/>
    <col min="4626" max="4626" width="2.28515625" style="4" customWidth="1"/>
    <col min="4627" max="4628" width="3.7109375" style="4" customWidth="1"/>
    <col min="4629" max="4629" width="2.28515625" style="4" customWidth="1"/>
    <col min="4630" max="4631" width="3.7109375" style="4" customWidth="1"/>
    <col min="4632" max="4632" width="2.28515625" style="4" customWidth="1"/>
    <col min="4633" max="4634" width="3.7109375" style="4" customWidth="1"/>
    <col min="4635" max="4635" width="2.28515625" style="4" customWidth="1"/>
    <col min="4636" max="4637" width="3.7109375" style="4" customWidth="1"/>
    <col min="4638" max="4638" width="2.28515625" style="4" customWidth="1"/>
    <col min="4639" max="4639" width="3.7109375" style="4" customWidth="1"/>
    <col min="4640" max="4640" width="9.7109375" style="4" customWidth="1"/>
    <col min="4641" max="4650" width="3.7109375" style="4" customWidth="1"/>
    <col min="4651" max="4651" width="11" style="4" customWidth="1"/>
    <col min="4652" max="4654" width="8.7109375" style="4"/>
    <col min="4655" max="4655" width="21" style="4" customWidth="1"/>
    <col min="4656" max="4656" width="24.42578125" style="4" customWidth="1"/>
    <col min="4657" max="4657" width="15.28515625" style="4" customWidth="1"/>
    <col min="4658" max="4658" width="10.5703125" style="4" customWidth="1"/>
    <col min="4659" max="4659" width="11.28515625" style="4" customWidth="1"/>
    <col min="4660" max="4660" width="25" style="4" customWidth="1"/>
    <col min="4661" max="4661" width="6" style="4" customWidth="1"/>
    <col min="4662" max="4865" width="8.7109375" style="4"/>
    <col min="4866" max="4866" width="3.7109375" style="4" customWidth="1"/>
    <col min="4867" max="4867" width="2.28515625" style="4" customWidth="1"/>
    <col min="4868" max="4869" width="3.7109375" style="4" customWidth="1"/>
    <col min="4870" max="4870" width="2.28515625" style="4" customWidth="1"/>
    <col min="4871" max="4872" width="3.7109375" style="4" customWidth="1"/>
    <col min="4873" max="4873" width="2.28515625" style="4" customWidth="1"/>
    <col min="4874" max="4875" width="3.7109375" style="4" customWidth="1"/>
    <col min="4876" max="4876" width="2.28515625" style="4" customWidth="1"/>
    <col min="4877" max="4878" width="3.7109375" style="4" customWidth="1"/>
    <col min="4879" max="4879" width="2.28515625" style="4" customWidth="1"/>
    <col min="4880" max="4881" width="3.7109375" style="4" customWidth="1"/>
    <col min="4882" max="4882" width="2.28515625" style="4" customWidth="1"/>
    <col min="4883" max="4884" width="3.7109375" style="4" customWidth="1"/>
    <col min="4885" max="4885" width="2.28515625" style="4" customWidth="1"/>
    <col min="4886" max="4887" width="3.7109375" style="4" customWidth="1"/>
    <col min="4888" max="4888" width="2.28515625" style="4" customWidth="1"/>
    <col min="4889" max="4890" width="3.7109375" style="4" customWidth="1"/>
    <col min="4891" max="4891" width="2.28515625" style="4" customWidth="1"/>
    <col min="4892" max="4893" width="3.7109375" style="4" customWidth="1"/>
    <col min="4894" max="4894" width="2.28515625" style="4" customWidth="1"/>
    <col min="4895" max="4895" width="3.7109375" style="4" customWidth="1"/>
    <col min="4896" max="4896" width="9.7109375" style="4" customWidth="1"/>
    <col min="4897" max="4906" width="3.7109375" style="4" customWidth="1"/>
    <col min="4907" max="4907" width="11" style="4" customWidth="1"/>
    <col min="4908" max="4910" width="8.7109375" style="4"/>
    <col min="4911" max="4911" width="21" style="4" customWidth="1"/>
    <col min="4912" max="4912" width="24.42578125" style="4" customWidth="1"/>
    <col min="4913" max="4913" width="15.28515625" style="4" customWidth="1"/>
    <col min="4914" max="4914" width="10.5703125" style="4" customWidth="1"/>
    <col min="4915" max="4915" width="11.28515625" style="4" customWidth="1"/>
    <col min="4916" max="4916" width="25" style="4" customWidth="1"/>
    <col min="4917" max="4917" width="6" style="4" customWidth="1"/>
    <col min="4918" max="5121" width="8.7109375" style="4"/>
    <col min="5122" max="5122" width="3.7109375" style="4" customWidth="1"/>
    <col min="5123" max="5123" width="2.28515625" style="4" customWidth="1"/>
    <col min="5124" max="5125" width="3.7109375" style="4" customWidth="1"/>
    <col min="5126" max="5126" width="2.28515625" style="4" customWidth="1"/>
    <col min="5127" max="5128" width="3.7109375" style="4" customWidth="1"/>
    <col min="5129" max="5129" width="2.28515625" style="4" customWidth="1"/>
    <col min="5130" max="5131" width="3.7109375" style="4" customWidth="1"/>
    <col min="5132" max="5132" width="2.28515625" style="4" customWidth="1"/>
    <col min="5133" max="5134" width="3.7109375" style="4" customWidth="1"/>
    <col min="5135" max="5135" width="2.28515625" style="4" customWidth="1"/>
    <col min="5136" max="5137" width="3.7109375" style="4" customWidth="1"/>
    <col min="5138" max="5138" width="2.28515625" style="4" customWidth="1"/>
    <col min="5139" max="5140" width="3.7109375" style="4" customWidth="1"/>
    <col min="5141" max="5141" width="2.28515625" style="4" customWidth="1"/>
    <col min="5142" max="5143" width="3.7109375" style="4" customWidth="1"/>
    <col min="5144" max="5144" width="2.28515625" style="4" customWidth="1"/>
    <col min="5145" max="5146" width="3.7109375" style="4" customWidth="1"/>
    <col min="5147" max="5147" width="2.28515625" style="4" customWidth="1"/>
    <col min="5148" max="5149" width="3.7109375" style="4" customWidth="1"/>
    <col min="5150" max="5150" width="2.28515625" style="4" customWidth="1"/>
    <col min="5151" max="5151" width="3.7109375" style="4" customWidth="1"/>
    <col min="5152" max="5152" width="9.7109375" style="4" customWidth="1"/>
    <col min="5153" max="5162" width="3.7109375" style="4" customWidth="1"/>
    <col min="5163" max="5163" width="11" style="4" customWidth="1"/>
    <col min="5164" max="5166" width="8.7109375" style="4"/>
    <col min="5167" max="5167" width="21" style="4" customWidth="1"/>
    <col min="5168" max="5168" width="24.42578125" style="4" customWidth="1"/>
    <col min="5169" max="5169" width="15.28515625" style="4" customWidth="1"/>
    <col min="5170" max="5170" width="10.5703125" style="4" customWidth="1"/>
    <col min="5171" max="5171" width="11.28515625" style="4" customWidth="1"/>
    <col min="5172" max="5172" width="25" style="4" customWidth="1"/>
    <col min="5173" max="5173" width="6" style="4" customWidth="1"/>
    <col min="5174" max="5377" width="8.7109375" style="4"/>
    <col min="5378" max="5378" width="3.7109375" style="4" customWidth="1"/>
    <col min="5379" max="5379" width="2.28515625" style="4" customWidth="1"/>
    <col min="5380" max="5381" width="3.7109375" style="4" customWidth="1"/>
    <col min="5382" max="5382" width="2.28515625" style="4" customWidth="1"/>
    <col min="5383" max="5384" width="3.7109375" style="4" customWidth="1"/>
    <col min="5385" max="5385" width="2.28515625" style="4" customWidth="1"/>
    <col min="5386" max="5387" width="3.7109375" style="4" customWidth="1"/>
    <col min="5388" max="5388" width="2.28515625" style="4" customWidth="1"/>
    <col min="5389" max="5390" width="3.7109375" style="4" customWidth="1"/>
    <col min="5391" max="5391" width="2.28515625" style="4" customWidth="1"/>
    <col min="5392" max="5393" width="3.7109375" style="4" customWidth="1"/>
    <col min="5394" max="5394" width="2.28515625" style="4" customWidth="1"/>
    <col min="5395" max="5396" width="3.7109375" style="4" customWidth="1"/>
    <col min="5397" max="5397" width="2.28515625" style="4" customWidth="1"/>
    <col min="5398" max="5399" width="3.7109375" style="4" customWidth="1"/>
    <col min="5400" max="5400" width="2.28515625" style="4" customWidth="1"/>
    <col min="5401" max="5402" width="3.7109375" style="4" customWidth="1"/>
    <col min="5403" max="5403" width="2.28515625" style="4" customWidth="1"/>
    <col min="5404" max="5405" width="3.7109375" style="4" customWidth="1"/>
    <col min="5406" max="5406" width="2.28515625" style="4" customWidth="1"/>
    <col min="5407" max="5407" width="3.7109375" style="4" customWidth="1"/>
    <col min="5408" max="5408" width="9.7109375" style="4" customWidth="1"/>
    <col min="5409" max="5418" width="3.7109375" style="4" customWidth="1"/>
    <col min="5419" max="5419" width="11" style="4" customWidth="1"/>
    <col min="5420" max="5422" width="8.7109375" style="4"/>
    <col min="5423" max="5423" width="21" style="4" customWidth="1"/>
    <col min="5424" max="5424" width="24.42578125" style="4" customWidth="1"/>
    <col min="5425" max="5425" width="15.28515625" style="4" customWidth="1"/>
    <col min="5426" max="5426" width="10.5703125" style="4" customWidth="1"/>
    <col min="5427" max="5427" width="11.28515625" style="4" customWidth="1"/>
    <col min="5428" max="5428" width="25" style="4" customWidth="1"/>
    <col min="5429" max="5429" width="6" style="4" customWidth="1"/>
    <col min="5430" max="5633" width="8.7109375" style="4"/>
    <col min="5634" max="5634" width="3.7109375" style="4" customWidth="1"/>
    <col min="5635" max="5635" width="2.28515625" style="4" customWidth="1"/>
    <col min="5636" max="5637" width="3.7109375" style="4" customWidth="1"/>
    <col min="5638" max="5638" width="2.28515625" style="4" customWidth="1"/>
    <col min="5639" max="5640" width="3.7109375" style="4" customWidth="1"/>
    <col min="5641" max="5641" width="2.28515625" style="4" customWidth="1"/>
    <col min="5642" max="5643" width="3.7109375" style="4" customWidth="1"/>
    <col min="5644" max="5644" width="2.28515625" style="4" customWidth="1"/>
    <col min="5645" max="5646" width="3.7109375" style="4" customWidth="1"/>
    <col min="5647" max="5647" width="2.28515625" style="4" customWidth="1"/>
    <col min="5648" max="5649" width="3.7109375" style="4" customWidth="1"/>
    <col min="5650" max="5650" width="2.28515625" style="4" customWidth="1"/>
    <col min="5651" max="5652" width="3.7109375" style="4" customWidth="1"/>
    <col min="5653" max="5653" width="2.28515625" style="4" customWidth="1"/>
    <col min="5654" max="5655" width="3.7109375" style="4" customWidth="1"/>
    <col min="5656" max="5656" width="2.28515625" style="4" customWidth="1"/>
    <col min="5657" max="5658" width="3.7109375" style="4" customWidth="1"/>
    <col min="5659" max="5659" width="2.28515625" style="4" customWidth="1"/>
    <col min="5660" max="5661" width="3.7109375" style="4" customWidth="1"/>
    <col min="5662" max="5662" width="2.28515625" style="4" customWidth="1"/>
    <col min="5663" max="5663" width="3.7109375" style="4" customWidth="1"/>
    <col min="5664" max="5664" width="9.7109375" style="4" customWidth="1"/>
    <col min="5665" max="5674" width="3.7109375" style="4" customWidth="1"/>
    <col min="5675" max="5675" width="11" style="4" customWidth="1"/>
    <col min="5676" max="5678" width="8.7109375" style="4"/>
    <col min="5679" max="5679" width="21" style="4" customWidth="1"/>
    <col min="5680" max="5680" width="24.42578125" style="4" customWidth="1"/>
    <col min="5681" max="5681" width="15.28515625" style="4" customWidth="1"/>
    <col min="5682" max="5682" width="10.5703125" style="4" customWidth="1"/>
    <col min="5683" max="5683" width="11.28515625" style="4" customWidth="1"/>
    <col min="5684" max="5684" width="25" style="4" customWidth="1"/>
    <col min="5685" max="5685" width="6" style="4" customWidth="1"/>
    <col min="5686" max="5889" width="8.7109375" style="4"/>
    <col min="5890" max="5890" width="3.7109375" style="4" customWidth="1"/>
    <col min="5891" max="5891" width="2.28515625" style="4" customWidth="1"/>
    <col min="5892" max="5893" width="3.7109375" style="4" customWidth="1"/>
    <col min="5894" max="5894" width="2.28515625" style="4" customWidth="1"/>
    <col min="5895" max="5896" width="3.7109375" style="4" customWidth="1"/>
    <col min="5897" max="5897" width="2.28515625" style="4" customWidth="1"/>
    <col min="5898" max="5899" width="3.7109375" style="4" customWidth="1"/>
    <col min="5900" max="5900" width="2.28515625" style="4" customWidth="1"/>
    <col min="5901" max="5902" width="3.7109375" style="4" customWidth="1"/>
    <col min="5903" max="5903" width="2.28515625" style="4" customWidth="1"/>
    <col min="5904" max="5905" width="3.7109375" style="4" customWidth="1"/>
    <col min="5906" max="5906" width="2.28515625" style="4" customWidth="1"/>
    <col min="5907" max="5908" width="3.7109375" style="4" customWidth="1"/>
    <col min="5909" max="5909" width="2.28515625" style="4" customWidth="1"/>
    <col min="5910" max="5911" width="3.7109375" style="4" customWidth="1"/>
    <col min="5912" max="5912" width="2.28515625" style="4" customWidth="1"/>
    <col min="5913" max="5914" width="3.7109375" style="4" customWidth="1"/>
    <col min="5915" max="5915" width="2.28515625" style="4" customWidth="1"/>
    <col min="5916" max="5917" width="3.7109375" style="4" customWidth="1"/>
    <col min="5918" max="5918" width="2.28515625" style="4" customWidth="1"/>
    <col min="5919" max="5919" width="3.7109375" style="4" customWidth="1"/>
    <col min="5920" max="5920" width="9.7109375" style="4" customWidth="1"/>
    <col min="5921" max="5930" width="3.7109375" style="4" customWidth="1"/>
    <col min="5931" max="5931" width="11" style="4" customWidth="1"/>
    <col min="5932" max="5934" width="8.7109375" style="4"/>
    <col min="5935" max="5935" width="21" style="4" customWidth="1"/>
    <col min="5936" max="5936" width="24.42578125" style="4" customWidth="1"/>
    <col min="5937" max="5937" width="15.28515625" style="4" customWidth="1"/>
    <col min="5938" max="5938" width="10.5703125" style="4" customWidth="1"/>
    <col min="5939" max="5939" width="11.28515625" style="4" customWidth="1"/>
    <col min="5940" max="5940" width="25" style="4" customWidth="1"/>
    <col min="5941" max="5941" width="6" style="4" customWidth="1"/>
    <col min="5942" max="6145" width="8.7109375" style="4"/>
    <col min="6146" max="6146" width="3.7109375" style="4" customWidth="1"/>
    <col min="6147" max="6147" width="2.28515625" style="4" customWidth="1"/>
    <col min="6148" max="6149" width="3.7109375" style="4" customWidth="1"/>
    <col min="6150" max="6150" width="2.28515625" style="4" customWidth="1"/>
    <col min="6151" max="6152" width="3.7109375" style="4" customWidth="1"/>
    <col min="6153" max="6153" width="2.28515625" style="4" customWidth="1"/>
    <col min="6154" max="6155" width="3.7109375" style="4" customWidth="1"/>
    <col min="6156" max="6156" width="2.28515625" style="4" customWidth="1"/>
    <col min="6157" max="6158" width="3.7109375" style="4" customWidth="1"/>
    <col min="6159" max="6159" width="2.28515625" style="4" customWidth="1"/>
    <col min="6160" max="6161" width="3.7109375" style="4" customWidth="1"/>
    <col min="6162" max="6162" width="2.28515625" style="4" customWidth="1"/>
    <col min="6163" max="6164" width="3.7109375" style="4" customWidth="1"/>
    <col min="6165" max="6165" width="2.28515625" style="4" customWidth="1"/>
    <col min="6166" max="6167" width="3.7109375" style="4" customWidth="1"/>
    <col min="6168" max="6168" width="2.28515625" style="4" customWidth="1"/>
    <col min="6169" max="6170" width="3.7109375" style="4" customWidth="1"/>
    <col min="6171" max="6171" width="2.28515625" style="4" customWidth="1"/>
    <col min="6172" max="6173" width="3.7109375" style="4" customWidth="1"/>
    <col min="6174" max="6174" width="2.28515625" style="4" customWidth="1"/>
    <col min="6175" max="6175" width="3.7109375" style="4" customWidth="1"/>
    <col min="6176" max="6176" width="9.7109375" style="4" customWidth="1"/>
    <col min="6177" max="6186" width="3.7109375" style="4" customWidth="1"/>
    <col min="6187" max="6187" width="11" style="4" customWidth="1"/>
    <col min="6188" max="6190" width="8.7109375" style="4"/>
    <col min="6191" max="6191" width="21" style="4" customWidth="1"/>
    <col min="6192" max="6192" width="24.42578125" style="4" customWidth="1"/>
    <col min="6193" max="6193" width="15.28515625" style="4" customWidth="1"/>
    <col min="6194" max="6194" width="10.5703125" style="4" customWidth="1"/>
    <col min="6195" max="6195" width="11.28515625" style="4" customWidth="1"/>
    <col min="6196" max="6196" width="25" style="4" customWidth="1"/>
    <col min="6197" max="6197" width="6" style="4" customWidth="1"/>
    <col min="6198" max="6401" width="8.7109375" style="4"/>
    <col min="6402" max="6402" width="3.7109375" style="4" customWidth="1"/>
    <col min="6403" max="6403" width="2.28515625" style="4" customWidth="1"/>
    <col min="6404" max="6405" width="3.7109375" style="4" customWidth="1"/>
    <col min="6406" max="6406" width="2.28515625" style="4" customWidth="1"/>
    <col min="6407" max="6408" width="3.7109375" style="4" customWidth="1"/>
    <col min="6409" max="6409" width="2.28515625" style="4" customWidth="1"/>
    <col min="6410" max="6411" width="3.7109375" style="4" customWidth="1"/>
    <col min="6412" max="6412" width="2.28515625" style="4" customWidth="1"/>
    <col min="6413" max="6414" width="3.7109375" style="4" customWidth="1"/>
    <col min="6415" max="6415" width="2.28515625" style="4" customWidth="1"/>
    <col min="6416" max="6417" width="3.7109375" style="4" customWidth="1"/>
    <col min="6418" max="6418" width="2.28515625" style="4" customWidth="1"/>
    <col min="6419" max="6420" width="3.7109375" style="4" customWidth="1"/>
    <col min="6421" max="6421" width="2.28515625" style="4" customWidth="1"/>
    <col min="6422" max="6423" width="3.7109375" style="4" customWidth="1"/>
    <col min="6424" max="6424" width="2.28515625" style="4" customWidth="1"/>
    <col min="6425" max="6426" width="3.7109375" style="4" customWidth="1"/>
    <col min="6427" max="6427" width="2.28515625" style="4" customWidth="1"/>
    <col min="6428" max="6429" width="3.7109375" style="4" customWidth="1"/>
    <col min="6430" max="6430" width="2.28515625" style="4" customWidth="1"/>
    <col min="6431" max="6431" width="3.7109375" style="4" customWidth="1"/>
    <col min="6432" max="6432" width="9.7109375" style="4" customWidth="1"/>
    <col min="6433" max="6442" width="3.7109375" style="4" customWidth="1"/>
    <col min="6443" max="6443" width="11" style="4" customWidth="1"/>
    <col min="6444" max="6446" width="8.7109375" style="4"/>
    <col min="6447" max="6447" width="21" style="4" customWidth="1"/>
    <col min="6448" max="6448" width="24.42578125" style="4" customWidth="1"/>
    <col min="6449" max="6449" width="15.28515625" style="4" customWidth="1"/>
    <col min="6450" max="6450" width="10.5703125" style="4" customWidth="1"/>
    <col min="6451" max="6451" width="11.28515625" style="4" customWidth="1"/>
    <col min="6452" max="6452" width="25" style="4" customWidth="1"/>
    <col min="6453" max="6453" width="6" style="4" customWidth="1"/>
    <col min="6454" max="6657" width="8.7109375" style="4"/>
    <col min="6658" max="6658" width="3.7109375" style="4" customWidth="1"/>
    <col min="6659" max="6659" width="2.28515625" style="4" customWidth="1"/>
    <col min="6660" max="6661" width="3.7109375" style="4" customWidth="1"/>
    <col min="6662" max="6662" width="2.28515625" style="4" customWidth="1"/>
    <col min="6663" max="6664" width="3.7109375" style="4" customWidth="1"/>
    <col min="6665" max="6665" width="2.28515625" style="4" customWidth="1"/>
    <col min="6666" max="6667" width="3.7109375" style="4" customWidth="1"/>
    <col min="6668" max="6668" width="2.28515625" style="4" customWidth="1"/>
    <col min="6669" max="6670" width="3.7109375" style="4" customWidth="1"/>
    <col min="6671" max="6671" width="2.28515625" style="4" customWidth="1"/>
    <col min="6672" max="6673" width="3.7109375" style="4" customWidth="1"/>
    <col min="6674" max="6674" width="2.28515625" style="4" customWidth="1"/>
    <col min="6675" max="6676" width="3.7109375" style="4" customWidth="1"/>
    <col min="6677" max="6677" width="2.28515625" style="4" customWidth="1"/>
    <col min="6678" max="6679" width="3.7109375" style="4" customWidth="1"/>
    <col min="6680" max="6680" width="2.28515625" style="4" customWidth="1"/>
    <col min="6681" max="6682" width="3.7109375" style="4" customWidth="1"/>
    <col min="6683" max="6683" width="2.28515625" style="4" customWidth="1"/>
    <col min="6684" max="6685" width="3.7109375" style="4" customWidth="1"/>
    <col min="6686" max="6686" width="2.28515625" style="4" customWidth="1"/>
    <col min="6687" max="6687" width="3.7109375" style="4" customWidth="1"/>
    <col min="6688" max="6688" width="9.7109375" style="4" customWidth="1"/>
    <col min="6689" max="6698" width="3.7109375" style="4" customWidth="1"/>
    <col min="6699" max="6699" width="11" style="4" customWidth="1"/>
    <col min="6700" max="6702" width="8.7109375" style="4"/>
    <col min="6703" max="6703" width="21" style="4" customWidth="1"/>
    <col min="6704" max="6704" width="24.42578125" style="4" customWidth="1"/>
    <col min="6705" max="6705" width="15.28515625" style="4" customWidth="1"/>
    <col min="6706" max="6706" width="10.5703125" style="4" customWidth="1"/>
    <col min="6707" max="6707" width="11.28515625" style="4" customWidth="1"/>
    <col min="6708" max="6708" width="25" style="4" customWidth="1"/>
    <col min="6709" max="6709" width="6" style="4" customWidth="1"/>
    <col min="6710" max="6913" width="8.7109375" style="4"/>
    <col min="6914" max="6914" width="3.7109375" style="4" customWidth="1"/>
    <col min="6915" max="6915" width="2.28515625" style="4" customWidth="1"/>
    <col min="6916" max="6917" width="3.7109375" style="4" customWidth="1"/>
    <col min="6918" max="6918" width="2.28515625" style="4" customWidth="1"/>
    <col min="6919" max="6920" width="3.7109375" style="4" customWidth="1"/>
    <col min="6921" max="6921" width="2.28515625" style="4" customWidth="1"/>
    <col min="6922" max="6923" width="3.7109375" style="4" customWidth="1"/>
    <col min="6924" max="6924" width="2.28515625" style="4" customWidth="1"/>
    <col min="6925" max="6926" width="3.7109375" style="4" customWidth="1"/>
    <col min="6927" max="6927" width="2.28515625" style="4" customWidth="1"/>
    <col min="6928" max="6929" width="3.7109375" style="4" customWidth="1"/>
    <col min="6930" max="6930" width="2.28515625" style="4" customWidth="1"/>
    <col min="6931" max="6932" width="3.7109375" style="4" customWidth="1"/>
    <col min="6933" max="6933" width="2.28515625" style="4" customWidth="1"/>
    <col min="6934" max="6935" width="3.7109375" style="4" customWidth="1"/>
    <col min="6936" max="6936" width="2.28515625" style="4" customWidth="1"/>
    <col min="6937" max="6938" width="3.7109375" style="4" customWidth="1"/>
    <col min="6939" max="6939" width="2.28515625" style="4" customWidth="1"/>
    <col min="6940" max="6941" width="3.7109375" style="4" customWidth="1"/>
    <col min="6942" max="6942" width="2.28515625" style="4" customWidth="1"/>
    <col min="6943" max="6943" width="3.7109375" style="4" customWidth="1"/>
    <col min="6944" max="6944" width="9.7109375" style="4" customWidth="1"/>
    <col min="6945" max="6954" width="3.7109375" style="4" customWidth="1"/>
    <col min="6955" max="6955" width="11" style="4" customWidth="1"/>
    <col min="6956" max="6958" width="8.7109375" style="4"/>
    <col min="6959" max="6959" width="21" style="4" customWidth="1"/>
    <col min="6960" max="6960" width="24.42578125" style="4" customWidth="1"/>
    <col min="6961" max="6961" width="15.28515625" style="4" customWidth="1"/>
    <col min="6962" max="6962" width="10.5703125" style="4" customWidth="1"/>
    <col min="6963" max="6963" width="11.28515625" style="4" customWidth="1"/>
    <col min="6964" max="6964" width="25" style="4" customWidth="1"/>
    <col min="6965" max="6965" width="6" style="4" customWidth="1"/>
    <col min="6966" max="7169" width="8.7109375" style="4"/>
    <col min="7170" max="7170" width="3.7109375" style="4" customWidth="1"/>
    <col min="7171" max="7171" width="2.28515625" style="4" customWidth="1"/>
    <col min="7172" max="7173" width="3.7109375" style="4" customWidth="1"/>
    <col min="7174" max="7174" width="2.28515625" style="4" customWidth="1"/>
    <col min="7175" max="7176" width="3.7109375" style="4" customWidth="1"/>
    <col min="7177" max="7177" width="2.28515625" style="4" customWidth="1"/>
    <col min="7178" max="7179" width="3.7109375" style="4" customWidth="1"/>
    <col min="7180" max="7180" width="2.28515625" style="4" customWidth="1"/>
    <col min="7181" max="7182" width="3.7109375" style="4" customWidth="1"/>
    <col min="7183" max="7183" width="2.28515625" style="4" customWidth="1"/>
    <col min="7184" max="7185" width="3.7109375" style="4" customWidth="1"/>
    <col min="7186" max="7186" width="2.28515625" style="4" customWidth="1"/>
    <col min="7187" max="7188" width="3.7109375" style="4" customWidth="1"/>
    <col min="7189" max="7189" width="2.28515625" style="4" customWidth="1"/>
    <col min="7190" max="7191" width="3.7109375" style="4" customWidth="1"/>
    <col min="7192" max="7192" width="2.28515625" style="4" customWidth="1"/>
    <col min="7193" max="7194" width="3.7109375" style="4" customWidth="1"/>
    <col min="7195" max="7195" width="2.28515625" style="4" customWidth="1"/>
    <col min="7196" max="7197" width="3.7109375" style="4" customWidth="1"/>
    <col min="7198" max="7198" width="2.28515625" style="4" customWidth="1"/>
    <col min="7199" max="7199" width="3.7109375" style="4" customWidth="1"/>
    <col min="7200" max="7200" width="9.7109375" style="4" customWidth="1"/>
    <col min="7201" max="7210" width="3.7109375" style="4" customWidth="1"/>
    <col min="7211" max="7211" width="11" style="4" customWidth="1"/>
    <col min="7212" max="7214" width="8.7109375" style="4"/>
    <col min="7215" max="7215" width="21" style="4" customWidth="1"/>
    <col min="7216" max="7216" width="24.42578125" style="4" customWidth="1"/>
    <col min="7217" max="7217" width="15.28515625" style="4" customWidth="1"/>
    <col min="7218" max="7218" width="10.5703125" style="4" customWidth="1"/>
    <col min="7219" max="7219" width="11.28515625" style="4" customWidth="1"/>
    <col min="7220" max="7220" width="25" style="4" customWidth="1"/>
    <col min="7221" max="7221" width="6" style="4" customWidth="1"/>
    <col min="7222" max="7425" width="8.7109375" style="4"/>
    <col min="7426" max="7426" width="3.7109375" style="4" customWidth="1"/>
    <col min="7427" max="7427" width="2.28515625" style="4" customWidth="1"/>
    <col min="7428" max="7429" width="3.7109375" style="4" customWidth="1"/>
    <col min="7430" max="7430" width="2.28515625" style="4" customWidth="1"/>
    <col min="7431" max="7432" width="3.7109375" style="4" customWidth="1"/>
    <col min="7433" max="7433" width="2.28515625" style="4" customWidth="1"/>
    <col min="7434" max="7435" width="3.7109375" style="4" customWidth="1"/>
    <col min="7436" max="7436" width="2.28515625" style="4" customWidth="1"/>
    <col min="7437" max="7438" width="3.7109375" style="4" customWidth="1"/>
    <col min="7439" max="7439" width="2.28515625" style="4" customWidth="1"/>
    <col min="7440" max="7441" width="3.7109375" style="4" customWidth="1"/>
    <col min="7442" max="7442" width="2.28515625" style="4" customWidth="1"/>
    <col min="7443" max="7444" width="3.7109375" style="4" customWidth="1"/>
    <col min="7445" max="7445" width="2.28515625" style="4" customWidth="1"/>
    <col min="7446" max="7447" width="3.7109375" style="4" customWidth="1"/>
    <col min="7448" max="7448" width="2.28515625" style="4" customWidth="1"/>
    <col min="7449" max="7450" width="3.7109375" style="4" customWidth="1"/>
    <col min="7451" max="7451" width="2.28515625" style="4" customWidth="1"/>
    <col min="7452" max="7453" width="3.7109375" style="4" customWidth="1"/>
    <col min="7454" max="7454" width="2.28515625" style="4" customWidth="1"/>
    <col min="7455" max="7455" width="3.7109375" style="4" customWidth="1"/>
    <col min="7456" max="7456" width="9.7109375" style="4" customWidth="1"/>
    <col min="7457" max="7466" width="3.7109375" style="4" customWidth="1"/>
    <col min="7467" max="7467" width="11" style="4" customWidth="1"/>
    <col min="7468" max="7470" width="8.7109375" style="4"/>
    <col min="7471" max="7471" width="21" style="4" customWidth="1"/>
    <col min="7472" max="7472" width="24.42578125" style="4" customWidth="1"/>
    <col min="7473" max="7473" width="15.28515625" style="4" customWidth="1"/>
    <col min="7474" max="7474" width="10.5703125" style="4" customWidth="1"/>
    <col min="7475" max="7475" width="11.28515625" style="4" customWidth="1"/>
    <col min="7476" max="7476" width="25" style="4" customWidth="1"/>
    <col min="7477" max="7477" width="6" style="4" customWidth="1"/>
    <col min="7478" max="7681" width="8.7109375" style="4"/>
    <col min="7682" max="7682" width="3.7109375" style="4" customWidth="1"/>
    <col min="7683" max="7683" width="2.28515625" style="4" customWidth="1"/>
    <col min="7684" max="7685" width="3.7109375" style="4" customWidth="1"/>
    <col min="7686" max="7686" width="2.28515625" style="4" customWidth="1"/>
    <col min="7687" max="7688" width="3.7109375" style="4" customWidth="1"/>
    <col min="7689" max="7689" width="2.28515625" style="4" customWidth="1"/>
    <col min="7690" max="7691" width="3.7109375" style="4" customWidth="1"/>
    <col min="7692" max="7692" width="2.28515625" style="4" customWidth="1"/>
    <col min="7693" max="7694" width="3.7109375" style="4" customWidth="1"/>
    <col min="7695" max="7695" width="2.28515625" style="4" customWidth="1"/>
    <col min="7696" max="7697" width="3.7109375" style="4" customWidth="1"/>
    <col min="7698" max="7698" width="2.28515625" style="4" customWidth="1"/>
    <col min="7699" max="7700" width="3.7109375" style="4" customWidth="1"/>
    <col min="7701" max="7701" width="2.28515625" style="4" customWidth="1"/>
    <col min="7702" max="7703" width="3.7109375" style="4" customWidth="1"/>
    <col min="7704" max="7704" width="2.28515625" style="4" customWidth="1"/>
    <col min="7705" max="7706" width="3.7109375" style="4" customWidth="1"/>
    <col min="7707" max="7707" width="2.28515625" style="4" customWidth="1"/>
    <col min="7708" max="7709" width="3.7109375" style="4" customWidth="1"/>
    <col min="7710" max="7710" width="2.28515625" style="4" customWidth="1"/>
    <col min="7711" max="7711" width="3.7109375" style="4" customWidth="1"/>
    <col min="7712" max="7712" width="9.7109375" style="4" customWidth="1"/>
    <col min="7713" max="7722" width="3.7109375" style="4" customWidth="1"/>
    <col min="7723" max="7723" width="11" style="4" customWidth="1"/>
    <col min="7724" max="7726" width="8.7109375" style="4"/>
    <col min="7727" max="7727" width="21" style="4" customWidth="1"/>
    <col min="7728" max="7728" width="24.42578125" style="4" customWidth="1"/>
    <col min="7729" max="7729" width="15.28515625" style="4" customWidth="1"/>
    <col min="7730" max="7730" width="10.5703125" style="4" customWidth="1"/>
    <col min="7731" max="7731" width="11.28515625" style="4" customWidth="1"/>
    <col min="7732" max="7732" width="25" style="4" customWidth="1"/>
    <col min="7733" max="7733" width="6" style="4" customWidth="1"/>
    <col min="7734" max="7937" width="8.7109375" style="4"/>
    <col min="7938" max="7938" width="3.7109375" style="4" customWidth="1"/>
    <col min="7939" max="7939" width="2.28515625" style="4" customWidth="1"/>
    <col min="7940" max="7941" width="3.7109375" style="4" customWidth="1"/>
    <col min="7942" max="7942" width="2.28515625" style="4" customWidth="1"/>
    <col min="7943" max="7944" width="3.7109375" style="4" customWidth="1"/>
    <col min="7945" max="7945" width="2.28515625" style="4" customWidth="1"/>
    <col min="7946" max="7947" width="3.7109375" style="4" customWidth="1"/>
    <col min="7948" max="7948" width="2.28515625" style="4" customWidth="1"/>
    <col min="7949" max="7950" width="3.7109375" style="4" customWidth="1"/>
    <col min="7951" max="7951" width="2.28515625" style="4" customWidth="1"/>
    <col min="7952" max="7953" width="3.7109375" style="4" customWidth="1"/>
    <col min="7954" max="7954" width="2.28515625" style="4" customWidth="1"/>
    <col min="7955" max="7956" width="3.7109375" style="4" customWidth="1"/>
    <col min="7957" max="7957" width="2.28515625" style="4" customWidth="1"/>
    <col min="7958" max="7959" width="3.7109375" style="4" customWidth="1"/>
    <col min="7960" max="7960" width="2.28515625" style="4" customWidth="1"/>
    <col min="7961" max="7962" width="3.7109375" style="4" customWidth="1"/>
    <col min="7963" max="7963" width="2.28515625" style="4" customWidth="1"/>
    <col min="7964" max="7965" width="3.7109375" style="4" customWidth="1"/>
    <col min="7966" max="7966" width="2.28515625" style="4" customWidth="1"/>
    <col min="7967" max="7967" width="3.7109375" style="4" customWidth="1"/>
    <col min="7968" max="7968" width="9.7109375" style="4" customWidth="1"/>
    <col min="7969" max="7978" width="3.7109375" style="4" customWidth="1"/>
    <col min="7979" max="7979" width="11" style="4" customWidth="1"/>
    <col min="7980" max="7982" width="8.7109375" style="4"/>
    <col min="7983" max="7983" width="21" style="4" customWidth="1"/>
    <col min="7984" max="7984" width="24.42578125" style="4" customWidth="1"/>
    <col min="7985" max="7985" width="15.28515625" style="4" customWidth="1"/>
    <col min="7986" max="7986" width="10.5703125" style="4" customWidth="1"/>
    <col min="7987" max="7987" width="11.28515625" style="4" customWidth="1"/>
    <col min="7988" max="7988" width="25" style="4" customWidth="1"/>
    <col min="7989" max="7989" width="6" style="4" customWidth="1"/>
    <col min="7990" max="8193" width="8.7109375" style="4"/>
    <col min="8194" max="8194" width="3.7109375" style="4" customWidth="1"/>
    <col min="8195" max="8195" width="2.28515625" style="4" customWidth="1"/>
    <col min="8196" max="8197" width="3.7109375" style="4" customWidth="1"/>
    <col min="8198" max="8198" width="2.28515625" style="4" customWidth="1"/>
    <col min="8199" max="8200" width="3.7109375" style="4" customWidth="1"/>
    <col min="8201" max="8201" width="2.28515625" style="4" customWidth="1"/>
    <col min="8202" max="8203" width="3.7109375" style="4" customWidth="1"/>
    <col min="8204" max="8204" width="2.28515625" style="4" customWidth="1"/>
    <col min="8205" max="8206" width="3.7109375" style="4" customWidth="1"/>
    <col min="8207" max="8207" width="2.28515625" style="4" customWidth="1"/>
    <col min="8208" max="8209" width="3.7109375" style="4" customWidth="1"/>
    <col min="8210" max="8210" width="2.28515625" style="4" customWidth="1"/>
    <col min="8211" max="8212" width="3.7109375" style="4" customWidth="1"/>
    <col min="8213" max="8213" width="2.28515625" style="4" customWidth="1"/>
    <col min="8214" max="8215" width="3.7109375" style="4" customWidth="1"/>
    <col min="8216" max="8216" width="2.28515625" style="4" customWidth="1"/>
    <col min="8217" max="8218" width="3.7109375" style="4" customWidth="1"/>
    <col min="8219" max="8219" width="2.28515625" style="4" customWidth="1"/>
    <col min="8220" max="8221" width="3.7109375" style="4" customWidth="1"/>
    <col min="8222" max="8222" width="2.28515625" style="4" customWidth="1"/>
    <col min="8223" max="8223" width="3.7109375" style="4" customWidth="1"/>
    <col min="8224" max="8224" width="9.7109375" style="4" customWidth="1"/>
    <col min="8225" max="8234" width="3.7109375" style="4" customWidth="1"/>
    <col min="8235" max="8235" width="11" style="4" customWidth="1"/>
    <col min="8236" max="8238" width="8.7109375" style="4"/>
    <col min="8239" max="8239" width="21" style="4" customWidth="1"/>
    <col min="8240" max="8240" width="24.42578125" style="4" customWidth="1"/>
    <col min="8241" max="8241" width="15.28515625" style="4" customWidth="1"/>
    <col min="8242" max="8242" width="10.5703125" style="4" customWidth="1"/>
    <col min="8243" max="8243" width="11.28515625" style="4" customWidth="1"/>
    <col min="8244" max="8244" width="25" style="4" customWidth="1"/>
    <col min="8245" max="8245" width="6" style="4" customWidth="1"/>
    <col min="8246" max="8449" width="8.7109375" style="4"/>
    <col min="8450" max="8450" width="3.7109375" style="4" customWidth="1"/>
    <col min="8451" max="8451" width="2.28515625" style="4" customWidth="1"/>
    <col min="8452" max="8453" width="3.7109375" style="4" customWidth="1"/>
    <col min="8454" max="8454" width="2.28515625" style="4" customWidth="1"/>
    <col min="8455" max="8456" width="3.7109375" style="4" customWidth="1"/>
    <col min="8457" max="8457" width="2.28515625" style="4" customWidth="1"/>
    <col min="8458" max="8459" width="3.7109375" style="4" customWidth="1"/>
    <col min="8460" max="8460" width="2.28515625" style="4" customWidth="1"/>
    <col min="8461" max="8462" width="3.7109375" style="4" customWidth="1"/>
    <col min="8463" max="8463" width="2.28515625" style="4" customWidth="1"/>
    <col min="8464" max="8465" width="3.7109375" style="4" customWidth="1"/>
    <col min="8466" max="8466" width="2.28515625" style="4" customWidth="1"/>
    <col min="8467" max="8468" width="3.7109375" style="4" customWidth="1"/>
    <col min="8469" max="8469" width="2.28515625" style="4" customWidth="1"/>
    <col min="8470" max="8471" width="3.7109375" style="4" customWidth="1"/>
    <col min="8472" max="8472" width="2.28515625" style="4" customWidth="1"/>
    <col min="8473" max="8474" width="3.7109375" style="4" customWidth="1"/>
    <col min="8475" max="8475" width="2.28515625" style="4" customWidth="1"/>
    <col min="8476" max="8477" width="3.7109375" style="4" customWidth="1"/>
    <col min="8478" max="8478" width="2.28515625" style="4" customWidth="1"/>
    <col min="8479" max="8479" width="3.7109375" style="4" customWidth="1"/>
    <col min="8480" max="8480" width="9.7109375" style="4" customWidth="1"/>
    <col min="8481" max="8490" width="3.7109375" style="4" customWidth="1"/>
    <col min="8491" max="8491" width="11" style="4" customWidth="1"/>
    <col min="8492" max="8494" width="8.7109375" style="4"/>
    <col min="8495" max="8495" width="21" style="4" customWidth="1"/>
    <col min="8496" max="8496" width="24.42578125" style="4" customWidth="1"/>
    <col min="8497" max="8497" width="15.28515625" style="4" customWidth="1"/>
    <col min="8498" max="8498" width="10.5703125" style="4" customWidth="1"/>
    <col min="8499" max="8499" width="11.28515625" style="4" customWidth="1"/>
    <col min="8500" max="8500" width="25" style="4" customWidth="1"/>
    <col min="8501" max="8501" width="6" style="4" customWidth="1"/>
    <col min="8502" max="8705" width="8.7109375" style="4"/>
    <col min="8706" max="8706" width="3.7109375" style="4" customWidth="1"/>
    <col min="8707" max="8707" width="2.28515625" style="4" customWidth="1"/>
    <col min="8708" max="8709" width="3.7109375" style="4" customWidth="1"/>
    <col min="8710" max="8710" width="2.28515625" style="4" customWidth="1"/>
    <col min="8711" max="8712" width="3.7109375" style="4" customWidth="1"/>
    <col min="8713" max="8713" width="2.28515625" style="4" customWidth="1"/>
    <col min="8714" max="8715" width="3.7109375" style="4" customWidth="1"/>
    <col min="8716" max="8716" width="2.28515625" style="4" customWidth="1"/>
    <col min="8717" max="8718" width="3.7109375" style="4" customWidth="1"/>
    <col min="8719" max="8719" width="2.28515625" style="4" customWidth="1"/>
    <col min="8720" max="8721" width="3.7109375" style="4" customWidth="1"/>
    <col min="8722" max="8722" width="2.28515625" style="4" customWidth="1"/>
    <col min="8723" max="8724" width="3.7109375" style="4" customWidth="1"/>
    <col min="8725" max="8725" width="2.28515625" style="4" customWidth="1"/>
    <col min="8726" max="8727" width="3.7109375" style="4" customWidth="1"/>
    <col min="8728" max="8728" width="2.28515625" style="4" customWidth="1"/>
    <col min="8729" max="8730" width="3.7109375" style="4" customWidth="1"/>
    <col min="8731" max="8731" width="2.28515625" style="4" customWidth="1"/>
    <col min="8732" max="8733" width="3.7109375" style="4" customWidth="1"/>
    <col min="8734" max="8734" width="2.28515625" style="4" customWidth="1"/>
    <col min="8735" max="8735" width="3.7109375" style="4" customWidth="1"/>
    <col min="8736" max="8736" width="9.7109375" style="4" customWidth="1"/>
    <col min="8737" max="8746" width="3.7109375" style="4" customWidth="1"/>
    <col min="8747" max="8747" width="11" style="4" customWidth="1"/>
    <col min="8748" max="8750" width="8.7109375" style="4"/>
    <col min="8751" max="8751" width="21" style="4" customWidth="1"/>
    <col min="8752" max="8752" width="24.42578125" style="4" customWidth="1"/>
    <col min="8753" max="8753" width="15.28515625" style="4" customWidth="1"/>
    <col min="8754" max="8754" width="10.5703125" style="4" customWidth="1"/>
    <col min="8755" max="8755" width="11.28515625" style="4" customWidth="1"/>
    <col min="8756" max="8756" width="25" style="4" customWidth="1"/>
    <col min="8757" max="8757" width="6" style="4" customWidth="1"/>
    <col min="8758" max="8961" width="8.7109375" style="4"/>
    <col min="8962" max="8962" width="3.7109375" style="4" customWidth="1"/>
    <col min="8963" max="8963" width="2.28515625" style="4" customWidth="1"/>
    <col min="8964" max="8965" width="3.7109375" style="4" customWidth="1"/>
    <col min="8966" max="8966" width="2.28515625" style="4" customWidth="1"/>
    <col min="8967" max="8968" width="3.7109375" style="4" customWidth="1"/>
    <col min="8969" max="8969" width="2.28515625" style="4" customWidth="1"/>
    <col min="8970" max="8971" width="3.7109375" style="4" customWidth="1"/>
    <col min="8972" max="8972" width="2.28515625" style="4" customWidth="1"/>
    <col min="8973" max="8974" width="3.7109375" style="4" customWidth="1"/>
    <col min="8975" max="8975" width="2.28515625" style="4" customWidth="1"/>
    <col min="8976" max="8977" width="3.7109375" style="4" customWidth="1"/>
    <col min="8978" max="8978" width="2.28515625" style="4" customWidth="1"/>
    <col min="8979" max="8980" width="3.7109375" style="4" customWidth="1"/>
    <col min="8981" max="8981" width="2.28515625" style="4" customWidth="1"/>
    <col min="8982" max="8983" width="3.7109375" style="4" customWidth="1"/>
    <col min="8984" max="8984" width="2.28515625" style="4" customWidth="1"/>
    <col min="8985" max="8986" width="3.7109375" style="4" customWidth="1"/>
    <col min="8987" max="8987" width="2.28515625" style="4" customWidth="1"/>
    <col min="8988" max="8989" width="3.7109375" style="4" customWidth="1"/>
    <col min="8990" max="8990" width="2.28515625" style="4" customWidth="1"/>
    <col min="8991" max="8991" width="3.7109375" style="4" customWidth="1"/>
    <col min="8992" max="8992" width="9.7109375" style="4" customWidth="1"/>
    <col min="8993" max="9002" width="3.7109375" style="4" customWidth="1"/>
    <col min="9003" max="9003" width="11" style="4" customWidth="1"/>
    <col min="9004" max="9006" width="8.7109375" style="4"/>
    <col min="9007" max="9007" width="21" style="4" customWidth="1"/>
    <col min="9008" max="9008" width="24.42578125" style="4" customWidth="1"/>
    <col min="9009" max="9009" width="15.28515625" style="4" customWidth="1"/>
    <col min="9010" max="9010" width="10.5703125" style="4" customWidth="1"/>
    <col min="9011" max="9011" width="11.28515625" style="4" customWidth="1"/>
    <col min="9012" max="9012" width="25" style="4" customWidth="1"/>
    <col min="9013" max="9013" width="6" style="4" customWidth="1"/>
    <col min="9014" max="9217" width="8.7109375" style="4"/>
    <col min="9218" max="9218" width="3.7109375" style="4" customWidth="1"/>
    <col min="9219" max="9219" width="2.28515625" style="4" customWidth="1"/>
    <col min="9220" max="9221" width="3.7109375" style="4" customWidth="1"/>
    <col min="9222" max="9222" width="2.28515625" style="4" customWidth="1"/>
    <col min="9223" max="9224" width="3.7109375" style="4" customWidth="1"/>
    <col min="9225" max="9225" width="2.28515625" style="4" customWidth="1"/>
    <col min="9226" max="9227" width="3.7109375" style="4" customWidth="1"/>
    <col min="9228" max="9228" width="2.28515625" style="4" customWidth="1"/>
    <col min="9229" max="9230" width="3.7109375" style="4" customWidth="1"/>
    <col min="9231" max="9231" width="2.28515625" style="4" customWidth="1"/>
    <col min="9232" max="9233" width="3.7109375" style="4" customWidth="1"/>
    <col min="9234" max="9234" width="2.28515625" style="4" customWidth="1"/>
    <col min="9235" max="9236" width="3.7109375" style="4" customWidth="1"/>
    <col min="9237" max="9237" width="2.28515625" style="4" customWidth="1"/>
    <col min="9238" max="9239" width="3.7109375" style="4" customWidth="1"/>
    <col min="9240" max="9240" width="2.28515625" style="4" customWidth="1"/>
    <col min="9241" max="9242" width="3.7109375" style="4" customWidth="1"/>
    <col min="9243" max="9243" width="2.28515625" style="4" customWidth="1"/>
    <col min="9244" max="9245" width="3.7109375" style="4" customWidth="1"/>
    <col min="9246" max="9246" width="2.28515625" style="4" customWidth="1"/>
    <col min="9247" max="9247" width="3.7109375" style="4" customWidth="1"/>
    <col min="9248" max="9248" width="9.7109375" style="4" customWidth="1"/>
    <col min="9249" max="9258" width="3.7109375" style="4" customWidth="1"/>
    <col min="9259" max="9259" width="11" style="4" customWidth="1"/>
    <col min="9260" max="9262" width="8.7109375" style="4"/>
    <col min="9263" max="9263" width="21" style="4" customWidth="1"/>
    <col min="9264" max="9264" width="24.42578125" style="4" customWidth="1"/>
    <col min="9265" max="9265" width="15.28515625" style="4" customWidth="1"/>
    <col min="9266" max="9266" width="10.5703125" style="4" customWidth="1"/>
    <col min="9267" max="9267" width="11.28515625" style="4" customWidth="1"/>
    <col min="9268" max="9268" width="25" style="4" customWidth="1"/>
    <col min="9269" max="9269" width="6" style="4" customWidth="1"/>
    <col min="9270" max="9473" width="8.7109375" style="4"/>
    <col min="9474" max="9474" width="3.7109375" style="4" customWidth="1"/>
    <col min="9475" max="9475" width="2.28515625" style="4" customWidth="1"/>
    <col min="9476" max="9477" width="3.7109375" style="4" customWidth="1"/>
    <col min="9478" max="9478" width="2.28515625" style="4" customWidth="1"/>
    <col min="9479" max="9480" width="3.7109375" style="4" customWidth="1"/>
    <col min="9481" max="9481" width="2.28515625" style="4" customWidth="1"/>
    <col min="9482" max="9483" width="3.7109375" style="4" customWidth="1"/>
    <col min="9484" max="9484" width="2.28515625" style="4" customWidth="1"/>
    <col min="9485" max="9486" width="3.7109375" style="4" customWidth="1"/>
    <col min="9487" max="9487" width="2.28515625" style="4" customWidth="1"/>
    <col min="9488" max="9489" width="3.7109375" style="4" customWidth="1"/>
    <col min="9490" max="9490" width="2.28515625" style="4" customWidth="1"/>
    <col min="9491" max="9492" width="3.7109375" style="4" customWidth="1"/>
    <col min="9493" max="9493" width="2.28515625" style="4" customWidth="1"/>
    <col min="9494" max="9495" width="3.7109375" style="4" customWidth="1"/>
    <col min="9496" max="9496" width="2.28515625" style="4" customWidth="1"/>
    <col min="9497" max="9498" width="3.7109375" style="4" customWidth="1"/>
    <col min="9499" max="9499" width="2.28515625" style="4" customWidth="1"/>
    <col min="9500" max="9501" width="3.7109375" style="4" customWidth="1"/>
    <col min="9502" max="9502" width="2.28515625" style="4" customWidth="1"/>
    <col min="9503" max="9503" width="3.7109375" style="4" customWidth="1"/>
    <col min="9504" max="9504" width="9.7109375" style="4" customWidth="1"/>
    <col min="9505" max="9514" width="3.7109375" style="4" customWidth="1"/>
    <col min="9515" max="9515" width="11" style="4" customWidth="1"/>
    <col min="9516" max="9518" width="8.7109375" style="4"/>
    <col min="9519" max="9519" width="21" style="4" customWidth="1"/>
    <col min="9520" max="9520" width="24.42578125" style="4" customWidth="1"/>
    <col min="9521" max="9521" width="15.28515625" style="4" customWidth="1"/>
    <col min="9522" max="9522" width="10.5703125" style="4" customWidth="1"/>
    <col min="9523" max="9523" width="11.28515625" style="4" customWidth="1"/>
    <col min="9524" max="9524" width="25" style="4" customWidth="1"/>
    <col min="9525" max="9525" width="6" style="4" customWidth="1"/>
    <col min="9526" max="9729" width="8.7109375" style="4"/>
    <col min="9730" max="9730" width="3.7109375" style="4" customWidth="1"/>
    <col min="9731" max="9731" width="2.28515625" style="4" customWidth="1"/>
    <col min="9732" max="9733" width="3.7109375" style="4" customWidth="1"/>
    <col min="9734" max="9734" width="2.28515625" style="4" customWidth="1"/>
    <col min="9735" max="9736" width="3.7109375" style="4" customWidth="1"/>
    <col min="9737" max="9737" width="2.28515625" style="4" customWidth="1"/>
    <col min="9738" max="9739" width="3.7109375" style="4" customWidth="1"/>
    <col min="9740" max="9740" width="2.28515625" style="4" customWidth="1"/>
    <col min="9741" max="9742" width="3.7109375" style="4" customWidth="1"/>
    <col min="9743" max="9743" width="2.28515625" style="4" customWidth="1"/>
    <col min="9744" max="9745" width="3.7109375" style="4" customWidth="1"/>
    <col min="9746" max="9746" width="2.28515625" style="4" customWidth="1"/>
    <col min="9747" max="9748" width="3.7109375" style="4" customWidth="1"/>
    <col min="9749" max="9749" width="2.28515625" style="4" customWidth="1"/>
    <col min="9750" max="9751" width="3.7109375" style="4" customWidth="1"/>
    <col min="9752" max="9752" width="2.28515625" style="4" customWidth="1"/>
    <col min="9753" max="9754" width="3.7109375" style="4" customWidth="1"/>
    <col min="9755" max="9755" width="2.28515625" style="4" customWidth="1"/>
    <col min="9756" max="9757" width="3.7109375" style="4" customWidth="1"/>
    <col min="9758" max="9758" width="2.28515625" style="4" customWidth="1"/>
    <col min="9759" max="9759" width="3.7109375" style="4" customWidth="1"/>
    <col min="9760" max="9760" width="9.7109375" style="4" customWidth="1"/>
    <col min="9761" max="9770" width="3.7109375" style="4" customWidth="1"/>
    <col min="9771" max="9771" width="11" style="4" customWidth="1"/>
    <col min="9772" max="9774" width="8.7109375" style="4"/>
    <col min="9775" max="9775" width="21" style="4" customWidth="1"/>
    <col min="9776" max="9776" width="24.42578125" style="4" customWidth="1"/>
    <col min="9777" max="9777" width="15.28515625" style="4" customWidth="1"/>
    <col min="9778" max="9778" width="10.5703125" style="4" customWidth="1"/>
    <col min="9779" max="9779" width="11.28515625" style="4" customWidth="1"/>
    <col min="9780" max="9780" width="25" style="4" customWidth="1"/>
    <col min="9781" max="9781" width="6" style="4" customWidth="1"/>
    <col min="9782" max="9985" width="8.7109375" style="4"/>
    <col min="9986" max="9986" width="3.7109375" style="4" customWidth="1"/>
    <col min="9987" max="9987" width="2.28515625" style="4" customWidth="1"/>
    <col min="9988" max="9989" width="3.7109375" style="4" customWidth="1"/>
    <col min="9990" max="9990" width="2.28515625" style="4" customWidth="1"/>
    <col min="9991" max="9992" width="3.7109375" style="4" customWidth="1"/>
    <col min="9993" max="9993" width="2.28515625" style="4" customWidth="1"/>
    <col min="9994" max="9995" width="3.7109375" style="4" customWidth="1"/>
    <col min="9996" max="9996" width="2.28515625" style="4" customWidth="1"/>
    <col min="9997" max="9998" width="3.7109375" style="4" customWidth="1"/>
    <col min="9999" max="9999" width="2.28515625" style="4" customWidth="1"/>
    <col min="10000" max="10001" width="3.7109375" style="4" customWidth="1"/>
    <col min="10002" max="10002" width="2.28515625" style="4" customWidth="1"/>
    <col min="10003" max="10004" width="3.7109375" style="4" customWidth="1"/>
    <col min="10005" max="10005" width="2.28515625" style="4" customWidth="1"/>
    <col min="10006" max="10007" width="3.7109375" style="4" customWidth="1"/>
    <col min="10008" max="10008" width="2.28515625" style="4" customWidth="1"/>
    <col min="10009" max="10010" width="3.7109375" style="4" customWidth="1"/>
    <col min="10011" max="10011" width="2.28515625" style="4" customWidth="1"/>
    <col min="10012" max="10013" width="3.7109375" style="4" customWidth="1"/>
    <col min="10014" max="10014" width="2.28515625" style="4" customWidth="1"/>
    <col min="10015" max="10015" width="3.7109375" style="4" customWidth="1"/>
    <col min="10016" max="10016" width="9.7109375" style="4" customWidth="1"/>
    <col min="10017" max="10026" width="3.7109375" style="4" customWidth="1"/>
    <col min="10027" max="10027" width="11" style="4" customWidth="1"/>
    <col min="10028" max="10030" width="8.7109375" style="4"/>
    <col min="10031" max="10031" width="21" style="4" customWidth="1"/>
    <col min="10032" max="10032" width="24.42578125" style="4" customWidth="1"/>
    <col min="10033" max="10033" width="15.28515625" style="4" customWidth="1"/>
    <col min="10034" max="10034" width="10.5703125" style="4" customWidth="1"/>
    <col min="10035" max="10035" width="11.28515625" style="4" customWidth="1"/>
    <col min="10036" max="10036" width="25" style="4" customWidth="1"/>
    <col min="10037" max="10037" width="6" style="4" customWidth="1"/>
    <col min="10038" max="10241" width="8.7109375" style="4"/>
    <col min="10242" max="10242" width="3.7109375" style="4" customWidth="1"/>
    <col min="10243" max="10243" width="2.28515625" style="4" customWidth="1"/>
    <col min="10244" max="10245" width="3.7109375" style="4" customWidth="1"/>
    <col min="10246" max="10246" width="2.28515625" style="4" customWidth="1"/>
    <col min="10247" max="10248" width="3.7109375" style="4" customWidth="1"/>
    <col min="10249" max="10249" width="2.28515625" style="4" customWidth="1"/>
    <col min="10250" max="10251" width="3.7109375" style="4" customWidth="1"/>
    <col min="10252" max="10252" width="2.28515625" style="4" customWidth="1"/>
    <col min="10253" max="10254" width="3.7109375" style="4" customWidth="1"/>
    <col min="10255" max="10255" width="2.28515625" style="4" customWidth="1"/>
    <col min="10256" max="10257" width="3.7109375" style="4" customWidth="1"/>
    <col min="10258" max="10258" width="2.28515625" style="4" customWidth="1"/>
    <col min="10259" max="10260" width="3.7109375" style="4" customWidth="1"/>
    <col min="10261" max="10261" width="2.28515625" style="4" customWidth="1"/>
    <col min="10262" max="10263" width="3.7109375" style="4" customWidth="1"/>
    <col min="10264" max="10264" width="2.28515625" style="4" customWidth="1"/>
    <col min="10265" max="10266" width="3.7109375" style="4" customWidth="1"/>
    <col min="10267" max="10267" width="2.28515625" style="4" customWidth="1"/>
    <col min="10268" max="10269" width="3.7109375" style="4" customWidth="1"/>
    <col min="10270" max="10270" width="2.28515625" style="4" customWidth="1"/>
    <col min="10271" max="10271" width="3.7109375" style="4" customWidth="1"/>
    <col min="10272" max="10272" width="9.7109375" style="4" customWidth="1"/>
    <col min="10273" max="10282" width="3.7109375" style="4" customWidth="1"/>
    <col min="10283" max="10283" width="11" style="4" customWidth="1"/>
    <col min="10284" max="10286" width="8.7109375" style="4"/>
    <col min="10287" max="10287" width="21" style="4" customWidth="1"/>
    <col min="10288" max="10288" width="24.42578125" style="4" customWidth="1"/>
    <col min="10289" max="10289" width="15.28515625" style="4" customWidth="1"/>
    <col min="10290" max="10290" width="10.5703125" style="4" customWidth="1"/>
    <col min="10291" max="10291" width="11.28515625" style="4" customWidth="1"/>
    <col min="10292" max="10292" width="25" style="4" customWidth="1"/>
    <col min="10293" max="10293" width="6" style="4" customWidth="1"/>
    <col min="10294" max="10497" width="8.7109375" style="4"/>
    <col min="10498" max="10498" width="3.7109375" style="4" customWidth="1"/>
    <col min="10499" max="10499" width="2.28515625" style="4" customWidth="1"/>
    <col min="10500" max="10501" width="3.7109375" style="4" customWidth="1"/>
    <col min="10502" max="10502" width="2.28515625" style="4" customWidth="1"/>
    <col min="10503" max="10504" width="3.7109375" style="4" customWidth="1"/>
    <col min="10505" max="10505" width="2.28515625" style="4" customWidth="1"/>
    <col min="10506" max="10507" width="3.7109375" style="4" customWidth="1"/>
    <col min="10508" max="10508" width="2.28515625" style="4" customWidth="1"/>
    <col min="10509" max="10510" width="3.7109375" style="4" customWidth="1"/>
    <col min="10511" max="10511" width="2.28515625" style="4" customWidth="1"/>
    <col min="10512" max="10513" width="3.7109375" style="4" customWidth="1"/>
    <col min="10514" max="10514" width="2.28515625" style="4" customWidth="1"/>
    <col min="10515" max="10516" width="3.7109375" style="4" customWidth="1"/>
    <col min="10517" max="10517" width="2.28515625" style="4" customWidth="1"/>
    <col min="10518" max="10519" width="3.7109375" style="4" customWidth="1"/>
    <col min="10520" max="10520" width="2.28515625" style="4" customWidth="1"/>
    <col min="10521" max="10522" width="3.7109375" style="4" customWidth="1"/>
    <col min="10523" max="10523" width="2.28515625" style="4" customWidth="1"/>
    <col min="10524" max="10525" width="3.7109375" style="4" customWidth="1"/>
    <col min="10526" max="10526" width="2.28515625" style="4" customWidth="1"/>
    <col min="10527" max="10527" width="3.7109375" style="4" customWidth="1"/>
    <col min="10528" max="10528" width="9.7109375" style="4" customWidth="1"/>
    <col min="10529" max="10538" width="3.7109375" style="4" customWidth="1"/>
    <col min="10539" max="10539" width="11" style="4" customWidth="1"/>
    <col min="10540" max="10542" width="8.7109375" style="4"/>
    <col min="10543" max="10543" width="21" style="4" customWidth="1"/>
    <col min="10544" max="10544" width="24.42578125" style="4" customWidth="1"/>
    <col min="10545" max="10545" width="15.28515625" style="4" customWidth="1"/>
    <col min="10546" max="10546" width="10.5703125" style="4" customWidth="1"/>
    <col min="10547" max="10547" width="11.28515625" style="4" customWidth="1"/>
    <col min="10548" max="10548" width="25" style="4" customWidth="1"/>
    <col min="10549" max="10549" width="6" style="4" customWidth="1"/>
    <col min="10550" max="10753" width="8.7109375" style="4"/>
    <col min="10754" max="10754" width="3.7109375" style="4" customWidth="1"/>
    <col min="10755" max="10755" width="2.28515625" style="4" customWidth="1"/>
    <col min="10756" max="10757" width="3.7109375" style="4" customWidth="1"/>
    <col min="10758" max="10758" width="2.28515625" style="4" customWidth="1"/>
    <col min="10759" max="10760" width="3.7109375" style="4" customWidth="1"/>
    <col min="10761" max="10761" width="2.28515625" style="4" customWidth="1"/>
    <col min="10762" max="10763" width="3.7109375" style="4" customWidth="1"/>
    <col min="10764" max="10764" width="2.28515625" style="4" customWidth="1"/>
    <col min="10765" max="10766" width="3.7109375" style="4" customWidth="1"/>
    <col min="10767" max="10767" width="2.28515625" style="4" customWidth="1"/>
    <col min="10768" max="10769" width="3.7109375" style="4" customWidth="1"/>
    <col min="10770" max="10770" width="2.28515625" style="4" customWidth="1"/>
    <col min="10771" max="10772" width="3.7109375" style="4" customWidth="1"/>
    <col min="10773" max="10773" width="2.28515625" style="4" customWidth="1"/>
    <col min="10774" max="10775" width="3.7109375" style="4" customWidth="1"/>
    <col min="10776" max="10776" width="2.28515625" style="4" customWidth="1"/>
    <col min="10777" max="10778" width="3.7109375" style="4" customWidth="1"/>
    <col min="10779" max="10779" width="2.28515625" style="4" customWidth="1"/>
    <col min="10780" max="10781" width="3.7109375" style="4" customWidth="1"/>
    <col min="10782" max="10782" width="2.28515625" style="4" customWidth="1"/>
    <col min="10783" max="10783" width="3.7109375" style="4" customWidth="1"/>
    <col min="10784" max="10784" width="9.7109375" style="4" customWidth="1"/>
    <col min="10785" max="10794" width="3.7109375" style="4" customWidth="1"/>
    <col min="10795" max="10795" width="11" style="4" customWidth="1"/>
    <col min="10796" max="10798" width="8.7109375" style="4"/>
    <col min="10799" max="10799" width="21" style="4" customWidth="1"/>
    <col min="10800" max="10800" width="24.42578125" style="4" customWidth="1"/>
    <col min="10801" max="10801" width="15.28515625" style="4" customWidth="1"/>
    <col min="10802" max="10802" width="10.5703125" style="4" customWidth="1"/>
    <col min="10803" max="10803" width="11.28515625" style="4" customWidth="1"/>
    <col min="10804" max="10804" width="25" style="4" customWidth="1"/>
    <col min="10805" max="10805" width="6" style="4" customWidth="1"/>
    <col min="10806" max="11009" width="8.7109375" style="4"/>
    <col min="11010" max="11010" width="3.7109375" style="4" customWidth="1"/>
    <col min="11011" max="11011" width="2.28515625" style="4" customWidth="1"/>
    <col min="11012" max="11013" width="3.7109375" style="4" customWidth="1"/>
    <col min="11014" max="11014" width="2.28515625" style="4" customWidth="1"/>
    <col min="11015" max="11016" width="3.7109375" style="4" customWidth="1"/>
    <col min="11017" max="11017" width="2.28515625" style="4" customWidth="1"/>
    <col min="11018" max="11019" width="3.7109375" style="4" customWidth="1"/>
    <col min="11020" max="11020" width="2.28515625" style="4" customWidth="1"/>
    <col min="11021" max="11022" width="3.7109375" style="4" customWidth="1"/>
    <col min="11023" max="11023" width="2.28515625" style="4" customWidth="1"/>
    <col min="11024" max="11025" width="3.7109375" style="4" customWidth="1"/>
    <col min="11026" max="11026" width="2.28515625" style="4" customWidth="1"/>
    <col min="11027" max="11028" width="3.7109375" style="4" customWidth="1"/>
    <col min="11029" max="11029" width="2.28515625" style="4" customWidth="1"/>
    <col min="11030" max="11031" width="3.7109375" style="4" customWidth="1"/>
    <col min="11032" max="11032" width="2.28515625" style="4" customWidth="1"/>
    <col min="11033" max="11034" width="3.7109375" style="4" customWidth="1"/>
    <col min="11035" max="11035" width="2.28515625" style="4" customWidth="1"/>
    <col min="11036" max="11037" width="3.7109375" style="4" customWidth="1"/>
    <col min="11038" max="11038" width="2.28515625" style="4" customWidth="1"/>
    <col min="11039" max="11039" width="3.7109375" style="4" customWidth="1"/>
    <col min="11040" max="11040" width="9.7109375" style="4" customWidth="1"/>
    <col min="11041" max="11050" width="3.7109375" style="4" customWidth="1"/>
    <col min="11051" max="11051" width="11" style="4" customWidth="1"/>
    <col min="11052" max="11054" width="8.7109375" style="4"/>
    <col min="11055" max="11055" width="21" style="4" customWidth="1"/>
    <col min="11056" max="11056" width="24.42578125" style="4" customWidth="1"/>
    <col min="11057" max="11057" width="15.28515625" style="4" customWidth="1"/>
    <col min="11058" max="11058" width="10.5703125" style="4" customWidth="1"/>
    <col min="11059" max="11059" width="11.28515625" style="4" customWidth="1"/>
    <col min="11060" max="11060" width="25" style="4" customWidth="1"/>
    <col min="11061" max="11061" width="6" style="4" customWidth="1"/>
    <col min="11062" max="11265" width="8.7109375" style="4"/>
    <col min="11266" max="11266" width="3.7109375" style="4" customWidth="1"/>
    <col min="11267" max="11267" width="2.28515625" style="4" customWidth="1"/>
    <col min="11268" max="11269" width="3.7109375" style="4" customWidth="1"/>
    <col min="11270" max="11270" width="2.28515625" style="4" customWidth="1"/>
    <col min="11271" max="11272" width="3.7109375" style="4" customWidth="1"/>
    <col min="11273" max="11273" width="2.28515625" style="4" customWidth="1"/>
    <col min="11274" max="11275" width="3.7109375" style="4" customWidth="1"/>
    <col min="11276" max="11276" width="2.28515625" style="4" customWidth="1"/>
    <col min="11277" max="11278" width="3.7109375" style="4" customWidth="1"/>
    <col min="11279" max="11279" width="2.28515625" style="4" customWidth="1"/>
    <col min="11280" max="11281" width="3.7109375" style="4" customWidth="1"/>
    <col min="11282" max="11282" width="2.28515625" style="4" customWidth="1"/>
    <col min="11283" max="11284" width="3.7109375" style="4" customWidth="1"/>
    <col min="11285" max="11285" width="2.28515625" style="4" customWidth="1"/>
    <col min="11286" max="11287" width="3.7109375" style="4" customWidth="1"/>
    <col min="11288" max="11288" width="2.28515625" style="4" customWidth="1"/>
    <col min="11289" max="11290" width="3.7109375" style="4" customWidth="1"/>
    <col min="11291" max="11291" width="2.28515625" style="4" customWidth="1"/>
    <col min="11292" max="11293" width="3.7109375" style="4" customWidth="1"/>
    <col min="11294" max="11294" width="2.28515625" style="4" customWidth="1"/>
    <col min="11295" max="11295" width="3.7109375" style="4" customWidth="1"/>
    <col min="11296" max="11296" width="9.7109375" style="4" customWidth="1"/>
    <col min="11297" max="11306" width="3.7109375" style="4" customWidth="1"/>
    <col min="11307" max="11307" width="11" style="4" customWidth="1"/>
    <col min="11308" max="11310" width="8.7109375" style="4"/>
    <col min="11311" max="11311" width="21" style="4" customWidth="1"/>
    <col min="11312" max="11312" width="24.42578125" style="4" customWidth="1"/>
    <col min="11313" max="11313" width="15.28515625" style="4" customWidth="1"/>
    <col min="11314" max="11314" width="10.5703125" style="4" customWidth="1"/>
    <col min="11315" max="11315" width="11.28515625" style="4" customWidth="1"/>
    <col min="11316" max="11316" width="25" style="4" customWidth="1"/>
    <col min="11317" max="11317" width="6" style="4" customWidth="1"/>
    <col min="11318" max="11521" width="8.7109375" style="4"/>
    <col min="11522" max="11522" width="3.7109375" style="4" customWidth="1"/>
    <col min="11523" max="11523" width="2.28515625" style="4" customWidth="1"/>
    <col min="11524" max="11525" width="3.7109375" style="4" customWidth="1"/>
    <col min="11526" max="11526" width="2.28515625" style="4" customWidth="1"/>
    <col min="11527" max="11528" width="3.7109375" style="4" customWidth="1"/>
    <col min="11529" max="11529" width="2.28515625" style="4" customWidth="1"/>
    <col min="11530" max="11531" width="3.7109375" style="4" customWidth="1"/>
    <col min="11532" max="11532" width="2.28515625" style="4" customWidth="1"/>
    <col min="11533" max="11534" width="3.7109375" style="4" customWidth="1"/>
    <col min="11535" max="11535" width="2.28515625" style="4" customWidth="1"/>
    <col min="11536" max="11537" width="3.7109375" style="4" customWidth="1"/>
    <col min="11538" max="11538" width="2.28515625" style="4" customWidth="1"/>
    <col min="11539" max="11540" width="3.7109375" style="4" customWidth="1"/>
    <col min="11541" max="11541" width="2.28515625" style="4" customWidth="1"/>
    <col min="11542" max="11543" width="3.7109375" style="4" customWidth="1"/>
    <col min="11544" max="11544" width="2.28515625" style="4" customWidth="1"/>
    <col min="11545" max="11546" width="3.7109375" style="4" customWidth="1"/>
    <col min="11547" max="11547" width="2.28515625" style="4" customWidth="1"/>
    <col min="11548" max="11549" width="3.7109375" style="4" customWidth="1"/>
    <col min="11550" max="11550" width="2.28515625" style="4" customWidth="1"/>
    <col min="11551" max="11551" width="3.7109375" style="4" customWidth="1"/>
    <col min="11552" max="11552" width="9.7109375" style="4" customWidth="1"/>
    <col min="11553" max="11562" width="3.7109375" style="4" customWidth="1"/>
    <col min="11563" max="11563" width="11" style="4" customWidth="1"/>
    <col min="11564" max="11566" width="8.7109375" style="4"/>
    <col min="11567" max="11567" width="21" style="4" customWidth="1"/>
    <col min="11568" max="11568" width="24.42578125" style="4" customWidth="1"/>
    <col min="11569" max="11569" width="15.28515625" style="4" customWidth="1"/>
    <col min="11570" max="11570" width="10.5703125" style="4" customWidth="1"/>
    <col min="11571" max="11571" width="11.28515625" style="4" customWidth="1"/>
    <col min="11572" max="11572" width="25" style="4" customWidth="1"/>
    <col min="11573" max="11573" width="6" style="4" customWidth="1"/>
    <col min="11574" max="11777" width="8.7109375" style="4"/>
    <col min="11778" max="11778" width="3.7109375" style="4" customWidth="1"/>
    <col min="11779" max="11779" width="2.28515625" style="4" customWidth="1"/>
    <col min="11780" max="11781" width="3.7109375" style="4" customWidth="1"/>
    <col min="11782" max="11782" width="2.28515625" style="4" customWidth="1"/>
    <col min="11783" max="11784" width="3.7109375" style="4" customWidth="1"/>
    <col min="11785" max="11785" width="2.28515625" style="4" customWidth="1"/>
    <col min="11786" max="11787" width="3.7109375" style="4" customWidth="1"/>
    <col min="11788" max="11788" width="2.28515625" style="4" customWidth="1"/>
    <col min="11789" max="11790" width="3.7109375" style="4" customWidth="1"/>
    <col min="11791" max="11791" width="2.28515625" style="4" customWidth="1"/>
    <col min="11792" max="11793" width="3.7109375" style="4" customWidth="1"/>
    <col min="11794" max="11794" width="2.28515625" style="4" customWidth="1"/>
    <col min="11795" max="11796" width="3.7109375" style="4" customWidth="1"/>
    <col min="11797" max="11797" width="2.28515625" style="4" customWidth="1"/>
    <col min="11798" max="11799" width="3.7109375" style="4" customWidth="1"/>
    <col min="11800" max="11800" width="2.28515625" style="4" customWidth="1"/>
    <col min="11801" max="11802" width="3.7109375" style="4" customWidth="1"/>
    <col min="11803" max="11803" width="2.28515625" style="4" customWidth="1"/>
    <col min="11804" max="11805" width="3.7109375" style="4" customWidth="1"/>
    <col min="11806" max="11806" width="2.28515625" style="4" customWidth="1"/>
    <col min="11807" max="11807" width="3.7109375" style="4" customWidth="1"/>
    <col min="11808" max="11808" width="9.7109375" style="4" customWidth="1"/>
    <col min="11809" max="11818" width="3.7109375" style="4" customWidth="1"/>
    <col min="11819" max="11819" width="11" style="4" customWidth="1"/>
    <col min="11820" max="11822" width="8.7109375" style="4"/>
    <col min="11823" max="11823" width="21" style="4" customWidth="1"/>
    <col min="11824" max="11824" width="24.42578125" style="4" customWidth="1"/>
    <col min="11825" max="11825" width="15.28515625" style="4" customWidth="1"/>
    <col min="11826" max="11826" width="10.5703125" style="4" customWidth="1"/>
    <col min="11827" max="11827" width="11.28515625" style="4" customWidth="1"/>
    <col min="11828" max="11828" width="25" style="4" customWidth="1"/>
    <col min="11829" max="11829" width="6" style="4" customWidth="1"/>
    <col min="11830" max="12033" width="8.7109375" style="4"/>
    <col min="12034" max="12034" width="3.7109375" style="4" customWidth="1"/>
    <col min="12035" max="12035" width="2.28515625" style="4" customWidth="1"/>
    <col min="12036" max="12037" width="3.7109375" style="4" customWidth="1"/>
    <col min="12038" max="12038" width="2.28515625" style="4" customWidth="1"/>
    <col min="12039" max="12040" width="3.7109375" style="4" customWidth="1"/>
    <col min="12041" max="12041" width="2.28515625" style="4" customWidth="1"/>
    <col min="12042" max="12043" width="3.7109375" style="4" customWidth="1"/>
    <col min="12044" max="12044" width="2.28515625" style="4" customWidth="1"/>
    <col min="12045" max="12046" width="3.7109375" style="4" customWidth="1"/>
    <col min="12047" max="12047" width="2.28515625" style="4" customWidth="1"/>
    <col min="12048" max="12049" width="3.7109375" style="4" customWidth="1"/>
    <col min="12050" max="12050" width="2.28515625" style="4" customWidth="1"/>
    <col min="12051" max="12052" width="3.7109375" style="4" customWidth="1"/>
    <col min="12053" max="12053" width="2.28515625" style="4" customWidth="1"/>
    <col min="12054" max="12055" width="3.7109375" style="4" customWidth="1"/>
    <col min="12056" max="12056" width="2.28515625" style="4" customWidth="1"/>
    <col min="12057" max="12058" width="3.7109375" style="4" customWidth="1"/>
    <col min="12059" max="12059" width="2.28515625" style="4" customWidth="1"/>
    <col min="12060" max="12061" width="3.7109375" style="4" customWidth="1"/>
    <col min="12062" max="12062" width="2.28515625" style="4" customWidth="1"/>
    <col min="12063" max="12063" width="3.7109375" style="4" customWidth="1"/>
    <col min="12064" max="12064" width="9.7109375" style="4" customWidth="1"/>
    <col min="12065" max="12074" width="3.7109375" style="4" customWidth="1"/>
    <col min="12075" max="12075" width="11" style="4" customWidth="1"/>
    <col min="12076" max="12078" width="8.7109375" style="4"/>
    <col min="12079" max="12079" width="21" style="4" customWidth="1"/>
    <col min="12080" max="12080" width="24.42578125" style="4" customWidth="1"/>
    <col min="12081" max="12081" width="15.28515625" style="4" customWidth="1"/>
    <col min="12082" max="12082" width="10.5703125" style="4" customWidth="1"/>
    <col min="12083" max="12083" width="11.28515625" style="4" customWidth="1"/>
    <col min="12084" max="12084" width="25" style="4" customWidth="1"/>
    <col min="12085" max="12085" width="6" style="4" customWidth="1"/>
    <col min="12086" max="12289" width="8.7109375" style="4"/>
    <col min="12290" max="12290" width="3.7109375" style="4" customWidth="1"/>
    <col min="12291" max="12291" width="2.28515625" style="4" customWidth="1"/>
    <col min="12292" max="12293" width="3.7109375" style="4" customWidth="1"/>
    <col min="12294" max="12294" width="2.28515625" style="4" customWidth="1"/>
    <col min="12295" max="12296" width="3.7109375" style="4" customWidth="1"/>
    <col min="12297" max="12297" width="2.28515625" style="4" customWidth="1"/>
    <col min="12298" max="12299" width="3.7109375" style="4" customWidth="1"/>
    <col min="12300" max="12300" width="2.28515625" style="4" customWidth="1"/>
    <col min="12301" max="12302" width="3.7109375" style="4" customWidth="1"/>
    <col min="12303" max="12303" width="2.28515625" style="4" customWidth="1"/>
    <col min="12304" max="12305" width="3.7109375" style="4" customWidth="1"/>
    <col min="12306" max="12306" width="2.28515625" style="4" customWidth="1"/>
    <col min="12307" max="12308" width="3.7109375" style="4" customWidth="1"/>
    <col min="12309" max="12309" width="2.28515625" style="4" customWidth="1"/>
    <col min="12310" max="12311" width="3.7109375" style="4" customWidth="1"/>
    <col min="12312" max="12312" width="2.28515625" style="4" customWidth="1"/>
    <col min="12313" max="12314" width="3.7109375" style="4" customWidth="1"/>
    <col min="12315" max="12315" width="2.28515625" style="4" customWidth="1"/>
    <col min="12316" max="12317" width="3.7109375" style="4" customWidth="1"/>
    <col min="12318" max="12318" width="2.28515625" style="4" customWidth="1"/>
    <col min="12319" max="12319" width="3.7109375" style="4" customWidth="1"/>
    <col min="12320" max="12320" width="9.7109375" style="4" customWidth="1"/>
    <col min="12321" max="12330" width="3.7109375" style="4" customWidth="1"/>
    <col min="12331" max="12331" width="11" style="4" customWidth="1"/>
    <col min="12332" max="12334" width="8.7109375" style="4"/>
    <col min="12335" max="12335" width="21" style="4" customWidth="1"/>
    <col min="12336" max="12336" width="24.42578125" style="4" customWidth="1"/>
    <col min="12337" max="12337" width="15.28515625" style="4" customWidth="1"/>
    <col min="12338" max="12338" width="10.5703125" style="4" customWidth="1"/>
    <col min="12339" max="12339" width="11.28515625" style="4" customWidth="1"/>
    <col min="12340" max="12340" width="25" style="4" customWidth="1"/>
    <col min="12341" max="12341" width="6" style="4" customWidth="1"/>
    <col min="12342" max="12545" width="8.7109375" style="4"/>
    <col min="12546" max="12546" width="3.7109375" style="4" customWidth="1"/>
    <col min="12547" max="12547" width="2.28515625" style="4" customWidth="1"/>
    <col min="12548" max="12549" width="3.7109375" style="4" customWidth="1"/>
    <col min="12550" max="12550" width="2.28515625" style="4" customWidth="1"/>
    <col min="12551" max="12552" width="3.7109375" style="4" customWidth="1"/>
    <col min="12553" max="12553" width="2.28515625" style="4" customWidth="1"/>
    <col min="12554" max="12555" width="3.7109375" style="4" customWidth="1"/>
    <col min="12556" max="12556" width="2.28515625" style="4" customWidth="1"/>
    <col min="12557" max="12558" width="3.7109375" style="4" customWidth="1"/>
    <col min="12559" max="12559" width="2.28515625" style="4" customWidth="1"/>
    <col min="12560" max="12561" width="3.7109375" style="4" customWidth="1"/>
    <col min="12562" max="12562" width="2.28515625" style="4" customWidth="1"/>
    <col min="12563" max="12564" width="3.7109375" style="4" customWidth="1"/>
    <col min="12565" max="12565" width="2.28515625" style="4" customWidth="1"/>
    <col min="12566" max="12567" width="3.7109375" style="4" customWidth="1"/>
    <col min="12568" max="12568" width="2.28515625" style="4" customWidth="1"/>
    <col min="12569" max="12570" width="3.7109375" style="4" customWidth="1"/>
    <col min="12571" max="12571" width="2.28515625" style="4" customWidth="1"/>
    <col min="12572" max="12573" width="3.7109375" style="4" customWidth="1"/>
    <col min="12574" max="12574" width="2.28515625" style="4" customWidth="1"/>
    <col min="12575" max="12575" width="3.7109375" style="4" customWidth="1"/>
    <col min="12576" max="12576" width="9.7109375" style="4" customWidth="1"/>
    <col min="12577" max="12586" width="3.7109375" style="4" customWidth="1"/>
    <col min="12587" max="12587" width="11" style="4" customWidth="1"/>
    <col min="12588" max="12590" width="8.7109375" style="4"/>
    <col min="12591" max="12591" width="21" style="4" customWidth="1"/>
    <col min="12592" max="12592" width="24.42578125" style="4" customWidth="1"/>
    <col min="12593" max="12593" width="15.28515625" style="4" customWidth="1"/>
    <col min="12594" max="12594" width="10.5703125" style="4" customWidth="1"/>
    <col min="12595" max="12595" width="11.28515625" style="4" customWidth="1"/>
    <col min="12596" max="12596" width="25" style="4" customWidth="1"/>
    <col min="12597" max="12597" width="6" style="4" customWidth="1"/>
    <col min="12598" max="12801" width="8.7109375" style="4"/>
    <col min="12802" max="12802" width="3.7109375" style="4" customWidth="1"/>
    <col min="12803" max="12803" width="2.28515625" style="4" customWidth="1"/>
    <col min="12804" max="12805" width="3.7109375" style="4" customWidth="1"/>
    <col min="12806" max="12806" width="2.28515625" style="4" customWidth="1"/>
    <col min="12807" max="12808" width="3.7109375" style="4" customWidth="1"/>
    <col min="12809" max="12809" width="2.28515625" style="4" customWidth="1"/>
    <col min="12810" max="12811" width="3.7109375" style="4" customWidth="1"/>
    <col min="12812" max="12812" width="2.28515625" style="4" customWidth="1"/>
    <col min="12813" max="12814" width="3.7109375" style="4" customWidth="1"/>
    <col min="12815" max="12815" width="2.28515625" style="4" customWidth="1"/>
    <col min="12816" max="12817" width="3.7109375" style="4" customWidth="1"/>
    <col min="12818" max="12818" width="2.28515625" style="4" customWidth="1"/>
    <col min="12819" max="12820" width="3.7109375" style="4" customWidth="1"/>
    <col min="12821" max="12821" width="2.28515625" style="4" customWidth="1"/>
    <col min="12822" max="12823" width="3.7109375" style="4" customWidth="1"/>
    <col min="12824" max="12824" width="2.28515625" style="4" customWidth="1"/>
    <col min="12825" max="12826" width="3.7109375" style="4" customWidth="1"/>
    <col min="12827" max="12827" width="2.28515625" style="4" customWidth="1"/>
    <col min="12828" max="12829" width="3.7109375" style="4" customWidth="1"/>
    <col min="12830" max="12830" width="2.28515625" style="4" customWidth="1"/>
    <col min="12831" max="12831" width="3.7109375" style="4" customWidth="1"/>
    <col min="12832" max="12832" width="9.7109375" style="4" customWidth="1"/>
    <col min="12833" max="12842" width="3.7109375" style="4" customWidth="1"/>
    <col min="12843" max="12843" width="11" style="4" customWidth="1"/>
    <col min="12844" max="12846" width="8.7109375" style="4"/>
    <col min="12847" max="12847" width="21" style="4" customWidth="1"/>
    <col min="12848" max="12848" width="24.42578125" style="4" customWidth="1"/>
    <col min="12849" max="12849" width="15.28515625" style="4" customWidth="1"/>
    <col min="12850" max="12850" width="10.5703125" style="4" customWidth="1"/>
    <col min="12851" max="12851" width="11.28515625" style="4" customWidth="1"/>
    <col min="12852" max="12852" width="25" style="4" customWidth="1"/>
    <col min="12853" max="12853" width="6" style="4" customWidth="1"/>
    <col min="12854" max="13057" width="8.7109375" style="4"/>
    <col min="13058" max="13058" width="3.7109375" style="4" customWidth="1"/>
    <col min="13059" max="13059" width="2.28515625" style="4" customWidth="1"/>
    <col min="13060" max="13061" width="3.7109375" style="4" customWidth="1"/>
    <col min="13062" max="13062" width="2.28515625" style="4" customWidth="1"/>
    <col min="13063" max="13064" width="3.7109375" style="4" customWidth="1"/>
    <col min="13065" max="13065" width="2.28515625" style="4" customWidth="1"/>
    <col min="13066" max="13067" width="3.7109375" style="4" customWidth="1"/>
    <col min="13068" max="13068" width="2.28515625" style="4" customWidth="1"/>
    <col min="13069" max="13070" width="3.7109375" style="4" customWidth="1"/>
    <col min="13071" max="13071" width="2.28515625" style="4" customWidth="1"/>
    <col min="13072" max="13073" width="3.7109375" style="4" customWidth="1"/>
    <col min="13074" max="13074" width="2.28515625" style="4" customWidth="1"/>
    <col min="13075" max="13076" width="3.7109375" style="4" customWidth="1"/>
    <col min="13077" max="13077" width="2.28515625" style="4" customWidth="1"/>
    <col min="13078" max="13079" width="3.7109375" style="4" customWidth="1"/>
    <col min="13080" max="13080" width="2.28515625" style="4" customWidth="1"/>
    <col min="13081" max="13082" width="3.7109375" style="4" customWidth="1"/>
    <col min="13083" max="13083" width="2.28515625" style="4" customWidth="1"/>
    <col min="13084" max="13085" width="3.7109375" style="4" customWidth="1"/>
    <col min="13086" max="13086" width="2.28515625" style="4" customWidth="1"/>
    <col min="13087" max="13087" width="3.7109375" style="4" customWidth="1"/>
    <col min="13088" max="13088" width="9.7109375" style="4" customWidth="1"/>
    <col min="13089" max="13098" width="3.7109375" style="4" customWidth="1"/>
    <col min="13099" max="13099" width="11" style="4" customWidth="1"/>
    <col min="13100" max="13102" width="8.7109375" style="4"/>
    <col min="13103" max="13103" width="21" style="4" customWidth="1"/>
    <col min="13104" max="13104" width="24.42578125" style="4" customWidth="1"/>
    <col min="13105" max="13105" width="15.28515625" style="4" customWidth="1"/>
    <col min="13106" max="13106" width="10.5703125" style="4" customWidth="1"/>
    <col min="13107" max="13107" width="11.28515625" style="4" customWidth="1"/>
    <col min="13108" max="13108" width="25" style="4" customWidth="1"/>
    <col min="13109" max="13109" width="6" style="4" customWidth="1"/>
    <col min="13110" max="13313" width="8.7109375" style="4"/>
    <col min="13314" max="13314" width="3.7109375" style="4" customWidth="1"/>
    <col min="13315" max="13315" width="2.28515625" style="4" customWidth="1"/>
    <col min="13316" max="13317" width="3.7109375" style="4" customWidth="1"/>
    <col min="13318" max="13318" width="2.28515625" style="4" customWidth="1"/>
    <col min="13319" max="13320" width="3.7109375" style="4" customWidth="1"/>
    <col min="13321" max="13321" width="2.28515625" style="4" customWidth="1"/>
    <col min="13322" max="13323" width="3.7109375" style="4" customWidth="1"/>
    <col min="13324" max="13324" width="2.28515625" style="4" customWidth="1"/>
    <col min="13325" max="13326" width="3.7109375" style="4" customWidth="1"/>
    <col min="13327" max="13327" width="2.28515625" style="4" customWidth="1"/>
    <col min="13328" max="13329" width="3.7109375" style="4" customWidth="1"/>
    <col min="13330" max="13330" width="2.28515625" style="4" customWidth="1"/>
    <col min="13331" max="13332" width="3.7109375" style="4" customWidth="1"/>
    <col min="13333" max="13333" width="2.28515625" style="4" customWidth="1"/>
    <col min="13334" max="13335" width="3.7109375" style="4" customWidth="1"/>
    <col min="13336" max="13336" width="2.28515625" style="4" customWidth="1"/>
    <col min="13337" max="13338" width="3.7109375" style="4" customWidth="1"/>
    <col min="13339" max="13339" width="2.28515625" style="4" customWidth="1"/>
    <col min="13340" max="13341" width="3.7109375" style="4" customWidth="1"/>
    <col min="13342" max="13342" width="2.28515625" style="4" customWidth="1"/>
    <col min="13343" max="13343" width="3.7109375" style="4" customWidth="1"/>
    <col min="13344" max="13344" width="9.7109375" style="4" customWidth="1"/>
    <col min="13345" max="13354" width="3.7109375" style="4" customWidth="1"/>
    <col min="13355" max="13355" width="11" style="4" customWidth="1"/>
    <col min="13356" max="13358" width="8.7109375" style="4"/>
    <col min="13359" max="13359" width="21" style="4" customWidth="1"/>
    <col min="13360" max="13360" width="24.42578125" style="4" customWidth="1"/>
    <col min="13361" max="13361" width="15.28515625" style="4" customWidth="1"/>
    <col min="13362" max="13362" width="10.5703125" style="4" customWidth="1"/>
    <col min="13363" max="13363" width="11.28515625" style="4" customWidth="1"/>
    <col min="13364" max="13364" width="25" style="4" customWidth="1"/>
    <col min="13365" max="13365" width="6" style="4" customWidth="1"/>
    <col min="13366" max="13569" width="8.7109375" style="4"/>
    <col min="13570" max="13570" width="3.7109375" style="4" customWidth="1"/>
    <col min="13571" max="13571" width="2.28515625" style="4" customWidth="1"/>
    <col min="13572" max="13573" width="3.7109375" style="4" customWidth="1"/>
    <col min="13574" max="13574" width="2.28515625" style="4" customWidth="1"/>
    <col min="13575" max="13576" width="3.7109375" style="4" customWidth="1"/>
    <col min="13577" max="13577" width="2.28515625" style="4" customWidth="1"/>
    <col min="13578" max="13579" width="3.7109375" style="4" customWidth="1"/>
    <col min="13580" max="13580" width="2.28515625" style="4" customWidth="1"/>
    <col min="13581" max="13582" width="3.7109375" style="4" customWidth="1"/>
    <col min="13583" max="13583" width="2.28515625" style="4" customWidth="1"/>
    <col min="13584" max="13585" width="3.7109375" style="4" customWidth="1"/>
    <col min="13586" max="13586" width="2.28515625" style="4" customWidth="1"/>
    <col min="13587" max="13588" width="3.7109375" style="4" customWidth="1"/>
    <col min="13589" max="13589" width="2.28515625" style="4" customWidth="1"/>
    <col min="13590" max="13591" width="3.7109375" style="4" customWidth="1"/>
    <col min="13592" max="13592" width="2.28515625" style="4" customWidth="1"/>
    <col min="13593" max="13594" width="3.7109375" style="4" customWidth="1"/>
    <col min="13595" max="13595" width="2.28515625" style="4" customWidth="1"/>
    <col min="13596" max="13597" width="3.7109375" style="4" customWidth="1"/>
    <col min="13598" max="13598" width="2.28515625" style="4" customWidth="1"/>
    <col min="13599" max="13599" width="3.7109375" style="4" customWidth="1"/>
    <col min="13600" max="13600" width="9.7109375" style="4" customWidth="1"/>
    <col min="13601" max="13610" width="3.7109375" style="4" customWidth="1"/>
    <col min="13611" max="13611" width="11" style="4" customWidth="1"/>
    <col min="13612" max="13614" width="8.7109375" style="4"/>
    <col min="13615" max="13615" width="21" style="4" customWidth="1"/>
    <col min="13616" max="13616" width="24.42578125" style="4" customWidth="1"/>
    <col min="13617" max="13617" width="15.28515625" style="4" customWidth="1"/>
    <col min="13618" max="13618" width="10.5703125" style="4" customWidth="1"/>
    <col min="13619" max="13619" width="11.28515625" style="4" customWidth="1"/>
    <col min="13620" max="13620" width="25" style="4" customWidth="1"/>
    <col min="13621" max="13621" width="6" style="4" customWidth="1"/>
    <col min="13622" max="13825" width="8.7109375" style="4"/>
    <col min="13826" max="13826" width="3.7109375" style="4" customWidth="1"/>
    <col min="13827" max="13827" width="2.28515625" style="4" customWidth="1"/>
    <col min="13828" max="13829" width="3.7109375" style="4" customWidth="1"/>
    <col min="13830" max="13830" width="2.28515625" style="4" customWidth="1"/>
    <col min="13831" max="13832" width="3.7109375" style="4" customWidth="1"/>
    <col min="13833" max="13833" width="2.28515625" style="4" customWidth="1"/>
    <col min="13834" max="13835" width="3.7109375" style="4" customWidth="1"/>
    <col min="13836" max="13836" width="2.28515625" style="4" customWidth="1"/>
    <col min="13837" max="13838" width="3.7109375" style="4" customWidth="1"/>
    <col min="13839" max="13839" width="2.28515625" style="4" customWidth="1"/>
    <col min="13840" max="13841" width="3.7109375" style="4" customWidth="1"/>
    <col min="13842" max="13842" width="2.28515625" style="4" customWidth="1"/>
    <col min="13843" max="13844" width="3.7109375" style="4" customWidth="1"/>
    <col min="13845" max="13845" width="2.28515625" style="4" customWidth="1"/>
    <col min="13846" max="13847" width="3.7109375" style="4" customWidth="1"/>
    <col min="13848" max="13848" width="2.28515625" style="4" customWidth="1"/>
    <col min="13849" max="13850" width="3.7109375" style="4" customWidth="1"/>
    <col min="13851" max="13851" width="2.28515625" style="4" customWidth="1"/>
    <col min="13852" max="13853" width="3.7109375" style="4" customWidth="1"/>
    <col min="13854" max="13854" width="2.28515625" style="4" customWidth="1"/>
    <col min="13855" max="13855" width="3.7109375" style="4" customWidth="1"/>
    <col min="13856" max="13856" width="9.7109375" style="4" customWidth="1"/>
    <col min="13857" max="13866" width="3.7109375" style="4" customWidth="1"/>
    <col min="13867" max="13867" width="11" style="4" customWidth="1"/>
    <col min="13868" max="13870" width="8.7109375" style="4"/>
    <col min="13871" max="13871" width="21" style="4" customWidth="1"/>
    <col min="13872" max="13872" width="24.42578125" style="4" customWidth="1"/>
    <col min="13873" max="13873" width="15.28515625" style="4" customWidth="1"/>
    <col min="13874" max="13874" width="10.5703125" style="4" customWidth="1"/>
    <col min="13875" max="13875" width="11.28515625" style="4" customWidth="1"/>
    <col min="13876" max="13876" width="25" style="4" customWidth="1"/>
    <col min="13877" max="13877" width="6" style="4" customWidth="1"/>
    <col min="13878" max="14081" width="8.7109375" style="4"/>
    <col min="14082" max="14082" width="3.7109375" style="4" customWidth="1"/>
    <col min="14083" max="14083" width="2.28515625" style="4" customWidth="1"/>
    <col min="14084" max="14085" width="3.7109375" style="4" customWidth="1"/>
    <col min="14086" max="14086" width="2.28515625" style="4" customWidth="1"/>
    <col min="14087" max="14088" width="3.7109375" style="4" customWidth="1"/>
    <col min="14089" max="14089" width="2.28515625" style="4" customWidth="1"/>
    <col min="14090" max="14091" width="3.7109375" style="4" customWidth="1"/>
    <col min="14092" max="14092" width="2.28515625" style="4" customWidth="1"/>
    <col min="14093" max="14094" width="3.7109375" style="4" customWidth="1"/>
    <col min="14095" max="14095" width="2.28515625" style="4" customWidth="1"/>
    <col min="14096" max="14097" width="3.7109375" style="4" customWidth="1"/>
    <col min="14098" max="14098" width="2.28515625" style="4" customWidth="1"/>
    <col min="14099" max="14100" width="3.7109375" style="4" customWidth="1"/>
    <col min="14101" max="14101" width="2.28515625" style="4" customWidth="1"/>
    <col min="14102" max="14103" width="3.7109375" style="4" customWidth="1"/>
    <col min="14104" max="14104" width="2.28515625" style="4" customWidth="1"/>
    <col min="14105" max="14106" width="3.7109375" style="4" customWidth="1"/>
    <col min="14107" max="14107" width="2.28515625" style="4" customWidth="1"/>
    <col min="14108" max="14109" width="3.7109375" style="4" customWidth="1"/>
    <col min="14110" max="14110" width="2.28515625" style="4" customWidth="1"/>
    <col min="14111" max="14111" width="3.7109375" style="4" customWidth="1"/>
    <col min="14112" max="14112" width="9.7109375" style="4" customWidth="1"/>
    <col min="14113" max="14122" width="3.7109375" style="4" customWidth="1"/>
    <col min="14123" max="14123" width="11" style="4" customWidth="1"/>
    <col min="14124" max="14126" width="8.7109375" style="4"/>
    <col min="14127" max="14127" width="21" style="4" customWidth="1"/>
    <col min="14128" max="14128" width="24.42578125" style="4" customWidth="1"/>
    <col min="14129" max="14129" width="15.28515625" style="4" customWidth="1"/>
    <col min="14130" max="14130" width="10.5703125" style="4" customWidth="1"/>
    <col min="14131" max="14131" width="11.28515625" style="4" customWidth="1"/>
    <col min="14132" max="14132" width="25" style="4" customWidth="1"/>
    <col min="14133" max="14133" width="6" style="4" customWidth="1"/>
    <col min="14134" max="14337" width="8.7109375" style="4"/>
    <col min="14338" max="14338" width="3.7109375" style="4" customWidth="1"/>
    <col min="14339" max="14339" width="2.28515625" style="4" customWidth="1"/>
    <col min="14340" max="14341" width="3.7109375" style="4" customWidth="1"/>
    <col min="14342" max="14342" width="2.28515625" style="4" customWidth="1"/>
    <col min="14343" max="14344" width="3.7109375" style="4" customWidth="1"/>
    <col min="14345" max="14345" width="2.28515625" style="4" customWidth="1"/>
    <col min="14346" max="14347" width="3.7109375" style="4" customWidth="1"/>
    <col min="14348" max="14348" width="2.28515625" style="4" customWidth="1"/>
    <col min="14349" max="14350" width="3.7109375" style="4" customWidth="1"/>
    <col min="14351" max="14351" width="2.28515625" style="4" customWidth="1"/>
    <col min="14352" max="14353" width="3.7109375" style="4" customWidth="1"/>
    <col min="14354" max="14354" width="2.28515625" style="4" customWidth="1"/>
    <col min="14355" max="14356" width="3.7109375" style="4" customWidth="1"/>
    <col min="14357" max="14357" width="2.28515625" style="4" customWidth="1"/>
    <col min="14358" max="14359" width="3.7109375" style="4" customWidth="1"/>
    <col min="14360" max="14360" width="2.28515625" style="4" customWidth="1"/>
    <col min="14361" max="14362" width="3.7109375" style="4" customWidth="1"/>
    <col min="14363" max="14363" width="2.28515625" style="4" customWidth="1"/>
    <col min="14364" max="14365" width="3.7109375" style="4" customWidth="1"/>
    <col min="14366" max="14366" width="2.28515625" style="4" customWidth="1"/>
    <col min="14367" max="14367" width="3.7109375" style="4" customWidth="1"/>
    <col min="14368" max="14368" width="9.7109375" style="4" customWidth="1"/>
    <col min="14369" max="14378" width="3.7109375" style="4" customWidth="1"/>
    <col min="14379" max="14379" width="11" style="4" customWidth="1"/>
    <col min="14380" max="14382" width="8.7109375" style="4"/>
    <col min="14383" max="14383" width="21" style="4" customWidth="1"/>
    <col min="14384" max="14384" width="24.42578125" style="4" customWidth="1"/>
    <col min="14385" max="14385" width="15.28515625" style="4" customWidth="1"/>
    <col min="14386" max="14386" width="10.5703125" style="4" customWidth="1"/>
    <col min="14387" max="14387" width="11.28515625" style="4" customWidth="1"/>
    <col min="14388" max="14388" width="25" style="4" customWidth="1"/>
    <col min="14389" max="14389" width="6" style="4" customWidth="1"/>
    <col min="14390" max="14593" width="8.7109375" style="4"/>
    <col min="14594" max="14594" width="3.7109375" style="4" customWidth="1"/>
    <col min="14595" max="14595" width="2.28515625" style="4" customWidth="1"/>
    <col min="14596" max="14597" width="3.7109375" style="4" customWidth="1"/>
    <col min="14598" max="14598" width="2.28515625" style="4" customWidth="1"/>
    <col min="14599" max="14600" width="3.7109375" style="4" customWidth="1"/>
    <col min="14601" max="14601" width="2.28515625" style="4" customWidth="1"/>
    <col min="14602" max="14603" width="3.7109375" style="4" customWidth="1"/>
    <col min="14604" max="14604" width="2.28515625" style="4" customWidth="1"/>
    <col min="14605" max="14606" width="3.7109375" style="4" customWidth="1"/>
    <col min="14607" max="14607" width="2.28515625" style="4" customWidth="1"/>
    <col min="14608" max="14609" width="3.7109375" style="4" customWidth="1"/>
    <col min="14610" max="14610" width="2.28515625" style="4" customWidth="1"/>
    <col min="14611" max="14612" width="3.7109375" style="4" customWidth="1"/>
    <col min="14613" max="14613" width="2.28515625" style="4" customWidth="1"/>
    <col min="14614" max="14615" width="3.7109375" style="4" customWidth="1"/>
    <col min="14616" max="14616" width="2.28515625" style="4" customWidth="1"/>
    <col min="14617" max="14618" width="3.7109375" style="4" customWidth="1"/>
    <col min="14619" max="14619" width="2.28515625" style="4" customWidth="1"/>
    <col min="14620" max="14621" width="3.7109375" style="4" customWidth="1"/>
    <col min="14622" max="14622" width="2.28515625" style="4" customWidth="1"/>
    <col min="14623" max="14623" width="3.7109375" style="4" customWidth="1"/>
    <col min="14624" max="14624" width="9.7109375" style="4" customWidth="1"/>
    <col min="14625" max="14634" width="3.7109375" style="4" customWidth="1"/>
    <col min="14635" max="14635" width="11" style="4" customWidth="1"/>
    <col min="14636" max="14638" width="8.7109375" style="4"/>
    <col min="14639" max="14639" width="21" style="4" customWidth="1"/>
    <col min="14640" max="14640" width="24.42578125" style="4" customWidth="1"/>
    <col min="14641" max="14641" width="15.28515625" style="4" customWidth="1"/>
    <col min="14642" max="14642" width="10.5703125" style="4" customWidth="1"/>
    <col min="14643" max="14643" width="11.28515625" style="4" customWidth="1"/>
    <col min="14644" max="14644" width="25" style="4" customWidth="1"/>
    <col min="14645" max="14645" width="6" style="4" customWidth="1"/>
    <col min="14646" max="14849" width="8.7109375" style="4"/>
    <col min="14850" max="14850" width="3.7109375" style="4" customWidth="1"/>
    <col min="14851" max="14851" width="2.28515625" style="4" customWidth="1"/>
    <col min="14852" max="14853" width="3.7109375" style="4" customWidth="1"/>
    <col min="14854" max="14854" width="2.28515625" style="4" customWidth="1"/>
    <col min="14855" max="14856" width="3.7109375" style="4" customWidth="1"/>
    <col min="14857" max="14857" width="2.28515625" style="4" customWidth="1"/>
    <col min="14858" max="14859" width="3.7109375" style="4" customWidth="1"/>
    <col min="14860" max="14860" width="2.28515625" style="4" customWidth="1"/>
    <col min="14861" max="14862" width="3.7109375" style="4" customWidth="1"/>
    <col min="14863" max="14863" width="2.28515625" style="4" customWidth="1"/>
    <col min="14864" max="14865" width="3.7109375" style="4" customWidth="1"/>
    <col min="14866" max="14866" width="2.28515625" style="4" customWidth="1"/>
    <col min="14867" max="14868" width="3.7109375" style="4" customWidth="1"/>
    <col min="14869" max="14869" width="2.28515625" style="4" customWidth="1"/>
    <col min="14870" max="14871" width="3.7109375" style="4" customWidth="1"/>
    <col min="14872" max="14872" width="2.28515625" style="4" customWidth="1"/>
    <col min="14873" max="14874" width="3.7109375" style="4" customWidth="1"/>
    <col min="14875" max="14875" width="2.28515625" style="4" customWidth="1"/>
    <col min="14876" max="14877" width="3.7109375" style="4" customWidth="1"/>
    <col min="14878" max="14878" width="2.28515625" style="4" customWidth="1"/>
    <col min="14879" max="14879" width="3.7109375" style="4" customWidth="1"/>
    <col min="14880" max="14880" width="9.7109375" style="4" customWidth="1"/>
    <col min="14881" max="14890" width="3.7109375" style="4" customWidth="1"/>
    <col min="14891" max="14891" width="11" style="4" customWidth="1"/>
    <col min="14892" max="14894" width="8.7109375" style="4"/>
    <col min="14895" max="14895" width="21" style="4" customWidth="1"/>
    <col min="14896" max="14896" width="24.42578125" style="4" customWidth="1"/>
    <col min="14897" max="14897" width="15.28515625" style="4" customWidth="1"/>
    <col min="14898" max="14898" width="10.5703125" style="4" customWidth="1"/>
    <col min="14899" max="14899" width="11.28515625" style="4" customWidth="1"/>
    <col min="14900" max="14900" width="25" style="4" customWidth="1"/>
    <col min="14901" max="14901" width="6" style="4" customWidth="1"/>
    <col min="14902" max="15105" width="8.7109375" style="4"/>
    <col min="15106" max="15106" width="3.7109375" style="4" customWidth="1"/>
    <col min="15107" max="15107" width="2.28515625" style="4" customWidth="1"/>
    <col min="15108" max="15109" width="3.7109375" style="4" customWidth="1"/>
    <col min="15110" max="15110" width="2.28515625" style="4" customWidth="1"/>
    <col min="15111" max="15112" width="3.7109375" style="4" customWidth="1"/>
    <col min="15113" max="15113" width="2.28515625" style="4" customWidth="1"/>
    <col min="15114" max="15115" width="3.7109375" style="4" customWidth="1"/>
    <col min="15116" max="15116" width="2.28515625" style="4" customWidth="1"/>
    <col min="15117" max="15118" width="3.7109375" style="4" customWidth="1"/>
    <col min="15119" max="15119" width="2.28515625" style="4" customWidth="1"/>
    <col min="15120" max="15121" width="3.7109375" style="4" customWidth="1"/>
    <col min="15122" max="15122" width="2.28515625" style="4" customWidth="1"/>
    <col min="15123" max="15124" width="3.7109375" style="4" customWidth="1"/>
    <col min="15125" max="15125" width="2.28515625" style="4" customWidth="1"/>
    <col min="15126" max="15127" width="3.7109375" style="4" customWidth="1"/>
    <col min="15128" max="15128" width="2.28515625" style="4" customWidth="1"/>
    <col min="15129" max="15130" width="3.7109375" style="4" customWidth="1"/>
    <col min="15131" max="15131" width="2.28515625" style="4" customWidth="1"/>
    <col min="15132" max="15133" width="3.7109375" style="4" customWidth="1"/>
    <col min="15134" max="15134" width="2.28515625" style="4" customWidth="1"/>
    <col min="15135" max="15135" width="3.7109375" style="4" customWidth="1"/>
    <col min="15136" max="15136" width="9.7109375" style="4" customWidth="1"/>
    <col min="15137" max="15146" width="3.7109375" style="4" customWidth="1"/>
    <col min="15147" max="15147" width="11" style="4" customWidth="1"/>
    <col min="15148" max="15150" width="8.7109375" style="4"/>
    <col min="15151" max="15151" width="21" style="4" customWidth="1"/>
    <col min="15152" max="15152" width="24.42578125" style="4" customWidth="1"/>
    <col min="15153" max="15153" width="15.28515625" style="4" customWidth="1"/>
    <col min="15154" max="15154" width="10.5703125" style="4" customWidth="1"/>
    <col min="15155" max="15155" width="11.28515625" style="4" customWidth="1"/>
    <col min="15156" max="15156" width="25" style="4" customWidth="1"/>
    <col min="15157" max="15157" width="6" style="4" customWidth="1"/>
    <col min="15158" max="15361" width="8.7109375" style="4"/>
    <col min="15362" max="15362" width="3.7109375" style="4" customWidth="1"/>
    <col min="15363" max="15363" width="2.28515625" style="4" customWidth="1"/>
    <col min="15364" max="15365" width="3.7109375" style="4" customWidth="1"/>
    <col min="15366" max="15366" width="2.28515625" style="4" customWidth="1"/>
    <col min="15367" max="15368" width="3.7109375" style="4" customWidth="1"/>
    <col min="15369" max="15369" width="2.28515625" style="4" customWidth="1"/>
    <col min="15370" max="15371" width="3.7109375" style="4" customWidth="1"/>
    <col min="15372" max="15372" width="2.28515625" style="4" customWidth="1"/>
    <col min="15373" max="15374" width="3.7109375" style="4" customWidth="1"/>
    <col min="15375" max="15375" width="2.28515625" style="4" customWidth="1"/>
    <col min="15376" max="15377" width="3.7109375" style="4" customWidth="1"/>
    <col min="15378" max="15378" width="2.28515625" style="4" customWidth="1"/>
    <col min="15379" max="15380" width="3.7109375" style="4" customWidth="1"/>
    <col min="15381" max="15381" width="2.28515625" style="4" customWidth="1"/>
    <col min="15382" max="15383" width="3.7109375" style="4" customWidth="1"/>
    <col min="15384" max="15384" width="2.28515625" style="4" customWidth="1"/>
    <col min="15385" max="15386" width="3.7109375" style="4" customWidth="1"/>
    <col min="15387" max="15387" width="2.28515625" style="4" customWidth="1"/>
    <col min="15388" max="15389" width="3.7109375" style="4" customWidth="1"/>
    <col min="15390" max="15390" width="2.28515625" style="4" customWidth="1"/>
    <col min="15391" max="15391" width="3.7109375" style="4" customWidth="1"/>
    <col min="15392" max="15392" width="9.7109375" style="4" customWidth="1"/>
    <col min="15393" max="15402" width="3.7109375" style="4" customWidth="1"/>
    <col min="15403" max="15403" width="11" style="4" customWidth="1"/>
    <col min="15404" max="15406" width="8.7109375" style="4"/>
    <col min="15407" max="15407" width="21" style="4" customWidth="1"/>
    <col min="15408" max="15408" width="24.42578125" style="4" customWidth="1"/>
    <col min="15409" max="15409" width="15.28515625" style="4" customWidth="1"/>
    <col min="15410" max="15410" width="10.5703125" style="4" customWidth="1"/>
    <col min="15411" max="15411" width="11.28515625" style="4" customWidth="1"/>
    <col min="15412" max="15412" width="25" style="4" customWidth="1"/>
    <col min="15413" max="15413" width="6" style="4" customWidth="1"/>
    <col min="15414" max="15617" width="8.7109375" style="4"/>
    <col min="15618" max="15618" width="3.7109375" style="4" customWidth="1"/>
    <col min="15619" max="15619" width="2.28515625" style="4" customWidth="1"/>
    <col min="15620" max="15621" width="3.7109375" style="4" customWidth="1"/>
    <col min="15622" max="15622" width="2.28515625" style="4" customWidth="1"/>
    <col min="15623" max="15624" width="3.7109375" style="4" customWidth="1"/>
    <col min="15625" max="15625" width="2.28515625" style="4" customWidth="1"/>
    <col min="15626" max="15627" width="3.7109375" style="4" customWidth="1"/>
    <col min="15628" max="15628" width="2.28515625" style="4" customWidth="1"/>
    <col min="15629" max="15630" width="3.7109375" style="4" customWidth="1"/>
    <col min="15631" max="15631" width="2.28515625" style="4" customWidth="1"/>
    <col min="15632" max="15633" width="3.7109375" style="4" customWidth="1"/>
    <col min="15634" max="15634" width="2.28515625" style="4" customWidth="1"/>
    <col min="15635" max="15636" width="3.7109375" style="4" customWidth="1"/>
    <col min="15637" max="15637" width="2.28515625" style="4" customWidth="1"/>
    <col min="15638" max="15639" width="3.7109375" style="4" customWidth="1"/>
    <col min="15640" max="15640" width="2.28515625" style="4" customWidth="1"/>
    <col min="15641" max="15642" width="3.7109375" style="4" customWidth="1"/>
    <col min="15643" max="15643" width="2.28515625" style="4" customWidth="1"/>
    <col min="15644" max="15645" width="3.7109375" style="4" customWidth="1"/>
    <col min="15646" max="15646" width="2.28515625" style="4" customWidth="1"/>
    <col min="15647" max="15647" width="3.7109375" style="4" customWidth="1"/>
    <col min="15648" max="15648" width="9.7109375" style="4" customWidth="1"/>
    <col min="15649" max="15658" width="3.7109375" style="4" customWidth="1"/>
    <col min="15659" max="15659" width="11" style="4" customWidth="1"/>
    <col min="15660" max="15662" width="8.7109375" style="4"/>
    <col min="15663" max="15663" width="21" style="4" customWidth="1"/>
    <col min="15664" max="15664" width="24.42578125" style="4" customWidth="1"/>
    <col min="15665" max="15665" width="15.28515625" style="4" customWidth="1"/>
    <col min="15666" max="15666" width="10.5703125" style="4" customWidth="1"/>
    <col min="15667" max="15667" width="11.28515625" style="4" customWidth="1"/>
    <col min="15668" max="15668" width="25" style="4" customWidth="1"/>
    <col min="15669" max="15669" width="6" style="4" customWidth="1"/>
    <col min="15670" max="15873" width="8.7109375" style="4"/>
    <col min="15874" max="15874" width="3.7109375" style="4" customWidth="1"/>
    <col min="15875" max="15875" width="2.28515625" style="4" customWidth="1"/>
    <col min="15876" max="15877" width="3.7109375" style="4" customWidth="1"/>
    <col min="15878" max="15878" width="2.28515625" style="4" customWidth="1"/>
    <col min="15879" max="15880" width="3.7109375" style="4" customWidth="1"/>
    <col min="15881" max="15881" width="2.28515625" style="4" customWidth="1"/>
    <col min="15882" max="15883" width="3.7109375" style="4" customWidth="1"/>
    <col min="15884" max="15884" width="2.28515625" style="4" customWidth="1"/>
    <col min="15885" max="15886" width="3.7109375" style="4" customWidth="1"/>
    <col min="15887" max="15887" width="2.28515625" style="4" customWidth="1"/>
    <col min="15888" max="15889" width="3.7109375" style="4" customWidth="1"/>
    <col min="15890" max="15890" width="2.28515625" style="4" customWidth="1"/>
    <col min="15891" max="15892" width="3.7109375" style="4" customWidth="1"/>
    <col min="15893" max="15893" width="2.28515625" style="4" customWidth="1"/>
    <col min="15894" max="15895" width="3.7109375" style="4" customWidth="1"/>
    <col min="15896" max="15896" width="2.28515625" style="4" customWidth="1"/>
    <col min="15897" max="15898" width="3.7109375" style="4" customWidth="1"/>
    <col min="15899" max="15899" width="2.28515625" style="4" customWidth="1"/>
    <col min="15900" max="15901" width="3.7109375" style="4" customWidth="1"/>
    <col min="15902" max="15902" width="2.28515625" style="4" customWidth="1"/>
    <col min="15903" max="15903" width="3.7109375" style="4" customWidth="1"/>
    <col min="15904" max="15904" width="9.7109375" style="4" customWidth="1"/>
    <col min="15905" max="15914" width="3.7109375" style="4" customWidth="1"/>
    <col min="15915" max="15915" width="11" style="4" customWidth="1"/>
    <col min="15916" max="15918" width="8.7109375" style="4"/>
    <col min="15919" max="15919" width="21" style="4" customWidth="1"/>
    <col min="15920" max="15920" width="24.42578125" style="4" customWidth="1"/>
    <col min="15921" max="15921" width="15.28515625" style="4" customWidth="1"/>
    <col min="15922" max="15922" width="10.5703125" style="4" customWidth="1"/>
    <col min="15923" max="15923" width="11.28515625" style="4" customWidth="1"/>
    <col min="15924" max="15924" width="25" style="4" customWidth="1"/>
    <col min="15925" max="15925" width="6" style="4" customWidth="1"/>
    <col min="15926" max="16129" width="8.7109375" style="4"/>
    <col min="16130" max="16130" width="3.7109375" style="4" customWidth="1"/>
    <col min="16131" max="16131" width="2.28515625" style="4" customWidth="1"/>
    <col min="16132" max="16133" width="3.7109375" style="4" customWidth="1"/>
    <col min="16134" max="16134" width="2.28515625" style="4" customWidth="1"/>
    <col min="16135" max="16136" width="3.7109375" style="4" customWidth="1"/>
    <col min="16137" max="16137" width="2.28515625" style="4" customWidth="1"/>
    <col min="16138" max="16139" width="3.7109375" style="4" customWidth="1"/>
    <col min="16140" max="16140" width="2.28515625" style="4" customWidth="1"/>
    <col min="16141" max="16142" width="3.7109375" style="4" customWidth="1"/>
    <col min="16143" max="16143" width="2.28515625" style="4" customWidth="1"/>
    <col min="16144" max="16145" width="3.7109375" style="4" customWidth="1"/>
    <col min="16146" max="16146" width="2.28515625" style="4" customWidth="1"/>
    <col min="16147" max="16148" width="3.7109375" style="4" customWidth="1"/>
    <col min="16149" max="16149" width="2.28515625" style="4" customWidth="1"/>
    <col min="16150" max="16151" width="3.7109375" style="4" customWidth="1"/>
    <col min="16152" max="16152" width="2.28515625" style="4" customWidth="1"/>
    <col min="16153" max="16154" width="3.7109375" style="4" customWidth="1"/>
    <col min="16155" max="16155" width="2.28515625" style="4" customWidth="1"/>
    <col min="16156" max="16157" width="3.7109375" style="4" customWidth="1"/>
    <col min="16158" max="16158" width="2.28515625" style="4" customWidth="1"/>
    <col min="16159" max="16159" width="3.7109375" style="4" customWidth="1"/>
    <col min="16160" max="16160" width="9.7109375" style="4" customWidth="1"/>
    <col min="16161" max="16170" width="3.7109375" style="4" customWidth="1"/>
    <col min="16171" max="16171" width="11" style="4" customWidth="1"/>
    <col min="16172" max="16174" width="8.7109375" style="4"/>
    <col min="16175" max="16175" width="21" style="4" customWidth="1"/>
    <col min="16176" max="16176" width="24.42578125" style="4" customWidth="1"/>
    <col min="16177" max="16177" width="15.28515625" style="4" customWidth="1"/>
    <col min="16178" max="16178" width="10.5703125" style="4" customWidth="1"/>
    <col min="16179" max="16179" width="11.28515625" style="4" customWidth="1"/>
    <col min="16180" max="16180" width="25" style="4" customWidth="1"/>
    <col min="16181" max="16181" width="6" style="4" customWidth="1"/>
    <col min="16182" max="16384" width="8.7109375" style="4"/>
  </cols>
  <sheetData>
    <row r="1" spans="1:53" ht="13.5" thickBot="1" x14ac:dyDescent="0.25">
      <c r="A1" s="827" t="s">
        <v>0</v>
      </c>
      <c r="B1" s="827"/>
      <c r="C1" s="827"/>
      <c r="D1" s="827"/>
      <c r="E1" s="827"/>
      <c r="F1" s="827"/>
      <c r="G1" s="827"/>
      <c r="H1" s="827"/>
      <c r="I1" s="827"/>
      <c r="J1" s="827"/>
      <c r="K1" s="827"/>
      <c r="L1" s="827"/>
      <c r="M1" s="827"/>
      <c r="N1" s="827"/>
      <c r="O1" s="827"/>
      <c r="P1" s="827"/>
      <c r="Q1" s="827"/>
      <c r="R1" s="827"/>
      <c r="S1" s="827"/>
      <c r="T1" s="827"/>
      <c r="U1" s="827"/>
      <c r="V1" s="827"/>
      <c r="W1" s="827"/>
      <c r="X1" s="827"/>
      <c r="Y1" s="827"/>
      <c r="Z1" s="827"/>
      <c r="AA1" s="827"/>
      <c r="AB1" s="827"/>
      <c r="AC1" s="827"/>
      <c r="AD1" s="827"/>
      <c r="AE1" s="827"/>
      <c r="AF1" s="827"/>
      <c r="AG1" s="827"/>
      <c r="AH1" s="827"/>
      <c r="AI1" s="827"/>
      <c r="AJ1" s="1"/>
      <c r="AK1" s="1"/>
      <c r="AL1" s="1"/>
      <c r="AM1" s="1"/>
      <c r="AN1" s="1"/>
      <c r="AO1" s="1"/>
      <c r="AP1" s="1"/>
      <c r="AQ1" s="2" t="s">
        <v>1</v>
      </c>
      <c r="AR1" s="3"/>
      <c r="AT1" s="828" t="s">
        <v>2</v>
      </c>
      <c r="AU1" s="829"/>
      <c r="AV1" s="829"/>
      <c r="AW1" s="830"/>
      <c r="AX1" s="831" t="s">
        <v>3</v>
      </c>
      <c r="AY1" s="832"/>
      <c r="AZ1" s="5" t="s">
        <v>4</v>
      </c>
      <c r="BA1" s="6">
        <v>32</v>
      </c>
    </row>
    <row r="2" spans="1:53" ht="18.75" customHeight="1" thickBot="1" x14ac:dyDescent="0.3">
      <c r="A2" s="833" t="s">
        <v>5</v>
      </c>
      <c r="B2" s="834"/>
      <c r="C2" s="834"/>
      <c r="D2" s="834"/>
      <c r="E2" s="834"/>
      <c r="F2" s="834"/>
      <c r="G2" s="834"/>
      <c r="H2" s="834"/>
      <c r="I2" s="835"/>
      <c r="J2" s="836" t="s">
        <v>6</v>
      </c>
      <c r="K2" s="837"/>
      <c r="L2" s="837"/>
      <c r="M2" s="837"/>
      <c r="N2" s="837"/>
      <c r="O2" s="837"/>
      <c r="P2" s="837"/>
      <c r="Q2" s="837"/>
      <c r="R2" s="837"/>
      <c r="S2" s="837"/>
      <c r="T2" s="837"/>
      <c r="U2" s="837"/>
      <c r="V2" s="837"/>
      <c r="W2" s="837"/>
      <c r="X2" s="838"/>
      <c r="Y2" s="839" t="s">
        <v>7</v>
      </c>
      <c r="Z2" s="840"/>
      <c r="AA2" s="840"/>
      <c r="AB2" s="840"/>
      <c r="AC2" s="841"/>
      <c r="AD2" s="810" t="s">
        <v>168</v>
      </c>
      <c r="AE2" s="810"/>
      <c r="AF2" s="810"/>
      <c r="AG2" s="810"/>
      <c r="AH2" s="810"/>
      <c r="AI2" s="811"/>
      <c r="AJ2" s="7"/>
      <c r="AK2" s="7"/>
      <c r="AL2" s="7"/>
      <c r="AM2" s="7"/>
      <c r="AN2" s="7"/>
      <c r="AO2" s="7"/>
      <c r="AP2" s="7"/>
      <c r="AQ2" s="7"/>
      <c r="AR2" s="3"/>
      <c r="AT2" s="8" t="s">
        <v>9</v>
      </c>
      <c r="AU2" s="9" t="s">
        <v>10</v>
      </c>
      <c r="AV2" s="10" t="s">
        <v>11</v>
      </c>
      <c r="AW2" s="11" t="s">
        <v>12</v>
      </c>
      <c r="AX2" s="12" t="s">
        <v>13</v>
      </c>
      <c r="AY2" s="11" t="s">
        <v>14</v>
      </c>
      <c r="AZ2" s="5" t="s">
        <v>15</v>
      </c>
      <c r="BA2" s="6">
        <v>16</v>
      </c>
    </row>
    <row r="3" spans="1:53" ht="18.75" customHeight="1" thickBot="1" x14ac:dyDescent="0.3">
      <c r="A3" s="13" t="s">
        <v>16</v>
      </c>
      <c r="B3" s="812" t="s">
        <v>1133</v>
      </c>
      <c r="C3" s="813"/>
      <c r="D3" s="813"/>
      <c r="E3" s="813"/>
      <c r="F3" s="813"/>
      <c r="G3" s="813"/>
      <c r="H3" s="813"/>
      <c r="I3" s="813"/>
      <c r="J3" s="813"/>
      <c r="K3" s="813"/>
      <c r="L3" s="813"/>
      <c r="M3" s="813"/>
      <c r="N3" s="813"/>
      <c r="O3" s="814"/>
      <c r="P3" s="815" t="s">
        <v>18</v>
      </c>
      <c r="Q3" s="816"/>
      <c r="R3" s="816"/>
      <c r="S3" s="817" t="s">
        <v>1134</v>
      </c>
      <c r="T3" s="818"/>
      <c r="U3" s="818"/>
      <c r="V3" s="818"/>
      <c r="W3" s="818"/>
      <c r="X3" s="819"/>
      <c r="Y3" s="820" t="s">
        <v>19</v>
      </c>
      <c r="Z3" s="821"/>
      <c r="AA3" s="821"/>
      <c r="AB3" s="821"/>
      <c r="AC3" s="821"/>
      <c r="AD3" s="822"/>
      <c r="AE3" s="823" t="s">
        <v>20</v>
      </c>
      <c r="AF3" s="824"/>
      <c r="AG3" s="825" t="s">
        <v>21</v>
      </c>
      <c r="AH3" s="825"/>
      <c r="AI3" s="826"/>
      <c r="AJ3" s="7"/>
      <c r="AK3" s="7"/>
      <c r="AL3" s="7"/>
      <c r="AM3" s="7"/>
      <c r="AN3" s="7"/>
      <c r="AO3" s="7"/>
      <c r="AP3" s="7"/>
      <c r="AQ3" s="7"/>
      <c r="AR3" s="3"/>
      <c r="AT3" s="14">
        <v>1</v>
      </c>
      <c r="AU3" s="1245" t="s">
        <v>650</v>
      </c>
      <c r="AV3" s="1245" t="s">
        <v>649</v>
      </c>
      <c r="AW3" s="147">
        <f>VLOOKUP(AV3,Initial!G:K,5,FALSE)</f>
        <v>1800.3848611781038</v>
      </c>
      <c r="AX3" s="16">
        <f t="shared" ref="AX3:AX12" si="0">VLOOKUP(AU3,AT$79:AU$174,2,FALSE)</f>
        <v>1827.2319232972654</v>
      </c>
      <c r="AY3" s="17">
        <f t="shared" ref="AY3:AY12" si="1">IF(ISNA(VLOOKUP(AU3,AT$182:AU$234,2,FALSE)),AX3,VLOOKUP(AU3,AT$182:AU$234,2,FALSE))</f>
        <v>1838.133719846739</v>
      </c>
    </row>
    <row r="4" spans="1:53" ht="24" customHeight="1" thickBot="1" x14ac:dyDescent="0.25">
      <c r="A4" s="803" t="s">
        <v>24</v>
      </c>
      <c r="B4" s="804"/>
      <c r="C4" s="804"/>
      <c r="D4" s="805"/>
      <c r="E4" s="806" t="s">
        <v>25</v>
      </c>
      <c r="F4" s="807"/>
      <c r="G4" s="807"/>
      <c r="H4" s="807"/>
      <c r="I4" s="807"/>
      <c r="J4" s="807"/>
      <c r="K4" s="807"/>
      <c r="L4" s="807"/>
      <c r="M4" s="808"/>
      <c r="N4" s="803" t="s">
        <v>26</v>
      </c>
      <c r="O4" s="804"/>
      <c r="P4" s="804"/>
      <c r="Q4" s="805"/>
      <c r="R4" s="809"/>
      <c r="S4" s="810"/>
      <c r="T4" s="810"/>
      <c r="U4" s="810"/>
      <c r="V4" s="810"/>
      <c r="W4" s="810"/>
      <c r="X4" s="810"/>
      <c r="Y4" s="810"/>
      <c r="Z4" s="810"/>
      <c r="AA4" s="811"/>
      <c r="AB4" s="803" t="s">
        <v>27</v>
      </c>
      <c r="AC4" s="804"/>
      <c r="AD4" s="804"/>
      <c r="AE4" s="805"/>
      <c r="AF4" s="809"/>
      <c r="AG4" s="810"/>
      <c r="AH4" s="810"/>
      <c r="AI4" s="811"/>
      <c r="AJ4" s="7"/>
      <c r="AK4" s="7"/>
      <c r="AL4" s="7"/>
      <c r="AM4" s="7"/>
      <c r="AN4" s="7"/>
      <c r="AO4" s="7"/>
      <c r="AP4" s="7"/>
      <c r="AQ4" s="7"/>
      <c r="AR4" s="3"/>
      <c r="AT4" s="18">
        <v>2</v>
      </c>
      <c r="AU4" s="1245" t="s">
        <v>1135</v>
      </c>
      <c r="AV4" s="1245" t="s">
        <v>1136</v>
      </c>
      <c r="AW4" s="147">
        <f>VLOOKUP(AV4,Initial!G:K,5,FALSE)</f>
        <v>1800</v>
      </c>
      <c r="AX4" s="19">
        <f t="shared" si="0"/>
        <v>1889.1215582371156</v>
      </c>
      <c r="AY4" s="20">
        <f t="shared" si="1"/>
        <v>1879.1516419632358</v>
      </c>
    </row>
    <row r="5" spans="1:53" ht="15.75" thickBot="1" x14ac:dyDescent="0.25">
      <c r="A5" s="1" t="s">
        <v>30</v>
      </c>
      <c r="B5" s="800" t="s">
        <v>30</v>
      </c>
      <c r="C5" s="801"/>
      <c r="D5" s="801"/>
      <c r="E5" s="801"/>
      <c r="F5" s="801"/>
      <c r="G5" s="801"/>
      <c r="H5" s="801"/>
      <c r="I5" s="801"/>
      <c r="J5" s="801"/>
      <c r="K5" s="802" t="s">
        <v>30</v>
      </c>
      <c r="L5" s="802"/>
      <c r="M5" s="802"/>
      <c r="N5" s="802"/>
      <c r="O5" s="802"/>
      <c r="P5" s="802"/>
      <c r="Q5" s="802"/>
      <c r="R5" s="802"/>
      <c r="S5" s="802"/>
      <c r="T5" s="802"/>
      <c r="U5" s="802"/>
      <c r="V5" s="802"/>
      <c r="W5" s="802"/>
      <c r="X5" s="802"/>
      <c r="Y5" s="802"/>
      <c r="Z5" s="802"/>
      <c r="AA5" s="802"/>
      <c r="AB5" s="802"/>
      <c r="AC5" s="802"/>
      <c r="AD5" s="802"/>
      <c r="AE5" s="802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3"/>
      <c r="AT5" s="18">
        <v>3</v>
      </c>
      <c r="AU5" s="1245" t="s">
        <v>664</v>
      </c>
      <c r="AV5" s="1245" t="s">
        <v>663</v>
      </c>
      <c r="AW5" s="147">
        <f>VLOOKUP(AV5,Initial!G:K,5,FALSE)</f>
        <v>1800</v>
      </c>
      <c r="AX5" s="19">
        <f t="shared" si="0"/>
        <v>1744.4518270866665</v>
      </c>
      <c r="AY5" s="20">
        <f t="shared" si="1"/>
        <v>1734.7837101165069</v>
      </c>
    </row>
    <row r="6" spans="1:53" ht="24" customHeight="1" thickBot="1" x14ac:dyDescent="0.25">
      <c r="A6" s="21" t="s">
        <v>33</v>
      </c>
      <c r="B6" s="22" t="s">
        <v>34</v>
      </c>
      <c r="C6" s="775" t="s">
        <v>35</v>
      </c>
      <c r="D6" s="776"/>
      <c r="E6" s="776"/>
      <c r="F6" s="776"/>
      <c r="G6" s="776"/>
      <c r="H6" s="777"/>
      <c r="I6" s="778">
        <v>3</v>
      </c>
      <c r="J6" s="779"/>
      <c r="K6" s="780" t="str">
        <f>"Pool "&amp;B6&amp;" - Round 1 - Court "&amp;I6</f>
        <v>Pool A - Round 1 - Court 3</v>
      </c>
      <c r="L6" s="781"/>
      <c r="M6" s="781"/>
      <c r="N6" s="781"/>
      <c r="O6" s="781"/>
      <c r="P6" s="781"/>
      <c r="Q6" s="781"/>
      <c r="R6" s="781"/>
      <c r="S6" s="781"/>
      <c r="T6" s="781"/>
      <c r="U6" s="781"/>
      <c r="V6" s="781"/>
      <c r="W6" s="781"/>
      <c r="X6" s="781"/>
      <c r="Y6" s="781"/>
      <c r="Z6" s="781"/>
      <c r="AA6" s="781"/>
      <c r="AB6" s="781"/>
      <c r="AC6" s="781"/>
      <c r="AD6" s="781"/>
      <c r="AE6" s="781"/>
      <c r="AF6" s="781"/>
      <c r="AG6" s="781"/>
      <c r="AH6" s="781"/>
      <c r="AI6" s="782"/>
      <c r="AJ6" s="7"/>
      <c r="AK6" s="7"/>
      <c r="AL6" s="7"/>
      <c r="AM6" s="7"/>
      <c r="AN6" s="7"/>
      <c r="AO6" s="7"/>
      <c r="AP6" s="7"/>
      <c r="AQ6" s="7"/>
      <c r="AT6" s="18">
        <v>4</v>
      </c>
      <c r="AU6" s="1245" t="s">
        <v>685</v>
      </c>
      <c r="AV6" s="1245" t="s">
        <v>684</v>
      </c>
      <c r="AW6" s="147">
        <f>VLOOKUP(AV6,Initial!G:K,5,FALSE)</f>
        <v>1799.9656310899888</v>
      </c>
      <c r="AX6" s="19">
        <f t="shared" si="0"/>
        <v>1801.7742906652861</v>
      </c>
      <c r="AY6" s="20">
        <f t="shared" si="1"/>
        <v>1805.1071930791211</v>
      </c>
    </row>
    <row r="7" spans="1:53" ht="27" customHeight="1" thickBot="1" x14ac:dyDescent="0.25">
      <c r="A7" s="23" t="s">
        <v>38</v>
      </c>
      <c r="B7" s="783" t="s">
        <v>10</v>
      </c>
      <c r="C7" s="784"/>
      <c r="D7" s="784"/>
      <c r="E7" s="784"/>
      <c r="F7" s="784"/>
      <c r="G7" s="784"/>
      <c r="H7" s="784"/>
      <c r="I7" s="784"/>
      <c r="J7" s="784"/>
      <c r="K7" s="784"/>
      <c r="L7" s="783" t="str">
        <f>IF($AK10=0,"Games Won","Matches Won")</f>
        <v>Games Won</v>
      </c>
      <c r="M7" s="784"/>
      <c r="N7" s="784"/>
      <c r="O7" s="784"/>
      <c r="P7" s="784"/>
      <c r="Q7" s="785"/>
      <c r="R7" s="783" t="str">
        <f>IF($AK10=0,"Games Lost","Matches Lost")</f>
        <v>Games Lost</v>
      </c>
      <c r="S7" s="786"/>
      <c r="T7" s="786"/>
      <c r="U7" s="786"/>
      <c r="V7" s="787"/>
      <c r="W7" s="788" t="s">
        <v>39</v>
      </c>
      <c r="X7" s="789"/>
      <c r="Y7" s="790"/>
      <c r="Z7" s="788" t="s">
        <v>40</v>
      </c>
      <c r="AA7" s="789"/>
      <c r="AB7" s="790"/>
      <c r="AC7" s="791" t="s">
        <v>41</v>
      </c>
      <c r="AD7" s="792"/>
      <c r="AE7" s="793"/>
      <c r="AF7" s="24" t="s">
        <v>42</v>
      </c>
      <c r="AG7" s="25" t="s">
        <v>9</v>
      </c>
      <c r="AH7" s="773" t="s">
        <v>43</v>
      </c>
      <c r="AI7" s="774"/>
      <c r="AJ7" s="26"/>
      <c r="AK7" s="27">
        <v>2</v>
      </c>
      <c r="AL7" s="28" t="s">
        <v>44</v>
      </c>
      <c r="AM7" s="28"/>
      <c r="AN7" s="28"/>
      <c r="AO7" s="28"/>
      <c r="AP7" s="28"/>
      <c r="AQ7" s="28"/>
      <c r="AR7" s="29"/>
      <c r="AT7" s="18">
        <v>5</v>
      </c>
      <c r="AU7" s="1245" t="s">
        <v>670</v>
      </c>
      <c r="AV7" s="1245" t="s">
        <v>669</v>
      </c>
      <c r="AW7" s="147">
        <f>VLOOKUP(AV7,Initial!G:K,5,FALSE)</f>
        <v>1706.7949714909773</v>
      </c>
      <c r="AX7" s="19">
        <f t="shared" si="0"/>
        <v>1715.8887380757503</v>
      </c>
      <c r="AY7" s="20">
        <f t="shared" si="1"/>
        <v>1741.3689204677482</v>
      </c>
    </row>
    <row r="8" spans="1:53" ht="18.75" customHeight="1" thickBot="1" x14ac:dyDescent="0.25">
      <c r="A8" s="742" t="str">
        <f>IF($AK9&gt;0,"1","")</f>
        <v>1</v>
      </c>
      <c r="B8" s="770" t="s">
        <v>10</v>
      </c>
      <c r="C8" s="771"/>
      <c r="D8" s="772"/>
      <c r="E8" s="746" t="str">
        <f>AU3</f>
        <v>Lake Murray 14 Black</v>
      </c>
      <c r="F8" s="747"/>
      <c r="G8" s="747"/>
      <c r="H8" s="747"/>
      <c r="I8" s="747"/>
      <c r="J8" s="747"/>
      <c r="K8" s="748"/>
      <c r="L8" s="749">
        <f>IF($AK10=0,AF64,AF46)</f>
        <v>6</v>
      </c>
      <c r="M8" s="750"/>
      <c r="N8" s="750"/>
      <c r="O8" s="750"/>
      <c r="P8" s="750"/>
      <c r="Q8" s="785"/>
      <c r="R8" s="749">
        <f>IF($AK10=0,AG64,AG46)</f>
        <v>2</v>
      </c>
      <c r="S8" s="750"/>
      <c r="T8" s="750"/>
      <c r="U8" s="750"/>
      <c r="V8" s="750"/>
      <c r="W8" s="749">
        <f>AQ24</f>
        <v>45</v>
      </c>
      <c r="X8" s="750"/>
      <c r="Y8" s="750"/>
      <c r="Z8" s="722">
        <f>IF(AF58&gt;0,(AQ24/AF58),0)</f>
        <v>0.22500000000000001</v>
      </c>
      <c r="AA8" s="723"/>
      <c r="AB8" s="723"/>
      <c r="AC8" s="726">
        <f>IF(AF72=0,0,(AF64/AF72))</f>
        <v>0.75</v>
      </c>
      <c r="AD8" s="727"/>
      <c r="AE8" s="728"/>
      <c r="AF8" s="732">
        <v>1</v>
      </c>
      <c r="AG8" s="732">
        <v>1</v>
      </c>
      <c r="AH8" s="734"/>
      <c r="AI8" s="735"/>
      <c r="AJ8" s="26"/>
      <c r="AK8" s="27">
        <v>10</v>
      </c>
      <c r="AL8" s="28" t="s">
        <v>47</v>
      </c>
      <c r="AM8" s="28"/>
      <c r="AN8" s="28"/>
      <c r="AO8" s="28"/>
      <c r="AP8" s="28"/>
      <c r="AQ8" s="28"/>
      <c r="AR8" s="29"/>
      <c r="AT8" s="18">
        <v>6</v>
      </c>
      <c r="AU8" s="1245" t="s">
        <v>672</v>
      </c>
      <c r="AV8" s="1245" t="s">
        <v>671</v>
      </c>
      <c r="AW8" s="147">
        <f>VLOOKUP(AV8,Initial!G:K,5,FALSE)</f>
        <v>1697.8792064296672</v>
      </c>
      <c r="AX8" s="19">
        <f t="shared" si="0"/>
        <v>1724.3208126650675</v>
      </c>
      <c r="AY8" s="20">
        <f t="shared" si="1"/>
        <v>1716.1266950832369</v>
      </c>
    </row>
    <row r="9" spans="1:53" ht="18.75" customHeight="1" thickBot="1" x14ac:dyDescent="0.25">
      <c r="A9" s="743"/>
      <c r="B9" s="767" t="s">
        <v>11</v>
      </c>
      <c r="C9" s="768"/>
      <c r="D9" s="769"/>
      <c r="E9" s="763" t="str">
        <f>AV3</f>
        <v>fj4lakem2pm</v>
      </c>
      <c r="F9" s="764"/>
      <c r="G9" s="764"/>
      <c r="H9" s="764"/>
      <c r="I9" s="764"/>
      <c r="J9" s="764"/>
      <c r="K9" s="764"/>
      <c r="L9" s="765"/>
      <c r="M9" s="766"/>
      <c r="N9" s="766"/>
      <c r="O9" s="766"/>
      <c r="P9" s="766"/>
      <c r="Q9" s="785"/>
      <c r="R9" s="765"/>
      <c r="S9" s="766"/>
      <c r="T9" s="766"/>
      <c r="U9" s="766"/>
      <c r="V9" s="766"/>
      <c r="W9" s="765"/>
      <c r="X9" s="766"/>
      <c r="Y9" s="766"/>
      <c r="Z9" s="753"/>
      <c r="AA9" s="754"/>
      <c r="AB9" s="754"/>
      <c r="AC9" s="755"/>
      <c r="AD9" s="756"/>
      <c r="AE9" s="757"/>
      <c r="AF9" s="758"/>
      <c r="AG9" s="758"/>
      <c r="AH9" s="759"/>
      <c r="AI9" s="760"/>
      <c r="AJ9" s="26"/>
      <c r="AK9" s="27">
        <v>5</v>
      </c>
      <c r="AL9" s="28" t="s">
        <v>50</v>
      </c>
      <c r="AM9" s="26"/>
      <c r="AN9" s="26"/>
      <c r="AO9" s="26"/>
      <c r="AP9" s="26"/>
      <c r="AQ9" s="26"/>
      <c r="AR9" s="3"/>
      <c r="AT9" s="18">
        <v>7</v>
      </c>
      <c r="AU9" s="1245" t="s">
        <v>662</v>
      </c>
      <c r="AV9" s="1245" t="s">
        <v>661</v>
      </c>
      <c r="AW9" s="147">
        <f>VLOOKUP(AV9,Initial!G:K,5,FALSE)</f>
        <v>1800</v>
      </c>
      <c r="AX9" s="19">
        <f t="shared" si="0"/>
        <v>1694.6804953151775</v>
      </c>
      <c r="AY9" s="20">
        <f t="shared" si="1"/>
        <v>1694.6804953151775</v>
      </c>
    </row>
    <row r="10" spans="1:53" ht="18.75" customHeight="1" thickBot="1" x14ac:dyDescent="0.25">
      <c r="A10" s="742" t="str">
        <f>IF($AK9&gt;1,"2","")</f>
        <v>2</v>
      </c>
      <c r="B10" s="770" t="s">
        <v>10</v>
      </c>
      <c r="C10" s="771"/>
      <c r="D10" s="772"/>
      <c r="E10" s="746" t="str">
        <f>AU6</f>
        <v>Sumter VBC 14</v>
      </c>
      <c r="F10" s="747"/>
      <c r="G10" s="747"/>
      <c r="H10" s="747"/>
      <c r="I10" s="747"/>
      <c r="J10" s="747"/>
      <c r="K10" s="748"/>
      <c r="L10" s="749">
        <f>IF($AK10=0,AF65,AF47)</f>
        <v>5</v>
      </c>
      <c r="M10" s="750"/>
      <c r="N10" s="750"/>
      <c r="O10" s="750"/>
      <c r="P10" s="750"/>
      <c r="Q10" s="785"/>
      <c r="R10" s="749">
        <f>IF($AK10=0,AG65,AG47)</f>
        <v>3</v>
      </c>
      <c r="S10" s="750"/>
      <c r="T10" s="750"/>
      <c r="U10" s="750"/>
      <c r="V10" s="750"/>
      <c r="W10" s="749">
        <f>AQ25</f>
        <v>26</v>
      </c>
      <c r="X10" s="750"/>
      <c r="Y10" s="750"/>
      <c r="Z10" s="722">
        <f>IF(AF59&gt;0,(AQ25/AF59),0)</f>
        <v>0.12745098039215685</v>
      </c>
      <c r="AA10" s="723"/>
      <c r="AB10" s="723"/>
      <c r="AC10" s="726">
        <f>IF(AF73=0,0,(AF65/AF73))</f>
        <v>0.625</v>
      </c>
      <c r="AD10" s="727"/>
      <c r="AE10" s="728"/>
      <c r="AF10" s="732">
        <v>2</v>
      </c>
      <c r="AG10" s="732">
        <v>3</v>
      </c>
      <c r="AH10" s="734"/>
      <c r="AI10" s="735"/>
      <c r="AJ10" s="26"/>
      <c r="AK10" s="27">
        <v>0</v>
      </c>
      <c r="AL10" s="28" t="s">
        <v>53</v>
      </c>
      <c r="AM10" s="28"/>
      <c r="AN10" s="28"/>
      <c r="AO10" s="28"/>
      <c r="AP10" s="28"/>
      <c r="AQ10" s="28"/>
      <c r="AR10" s="29"/>
      <c r="AT10" s="18">
        <v>8</v>
      </c>
      <c r="AU10" s="1245" t="s">
        <v>676</v>
      </c>
      <c r="AV10" s="1245" t="s">
        <v>675</v>
      </c>
      <c r="AW10" s="147">
        <f>VLOOKUP(AV10,Initial!G:K,5,FALSE)</f>
        <v>1684.852427864196</v>
      </c>
      <c r="AX10" s="19">
        <f t="shared" si="0"/>
        <v>1727.8468813603333</v>
      </c>
      <c r="AY10" s="20">
        <f t="shared" si="1"/>
        <v>1720.2289335203257</v>
      </c>
    </row>
    <row r="11" spans="1:53" ht="18.75" customHeight="1" thickBot="1" x14ac:dyDescent="0.25">
      <c r="A11" s="743"/>
      <c r="B11" s="761" t="s">
        <v>11</v>
      </c>
      <c r="C11" s="762"/>
      <c r="D11" s="762"/>
      <c r="E11" s="763" t="str">
        <f>AV6</f>
        <v>fj4sumtr1pm</v>
      </c>
      <c r="F11" s="764"/>
      <c r="G11" s="764"/>
      <c r="H11" s="764"/>
      <c r="I11" s="764"/>
      <c r="J11" s="764"/>
      <c r="K11" s="764"/>
      <c r="L11" s="765"/>
      <c r="M11" s="766"/>
      <c r="N11" s="766"/>
      <c r="O11" s="766"/>
      <c r="P11" s="766"/>
      <c r="Q11" s="785"/>
      <c r="R11" s="765"/>
      <c r="S11" s="766"/>
      <c r="T11" s="766"/>
      <c r="U11" s="766"/>
      <c r="V11" s="766"/>
      <c r="W11" s="765"/>
      <c r="X11" s="766"/>
      <c r="Y11" s="766"/>
      <c r="Z11" s="753"/>
      <c r="AA11" s="754"/>
      <c r="AB11" s="754"/>
      <c r="AC11" s="755"/>
      <c r="AD11" s="756"/>
      <c r="AE11" s="757"/>
      <c r="AF11" s="758"/>
      <c r="AG11" s="758"/>
      <c r="AH11" s="759"/>
      <c r="AI11" s="760"/>
      <c r="AJ11" s="26"/>
      <c r="AK11" s="27">
        <v>1</v>
      </c>
      <c r="AL11" s="28" t="s">
        <v>56</v>
      </c>
      <c r="AM11" s="26"/>
      <c r="AN11" s="26"/>
      <c r="AO11" s="26"/>
      <c r="AP11" s="26"/>
      <c r="AQ11" s="26"/>
      <c r="AR11" s="3"/>
      <c r="AT11" s="18">
        <v>9</v>
      </c>
      <c r="AU11" s="1245" t="s">
        <v>674</v>
      </c>
      <c r="AV11" s="1245" t="s">
        <v>673</v>
      </c>
      <c r="AW11" s="147">
        <f>VLOOKUP(AV11,Initial!G:K,5,FALSE)</f>
        <v>1651.4456963857826</v>
      </c>
      <c r="AX11" s="19">
        <f t="shared" si="0"/>
        <v>1570.7017546104134</v>
      </c>
      <c r="AY11" s="20">
        <f t="shared" si="1"/>
        <v>1570.7017546104134</v>
      </c>
    </row>
    <row r="12" spans="1:53" ht="18.75" customHeight="1" thickBot="1" x14ac:dyDescent="0.25">
      <c r="A12" s="742" t="str">
        <f>IF($AK9&gt;2,"3","")</f>
        <v>3</v>
      </c>
      <c r="B12" s="744" t="s">
        <v>10</v>
      </c>
      <c r="C12" s="745"/>
      <c r="D12" s="745"/>
      <c r="E12" s="746" t="str">
        <f>AU7</f>
        <v>Palm Strikers 14 Select</v>
      </c>
      <c r="F12" s="747"/>
      <c r="G12" s="747"/>
      <c r="H12" s="747"/>
      <c r="I12" s="747"/>
      <c r="J12" s="747"/>
      <c r="K12" s="748"/>
      <c r="L12" s="749">
        <f>IF($AK10=0,AF66,AF48)</f>
        <v>4</v>
      </c>
      <c r="M12" s="750"/>
      <c r="N12" s="750"/>
      <c r="O12" s="750"/>
      <c r="P12" s="750"/>
      <c r="Q12" s="785"/>
      <c r="R12" s="749">
        <f>IF($AK10=0,AG66,AG48)</f>
        <v>4</v>
      </c>
      <c r="S12" s="750"/>
      <c r="T12" s="750"/>
      <c r="U12" s="750"/>
      <c r="V12" s="750"/>
      <c r="W12" s="749">
        <f>AQ26</f>
        <v>-5</v>
      </c>
      <c r="X12" s="750"/>
      <c r="Y12" s="750"/>
      <c r="Z12" s="722">
        <f>IF(AF60&gt;0,(AQ26/AF60),0)</f>
        <v>-2.4875621890547265E-2</v>
      </c>
      <c r="AA12" s="723"/>
      <c r="AB12" s="723"/>
      <c r="AC12" s="726">
        <f>IF(AF74=0,0,(AF66/AF74))</f>
        <v>0.5</v>
      </c>
      <c r="AD12" s="727"/>
      <c r="AE12" s="728"/>
      <c r="AF12" s="732">
        <v>4</v>
      </c>
      <c r="AG12" s="732">
        <v>1</v>
      </c>
      <c r="AH12" s="734"/>
      <c r="AI12" s="735"/>
      <c r="AJ12" s="30"/>
      <c r="AK12" s="27">
        <v>8</v>
      </c>
      <c r="AL12" s="31" t="s">
        <v>59</v>
      </c>
      <c r="AM12" s="28"/>
      <c r="AN12" s="28"/>
      <c r="AO12" s="28"/>
      <c r="AP12" s="28"/>
      <c r="AQ12" s="28"/>
      <c r="AR12" s="29"/>
      <c r="AT12" s="32">
        <v>10</v>
      </c>
      <c r="AU12" s="1245" t="s">
        <v>646</v>
      </c>
      <c r="AV12" s="1245" t="s">
        <v>645</v>
      </c>
      <c r="AW12" s="147">
        <f>VLOOKUP(AV12,Initial!G:K,5,FALSE)</f>
        <v>1606.0897183893037</v>
      </c>
      <c r="AX12" s="33">
        <f t="shared" si="0"/>
        <v>1651.3942315149438</v>
      </c>
      <c r="AY12" s="34">
        <f t="shared" si="1"/>
        <v>1647.1294488255151</v>
      </c>
    </row>
    <row r="13" spans="1:53" ht="18.75" customHeight="1" thickBot="1" x14ac:dyDescent="0.25">
      <c r="A13" s="743"/>
      <c r="B13" s="761" t="s">
        <v>11</v>
      </c>
      <c r="C13" s="762"/>
      <c r="D13" s="762"/>
      <c r="E13" s="763" t="str">
        <f>AV7</f>
        <v>fj4pstri2pm</v>
      </c>
      <c r="F13" s="764"/>
      <c r="G13" s="764"/>
      <c r="H13" s="764"/>
      <c r="I13" s="764"/>
      <c r="J13" s="764"/>
      <c r="K13" s="764"/>
      <c r="L13" s="765"/>
      <c r="M13" s="766"/>
      <c r="N13" s="766"/>
      <c r="O13" s="766"/>
      <c r="P13" s="766"/>
      <c r="Q13" s="785"/>
      <c r="R13" s="765"/>
      <c r="S13" s="766"/>
      <c r="T13" s="766"/>
      <c r="U13" s="766"/>
      <c r="V13" s="766"/>
      <c r="W13" s="765"/>
      <c r="X13" s="766"/>
      <c r="Y13" s="766"/>
      <c r="Z13" s="753"/>
      <c r="AA13" s="754"/>
      <c r="AB13" s="754"/>
      <c r="AC13" s="755"/>
      <c r="AD13" s="756"/>
      <c r="AE13" s="757"/>
      <c r="AF13" s="758"/>
      <c r="AG13" s="758"/>
      <c r="AH13" s="759"/>
      <c r="AI13" s="760"/>
      <c r="AJ13" s="30"/>
      <c r="AK13" s="35"/>
      <c r="AL13" s="36"/>
      <c r="AM13" s="36"/>
      <c r="AN13" s="36"/>
      <c r="AO13" s="36"/>
      <c r="AP13" s="36"/>
      <c r="AQ13" s="26"/>
      <c r="AR13" s="3"/>
      <c r="AT13" s="794" t="s">
        <v>62</v>
      </c>
      <c r="AU13" s="795"/>
      <c r="AV13" s="795"/>
      <c r="AW13" s="795"/>
      <c r="AX13" s="795"/>
      <c r="AY13" s="796"/>
    </row>
    <row r="14" spans="1:53" ht="18.75" customHeight="1" thickBot="1" x14ac:dyDescent="0.25">
      <c r="A14" s="742" t="str">
        <f>IF($AK9&gt;3,"4","")</f>
        <v>4</v>
      </c>
      <c r="B14" s="744" t="s">
        <v>10</v>
      </c>
      <c r="C14" s="745"/>
      <c r="D14" s="745"/>
      <c r="E14" s="746" t="str">
        <f>AU10</f>
        <v>SC Midlands 14 Garnet</v>
      </c>
      <c r="F14" s="747"/>
      <c r="G14" s="747"/>
      <c r="H14" s="747"/>
      <c r="I14" s="747"/>
      <c r="J14" s="747"/>
      <c r="K14" s="748"/>
      <c r="L14" s="749">
        <f>IF($AK10=0,AF67,AF49)</f>
        <v>5</v>
      </c>
      <c r="M14" s="750"/>
      <c r="N14" s="750"/>
      <c r="O14" s="750"/>
      <c r="P14" s="750"/>
      <c r="Q14" s="785"/>
      <c r="R14" s="749">
        <f>IF($AK10=0,AG67,AG49)</f>
        <v>3</v>
      </c>
      <c r="S14" s="750"/>
      <c r="T14" s="750"/>
      <c r="U14" s="750"/>
      <c r="V14" s="750"/>
      <c r="W14" s="749">
        <f>AQ27</f>
        <v>-4</v>
      </c>
      <c r="X14" s="750"/>
      <c r="Y14" s="750"/>
      <c r="Z14" s="722">
        <f>IF(AF61&gt;0,(AQ27/AF61),0)</f>
        <v>-1.9801980198019802E-2</v>
      </c>
      <c r="AA14" s="723"/>
      <c r="AB14" s="723"/>
      <c r="AC14" s="726">
        <f>IF(AF75=0,0,(AF67/AF75))</f>
        <v>0.625</v>
      </c>
      <c r="AD14" s="727"/>
      <c r="AE14" s="728"/>
      <c r="AF14" s="732">
        <v>3</v>
      </c>
      <c r="AG14" s="732">
        <v>3</v>
      </c>
      <c r="AH14" s="734"/>
      <c r="AI14" s="735"/>
      <c r="AJ14" s="7"/>
      <c r="AK14" s="36"/>
      <c r="AL14" s="36"/>
      <c r="AM14" s="36"/>
      <c r="AN14" s="36"/>
      <c r="AO14" s="36"/>
      <c r="AP14" s="36"/>
      <c r="AQ14" s="28"/>
      <c r="AR14" s="29"/>
      <c r="AT14" s="797"/>
      <c r="AU14" s="798"/>
      <c r="AV14" s="798"/>
      <c r="AW14" s="798"/>
      <c r="AX14" s="798"/>
      <c r="AY14" s="799"/>
    </row>
    <row r="15" spans="1:53" ht="18.75" customHeight="1" thickBot="1" x14ac:dyDescent="0.25">
      <c r="A15" s="743"/>
      <c r="B15" s="761" t="s">
        <v>11</v>
      </c>
      <c r="C15" s="762"/>
      <c r="D15" s="762"/>
      <c r="E15" s="763" t="str">
        <f>AV10</f>
        <v>fj4scmid4pm</v>
      </c>
      <c r="F15" s="764"/>
      <c r="G15" s="764"/>
      <c r="H15" s="764"/>
      <c r="I15" s="764"/>
      <c r="J15" s="764"/>
      <c r="K15" s="764"/>
      <c r="L15" s="765"/>
      <c r="M15" s="766"/>
      <c r="N15" s="766"/>
      <c r="O15" s="766"/>
      <c r="P15" s="766"/>
      <c r="Q15" s="785"/>
      <c r="R15" s="765"/>
      <c r="S15" s="766"/>
      <c r="T15" s="766"/>
      <c r="U15" s="766"/>
      <c r="V15" s="766"/>
      <c r="W15" s="765"/>
      <c r="X15" s="766"/>
      <c r="Y15" s="766"/>
      <c r="Z15" s="753"/>
      <c r="AA15" s="754"/>
      <c r="AB15" s="754"/>
      <c r="AC15" s="755"/>
      <c r="AD15" s="756"/>
      <c r="AE15" s="757"/>
      <c r="AF15" s="758"/>
      <c r="AG15" s="758"/>
      <c r="AH15" s="759"/>
      <c r="AI15" s="760"/>
      <c r="AJ15" s="7"/>
      <c r="AK15" s="36"/>
      <c r="AL15" s="36"/>
      <c r="AM15" s="36"/>
      <c r="AN15" s="36"/>
      <c r="AO15" s="36"/>
      <c r="AP15" s="36"/>
      <c r="AQ15" s="7"/>
      <c r="AR15" s="3"/>
      <c r="AW15" s="96"/>
      <c r="AX15" s="96"/>
      <c r="AY15" s="96"/>
    </row>
    <row r="16" spans="1:53" ht="18.75" customHeight="1" x14ac:dyDescent="0.2">
      <c r="A16" s="742" t="str">
        <f>IF($AK9&gt;4,"5","")</f>
        <v>5</v>
      </c>
      <c r="B16" s="744" t="s">
        <v>10</v>
      </c>
      <c r="C16" s="745"/>
      <c r="D16" s="745"/>
      <c r="E16" s="746" t="str">
        <f>AU11</f>
        <v>SC Midlands 14 Black</v>
      </c>
      <c r="F16" s="747"/>
      <c r="G16" s="747"/>
      <c r="H16" s="747"/>
      <c r="I16" s="747"/>
      <c r="J16" s="747"/>
      <c r="K16" s="748"/>
      <c r="L16" s="749">
        <f>IF($AK10=0,AF68,AF50)</f>
        <v>0</v>
      </c>
      <c r="M16" s="750"/>
      <c r="N16" s="750"/>
      <c r="O16" s="750"/>
      <c r="P16" s="750"/>
      <c r="Q16" s="785"/>
      <c r="R16" s="749">
        <f>IF($AK10=0,AG68,AG50)</f>
        <v>8</v>
      </c>
      <c r="S16" s="750"/>
      <c r="T16" s="750"/>
      <c r="U16" s="750"/>
      <c r="V16" s="750"/>
      <c r="W16" s="749">
        <f>AQ28</f>
        <v>-62</v>
      </c>
      <c r="X16" s="750"/>
      <c r="Y16" s="750"/>
      <c r="Z16" s="722">
        <f>IF(AF62&gt;0,(AQ28/AF62),0)</f>
        <v>-0.30845771144278605</v>
      </c>
      <c r="AA16" s="723"/>
      <c r="AB16" s="723"/>
      <c r="AC16" s="726">
        <f>IF(AF76=0,0,(AF68/AF76))</f>
        <v>0</v>
      </c>
      <c r="AD16" s="727"/>
      <c r="AE16" s="728"/>
      <c r="AF16" s="732">
        <v>5</v>
      </c>
      <c r="AG16" s="732">
        <v>1</v>
      </c>
      <c r="AH16" s="734"/>
      <c r="AI16" s="735"/>
      <c r="AJ16" s="7"/>
      <c r="AK16" s="36"/>
      <c r="AL16" s="36"/>
      <c r="AM16" s="36"/>
      <c r="AN16" s="36"/>
      <c r="AO16" s="36"/>
      <c r="AP16" s="36"/>
      <c r="AQ16" s="7"/>
      <c r="AR16" s="3"/>
      <c r="AT16" s="38"/>
      <c r="AU16" s="96"/>
      <c r="AV16" s="96"/>
      <c r="AW16" s="96"/>
      <c r="AX16" s="96"/>
      <c r="AY16" s="96"/>
    </row>
    <row r="17" spans="1:51" ht="18.75" customHeight="1" thickBot="1" x14ac:dyDescent="0.25">
      <c r="A17" s="743"/>
      <c r="B17" s="738" t="s">
        <v>11</v>
      </c>
      <c r="C17" s="739"/>
      <c r="D17" s="739"/>
      <c r="E17" s="740" t="str">
        <f>AV11</f>
        <v>fj4scmid3pm</v>
      </c>
      <c r="F17" s="741"/>
      <c r="G17" s="741"/>
      <c r="H17" s="741"/>
      <c r="I17" s="741"/>
      <c r="J17" s="741"/>
      <c r="K17" s="741"/>
      <c r="L17" s="751"/>
      <c r="M17" s="752"/>
      <c r="N17" s="752"/>
      <c r="O17" s="752"/>
      <c r="P17" s="752"/>
      <c r="Q17" s="785"/>
      <c r="R17" s="751"/>
      <c r="S17" s="752"/>
      <c r="T17" s="752"/>
      <c r="U17" s="752"/>
      <c r="V17" s="752"/>
      <c r="W17" s="751"/>
      <c r="X17" s="752"/>
      <c r="Y17" s="752"/>
      <c r="Z17" s="724"/>
      <c r="AA17" s="725"/>
      <c r="AB17" s="725"/>
      <c r="AC17" s="729"/>
      <c r="AD17" s="730"/>
      <c r="AE17" s="731"/>
      <c r="AF17" s="733"/>
      <c r="AG17" s="733"/>
      <c r="AH17" s="736"/>
      <c r="AI17" s="737"/>
      <c r="AJ17" s="7"/>
      <c r="AK17" s="36"/>
      <c r="AL17" s="36"/>
      <c r="AM17" s="36"/>
      <c r="AN17" s="36"/>
      <c r="AO17" s="36"/>
      <c r="AP17" s="36"/>
      <c r="AQ17" s="7"/>
      <c r="AR17" s="3"/>
      <c r="AT17" s="38"/>
      <c r="AU17" s="96"/>
      <c r="AV17" s="96"/>
      <c r="AW17" s="96"/>
      <c r="AX17" s="96"/>
      <c r="AY17" s="96"/>
    </row>
    <row r="18" spans="1:51" ht="21" customHeight="1" thickTop="1" thickBot="1" x14ac:dyDescent="0.25">
      <c r="A18" s="39"/>
      <c r="B18" s="719" t="s">
        <v>63</v>
      </c>
      <c r="C18" s="720"/>
      <c r="D18" s="720"/>
      <c r="E18" s="720"/>
      <c r="F18" s="720"/>
      <c r="G18" s="720"/>
      <c r="H18" s="720"/>
      <c r="I18" s="720"/>
      <c r="J18" s="720"/>
      <c r="K18" s="720"/>
      <c r="L18" s="720"/>
      <c r="M18" s="720"/>
      <c r="N18" s="720"/>
      <c r="O18" s="720"/>
      <c r="P18" s="720"/>
      <c r="Q18" s="720"/>
      <c r="R18" s="720"/>
      <c r="S18" s="720"/>
      <c r="T18" s="720"/>
      <c r="U18" s="720"/>
      <c r="V18" s="720"/>
      <c r="W18" s="720"/>
      <c r="X18" s="720"/>
      <c r="Y18" s="720"/>
      <c r="Z18" s="720"/>
      <c r="AA18" s="720"/>
      <c r="AB18" s="720"/>
      <c r="AC18" s="720"/>
      <c r="AD18" s="720"/>
      <c r="AE18" s="720"/>
      <c r="AF18" s="720"/>
      <c r="AG18" s="720"/>
      <c r="AH18" s="720"/>
      <c r="AI18" s="721"/>
      <c r="AJ18" s="7"/>
      <c r="AK18" s="36"/>
      <c r="AL18" s="36"/>
      <c r="AM18" s="36"/>
      <c r="AN18" s="36"/>
      <c r="AO18" s="36"/>
      <c r="AP18" s="36"/>
      <c r="AQ18" s="7"/>
      <c r="AR18" s="3"/>
      <c r="AT18" s="38"/>
      <c r="AU18" s="96"/>
      <c r="AV18" s="96"/>
      <c r="AW18" s="4"/>
    </row>
    <row r="19" spans="1:51" ht="13.5" thickTop="1" x14ac:dyDescent="0.2">
      <c r="A19" s="4" t="s">
        <v>64</v>
      </c>
      <c r="B19" s="708">
        <v>0.35416666666666669</v>
      </c>
      <c r="C19" s="709"/>
      <c r="D19" s="710"/>
      <c r="E19" s="708">
        <v>0.38541666666666669</v>
      </c>
      <c r="F19" s="709"/>
      <c r="G19" s="710"/>
      <c r="H19" s="708">
        <v>0.41666666666666669</v>
      </c>
      <c r="I19" s="709"/>
      <c r="J19" s="710"/>
      <c r="K19" s="708">
        <v>0.44791666666666669</v>
      </c>
      <c r="L19" s="709"/>
      <c r="M19" s="710"/>
      <c r="N19" s="708">
        <v>0.47916666666666669</v>
      </c>
      <c r="O19" s="709"/>
      <c r="P19" s="710"/>
      <c r="Q19" s="708">
        <v>0.51041666666666663</v>
      </c>
      <c r="R19" s="709"/>
      <c r="S19" s="710"/>
      <c r="T19" s="708">
        <v>4.1666666666666664E-2</v>
      </c>
      <c r="U19" s="709"/>
      <c r="V19" s="710"/>
      <c r="W19" s="708">
        <v>7.2916666666666671E-2</v>
      </c>
      <c r="X19" s="709"/>
      <c r="Y19" s="710"/>
      <c r="Z19" s="708">
        <v>0.10416666666666667</v>
      </c>
      <c r="AA19" s="709"/>
      <c r="AB19" s="710"/>
      <c r="AC19" s="708">
        <v>0.13541666666666666</v>
      </c>
      <c r="AD19" s="709"/>
      <c r="AE19" s="710"/>
      <c r="AF19" s="711" t="s">
        <v>65</v>
      </c>
      <c r="AG19" s="712"/>
      <c r="AH19" s="712"/>
      <c r="AI19" s="712"/>
      <c r="AJ19" s="713"/>
      <c r="AK19" s="713"/>
      <c r="AL19" s="713"/>
      <c r="AM19" s="713"/>
      <c r="AN19" s="713"/>
      <c r="AO19" s="713"/>
      <c r="AP19" s="713"/>
      <c r="AQ19" s="714"/>
      <c r="AT19" s="38"/>
      <c r="AU19" s="96"/>
      <c r="AV19" s="96"/>
      <c r="AW19" s="4"/>
    </row>
    <row r="20" spans="1:51" x14ac:dyDescent="0.2">
      <c r="A20" s="40" t="s">
        <v>66</v>
      </c>
      <c r="B20" s="705">
        <v>0.35625000000000001</v>
      </c>
      <c r="C20" s="706"/>
      <c r="D20" s="707"/>
      <c r="E20" s="705">
        <v>0.3888888888888889</v>
      </c>
      <c r="F20" s="706"/>
      <c r="G20" s="707"/>
      <c r="H20" s="705">
        <v>0.43124999999999997</v>
      </c>
      <c r="I20" s="706"/>
      <c r="J20" s="707"/>
      <c r="K20" s="705">
        <v>0.4513888888888889</v>
      </c>
      <c r="L20" s="706"/>
      <c r="M20" s="707"/>
      <c r="N20" s="705">
        <v>0.5</v>
      </c>
      <c r="O20" s="706"/>
      <c r="P20" s="707"/>
      <c r="Q20" s="705">
        <v>0.53611111111111109</v>
      </c>
      <c r="R20" s="706"/>
      <c r="S20" s="707"/>
      <c r="T20" s="705">
        <v>8.4027777777777771E-2</v>
      </c>
      <c r="U20" s="706"/>
      <c r="V20" s="707"/>
      <c r="W20" s="705">
        <v>0.11805555555555557</v>
      </c>
      <c r="X20" s="706"/>
      <c r="Y20" s="707"/>
      <c r="Z20" s="705">
        <v>0.125</v>
      </c>
      <c r="AA20" s="706"/>
      <c r="AB20" s="707"/>
      <c r="AC20" s="705">
        <v>0.16666666666666666</v>
      </c>
      <c r="AD20" s="706"/>
      <c r="AE20" s="707"/>
      <c r="AF20" s="711"/>
      <c r="AG20" s="712"/>
      <c r="AH20" s="712"/>
      <c r="AI20" s="712"/>
      <c r="AJ20" s="712"/>
      <c r="AK20" s="712"/>
      <c r="AL20" s="712"/>
      <c r="AM20" s="712"/>
      <c r="AN20" s="712"/>
      <c r="AO20" s="712"/>
      <c r="AP20" s="712"/>
      <c r="AQ20" s="715"/>
      <c r="AT20" s="38"/>
      <c r="AU20" s="96"/>
      <c r="AV20" s="96"/>
      <c r="AW20" s="4"/>
    </row>
    <row r="21" spans="1:51" x14ac:dyDescent="0.2">
      <c r="A21" s="40" t="s">
        <v>67</v>
      </c>
      <c r="B21" s="705"/>
      <c r="C21" s="706"/>
      <c r="D21" s="707"/>
      <c r="E21" s="705"/>
      <c r="F21" s="706"/>
      <c r="G21" s="707"/>
      <c r="H21" s="705"/>
      <c r="I21" s="706"/>
      <c r="J21" s="707"/>
      <c r="K21" s="705"/>
      <c r="L21" s="706"/>
      <c r="M21" s="707"/>
      <c r="N21" s="705"/>
      <c r="O21" s="706"/>
      <c r="P21" s="707"/>
      <c r="Q21" s="705"/>
      <c r="R21" s="706"/>
      <c r="S21" s="707"/>
      <c r="T21" s="705"/>
      <c r="U21" s="706"/>
      <c r="V21" s="707"/>
      <c r="W21" s="705"/>
      <c r="X21" s="706"/>
      <c r="Y21" s="707"/>
      <c r="Z21" s="705"/>
      <c r="AA21" s="706"/>
      <c r="AB21" s="707"/>
      <c r="AC21" s="705"/>
      <c r="AD21" s="706"/>
      <c r="AE21" s="707"/>
      <c r="AF21" s="711"/>
      <c r="AG21" s="712"/>
      <c r="AH21" s="712"/>
      <c r="AI21" s="712"/>
      <c r="AJ21" s="712"/>
      <c r="AK21" s="712"/>
      <c r="AL21" s="712"/>
      <c r="AM21" s="712"/>
      <c r="AN21" s="712"/>
      <c r="AO21" s="712"/>
      <c r="AP21" s="712"/>
      <c r="AQ21" s="715"/>
      <c r="AT21" s="6"/>
      <c r="AU21" s="6"/>
      <c r="AV21" s="6"/>
      <c r="AW21" s="4"/>
    </row>
    <row r="22" spans="1:51" ht="13.5" thickBot="1" x14ac:dyDescent="0.25">
      <c r="A22" s="7"/>
      <c r="B22" s="597" t="s">
        <v>68</v>
      </c>
      <c r="C22" s="598"/>
      <c r="D22" s="604"/>
      <c r="E22" s="597" t="str">
        <f>IF($AK8&gt;1,"Match 2","")</f>
        <v>Match 2</v>
      </c>
      <c r="F22" s="598"/>
      <c r="G22" s="604"/>
      <c r="H22" s="597" t="str">
        <f>IF($AK8&gt;2,"Match 3","")</f>
        <v>Match 3</v>
      </c>
      <c r="I22" s="598"/>
      <c r="J22" s="604"/>
      <c r="K22" s="597" t="str">
        <f>IF($AK8&gt;3,"Match 4","")</f>
        <v>Match 4</v>
      </c>
      <c r="L22" s="598"/>
      <c r="M22" s="604"/>
      <c r="N22" s="597" t="str">
        <f>IF($AK8&gt;4,"Match 5","")</f>
        <v>Match 5</v>
      </c>
      <c r="O22" s="598"/>
      <c r="P22" s="604"/>
      <c r="Q22" s="597" t="str">
        <f>IF($AK8&gt;5,"Match 6","")</f>
        <v>Match 6</v>
      </c>
      <c r="R22" s="598"/>
      <c r="S22" s="604"/>
      <c r="T22" s="597" t="str">
        <f>IF($AK8&gt;6,"Match 7","")</f>
        <v>Match 7</v>
      </c>
      <c r="U22" s="598"/>
      <c r="V22" s="604"/>
      <c r="W22" s="597" t="str">
        <f>IF($AK8&gt;7,"Match 8","")</f>
        <v>Match 8</v>
      </c>
      <c r="X22" s="598"/>
      <c r="Y22" s="604"/>
      <c r="Z22" s="597" t="str">
        <f>IF($AK8&gt;8,"Match 9","")</f>
        <v>Match 9</v>
      </c>
      <c r="AA22" s="598"/>
      <c r="AB22" s="604"/>
      <c r="AC22" s="597" t="str">
        <f>IF($AK8&gt;9,"Match 10","")</f>
        <v>Match 10</v>
      </c>
      <c r="AD22" s="598"/>
      <c r="AE22" s="604"/>
      <c r="AF22" s="716"/>
      <c r="AG22" s="717"/>
      <c r="AH22" s="717"/>
      <c r="AI22" s="717"/>
      <c r="AJ22" s="717"/>
      <c r="AK22" s="717"/>
      <c r="AL22" s="717"/>
      <c r="AM22" s="717"/>
      <c r="AN22" s="717"/>
      <c r="AO22" s="717"/>
      <c r="AP22" s="717"/>
      <c r="AQ22" s="718"/>
      <c r="AT22" s="38"/>
      <c r="AU22" s="96"/>
      <c r="AV22" s="96"/>
      <c r="AW22" s="4"/>
    </row>
    <row r="23" spans="1:51" ht="15.75" x14ac:dyDescent="0.25">
      <c r="A23" s="7"/>
      <c r="B23" s="699" t="s">
        <v>69</v>
      </c>
      <c r="C23" s="700"/>
      <c r="D23" s="701"/>
      <c r="E23" s="699" t="s">
        <v>70</v>
      </c>
      <c r="F23" s="700"/>
      <c r="G23" s="701"/>
      <c r="H23" s="699" t="s">
        <v>71</v>
      </c>
      <c r="I23" s="700"/>
      <c r="J23" s="701"/>
      <c r="K23" s="699" t="s">
        <v>72</v>
      </c>
      <c r="L23" s="700"/>
      <c r="M23" s="701"/>
      <c r="N23" s="699" t="s">
        <v>73</v>
      </c>
      <c r="O23" s="700"/>
      <c r="P23" s="701"/>
      <c r="Q23" s="699" t="s">
        <v>71</v>
      </c>
      <c r="R23" s="700"/>
      <c r="S23" s="701"/>
      <c r="T23" s="699" t="s">
        <v>69</v>
      </c>
      <c r="U23" s="700"/>
      <c r="V23" s="701"/>
      <c r="W23" s="699" t="s">
        <v>73</v>
      </c>
      <c r="X23" s="700"/>
      <c r="Y23" s="701"/>
      <c r="Z23" s="699" t="s">
        <v>72</v>
      </c>
      <c r="AA23" s="700"/>
      <c r="AB23" s="701"/>
      <c r="AC23" s="699" t="s">
        <v>70</v>
      </c>
      <c r="AD23" s="700"/>
      <c r="AE23" s="701"/>
      <c r="AF23" s="41" t="s">
        <v>74</v>
      </c>
      <c r="AG23" s="42">
        <v>1</v>
      </c>
      <c r="AH23" s="42">
        <v>2</v>
      </c>
      <c r="AI23" s="42">
        <v>3</v>
      </c>
      <c r="AJ23" s="42">
        <v>4</v>
      </c>
      <c r="AK23" s="42">
        <v>5</v>
      </c>
      <c r="AL23" s="42">
        <v>6</v>
      </c>
      <c r="AM23" s="42">
        <v>7</v>
      </c>
      <c r="AN23" s="42">
        <v>8</v>
      </c>
      <c r="AO23" s="42">
        <v>9</v>
      </c>
      <c r="AP23" s="42">
        <v>10</v>
      </c>
      <c r="AQ23" s="43" t="s">
        <v>75</v>
      </c>
      <c r="AT23" s="38"/>
      <c r="AU23" s="96"/>
      <c r="AV23" s="96"/>
      <c r="AW23" s="96"/>
      <c r="AX23" s="96"/>
      <c r="AY23" s="96"/>
    </row>
    <row r="24" spans="1:51" ht="15.75" x14ac:dyDescent="0.25">
      <c r="A24" s="7"/>
      <c r="B24" s="44">
        <v>2</v>
      </c>
      <c r="C24" s="45" t="s">
        <v>76</v>
      </c>
      <c r="D24" s="46">
        <v>5</v>
      </c>
      <c r="E24" s="44">
        <v>1</v>
      </c>
      <c r="F24" s="45" t="str">
        <f>IF($AK8&gt;1,"v","")</f>
        <v>v</v>
      </c>
      <c r="G24" s="46">
        <v>4</v>
      </c>
      <c r="H24" s="44">
        <v>3</v>
      </c>
      <c r="I24" s="45" t="str">
        <f>IF($AK8&gt;2,"v","")</f>
        <v>v</v>
      </c>
      <c r="J24" s="46">
        <v>5</v>
      </c>
      <c r="K24" s="44">
        <v>2</v>
      </c>
      <c r="L24" s="45" t="str">
        <f>IF($AK8&gt;3,"v","")</f>
        <v>v</v>
      </c>
      <c r="M24" s="46">
        <v>4</v>
      </c>
      <c r="N24" s="44">
        <v>1</v>
      </c>
      <c r="O24" s="45" t="str">
        <f>IF($AK8&gt;4,"v","")</f>
        <v>v</v>
      </c>
      <c r="P24" s="46">
        <v>3</v>
      </c>
      <c r="Q24" s="44">
        <v>4</v>
      </c>
      <c r="R24" s="45" t="str">
        <f>IF($AK8&gt;5,"v","")</f>
        <v>v</v>
      </c>
      <c r="S24" s="46">
        <v>5</v>
      </c>
      <c r="T24" s="44">
        <v>2</v>
      </c>
      <c r="U24" s="45" t="str">
        <f>IF($AK8&gt;6,"v","")</f>
        <v>v</v>
      </c>
      <c r="V24" s="46">
        <v>3</v>
      </c>
      <c r="W24" s="44">
        <v>1</v>
      </c>
      <c r="X24" s="45" t="str">
        <f>IF($AK8&gt;7,"v","")</f>
        <v>v</v>
      </c>
      <c r="Y24" s="46">
        <v>5</v>
      </c>
      <c r="Z24" s="44">
        <v>3</v>
      </c>
      <c r="AA24" s="45" t="str">
        <f>IF($AK8&gt;8,"v","")</f>
        <v>v</v>
      </c>
      <c r="AB24" s="46">
        <v>4</v>
      </c>
      <c r="AC24" s="44">
        <v>1</v>
      </c>
      <c r="AD24" s="45" t="str">
        <f>IF($AK8&gt;9,"v","")</f>
        <v>v</v>
      </c>
      <c r="AE24" s="46">
        <v>2</v>
      </c>
      <c r="AF24" s="41" t="str">
        <f>IF($AK9&gt;0,"Team 1","")</f>
        <v>Team 1</v>
      </c>
      <c r="AG24" s="47" t="str">
        <f>IF($AK9&lt;1,"",IF($AK8&lt;1,"",IF(B24=1,B30-D30,IF(D24=1,D30-B30,""))))</f>
        <v/>
      </c>
      <c r="AH24" s="47">
        <f>IF($AK9&lt;1,"",IF($AK8&lt;2,"",IF(E24=1,E30-G30,IF(G24=1,G30-E30,""))))</f>
        <v>2</v>
      </c>
      <c r="AI24" s="47" t="str">
        <f>IF($AK9&lt;1,"",IF($AK8&lt;3,"",IF(H24=1,H30-J30,IF(J24=1,J30-H30,""))))</f>
        <v/>
      </c>
      <c r="AJ24" s="47" t="str">
        <f>IF($AK9&lt;1,"",IF($AK8&lt;4,"",IF(K24=1,K30-M30,IF(M24=1,M30-K30,""))))</f>
        <v/>
      </c>
      <c r="AK24" s="47">
        <f>IF($AK9&lt;1,"",IF($AK8&lt;5,"",IF(N24=1,N30-P30,IF(P24=1,P30-N30,""))))</f>
        <v>20</v>
      </c>
      <c r="AL24" s="47" t="str">
        <f>IF($AK9&lt;1,"",IF($AK8&lt;6,"",IF(Q24=1,Q30-S30,IF(S24=1,S30-Q30,""))))</f>
        <v/>
      </c>
      <c r="AM24" s="47" t="str">
        <f>IF($AK9&lt;1,"",IF($AK8&lt;7,"",IF(T24=1,T30-V30,IF(V24=1,V30-T30,""))))</f>
        <v/>
      </c>
      <c r="AN24" s="47">
        <f>IF($AK9&lt;1,"",IF($AK8&lt;8,"",IF(W24=1,W30-Y30,IF(Y24=1,Y30-W30,""))))</f>
        <v>24</v>
      </c>
      <c r="AO24" s="47" t="str">
        <f>IF($AK9&lt;1,"",IF($AK8&lt;9,"",IF(Z24=1,Z30-AB30,IF(AB24=1,AB30-Z30,""))))</f>
        <v/>
      </c>
      <c r="AP24" s="47">
        <f>IF($AK9&lt;1,"",IF($AK8&lt;10,"",IF(AC24=1,AC30-AE30,IF(AE24=1,AE30-AC30,""))))</f>
        <v>-1</v>
      </c>
      <c r="AQ24" s="43">
        <f>SUM(AG24:AP24)</f>
        <v>45</v>
      </c>
      <c r="AT24" s="38"/>
      <c r="AU24" s="96"/>
      <c r="AV24" s="96"/>
      <c r="AW24" s="96"/>
      <c r="AX24" s="96"/>
      <c r="AY24" s="96"/>
    </row>
    <row r="25" spans="1:51" ht="15" x14ac:dyDescent="0.2">
      <c r="A25" s="4" t="s">
        <v>77</v>
      </c>
      <c r="B25" s="48">
        <v>26</v>
      </c>
      <c r="C25" s="49" t="s">
        <v>78</v>
      </c>
      <c r="D25" s="50">
        <v>24</v>
      </c>
      <c r="E25" s="48">
        <v>18</v>
      </c>
      <c r="F25" s="49" t="str">
        <f>IF($AK8&gt;1,"/","")</f>
        <v>/</v>
      </c>
      <c r="G25" s="50">
        <v>25</v>
      </c>
      <c r="H25" s="48">
        <v>25</v>
      </c>
      <c r="I25" s="49" t="str">
        <f>IF($AK8&gt;2,"/","")</f>
        <v>/</v>
      </c>
      <c r="J25" s="50">
        <v>22</v>
      </c>
      <c r="K25" s="48">
        <v>26</v>
      </c>
      <c r="L25" s="49" t="str">
        <f>IF($AK8&gt;3,"/","")</f>
        <v>/</v>
      </c>
      <c r="M25" s="50">
        <v>27</v>
      </c>
      <c r="N25" s="48">
        <v>25</v>
      </c>
      <c r="O25" s="49" t="str">
        <f>IF($AK8&gt;4,"/","")</f>
        <v>/</v>
      </c>
      <c r="P25" s="50">
        <v>19</v>
      </c>
      <c r="Q25" s="48">
        <v>25</v>
      </c>
      <c r="R25" s="49" t="str">
        <f>IF($AK8&gt;5,"/","")</f>
        <v>/</v>
      </c>
      <c r="S25" s="50">
        <v>18</v>
      </c>
      <c r="T25" s="48">
        <v>23</v>
      </c>
      <c r="U25" s="49" t="str">
        <f>IF($AK8&gt;6,"/","")</f>
        <v>/</v>
      </c>
      <c r="V25" s="50">
        <v>25</v>
      </c>
      <c r="W25" s="48">
        <v>25</v>
      </c>
      <c r="X25" s="49" t="str">
        <f>IF($AK8&gt;7,"/","")</f>
        <v>/</v>
      </c>
      <c r="Y25" s="50">
        <v>17</v>
      </c>
      <c r="Z25" s="48">
        <v>18</v>
      </c>
      <c r="AA25" s="49" t="str">
        <f>IF($AK8&gt;8,"/","")</f>
        <v>/</v>
      </c>
      <c r="AB25" s="50">
        <v>25</v>
      </c>
      <c r="AC25" s="48">
        <v>25</v>
      </c>
      <c r="AD25" s="49" t="str">
        <f>IF($AK8&gt;9,"/","")</f>
        <v>/</v>
      </c>
      <c r="AE25" s="50">
        <v>18</v>
      </c>
      <c r="AF25" s="41" t="str">
        <f>IF($AK9&gt;1,"Team 2","")</f>
        <v>Team 2</v>
      </c>
      <c r="AG25" s="47">
        <f>IF($AK9&lt;2,"",IF($AK8&lt;1,"",IF(B24=2,B30-D30,IF(D24=2,D30-B30,""))))</f>
        <v>16</v>
      </c>
      <c r="AH25" s="47" t="str">
        <f>IF($AK9&lt;2,"",IF($AK8&lt;2,"",IF(E24=2,E30-G30,IF(G24=2,G30-E30,""))))</f>
        <v/>
      </c>
      <c r="AI25" s="47" t="str">
        <f>IF($AK9&lt;2,"",IF($AK8&lt;3,"",IF(H24=2,H30-J30,IF(J24=2,J30-H30,""))))</f>
        <v/>
      </c>
      <c r="AJ25" s="47">
        <f>IF($AK9&lt;2,"",IF($AK8&lt;4,"",IF(K24=2,K30-M30,IF(M24=2,M30-K30,""))))</f>
        <v>9</v>
      </c>
      <c r="AK25" s="47" t="str">
        <f>IF($AK9&lt;2,"",IF($AK8&lt;5,"",IF(N24=2,N30-P30,IF(P24=2,P30-N30,""))))</f>
        <v/>
      </c>
      <c r="AL25" s="47" t="str">
        <f>IF($AK9&lt;2,"",IF($AK8&lt;6,"",IF(Q24=2,Q30-S30,IF(S24=2,S30-Q30,""))))</f>
        <v/>
      </c>
      <c r="AM25" s="47">
        <f>IF($AK9&lt;2,"",IF($AK8&lt;7,"",IF(T24=2,T30-V30,IF(V24=2,V30-T30,""))))</f>
        <v>0</v>
      </c>
      <c r="AN25" s="47" t="str">
        <f>IF($AK9&lt;2,"",IF($AK8&lt;8,"",IF(W24=2,W30-Y30,IF(Y24=2,Y30-W30,""))))</f>
        <v/>
      </c>
      <c r="AO25" s="47" t="str">
        <f>IF($AK9&lt;2,"",IF($AK8&lt;9,"",IF(Z24=2,Z30-AB30,IF(AB24=2,AB30-Z30,""))))</f>
        <v/>
      </c>
      <c r="AP25" s="47">
        <f>IF($AK9&lt;2,"",IF($AK8&lt;10,"",IF(AC24=2,AC30-AE30,IF(AE24=2,AE30-AC30,""))))</f>
        <v>1</v>
      </c>
      <c r="AQ25" s="43">
        <f>SUM(AG25:AP25)</f>
        <v>26</v>
      </c>
      <c r="AW25" s="4"/>
    </row>
    <row r="26" spans="1:51" ht="15" x14ac:dyDescent="0.2">
      <c r="A26" s="3" t="str">
        <f>IF($AK7&gt;1,"Game 2","")</f>
        <v>Game 2</v>
      </c>
      <c r="B26" s="48">
        <v>25</v>
      </c>
      <c r="C26" s="49" t="s">
        <v>78</v>
      </c>
      <c r="D26" s="50">
        <v>11</v>
      </c>
      <c r="E26" s="48">
        <v>25</v>
      </c>
      <c r="F26" s="49" t="str">
        <f>IF($AK8&gt;1,IF($AK7&gt;1,"/",""),"")</f>
        <v>/</v>
      </c>
      <c r="G26" s="50">
        <v>16</v>
      </c>
      <c r="H26" s="48">
        <v>25</v>
      </c>
      <c r="I26" s="49" t="str">
        <f>IF($AK8&gt;2,IF($AK7&gt;1,"/",""),"")</f>
        <v>/</v>
      </c>
      <c r="J26" s="50">
        <v>18</v>
      </c>
      <c r="K26" s="48">
        <v>25</v>
      </c>
      <c r="L26" s="49" t="str">
        <f>IF($AK8&gt;3,IF($AK7&gt;1,"/",""),"")</f>
        <v>/</v>
      </c>
      <c r="M26" s="50">
        <v>15</v>
      </c>
      <c r="N26" s="48">
        <v>25</v>
      </c>
      <c r="O26" s="49" t="str">
        <f>IF($AK8&gt;4,IF($AK7&gt;1,"/",""),"")</f>
        <v>/</v>
      </c>
      <c r="P26" s="50">
        <v>11</v>
      </c>
      <c r="Q26" s="48">
        <v>25</v>
      </c>
      <c r="R26" s="49" t="str">
        <f>IF($AK8&gt;5,IF($AK7&gt;1,"/",""),"")</f>
        <v>/</v>
      </c>
      <c r="S26" s="50">
        <v>20</v>
      </c>
      <c r="T26" s="48">
        <v>26</v>
      </c>
      <c r="U26" s="49" t="str">
        <f>IF($AK8&gt;6,IF($AK7&gt;1,"/",""),"")</f>
        <v>/</v>
      </c>
      <c r="V26" s="50">
        <v>24</v>
      </c>
      <c r="W26" s="48">
        <v>25</v>
      </c>
      <c r="X26" s="49" t="str">
        <f>IF($AK8&gt;7,IF($AK7&gt;1,"/",""),"")</f>
        <v>/</v>
      </c>
      <c r="Y26" s="50">
        <v>9</v>
      </c>
      <c r="Z26" s="48">
        <v>25</v>
      </c>
      <c r="AA26" s="49" t="str">
        <f>IF($AK8&gt;8,IF($AK7&gt;1,"/",""),"")</f>
        <v>/</v>
      </c>
      <c r="AB26" s="50">
        <v>13</v>
      </c>
      <c r="AC26" s="48">
        <v>17</v>
      </c>
      <c r="AD26" s="49" t="str">
        <f>IF($AK8&gt;9,IF($AK7&gt;1,"/",""),"")</f>
        <v>/</v>
      </c>
      <c r="AE26" s="50">
        <v>25</v>
      </c>
      <c r="AF26" s="41" t="str">
        <f>IF($AK9&gt;2,"Team 3","")</f>
        <v>Team 3</v>
      </c>
      <c r="AG26" s="47" t="str">
        <f>IF($AK9&lt;3,"",IF($AK8&lt;1,"",IF(B24=3,B30-D30,IF(D24=3,D30-B30,""))))</f>
        <v/>
      </c>
      <c r="AH26" s="47" t="str">
        <f>IF($AK9&lt;3,"",IF($AK8&lt;2,"",IF(E24=3,E30-G30,IF(G24=3,G30-E30,""))))</f>
        <v/>
      </c>
      <c r="AI26" s="47">
        <f>IF($AK9&lt;3,"",IF($AK8&lt;3,"",IF(H24=3,H30-J30,IF(J24=3,J30-H30,""))))</f>
        <v>10</v>
      </c>
      <c r="AJ26" s="47" t="str">
        <f>IF($AK9&lt;3,"",IF($AK8&lt;4,"",IF(K24=3,K30-M30,IF(M24=3,M30-K30,""))))</f>
        <v/>
      </c>
      <c r="AK26" s="47">
        <f>IF($AK9&lt;3,"",IF($AK8&lt;5,"",IF(N24=3,N30-P30,IF(P24=3,P30-N30,""))))</f>
        <v>-20</v>
      </c>
      <c r="AL26" s="47" t="str">
        <f>IF($AK9&lt;3,"",IF($AK8&lt;6,"",IF(Q24=3,Q30-S30,IF(S24=3,S30-Q30,""))))</f>
        <v/>
      </c>
      <c r="AM26" s="47">
        <f>IF($AK9&lt;3,"",IF($AK8&lt;7,"",IF(T24=3,T30-V30,IF(V24=3,V30-T30,""))))</f>
        <v>0</v>
      </c>
      <c r="AN26" s="47" t="str">
        <f>IF($AK9&lt;3,"",IF($AK8&lt;8,"",IF(W24=3,W30-Y30,IF(Y24=3,Y30-W30,""))))</f>
        <v/>
      </c>
      <c r="AO26" s="47">
        <f>IF($AK9&lt;3,"",IF($AK8&lt;9,"",IF(Z24=3,Z30-AB30,IF(AB24=3,AB30-Z30,""))))</f>
        <v>5</v>
      </c>
      <c r="AP26" s="47" t="str">
        <f>IF($AK9&lt;3,"",IF($AK8&lt;9,"",IF(AC24=3,AC30-AE30,IF(AE24=3,AE30-AC30,""))))</f>
        <v/>
      </c>
      <c r="AQ26" s="43">
        <f>SUM(AG26:AP26)</f>
        <v>-5</v>
      </c>
      <c r="AW26" s="4"/>
    </row>
    <row r="27" spans="1:51" ht="15" x14ac:dyDescent="0.2">
      <c r="A27" s="3" t="str">
        <f>IF($AK7&gt;2,"Game 3","")</f>
        <v/>
      </c>
      <c r="B27" s="48"/>
      <c r="C27" s="49" t="s">
        <v>78</v>
      </c>
      <c r="D27" s="50"/>
      <c r="E27" s="48"/>
      <c r="F27" s="49" t="str">
        <f>IF($AK8&gt;1,IF($AK7&gt;2,"/",""),"")</f>
        <v/>
      </c>
      <c r="G27" s="50"/>
      <c r="H27" s="48"/>
      <c r="I27" s="49" t="str">
        <f>IF($AK8&gt;2,IF($AK7&gt;2,"/",""),"")</f>
        <v/>
      </c>
      <c r="J27" s="50"/>
      <c r="K27" s="48"/>
      <c r="L27" s="49" t="str">
        <f>IF($AK8&gt;3,IF($AK7&gt;2,"/",""),"")</f>
        <v/>
      </c>
      <c r="M27" s="50"/>
      <c r="N27" s="48"/>
      <c r="O27" s="49" t="str">
        <f>IF($AK8&gt;4,IF($AK7&gt;2,"/",""),"")</f>
        <v/>
      </c>
      <c r="P27" s="50"/>
      <c r="Q27" s="48"/>
      <c r="R27" s="49" t="str">
        <f>IF($AK8&gt;5,IF($AK7&gt;2,"/",""),"")</f>
        <v/>
      </c>
      <c r="S27" s="50"/>
      <c r="T27" s="48"/>
      <c r="U27" s="49" t="str">
        <f>IF($AK8&gt;6,IF($AK7&gt;2,"/",""),"")</f>
        <v/>
      </c>
      <c r="V27" s="50"/>
      <c r="W27" s="48"/>
      <c r="X27" s="49" t="str">
        <f>IF($AK8&gt;7,IF($AK7&gt;2,"/",""),"")</f>
        <v/>
      </c>
      <c r="Y27" s="50"/>
      <c r="Z27" s="48"/>
      <c r="AA27" s="49" t="str">
        <f>IF($AK8&gt;8,IF($AK7&gt;2,"/",""),"")</f>
        <v/>
      </c>
      <c r="AB27" s="50"/>
      <c r="AC27" s="48"/>
      <c r="AD27" s="49" t="str">
        <f>IF($AK8&gt;9,IF($AK7&gt;2,"/",""),"")</f>
        <v/>
      </c>
      <c r="AE27" s="50"/>
      <c r="AF27" s="41" t="str">
        <f>IF($AK9&gt;3,"Team 4","")</f>
        <v>Team 4</v>
      </c>
      <c r="AG27" s="47" t="str">
        <f>IF($AK9&lt;4,"",IF($AK8&lt;1,"",IF(B24=4,B30-D30,IF(D24=4,D30-B30,""))))</f>
        <v/>
      </c>
      <c r="AH27" s="47">
        <f>IF($AK9&lt;4,"",IF($AK8&lt;2,"",IF(E24=4,E30-G30,IF(G24=4,G30-E30,""))))</f>
        <v>-2</v>
      </c>
      <c r="AI27" s="47" t="str">
        <f>IF($AK9&lt;4,"",IF($AK8&lt;3,"",IF(H24=4,H30-J30,IF(J24=4,J30-H30,""))))</f>
        <v/>
      </c>
      <c r="AJ27" s="47">
        <f>IF($AK9&lt;4,"",IF($AK8&lt;4,"",IF(K24=4,K30-M30,IF(M24=4,M30-K30,""))))</f>
        <v>-9</v>
      </c>
      <c r="AK27" s="47" t="str">
        <f>IF($AK9&lt;4,"",IF($AK8&lt;5,"",IF(N24=4,N30-P30,IF(P24=4,P30-N30,""))))</f>
        <v/>
      </c>
      <c r="AL27" s="47">
        <f>IF($AK9&lt;4,"",IF($AK8&lt;6,"",IF(Q24=4,Q30-S30,IF(S24=4,S30-Q30,""))))</f>
        <v>12</v>
      </c>
      <c r="AM27" s="47" t="str">
        <f>IF($AK9&lt;4,"",IF($AK8&lt;7,"",IF(T24=4,T30-V30,IF(V24=4,V30-T30,""))))</f>
        <v/>
      </c>
      <c r="AN27" s="47" t="str">
        <f>IF($AK9&lt;4,"",IF($AK8&lt;8,"",IF(W24=4,W30-Y30,IF(Y24=4,Y30-W30,""))))</f>
        <v/>
      </c>
      <c r="AO27" s="47">
        <f>IF($AK9&lt;4,"",IF($AK8&lt;9,"",IF(Z24=4,Z30-AB30,IF(AB24=4,AB30-Z30,""))))</f>
        <v>-5</v>
      </c>
      <c r="AP27" s="47" t="str">
        <f>IF($AK9&lt;4,"",IF($AK8&lt;10,"",IF(AC24=4,AC30-AE30,IF(AE24=4,AE30-AC30,""))))</f>
        <v/>
      </c>
      <c r="AQ27" s="43">
        <f>SUM(AG27:AP27)</f>
        <v>-4</v>
      </c>
      <c r="AW27" s="4"/>
    </row>
    <row r="28" spans="1:51" ht="15" x14ac:dyDescent="0.2">
      <c r="A28" s="3" t="str">
        <f>IF($AK7&gt;3,"Game 4","")</f>
        <v/>
      </c>
      <c r="B28" s="48"/>
      <c r="C28" s="49" t="s">
        <v>78</v>
      </c>
      <c r="D28" s="50"/>
      <c r="E28" s="48"/>
      <c r="F28" s="49" t="str">
        <f>IF($AK8&gt;1,IF($AK7&gt;3,"/",""),"")</f>
        <v/>
      </c>
      <c r="G28" s="50"/>
      <c r="H28" s="48"/>
      <c r="I28" s="49" t="str">
        <f>IF($AK8&gt;2,IF($AK7&gt;3,"/",""),"")</f>
        <v/>
      </c>
      <c r="J28" s="50"/>
      <c r="K28" s="48"/>
      <c r="L28" s="49" t="str">
        <f>IF($AK8&gt;3,IF($AK7&gt;3,"/",""),"")</f>
        <v/>
      </c>
      <c r="M28" s="50"/>
      <c r="N28" s="48"/>
      <c r="O28" s="49" t="str">
        <f>IF($AK8&gt;4,IF($AK7&gt;3,"/",""),"")</f>
        <v/>
      </c>
      <c r="P28" s="50"/>
      <c r="Q28" s="48"/>
      <c r="R28" s="49" t="str">
        <f>IF($AK8&gt;5,IF($AK7&gt;3,"/",""),"")</f>
        <v/>
      </c>
      <c r="S28" s="50"/>
      <c r="T28" s="48"/>
      <c r="U28" s="49" t="str">
        <f>IF($AK8&gt;6,IF($AK7&gt;3,"/",""),"")</f>
        <v/>
      </c>
      <c r="V28" s="50"/>
      <c r="W28" s="48"/>
      <c r="X28" s="49" t="str">
        <f>IF($AK8&gt;7,IF($AK7&gt;3,"/",""),"")</f>
        <v/>
      </c>
      <c r="Y28" s="50"/>
      <c r="Z28" s="48"/>
      <c r="AA28" s="49" t="str">
        <f>IF($AK8&gt;8,IF($AK7&gt;3,"/",""),"")</f>
        <v/>
      </c>
      <c r="AB28" s="50"/>
      <c r="AC28" s="48"/>
      <c r="AD28" s="49" t="str">
        <f>IF($AK8&gt;9,IF($AK7&gt;3,"/",""),"")</f>
        <v/>
      </c>
      <c r="AE28" s="50"/>
      <c r="AF28" s="41" t="str">
        <f>IF($AK9&gt;4,"Team 5","")</f>
        <v>Team 5</v>
      </c>
      <c r="AG28" s="51">
        <f>IF($AK9&lt;5,"",IF($AK8&lt;1,"",IF(B24=5,B30-D30,IF(D24=5,D30-B30,""))))</f>
        <v>-16</v>
      </c>
      <c r="AH28" s="47" t="str">
        <f>IF($AK9&lt;5,"",IF($AK8&lt;2,"",IF(E24=5,E30-G30,IF(G24=5,G30-E30,""))))</f>
        <v/>
      </c>
      <c r="AI28" s="47">
        <f>IF($AK9&lt;5,"",IF($AK8&lt;3,"",IF(H24=5,H30-J30,IF(J24=5,J30-H30,""))))</f>
        <v>-10</v>
      </c>
      <c r="AJ28" s="47" t="str">
        <f>IF($AK9&lt;5,"",IF($AK8&lt;4,"",IF(K24=5,K30-M30,IF(M24=5,M30-K30,""))))</f>
        <v/>
      </c>
      <c r="AK28" s="47" t="str">
        <f>IF($AK9&lt;5,"",IF($AK8&lt;5,"",IF(N24=5,N30-P30,IF(P24=5,P30-N30,""))))</f>
        <v/>
      </c>
      <c r="AL28" s="47">
        <f>IF($AK9&lt;5,"",IF($AK8&lt;6,"",IF(Q24=5,Q30-S30,IF(S24=5,S30-Q30,""))))</f>
        <v>-12</v>
      </c>
      <c r="AM28" s="47" t="str">
        <f>IF($AK9&lt;5,"",IF($AK8&lt;7,"",IF(T24=5,T30-V30,IF(V24=5,V30-T30,""))))</f>
        <v/>
      </c>
      <c r="AN28" s="47">
        <f>IF($AK9&lt;5,"",IF($AK8&lt;8,"",IF(W24=5,W30-Y30,IF(Y24=5,Y30-W30,""))))</f>
        <v>-24</v>
      </c>
      <c r="AO28" s="47" t="str">
        <f>IF($AK9&lt;5,"",IF($AK8&lt;9,"",IF(Z24=5,Z30-AB30,IF(AB24=5,AB30-Z30,""))))</f>
        <v/>
      </c>
      <c r="AP28" s="47" t="str">
        <f>IF($AK9&lt;5,"",IF($AK8&lt;10,"",IF(AC24=5,AC30-AE30,IF(AE24=5,AE30-AC30,""))))</f>
        <v/>
      </c>
      <c r="AQ28" s="43">
        <f>SUM(AG28:AP28)</f>
        <v>-62</v>
      </c>
      <c r="AW28" s="6"/>
      <c r="AX28" s="6"/>
      <c r="AY28" s="6"/>
    </row>
    <row r="29" spans="1:51" ht="15" x14ac:dyDescent="0.2">
      <c r="A29" s="3" t="str">
        <f>IF($AK7&gt;4,"Game 5","")</f>
        <v/>
      </c>
      <c r="B29" s="48"/>
      <c r="C29" s="49" t="s">
        <v>78</v>
      </c>
      <c r="D29" s="50"/>
      <c r="E29" s="48"/>
      <c r="F29" s="49" t="str">
        <f>IF($AK8&gt;1,IF($AK7&gt;4,"/",""),"")</f>
        <v/>
      </c>
      <c r="G29" s="50"/>
      <c r="H29" s="48"/>
      <c r="I29" s="49" t="str">
        <f>IF($AK8&gt;2,IF($AK7&gt;4,"/",""),"")</f>
        <v/>
      </c>
      <c r="J29" s="50"/>
      <c r="K29" s="48"/>
      <c r="L29" s="49" t="str">
        <f>IF($AK8&gt;3,IF($AK7&gt;4,"/",""),"")</f>
        <v/>
      </c>
      <c r="M29" s="50"/>
      <c r="N29" s="48"/>
      <c r="O29" s="49" t="str">
        <f>IF($AK8&gt;4,IF($AK7&gt;4,"/",""),"")</f>
        <v/>
      </c>
      <c r="P29" s="50"/>
      <c r="Q29" s="48"/>
      <c r="R29" s="49" t="str">
        <f>IF($AK8&gt;5,IF($AK7&gt;4,"/",""),"")</f>
        <v/>
      </c>
      <c r="S29" s="50"/>
      <c r="T29" s="48"/>
      <c r="U29" s="49" t="str">
        <f>IF($AK8&gt;6,IF($AK7&gt;4,"/",""),"")</f>
        <v/>
      </c>
      <c r="V29" s="50"/>
      <c r="W29" s="48"/>
      <c r="X29" s="49" t="str">
        <f>IF($AK8&gt;7,IF($AK7&gt;4,"/",""),"")</f>
        <v/>
      </c>
      <c r="Y29" s="50"/>
      <c r="Z29" s="48"/>
      <c r="AA29" s="49" t="str">
        <f>IF($AK8&gt;8,IF($AK7&gt;4,"/",""),"")</f>
        <v/>
      </c>
      <c r="AB29" s="50"/>
      <c r="AC29" s="48"/>
      <c r="AD29" s="49" t="str">
        <f>IF($AK8&gt;9,IF($AK7&gt;4,"/",""),"")</f>
        <v/>
      </c>
      <c r="AE29" s="50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W29" s="6"/>
      <c r="AX29" s="6"/>
      <c r="AY29" s="6"/>
    </row>
    <row r="30" spans="1:51" hidden="1" x14ac:dyDescent="0.2">
      <c r="A30" s="52"/>
      <c r="B30" s="52">
        <f>IF($AK7=5,SUM(B25:B29),IF($AK7=4,SUM(B25:B28),IF($AK7=3,SUM(B25:B27),IF($AK7=2,SUM(B25:B26),B25))))</f>
        <v>51</v>
      </c>
      <c r="C30" s="52"/>
      <c r="D30" s="52">
        <f>IF($AK7=5,SUM(D25:D29),IF($AK7=4,SUM(D25:D28),IF($AK7=3,SUM(D25:D27),IF($AK7=2,SUM(D25:D26),D25))))</f>
        <v>35</v>
      </c>
      <c r="E30" s="52">
        <f>IF($AK7=5,SUM(E25:E29),IF($AK7=4,SUM(E25:E28),IF($AK7=3,SUM(E25:E27),IF($AK7=2,SUM(E25:E26),E25))))</f>
        <v>43</v>
      </c>
      <c r="F30" s="52"/>
      <c r="G30" s="52">
        <f>IF($AK7=5,SUM(G25:G29),IF($AK7=4,SUM(G25:G28),IF($AK7=3,SUM(G25:G27),IF($AK7=2,SUM(G25:G26),G25))))</f>
        <v>41</v>
      </c>
      <c r="H30" s="52">
        <f>IF($AK7=5,SUM(H25:H29),IF($AK7=4,SUM(H25:H28),IF($AK7=3,SUM(H25:H27),IF($AK7=2,SUM(H25:H26),H25))))</f>
        <v>50</v>
      </c>
      <c r="I30" s="52"/>
      <c r="J30" s="52">
        <f>IF($AK7=5,SUM(J25:J29),IF($AK7=4,SUM(J25:J28),IF($AK7=3,SUM(J25:J27),IF($AK7=2,SUM(J25:J26),J25))))</f>
        <v>40</v>
      </c>
      <c r="K30" s="52">
        <f>IF($AK7=5,SUM(K25:K29),IF($AK7=4,SUM(K25:K28),IF($AK7=3,SUM(K25:K27),IF($AK7=2,SUM(K25:K26),K25))))</f>
        <v>51</v>
      </c>
      <c r="L30" s="52"/>
      <c r="M30" s="52">
        <f>IF($AK7=5,SUM(M25:M29),IF($AK7=4,SUM(M25:M28),IF($AK7=3,SUM(M25:M27),IF($AK7=2,SUM(M25:M26),M25))))</f>
        <v>42</v>
      </c>
      <c r="N30" s="52">
        <f>IF($AK7=5,SUM(N25:N29),IF($AK7=4,SUM(N25:N28),IF($AK7=3,SUM(N25:N27),IF($AK7=2,SUM(N25:N26),N25))))</f>
        <v>50</v>
      </c>
      <c r="O30" s="52"/>
      <c r="P30" s="52">
        <f>IF($AK7=5,SUM(P25:P29),IF($AK7=4,SUM(P25:P28),IF($AK7=3,SUM(P25:P27),IF($AK7=2,SUM(P25:P26),P25))))</f>
        <v>30</v>
      </c>
      <c r="Q30" s="52">
        <f>IF($AK7=5,SUM(Q25:Q29),IF($AK7=4,SUM(Q25:Q28),IF($AK7=3,SUM(Q25:Q27),IF($AK7=2,SUM(Q25:Q26),Q25))))</f>
        <v>50</v>
      </c>
      <c r="R30" s="52"/>
      <c r="S30" s="52">
        <f>IF($AK7=5,SUM(S25:S29),IF($AK7=4,SUM(S25:S28),IF($AK7=3,SUM(S25:S27),IF($AK7=2,SUM(S25:S26),S25))))</f>
        <v>38</v>
      </c>
      <c r="T30" s="52">
        <f>IF($AK7=5,SUM(T25:T29),IF($AK7=4,SUM(T25:T28),IF($AK7=3,SUM(T25:T27),IF($AK7=2,SUM(T25:T26),T25))))</f>
        <v>49</v>
      </c>
      <c r="U30" s="52"/>
      <c r="V30" s="52">
        <f>IF($AK7=5,SUM(V25:V29),IF($AK7=4,SUM(V25:V28),IF($AK7=3,SUM(V25:V27),IF($AK7=2,SUM(V25:V26),V25))))</f>
        <v>49</v>
      </c>
      <c r="W30" s="52">
        <f>IF($AK7=5,SUM(W25:W29),IF($AK7=4,SUM(W25:W28),IF($AK7=3,SUM(W25:W27),IF($AK7=2,SUM(W25:W26),W25))))</f>
        <v>50</v>
      </c>
      <c r="X30" s="52"/>
      <c r="Y30" s="52">
        <f>IF($AK7=5,SUM(Y25:Y29),IF($AK7=4,SUM(Y25:Y28),IF($AK7=3,SUM(Y25:Y27),IF($AK7=2,SUM(Y25:Y26),Y25))))</f>
        <v>26</v>
      </c>
      <c r="Z30" s="52">
        <f>IF($AK7=5,SUM(Z25:Z29),IF($AK7=4,SUM(Z25:Z28),IF($AK7=3,SUM(Z25:Z27),IF($AK7=2,SUM(Z25:Z26),Z25))))</f>
        <v>43</v>
      </c>
      <c r="AA30" s="52"/>
      <c r="AB30" s="52">
        <f>IF($AK7=5,SUM(AB25:AB29),IF($AK7=4,SUM(AB25:AB28),IF($AK7=3,SUM(AB25:AB27),IF($AK7=2,SUM(AB25:AB26),AB25))))</f>
        <v>38</v>
      </c>
      <c r="AC30" s="52">
        <f>IF($AK7=5,SUM(AC25:AC29),IF($AK7=4,SUM(AC25:AC28),IF($AK7=3,SUM(AC25:AC27),IF($AK7=2,SUM(AC25:AC26),AC25))))</f>
        <v>42</v>
      </c>
      <c r="AD30" s="52"/>
      <c r="AE30" s="52">
        <f>IF($AK7=5,SUM(AE25:AE29),IF($AK7=4,SUM(AE25:AE28),IF($AK7=3,SUM(AE25:AE27),IF($AK7=2,SUM(AE25:AE26),AE25))))</f>
        <v>43</v>
      </c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</row>
    <row r="31" spans="1:51" s="54" customFormat="1" ht="12.75" hidden="1" customHeight="1" x14ac:dyDescent="0.2">
      <c r="A31" s="54" t="s">
        <v>79</v>
      </c>
      <c r="B31" s="55">
        <f>IF(AND(B25&gt;D25,$AK8&gt;0,ISNUMBER(B25),ISNUMBER(D25)),1,0)</f>
        <v>1</v>
      </c>
      <c r="C31" s="55"/>
      <c r="D31" s="56">
        <f>IF(AND(D25&gt;B25,$AK8&gt;0,ISNUMBER(B25),ISNUMBER(D25)),1,0)</f>
        <v>0</v>
      </c>
      <c r="E31" s="55">
        <f>IF(AND(E25&gt;G25,$AK8&gt;1,ISNUMBER(E25),ISNUMBER(G25)),1,0)</f>
        <v>0</v>
      </c>
      <c r="F31" s="55"/>
      <c r="G31" s="56">
        <f>IF(AND(G25&gt;E25,$AK8&gt;1,ISNUMBER(E25),ISNUMBER(G25)),1,0)</f>
        <v>1</v>
      </c>
      <c r="H31" s="55">
        <f>IF(AND(H25&gt;J25,$AK8&gt;2,ISNUMBER(H25),ISNUMBER(J25)),1,0)</f>
        <v>1</v>
      </c>
      <c r="I31" s="55"/>
      <c r="J31" s="56">
        <f>IF(AND(J25&gt;H25,$AK8&gt;2,ISNUMBER(H25),ISNUMBER(J25)),1,0)</f>
        <v>0</v>
      </c>
      <c r="K31" s="55">
        <f>IF(AND(K25&gt;M25,$AK8&gt;3,ISNUMBER(K25),ISNUMBER(M25)),1,0)</f>
        <v>0</v>
      </c>
      <c r="L31" s="55"/>
      <c r="M31" s="56">
        <f>IF(AND(M25&gt;K25,$AK8&gt;3,ISNUMBER(K25),ISNUMBER(M25)),1,0)</f>
        <v>1</v>
      </c>
      <c r="N31" s="55">
        <f>IF(AND(N25&gt;P25,$AK8&gt;4,ISNUMBER(N25),ISNUMBER(P25)),1,0)</f>
        <v>1</v>
      </c>
      <c r="O31" s="55"/>
      <c r="P31" s="56">
        <f>IF(AND(P25&gt;N25,$AK8&gt;4,ISNUMBER(N25),ISNUMBER(P25)),1,0)</f>
        <v>0</v>
      </c>
      <c r="Q31" s="55">
        <f>IF(AND(Q25&gt;S25,$AK8&gt;5,ISNUMBER(Q25),ISNUMBER(S25)),1,0)</f>
        <v>1</v>
      </c>
      <c r="R31" s="55"/>
      <c r="S31" s="56">
        <f>IF(AND(S25&gt;Q25,$AK8&gt;5,ISNUMBER(Q25),ISNUMBER(S25)),1,0)</f>
        <v>0</v>
      </c>
      <c r="T31" s="55">
        <f>IF(AND(T25&gt;V25,$AK8&gt;6,ISNUMBER(T25),ISNUMBER(V25)),1,0)</f>
        <v>0</v>
      </c>
      <c r="U31" s="55"/>
      <c r="V31" s="56">
        <f>IF(AND(V25&gt;T25,$AK8&gt;6,ISNUMBER(T25),ISNUMBER(V25)),1,0)</f>
        <v>1</v>
      </c>
      <c r="W31" s="55">
        <f>IF(AND(W25&gt;Y25,$AK8&gt;7,ISNUMBER(W25),ISNUMBER(Y25)),1,0)</f>
        <v>1</v>
      </c>
      <c r="X31" s="55"/>
      <c r="Y31" s="56">
        <f>IF(AND(Y25&gt;W25,$AK8&gt;7,ISNUMBER(W25),ISNUMBER(Y25)),1,0)</f>
        <v>0</v>
      </c>
      <c r="Z31" s="55">
        <f>IF(AND(Z25&gt;AB25,$AK8&gt;8,ISNUMBER(Z25),ISNUMBER(AB25)),1,0)</f>
        <v>0</v>
      </c>
      <c r="AA31" s="55"/>
      <c r="AB31" s="56">
        <f>IF(AND(AB25&gt;Z25,$AK8&gt;8,ISNUMBER(Z25),ISNUMBER(AB25)),1,0)</f>
        <v>1</v>
      </c>
      <c r="AC31" s="55">
        <f>IF(AND(AC25&gt;AE25,$AK8&gt;9,ISNUMBER(AC25),ISNUMBER(AE25)),1,0)</f>
        <v>1</v>
      </c>
      <c r="AD31" s="55"/>
      <c r="AE31" s="56">
        <f>IF(AND(AE25&gt;AC25,$AK8&gt;9,ISNUMBER(AC25),ISNUMBER(AE25)),1,0)</f>
        <v>0</v>
      </c>
      <c r="AW31" s="57"/>
    </row>
    <row r="32" spans="1:51" s="54" customFormat="1" ht="12.75" hidden="1" customHeight="1" x14ac:dyDescent="0.2">
      <c r="A32" s="54" t="s">
        <v>80</v>
      </c>
      <c r="B32" s="55">
        <f>IF(AND(B26&gt;D26,$AK8&gt;0,$AK7&gt;1,ISNUMBER(B26),ISNUMBER(D26)),1,0)</f>
        <v>1</v>
      </c>
      <c r="C32" s="55"/>
      <c r="D32" s="56">
        <f>IF(AND(D26&gt;B26,$AK8&gt;0,$AK7&gt;1,ISNUMBER(B26),ISNUMBER(D26)),1,0)</f>
        <v>0</v>
      </c>
      <c r="E32" s="55">
        <f>IF(AND(E26&gt;G26,$AK8&gt;1,$AK7&gt;1,ISNUMBER(E26),ISNUMBER(G26)),1,0)</f>
        <v>1</v>
      </c>
      <c r="F32" s="55"/>
      <c r="G32" s="56">
        <f>IF(AND(G26&gt;E26,$AK8&gt;1,$AK7&gt;1,ISNUMBER(E26),ISNUMBER(G26)),1,0)</f>
        <v>0</v>
      </c>
      <c r="H32" s="55">
        <f>IF(AND(H26&gt;J26,$AK8&gt;2,$AK7&gt;1,ISNUMBER(H26),ISNUMBER(J26)),1,0)</f>
        <v>1</v>
      </c>
      <c r="I32" s="55"/>
      <c r="J32" s="56">
        <f>IF(AND(J26&gt;H26,$AK8&gt;2,$AK7&gt;1,ISNUMBER(H26),ISNUMBER(J26)),1,0)</f>
        <v>0</v>
      </c>
      <c r="K32" s="55">
        <f>IF(AND(K26&gt;M26,$AK8&gt;3,$AK7&gt;1,ISNUMBER(K26),ISNUMBER(M26)),1,0)</f>
        <v>1</v>
      </c>
      <c r="L32" s="55"/>
      <c r="M32" s="56">
        <f>IF(AND(M26&gt;K26,$AK8&gt;3,$AK7&gt;1,ISNUMBER(K26),ISNUMBER(M26)),1,0)</f>
        <v>0</v>
      </c>
      <c r="N32" s="55">
        <f>IF(AND(N26&gt;P26,$AK8&gt;4,$AK7&gt;1,ISNUMBER(N26),ISNUMBER(P26)),1,0)</f>
        <v>1</v>
      </c>
      <c r="O32" s="55"/>
      <c r="P32" s="56">
        <f>IF(AND(P26&gt;N26,$AK8&gt;4,$AK7&gt;1,ISNUMBER(N26),ISNUMBER(P26)),1,0)</f>
        <v>0</v>
      </c>
      <c r="Q32" s="55">
        <f>IF(AND(Q26&gt;S26,$AK8&gt;5,$AK7&gt;1,ISNUMBER(Q26),ISNUMBER(S26)),1,0)</f>
        <v>1</v>
      </c>
      <c r="R32" s="55"/>
      <c r="S32" s="56">
        <f>IF(AND(S26&gt;Q26,$AK8&gt;5,$AK7&gt;1,ISNUMBER(Q26),ISNUMBER(S26)),1,0)</f>
        <v>0</v>
      </c>
      <c r="T32" s="55">
        <f>IF(AND(T26&gt;V26,$AK8&gt;6,$AK7&gt;1,ISNUMBER(T26),ISNUMBER(V26)),1,0)</f>
        <v>1</v>
      </c>
      <c r="U32" s="55"/>
      <c r="V32" s="56">
        <f>IF(AND(V26&gt;T26,$AK8&gt;6,$AK7&gt;1,ISNUMBER(T26),ISNUMBER(V26)),1,0)</f>
        <v>0</v>
      </c>
      <c r="W32" s="55">
        <f>IF(AND(W26&gt;Y26,$AK8&gt;7,$AK7&gt;1,ISNUMBER(W26),ISNUMBER(Y26)),1,0)</f>
        <v>1</v>
      </c>
      <c r="X32" s="55"/>
      <c r="Y32" s="56">
        <f>IF(AND(Y26&gt;W26,$AK8&gt;7,$AK7&gt;1,ISNUMBER(W26),ISNUMBER(Y26)),1,0)</f>
        <v>0</v>
      </c>
      <c r="Z32" s="55">
        <f>IF(AND(Z26&gt;AB26,$AK8&gt;8,$AK7&gt;1,ISNUMBER(Z26),ISNUMBER(AB26)),1,0)</f>
        <v>1</v>
      </c>
      <c r="AA32" s="55"/>
      <c r="AB32" s="56">
        <f>IF(AND(AB26&gt;Z26,$AK8&gt;8,$AK7&gt;1,ISNUMBER(Z26),ISNUMBER(AB26)),1,0)</f>
        <v>0</v>
      </c>
      <c r="AC32" s="55">
        <f>IF(AND(AC26&gt;AE26,$AK8&gt;9,$AK7&gt;1,ISNUMBER(AC26),ISNUMBER(AE26)),1,0)</f>
        <v>0</v>
      </c>
      <c r="AD32" s="55"/>
      <c r="AE32" s="56">
        <f>IF(AND(AE26&gt;AC26,$AK8&gt;9,$AK7&gt;1,ISNUMBER(AC26),ISNUMBER(AE26)),1,0)</f>
        <v>1</v>
      </c>
      <c r="AW32" s="57"/>
    </row>
    <row r="33" spans="1:49" s="54" customFormat="1" ht="12.75" hidden="1" customHeight="1" x14ac:dyDescent="0.2">
      <c r="A33" s="54" t="s">
        <v>81</v>
      </c>
      <c r="B33" s="55">
        <f>IF(AND(B27&gt;D27,$AK8&gt;0,$AK7&gt;2,ISNUMBER(B27),ISNUMBER(D27)),1,0)</f>
        <v>0</v>
      </c>
      <c r="C33" s="55"/>
      <c r="D33" s="56">
        <f>IF(AND(D27&gt;B27,$AK8&gt;0,$AK7&gt;2,ISNUMBER(B27),ISNUMBER(D27)),1,0)</f>
        <v>0</v>
      </c>
      <c r="E33" s="55">
        <f>IF(AND(E27&gt;G27,$AK8&gt;1,$AK7&gt;2,ISNUMBER(E27),ISNUMBER(G27)),1,0)</f>
        <v>0</v>
      </c>
      <c r="F33" s="55"/>
      <c r="G33" s="56">
        <f>IF(AND(G27&gt;E27,$AK8&gt;1,$AK7&gt;2,ISNUMBER(E27),ISNUMBER(G27)),1,0)</f>
        <v>0</v>
      </c>
      <c r="H33" s="55">
        <f>IF(AND(H27&gt;J27,$AK8&gt;2,$AK7&gt;2,ISNUMBER(H27),ISNUMBER(J27)),1,0)</f>
        <v>0</v>
      </c>
      <c r="I33" s="55"/>
      <c r="J33" s="56">
        <f>IF(AND(J27&gt;H27,$AK8&gt;2,$AK7&gt;2,ISNUMBER(H27),ISNUMBER(J27)),1,0)</f>
        <v>0</v>
      </c>
      <c r="K33" s="55">
        <f>IF(AND(K27&gt;M27,$AK8&gt;3,$AK7&gt;2,ISNUMBER(K27),ISNUMBER(M27)),1,0)</f>
        <v>0</v>
      </c>
      <c r="L33" s="55"/>
      <c r="M33" s="56">
        <f>IF(AND(M27&gt;K27,$AK8&gt;3,$AK7&gt;2,ISNUMBER(K27),ISNUMBER(M27)),1,0)</f>
        <v>0</v>
      </c>
      <c r="N33" s="55">
        <f>IF(AND(N27&gt;P27,$AK8&gt;4,$AK7&gt;2,ISNUMBER(N27),ISNUMBER(P27)),1,0)</f>
        <v>0</v>
      </c>
      <c r="O33" s="55"/>
      <c r="P33" s="56">
        <f>IF(AND(P27&gt;N27,$AK8&gt;4,$AK7&gt;2,ISNUMBER(N27),ISNUMBER(P27)),1,0)</f>
        <v>0</v>
      </c>
      <c r="Q33" s="55">
        <f>IF(AND(Q27&gt;S27,$AK8&gt;5,$AK7&gt;2,ISNUMBER(Q27),ISNUMBER(S27)),1,0)</f>
        <v>0</v>
      </c>
      <c r="R33" s="55"/>
      <c r="S33" s="56">
        <f>IF(AND(S27&gt;Q27,$AK8&gt;5,$AK7&gt;2,ISNUMBER(Q27),ISNUMBER(S27)),1,0)</f>
        <v>0</v>
      </c>
      <c r="T33" s="55">
        <f>IF(AND(T27&gt;V27,$AK8&gt;6,$AK7&gt;2,ISNUMBER(T27),ISNUMBER(V27)),1,0)</f>
        <v>0</v>
      </c>
      <c r="U33" s="55"/>
      <c r="V33" s="56">
        <f>IF(AND(V27&gt;T27,$AK8&gt;6,$AK7&gt;2,ISNUMBER(T27),ISNUMBER(V27)),1,0)</f>
        <v>0</v>
      </c>
      <c r="W33" s="55">
        <f>IF(AND(W27&gt;Y27,$AK8&gt;7,$AK7&gt;2,ISNUMBER(W27),ISNUMBER(Y27)),1,0)</f>
        <v>0</v>
      </c>
      <c r="X33" s="55"/>
      <c r="Y33" s="56">
        <f>IF(AND(Y27&gt;W27,$AK8&gt;7,$AK7&gt;2,ISNUMBER(W27),ISNUMBER(Y27)),1,0)</f>
        <v>0</v>
      </c>
      <c r="Z33" s="55">
        <f>IF(AND(Z27&gt;AB27,$AK8&gt;8,$AK7&gt;2,ISNUMBER(Z27),ISNUMBER(AB27)),1,0)</f>
        <v>0</v>
      </c>
      <c r="AA33" s="55"/>
      <c r="AB33" s="56">
        <f>IF(AND(AB27&gt;Z27,$AK8&gt;8,$AK7&gt;2,ISNUMBER(Z27),ISNUMBER(AB27)),1,0)</f>
        <v>0</v>
      </c>
      <c r="AC33" s="55">
        <f>IF(AND(AC27&gt;AE27,$AK8&gt;9,$AK7&gt;2,ISNUMBER(AC27),ISNUMBER(AE27)),1,0)</f>
        <v>0</v>
      </c>
      <c r="AD33" s="55"/>
      <c r="AE33" s="56">
        <f>IF(AND(AE27&gt;AC27,$AK8&gt;9,$AK7&gt;2,ISNUMBER(AC27),ISNUMBER(AE27)),1,0)</f>
        <v>0</v>
      </c>
      <c r="AW33" s="57"/>
    </row>
    <row r="34" spans="1:49" s="54" customFormat="1" ht="12.75" hidden="1" customHeight="1" x14ac:dyDescent="0.2">
      <c r="A34" s="54" t="s">
        <v>82</v>
      </c>
      <c r="B34" s="55">
        <f>IF(AND(B28&gt;D28,$AK8&gt;0,$AK7&gt;3,ISNUMBER(B28),ISNUMBER(D28)),1,0)</f>
        <v>0</v>
      </c>
      <c r="C34" s="55"/>
      <c r="D34" s="56">
        <f>IF(AND(D28&gt;B28,$AK8&gt;0,$AK7&gt;3,ISNUMBER(B28),ISNUMBER(D28)),1,0)</f>
        <v>0</v>
      </c>
      <c r="E34" s="55">
        <f>IF(AND(E28&gt;G28,$AK8&gt;1,$AK7&gt;3,ISNUMBER(E28),ISNUMBER(G28)),1,0)</f>
        <v>0</v>
      </c>
      <c r="F34" s="55"/>
      <c r="G34" s="56">
        <f>IF(AND(G28&gt;E28,$AK8&gt;1,$AK7&gt;3,ISNUMBER(E28),ISNUMBER(G28)),1,0)</f>
        <v>0</v>
      </c>
      <c r="H34" s="55">
        <f>IF(AND(H28&gt;J28,$AK8&gt;2,$AK7&gt;3,ISNUMBER(H28),ISNUMBER(J28)),1,0)</f>
        <v>0</v>
      </c>
      <c r="I34" s="55"/>
      <c r="J34" s="56">
        <f>IF(AND(J28&gt;H28,$AK8&gt;2,$AK7&gt;3,ISNUMBER(H28),ISNUMBER(J28)),1,0)</f>
        <v>0</v>
      </c>
      <c r="K34" s="55">
        <f>IF(AND(K28&gt;M28,$AK8&gt;3,$AK7&gt;3,ISNUMBER(K28),ISNUMBER(M28)),1,0)</f>
        <v>0</v>
      </c>
      <c r="L34" s="55"/>
      <c r="M34" s="56">
        <f>IF(AND(M28&gt;K28,$AK8&gt;3,$AK7&gt;3,ISNUMBER(K28),ISNUMBER(M28)),1,0)</f>
        <v>0</v>
      </c>
      <c r="N34" s="55">
        <f>IF(AND(N28&gt;P28,$AK8&gt;4,$AK7&gt;3,ISNUMBER(N28),ISNUMBER(P28)),1,0)</f>
        <v>0</v>
      </c>
      <c r="O34" s="55"/>
      <c r="P34" s="56">
        <f>IF(AND(P28&gt;N28,$AK8&gt;4,$AK7&gt;3,ISNUMBER(N28),ISNUMBER(P28)),1,0)</f>
        <v>0</v>
      </c>
      <c r="Q34" s="55">
        <f>IF(AND(Q28&gt;S28,$AK8&gt;5,$AK7&gt;3,ISNUMBER(Q28),ISNUMBER(S28)),1,0)</f>
        <v>0</v>
      </c>
      <c r="R34" s="55"/>
      <c r="S34" s="56">
        <f>IF(AND(S28&gt;Q28,$AK8&gt;5,$AK7&gt;3,ISNUMBER(Q28),ISNUMBER(S28)),1,0)</f>
        <v>0</v>
      </c>
      <c r="T34" s="55">
        <f>IF(AND(T28&gt;V28,$AK8&gt;6,$AK7&gt;3,ISNUMBER(T28),ISNUMBER(V28)),1,0)</f>
        <v>0</v>
      </c>
      <c r="U34" s="55"/>
      <c r="V34" s="56">
        <f>IF(AND(V28&gt;T28,$AK8&gt;6,$AK7&gt;3,ISNUMBER(T28),ISNUMBER(V28)),1,0)</f>
        <v>0</v>
      </c>
      <c r="W34" s="55">
        <f>IF(AND(W28&gt;Y28,$AK8&gt;7,$AK7&gt;3,ISNUMBER(W28),ISNUMBER(Y28)),1,0)</f>
        <v>0</v>
      </c>
      <c r="X34" s="55"/>
      <c r="Y34" s="56">
        <f>IF(AND(Y28&gt;W28,$AK8&gt;7,$AK7&gt;3,ISNUMBER(W28),ISNUMBER(Y28)),1,0)</f>
        <v>0</v>
      </c>
      <c r="Z34" s="55">
        <f>IF(AND(Z28&gt;AB28,$AK8&gt;8,$AK7&gt;3,ISNUMBER(Z28),ISNUMBER(AB28)),1,0)</f>
        <v>0</v>
      </c>
      <c r="AA34" s="55"/>
      <c r="AB34" s="56">
        <f>IF(AND(AB28&gt;Z28,$AK8&gt;8,$AK7&gt;3,ISNUMBER(Z28),ISNUMBER(AB28)),1,0)</f>
        <v>0</v>
      </c>
      <c r="AC34" s="55">
        <f>IF(AND(AC28&gt;AE28,$AK8&gt;9,$AK7&gt;3,ISNUMBER(AC28),ISNUMBER(AE28)),1,0)</f>
        <v>0</v>
      </c>
      <c r="AD34" s="55"/>
      <c r="AE34" s="56">
        <f>IF(AND(AE28&gt;AC28,$AK8&gt;9,$AK7&gt;3,ISNUMBER(AC28),ISNUMBER(AE28)),1,0)</f>
        <v>0</v>
      </c>
      <c r="AW34" s="57"/>
    </row>
    <row r="35" spans="1:49" s="54" customFormat="1" ht="12.75" hidden="1" customHeight="1" x14ac:dyDescent="0.2">
      <c r="A35" s="54" t="s">
        <v>83</v>
      </c>
      <c r="B35" s="55">
        <f>IF(AND(B29&gt;D29,$AK8&gt;0,$AK7&gt;4,ISNUMBER(B29),ISNUMBER(D29)),1,0)</f>
        <v>0</v>
      </c>
      <c r="C35" s="55"/>
      <c r="D35" s="56">
        <f>IF(AND(D29&gt;B29,$AK8&gt;0,$AK7&gt;4,ISNUMBER(B29),ISNUMBER(D29)),1,0)</f>
        <v>0</v>
      </c>
      <c r="E35" s="55">
        <f>IF(AND(E29&gt;G29,$AK8&gt;1,$AK7&gt;4,ISNUMBER(E29),ISNUMBER(G29)),1,0)</f>
        <v>0</v>
      </c>
      <c r="F35" s="55"/>
      <c r="G35" s="56">
        <f>IF(AND(G29&gt;E29,$AK8&gt;1,$AK7&gt;4,ISNUMBER(E29),ISNUMBER(G29)),1,0)</f>
        <v>0</v>
      </c>
      <c r="H35" s="55">
        <f>IF(AND(H29&gt;J29,$AK8&gt;2,$AK7&gt;4,ISNUMBER(H29),ISNUMBER(J29)),1,0)</f>
        <v>0</v>
      </c>
      <c r="I35" s="55"/>
      <c r="J35" s="56">
        <f>IF(AND(J29&gt;H29,$AK8&gt;2,$AK7&gt;4,ISNUMBER(H29),ISNUMBER(J29)),1,0)</f>
        <v>0</v>
      </c>
      <c r="K35" s="55">
        <f>IF(AND(K29&gt;M29,$AK8&gt;3,$AK7&gt;4,ISNUMBER(K29),ISNUMBER(M29)),1,0)</f>
        <v>0</v>
      </c>
      <c r="L35" s="55"/>
      <c r="M35" s="56">
        <f>IF(AND(M29&gt;K29,$AK8&gt;3,$AK7&gt;4,ISNUMBER(K29),ISNUMBER(M29)),1,0)</f>
        <v>0</v>
      </c>
      <c r="N35" s="55">
        <f>IF(AND(N29&gt;P29,$AK8&gt;4,$AK7&gt;4,ISNUMBER(N29),ISNUMBER(P29)),1,0)</f>
        <v>0</v>
      </c>
      <c r="O35" s="55"/>
      <c r="P35" s="56">
        <f>IF(AND(P29&gt;N29,$AK8&gt;4,$AK7&gt;4,ISNUMBER(N29),ISNUMBER(P29)),1,0)</f>
        <v>0</v>
      </c>
      <c r="Q35" s="55">
        <f>IF(AND(Q29&gt;S29,$AK8&gt;5,$AK7&gt;4,ISNUMBER(Q29),ISNUMBER(S29)),1,0)</f>
        <v>0</v>
      </c>
      <c r="R35" s="55"/>
      <c r="S35" s="56">
        <f>IF(AND(S29&gt;Q29,$AK8&gt;5,$AK7&gt;4,ISNUMBER(Q29),ISNUMBER(S29)),1,0)</f>
        <v>0</v>
      </c>
      <c r="T35" s="55">
        <f>IF(AND(T29&gt;V29,$AK8&gt;6,$AK7&gt;4,ISNUMBER(T29),ISNUMBER(V29)),1,0)</f>
        <v>0</v>
      </c>
      <c r="U35" s="55"/>
      <c r="V35" s="56">
        <f>IF(AND(V29&gt;T29,$AK8&gt;6,$AK7&gt;4,ISNUMBER(T29),ISNUMBER(V29)),1,0)</f>
        <v>0</v>
      </c>
      <c r="W35" s="55">
        <f>IF(AND(W29&gt;Y29,$AK8&gt;7,$AK7&gt;4,ISNUMBER(W29),ISNUMBER(Y29)),1,0)</f>
        <v>0</v>
      </c>
      <c r="X35" s="55"/>
      <c r="Y35" s="56">
        <f>IF(AND(Y29&gt;W29,$AK8&gt;7,$AK7&gt;4,ISNUMBER(W29),ISNUMBER(Y29)),1,0)</f>
        <v>0</v>
      </c>
      <c r="Z35" s="55">
        <f>IF(AND(Z29&gt;AB29,$AK8&gt;8,$AK7&gt;4,ISNUMBER(Z29),ISNUMBER(AB29)),1,0)</f>
        <v>0</v>
      </c>
      <c r="AA35" s="55"/>
      <c r="AB35" s="56">
        <f>IF(AND(AB29&gt;Z29,$AK8&gt;8,$AK7&gt;4,ISNUMBER(Z29),ISNUMBER(AB29)),1,0)</f>
        <v>0</v>
      </c>
      <c r="AC35" s="55">
        <f>IF(AND(AC29&gt;AE29,$AK8&gt;9,$AK7&gt;4,ISNUMBER(AC29),ISNUMBER(AE29)),1,0)</f>
        <v>0</v>
      </c>
      <c r="AD35" s="55"/>
      <c r="AE35" s="56">
        <f>IF(AND(AE29&gt;AC29,$AK8&gt;9,$AK7&gt;4,ISNUMBER(AC29),ISNUMBER(AE29)),1,0)</f>
        <v>0</v>
      </c>
      <c r="AW35" s="57"/>
    </row>
    <row r="36" spans="1:49" s="54" customFormat="1" ht="38.25" hidden="1" customHeight="1" x14ac:dyDescent="0.2">
      <c r="A36" s="58" t="s">
        <v>84</v>
      </c>
      <c r="B36" s="54">
        <f>SUM(B31:B35)</f>
        <v>2</v>
      </c>
      <c r="D36" s="59">
        <f>SUM(D31:D35)</f>
        <v>0</v>
      </c>
      <c r="E36" s="54">
        <f>SUM(E31:E35)</f>
        <v>1</v>
      </c>
      <c r="G36" s="59">
        <f>SUM(G31:G35)</f>
        <v>1</v>
      </c>
      <c r="H36" s="54">
        <f>SUM(H31:H35)</f>
        <v>2</v>
      </c>
      <c r="J36" s="59">
        <f>SUM(J31:J35)</f>
        <v>0</v>
      </c>
      <c r="K36" s="54">
        <f>SUM(K31:K35)</f>
        <v>1</v>
      </c>
      <c r="M36" s="59">
        <f>SUM(M31:M35)</f>
        <v>1</v>
      </c>
      <c r="N36" s="54">
        <f>SUM(N31:N35)</f>
        <v>2</v>
      </c>
      <c r="P36" s="59">
        <f>SUM(P31:P35)</f>
        <v>0</v>
      </c>
      <c r="Q36" s="54">
        <f>SUM(Q31:Q35)</f>
        <v>2</v>
      </c>
      <c r="S36" s="59">
        <f>SUM(S31:S35)</f>
        <v>0</v>
      </c>
      <c r="T36" s="54">
        <f>SUM(T31:T35)</f>
        <v>1</v>
      </c>
      <c r="V36" s="59">
        <f>SUM(V31:V35)</f>
        <v>1</v>
      </c>
      <c r="W36" s="54">
        <f>SUM(W31:W35)</f>
        <v>2</v>
      </c>
      <c r="Y36" s="59">
        <f>SUM(Y31:Y35)</f>
        <v>0</v>
      </c>
      <c r="Z36" s="54">
        <f>SUM(Z31:Z35)</f>
        <v>1</v>
      </c>
      <c r="AB36" s="59">
        <f>SUM(AB31:AB35)</f>
        <v>1</v>
      </c>
      <c r="AC36" s="54">
        <f>SUM(AC31:AC35)</f>
        <v>1</v>
      </c>
      <c r="AE36" s="59">
        <f>SUM(AE31:AE35)</f>
        <v>1</v>
      </c>
      <c r="AW36" s="57"/>
    </row>
    <row r="37" spans="1:49" s="54" customFormat="1" ht="25.5" hidden="1" customHeight="1" x14ac:dyDescent="0.2">
      <c r="A37" s="58" t="s">
        <v>85</v>
      </c>
      <c r="B37" s="54">
        <f>IF(B36&gt;D36,IF(C71=AK7,1,IF(C71=AK7-1,1,0)),0)</f>
        <v>1</v>
      </c>
      <c r="C37" s="54">
        <f>B37+D37</f>
        <v>1</v>
      </c>
      <c r="D37" s="59">
        <f>IF(D36&gt;B36,IF(C71=AK7,1,IF(C71=AK7-1,1,0)),0)</f>
        <v>0</v>
      </c>
      <c r="E37" s="54">
        <f>IF(E36&gt;G36,IF(F71=AK7,1,IF(F71=AK7-1,1,0)),0)</f>
        <v>0</v>
      </c>
      <c r="F37" s="54">
        <f>E37+G37</f>
        <v>0</v>
      </c>
      <c r="G37" s="59">
        <f>IF(G36&gt;E36,IF(F71=AK7,1,IF(F71=AK7-1,1,0)),0)</f>
        <v>0</v>
      </c>
      <c r="H37" s="54">
        <f>IF(H36&gt;J36,IF(I71=AK7,1,IF(I71=AK7-1,1,0)),0)</f>
        <v>1</v>
      </c>
      <c r="I37" s="54">
        <f>H37+J37</f>
        <v>1</v>
      </c>
      <c r="J37" s="59">
        <f>IF(J36&gt;H36,IF(I71=AK7,1,IF(I71=AK7-1,1,0)),0)</f>
        <v>0</v>
      </c>
      <c r="K37" s="54">
        <f>IF(K36&gt;M36,IF(L71=AK7,1,IF(L71=AK7-1,1,0)),0)</f>
        <v>0</v>
      </c>
      <c r="L37" s="54">
        <f>K37+M37</f>
        <v>0</v>
      </c>
      <c r="M37" s="59">
        <f>IF(M36&gt;K36,IF(L71=AK7,1,IF(L71=AK7-1,1,0)),0)</f>
        <v>0</v>
      </c>
      <c r="N37" s="54">
        <f>IF(N36&gt;P36,IF(O71=AK7,1,IF(O71=AK7-1,1,0)),0)</f>
        <v>1</v>
      </c>
      <c r="O37" s="54">
        <f>N37+P37</f>
        <v>1</v>
      </c>
      <c r="P37" s="59">
        <f>IF(P36&gt;N36,IF(O71=AK7,1,IF(O71=AK7-1,1,0)),0)</f>
        <v>0</v>
      </c>
      <c r="Q37" s="54">
        <f>IF(Q36&gt;S36,IF(R71=AK7,1,IF(R71=AK7-1,1,0)),0)</f>
        <v>1</v>
      </c>
      <c r="R37" s="54">
        <f>Q37+S37</f>
        <v>1</v>
      </c>
      <c r="S37" s="59">
        <f>IF(S36&gt;Q36,IF(R71=AK7,1,IF(R71=AK7-1,1,0)),0)</f>
        <v>0</v>
      </c>
      <c r="T37" s="54">
        <f>IF(T36&gt;V36,IF(U71=AK7,1,IF(U71=AK7-1,1,0)),0)</f>
        <v>0</v>
      </c>
      <c r="U37" s="54">
        <f>T37+V37</f>
        <v>0</v>
      </c>
      <c r="V37" s="59">
        <f>IF(V36&gt;T36,IF(U71=AK7,1,IF(U71=AK7-1,1,0)),0)</f>
        <v>0</v>
      </c>
      <c r="W37" s="54">
        <f>IF(W36&gt;Y36,IF(X71=AK7,1,IF(X71=AK7-1,1,0)),0)</f>
        <v>1</v>
      </c>
      <c r="X37" s="54">
        <f>W37+Y37</f>
        <v>1</v>
      </c>
      <c r="Y37" s="59">
        <f>IF(Y36&gt;W36,IF(X71=AK7,1,IF(X71=AK7-1,1,0)),0)</f>
        <v>0</v>
      </c>
      <c r="Z37" s="54">
        <f>IF(Z36&gt;AB36,IF(AA71=AK7,1,IF(AA71=AK7-1,1,0)),0)</f>
        <v>0</v>
      </c>
      <c r="AA37" s="54">
        <f>Z37+AB37</f>
        <v>0</v>
      </c>
      <c r="AB37" s="59">
        <f>IF(AB36&gt;Z36,IF(AA71=AK7,1,IF(AA71=AK7-1,1,0)),0)</f>
        <v>0</v>
      </c>
      <c r="AC37" s="54">
        <f>IF(AC36&gt;AE36,IF(AD71=AK7,1,IF(AD71=AK7-1,1,0)),0)</f>
        <v>0</v>
      </c>
      <c r="AD37" s="54">
        <f>AC37+AE37</f>
        <v>0</v>
      </c>
      <c r="AE37" s="59">
        <f>IF(AE36&gt;AC36,IF(AD71=AK7,1,IF(AD71=AK7-1,1,0)),0)</f>
        <v>0</v>
      </c>
      <c r="AW37" s="57"/>
    </row>
    <row r="38" spans="1:49" s="54" customFormat="1" ht="25.5" hidden="1" customHeight="1" x14ac:dyDescent="0.2">
      <c r="A38" s="58"/>
      <c r="D38" s="59"/>
      <c r="G38" s="59"/>
      <c r="J38" s="59"/>
      <c r="M38" s="59"/>
      <c r="P38" s="59"/>
      <c r="S38" s="59"/>
      <c r="V38" s="59"/>
      <c r="Y38" s="59"/>
      <c r="AB38" s="59"/>
      <c r="AE38" s="59"/>
      <c r="AW38" s="57"/>
    </row>
    <row r="39" spans="1:49" s="54" customFormat="1" ht="12.75" hidden="1" customHeight="1" x14ac:dyDescent="0.2">
      <c r="A39" s="54" t="s">
        <v>86</v>
      </c>
      <c r="B39" s="54">
        <f>IF(B31=1,B25,0)</f>
        <v>26</v>
      </c>
      <c r="D39" s="59">
        <f t="shared" ref="D39:E43" si="2">IF(D31=1,D25,0)</f>
        <v>0</v>
      </c>
      <c r="E39" s="54">
        <f t="shared" si="2"/>
        <v>0</v>
      </c>
      <c r="G39" s="59">
        <f t="shared" ref="G39:H43" si="3">IF(G31=1,G25,0)</f>
        <v>25</v>
      </c>
      <c r="H39" s="54">
        <f t="shared" si="3"/>
        <v>25</v>
      </c>
      <c r="J39" s="59">
        <f t="shared" ref="J39:K43" si="4">IF(J31=1,J25,0)</f>
        <v>0</v>
      </c>
      <c r="K39" s="54">
        <f t="shared" si="4"/>
        <v>0</v>
      </c>
      <c r="M39" s="59">
        <f t="shared" ref="M39:N43" si="5">IF(M31=1,M25,0)</f>
        <v>27</v>
      </c>
      <c r="N39" s="54">
        <f t="shared" si="5"/>
        <v>25</v>
      </c>
      <c r="P39" s="59">
        <f t="shared" ref="P39:Q43" si="6">IF(P31=1,P25,0)</f>
        <v>0</v>
      </c>
      <c r="Q39" s="54">
        <f t="shared" si="6"/>
        <v>25</v>
      </c>
      <c r="S39" s="59">
        <f t="shared" ref="S39:T43" si="7">IF(S31=1,S25,0)</f>
        <v>0</v>
      </c>
      <c r="T39" s="54">
        <f t="shared" si="7"/>
        <v>0</v>
      </c>
      <c r="V39" s="59">
        <f t="shared" ref="V39:W43" si="8">IF(V31=1,V25,0)</f>
        <v>25</v>
      </c>
      <c r="W39" s="54">
        <f t="shared" si="8"/>
        <v>25</v>
      </c>
      <c r="Y39" s="59">
        <f t="shared" ref="Y39:Z43" si="9">IF(Y31=1,Y25,0)</f>
        <v>0</v>
      </c>
      <c r="Z39" s="54">
        <f t="shared" si="9"/>
        <v>0</v>
      </c>
      <c r="AB39" s="59">
        <f t="shared" ref="AB39:AC43" si="10">IF(AB31=1,AB25,0)</f>
        <v>25</v>
      </c>
      <c r="AC39" s="54">
        <f t="shared" si="10"/>
        <v>25</v>
      </c>
      <c r="AE39" s="59">
        <f>IF(AE31=1,AE25,0)</f>
        <v>0</v>
      </c>
      <c r="AW39" s="57"/>
    </row>
    <row r="40" spans="1:49" s="54" customFormat="1" ht="12.75" hidden="1" customHeight="1" x14ac:dyDescent="0.2">
      <c r="A40" s="54" t="s">
        <v>87</v>
      </c>
      <c r="B40" s="54">
        <f>IF(B32=1,B26,0)</f>
        <v>25</v>
      </c>
      <c r="D40" s="59">
        <f t="shared" si="2"/>
        <v>0</v>
      </c>
      <c r="E40" s="54">
        <f t="shared" si="2"/>
        <v>25</v>
      </c>
      <c r="G40" s="59">
        <f t="shared" si="3"/>
        <v>0</v>
      </c>
      <c r="H40" s="54">
        <f t="shared" si="3"/>
        <v>25</v>
      </c>
      <c r="J40" s="59">
        <f t="shared" si="4"/>
        <v>0</v>
      </c>
      <c r="K40" s="54">
        <f t="shared" si="4"/>
        <v>25</v>
      </c>
      <c r="M40" s="59">
        <f t="shared" si="5"/>
        <v>0</v>
      </c>
      <c r="N40" s="54">
        <f t="shared" si="5"/>
        <v>25</v>
      </c>
      <c r="P40" s="59">
        <f t="shared" si="6"/>
        <v>0</v>
      </c>
      <c r="Q40" s="54">
        <f t="shared" si="6"/>
        <v>25</v>
      </c>
      <c r="S40" s="59">
        <f t="shared" si="7"/>
        <v>0</v>
      </c>
      <c r="T40" s="54">
        <f t="shared" si="7"/>
        <v>26</v>
      </c>
      <c r="V40" s="59">
        <f t="shared" si="8"/>
        <v>0</v>
      </c>
      <c r="W40" s="54">
        <f t="shared" si="8"/>
        <v>25</v>
      </c>
      <c r="Y40" s="59">
        <f t="shared" si="9"/>
        <v>0</v>
      </c>
      <c r="Z40" s="54">
        <f t="shared" si="9"/>
        <v>25</v>
      </c>
      <c r="AB40" s="59">
        <f t="shared" si="10"/>
        <v>0</v>
      </c>
      <c r="AC40" s="54">
        <f t="shared" si="10"/>
        <v>0</v>
      </c>
      <c r="AE40" s="59">
        <f>IF(AE32=1,AE26,0)</f>
        <v>25</v>
      </c>
      <c r="AW40" s="57"/>
    </row>
    <row r="41" spans="1:49" s="54" customFormat="1" ht="12.75" hidden="1" customHeight="1" x14ac:dyDescent="0.2">
      <c r="A41" s="54" t="s">
        <v>88</v>
      </c>
      <c r="B41" s="54">
        <f>IF(B33=1,B27,0)</f>
        <v>0</v>
      </c>
      <c r="D41" s="59">
        <f t="shared" si="2"/>
        <v>0</v>
      </c>
      <c r="E41" s="54">
        <f t="shared" si="2"/>
        <v>0</v>
      </c>
      <c r="G41" s="59">
        <f t="shared" si="3"/>
        <v>0</v>
      </c>
      <c r="H41" s="54">
        <f t="shared" si="3"/>
        <v>0</v>
      </c>
      <c r="J41" s="59">
        <f t="shared" si="4"/>
        <v>0</v>
      </c>
      <c r="K41" s="54">
        <f t="shared" si="4"/>
        <v>0</v>
      </c>
      <c r="M41" s="59">
        <f t="shared" si="5"/>
        <v>0</v>
      </c>
      <c r="N41" s="54">
        <f t="shared" si="5"/>
        <v>0</v>
      </c>
      <c r="P41" s="59">
        <f t="shared" si="6"/>
        <v>0</v>
      </c>
      <c r="Q41" s="54">
        <f t="shared" si="6"/>
        <v>0</v>
      </c>
      <c r="S41" s="59">
        <f t="shared" si="7"/>
        <v>0</v>
      </c>
      <c r="T41" s="54">
        <f t="shared" si="7"/>
        <v>0</v>
      </c>
      <c r="V41" s="59">
        <f t="shared" si="8"/>
        <v>0</v>
      </c>
      <c r="W41" s="54">
        <f t="shared" si="8"/>
        <v>0</v>
      </c>
      <c r="Y41" s="59">
        <f t="shared" si="9"/>
        <v>0</v>
      </c>
      <c r="Z41" s="54">
        <f t="shared" si="9"/>
        <v>0</v>
      </c>
      <c r="AB41" s="59">
        <f t="shared" si="10"/>
        <v>0</v>
      </c>
      <c r="AC41" s="54">
        <f t="shared" si="10"/>
        <v>0</v>
      </c>
      <c r="AE41" s="59">
        <f>IF(AE33=1,AE27,0)</f>
        <v>0</v>
      </c>
      <c r="AW41" s="57"/>
    </row>
    <row r="42" spans="1:49" s="54" customFormat="1" ht="12.75" hidden="1" customHeight="1" x14ac:dyDescent="0.2">
      <c r="A42" s="54" t="s">
        <v>89</v>
      </c>
      <c r="B42" s="54">
        <f>IF(B34=1,B28,0)</f>
        <v>0</v>
      </c>
      <c r="D42" s="59">
        <f t="shared" si="2"/>
        <v>0</v>
      </c>
      <c r="E42" s="54">
        <f t="shared" si="2"/>
        <v>0</v>
      </c>
      <c r="G42" s="59">
        <f t="shared" si="3"/>
        <v>0</v>
      </c>
      <c r="H42" s="54">
        <f t="shared" si="3"/>
        <v>0</v>
      </c>
      <c r="J42" s="59">
        <f t="shared" si="4"/>
        <v>0</v>
      </c>
      <c r="K42" s="54">
        <f t="shared" si="4"/>
        <v>0</v>
      </c>
      <c r="M42" s="59">
        <f t="shared" si="5"/>
        <v>0</v>
      </c>
      <c r="N42" s="54">
        <f t="shared" si="5"/>
        <v>0</v>
      </c>
      <c r="P42" s="59">
        <f t="shared" si="6"/>
        <v>0</v>
      </c>
      <c r="Q42" s="54">
        <f t="shared" si="6"/>
        <v>0</v>
      </c>
      <c r="S42" s="59">
        <f t="shared" si="7"/>
        <v>0</v>
      </c>
      <c r="T42" s="54">
        <f t="shared" si="7"/>
        <v>0</v>
      </c>
      <c r="V42" s="59">
        <f t="shared" si="8"/>
        <v>0</v>
      </c>
      <c r="W42" s="54">
        <f t="shared" si="8"/>
        <v>0</v>
      </c>
      <c r="Y42" s="59">
        <f t="shared" si="9"/>
        <v>0</v>
      </c>
      <c r="Z42" s="54">
        <f t="shared" si="9"/>
        <v>0</v>
      </c>
      <c r="AB42" s="59">
        <f t="shared" si="10"/>
        <v>0</v>
      </c>
      <c r="AC42" s="54">
        <f t="shared" si="10"/>
        <v>0</v>
      </c>
      <c r="AE42" s="59">
        <f>IF(AE34=1,AE28,0)</f>
        <v>0</v>
      </c>
      <c r="AW42" s="57"/>
    </row>
    <row r="43" spans="1:49" s="54" customFormat="1" ht="12.75" hidden="1" customHeight="1" x14ac:dyDescent="0.2">
      <c r="A43" s="54" t="s">
        <v>90</v>
      </c>
      <c r="B43" s="54">
        <f>IF(B35=1,B29,0)</f>
        <v>0</v>
      </c>
      <c r="D43" s="59">
        <f t="shared" si="2"/>
        <v>0</v>
      </c>
      <c r="E43" s="54">
        <f t="shared" si="2"/>
        <v>0</v>
      </c>
      <c r="G43" s="59">
        <f t="shared" si="3"/>
        <v>0</v>
      </c>
      <c r="H43" s="54">
        <f t="shared" si="3"/>
        <v>0</v>
      </c>
      <c r="J43" s="59">
        <f t="shared" si="4"/>
        <v>0</v>
      </c>
      <c r="K43" s="54">
        <f t="shared" si="4"/>
        <v>0</v>
      </c>
      <c r="M43" s="59">
        <f t="shared" si="5"/>
        <v>0</v>
      </c>
      <c r="N43" s="54">
        <f t="shared" si="5"/>
        <v>0</v>
      </c>
      <c r="P43" s="59">
        <f t="shared" si="6"/>
        <v>0</v>
      </c>
      <c r="Q43" s="54">
        <f t="shared" si="6"/>
        <v>0</v>
      </c>
      <c r="S43" s="59">
        <f t="shared" si="7"/>
        <v>0</v>
      </c>
      <c r="T43" s="54">
        <f t="shared" si="7"/>
        <v>0</v>
      </c>
      <c r="V43" s="59">
        <f t="shared" si="8"/>
        <v>0</v>
      </c>
      <c r="W43" s="54">
        <f t="shared" si="8"/>
        <v>0</v>
      </c>
      <c r="Y43" s="59">
        <f t="shared" si="9"/>
        <v>0</v>
      </c>
      <c r="Z43" s="54">
        <f t="shared" si="9"/>
        <v>0</v>
      </c>
      <c r="AB43" s="59">
        <f t="shared" si="10"/>
        <v>0</v>
      </c>
      <c r="AC43" s="54">
        <f t="shared" si="10"/>
        <v>0</v>
      </c>
      <c r="AE43" s="59">
        <f>IF(AE35=1,AE29,0)</f>
        <v>0</v>
      </c>
      <c r="AW43" s="57"/>
    </row>
    <row r="44" spans="1:49" s="54" customFormat="1" ht="38.25" hidden="1" customHeight="1" x14ac:dyDescent="0.2">
      <c r="A44" s="58" t="s">
        <v>91</v>
      </c>
      <c r="B44" s="54">
        <f>SUM(B39:D43)</f>
        <v>51</v>
      </c>
      <c r="D44" s="59"/>
      <c r="E44" s="54">
        <f>SUM(E39:G43)</f>
        <v>50</v>
      </c>
      <c r="G44" s="59"/>
      <c r="H44" s="54">
        <f>SUM(H39:J43)</f>
        <v>50</v>
      </c>
      <c r="J44" s="59"/>
      <c r="K44" s="54">
        <f>SUM(K39:M43)</f>
        <v>52</v>
      </c>
      <c r="M44" s="59"/>
      <c r="N44" s="54">
        <f>SUM(N39:P43)</f>
        <v>50</v>
      </c>
      <c r="P44" s="59"/>
      <c r="Q44" s="54">
        <f>SUM(Q39:S43)</f>
        <v>50</v>
      </c>
      <c r="S44" s="59"/>
      <c r="T44" s="54">
        <f>SUM(T39:V43)</f>
        <v>51</v>
      </c>
      <c r="V44" s="59"/>
      <c r="W44" s="54">
        <f>SUM(W39:Y43)</f>
        <v>50</v>
      </c>
      <c r="Y44" s="59"/>
      <c r="Z44" s="54">
        <f>SUM(Z39:AB43)</f>
        <v>50</v>
      </c>
      <c r="AB44" s="59"/>
      <c r="AC44" s="54">
        <f>SUM(AC39:AE43)</f>
        <v>50</v>
      </c>
      <c r="AE44" s="59"/>
      <c r="AW44" s="57"/>
    </row>
    <row r="45" spans="1:49" s="54" customFormat="1" ht="38.25" hidden="1" customHeight="1" x14ac:dyDescent="0.2">
      <c r="A45" s="54" t="s">
        <v>92</v>
      </c>
      <c r="D45" s="59"/>
      <c r="G45" s="59"/>
      <c r="J45" s="59"/>
      <c r="M45" s="59"/>
      <c r="P45" s="59"/>
      <c r="S45" s="59"/>
      <c r="V45" s="59"/>
      <c r="Y45" s="59"/>
      <c r="AB45" s="59"/>
      <c r="AE45" s="59"/>
      <c r="AF45" s="58" t="s">
        <v>93</v>
      </c>
      <c r="AG45" s="54" t="s">
        <v>94</v>
      </c>
      <c r="AW45" s="57"/>
    </row>
    <row r="46" spans="1:49" s="54" customFormat="1" ht="12.75" hidden="1" customHeight="1" x14ac:dyDescent="0.2">
      <c r="A46" s="54" t="s">
        <v>95</v>
      </c>
      <c r="B46" s="54">
        <f>IF(B24=1,IF(B37=1,1,0),0)</f>
        <v>0</v>
      </c>
      <c r="D46" s="59">
        <f>IF(D24=1,IF(D37=1,1,0),0)</f>
        <v>0</v>
      </c>
      <c r="E46" s="54">
        <f>IF(E24=1,IF(E37=1,1,0),0)</f>
        <v>0</v>
      </c>
      <c r="G46" s="59">
        <f>IF(G24=1,IF(G37=1,1,0),0)</f>
        <v>0</v>
      </c>
      <c r="H46" s="54">
        <f>IF(H24=1,IF(H37=1,1,0),0)</f>
        <v>0</v>
      </c>
      <c r="J46" s="59">
        <f>IF(J24=1,IF(J37=1,1,0),0)</f>
        <v>0</v>
      </c>
      <c r="K46" s="54">
        <f>IF(K24=1,IF(K37=1,1,0),0)</f>
        <v>0</v>
      </c>
      <c r="M46" s="59">
        <f>IF(M24=1,IF(M37=1,1,0),0)</f>
        <v>0</v>
      </c>
      <c r="N46" s="54">
        <f>IF(N24=1,IF(N37=1,1,0),0)</f>
        <v>1</v>
      </c>
      <c r="P46" s="59">
        <f>IF(P24=1,IF(P37=1,1,0),0)</f>
        <v>0</v>
      </c>
      <c r="Q46" s="54">
        <f>IF(Q24=1,IF(Q37=1,1,0),0)</f>
        <v>0</v>
      </c>
      <c r="S46" s="59">
        <f>IF(S24=1,IF(S37=1,1,0),0)</f>
        <v>0</v>
      </c>
      <c r="T46" s="54">
        <f>IF(T24=1,IF(T37=1,1,0),0)</f>
        <v>0</v>
      </c>
      <c r="V46" s="59">
        <f>IF(V24=1,IF(V37=1,1,0),0)</f>
        <v>0</v>
      </c>
      <c r="W46" s="54">
        <f>IF(W24=1,IF(W37=1,1,0),0)</f>
        <v>1</v>
      </c>
      <c r="Y46" s="59">
        <f>IF(Y24=1,IF(Y37=1,1,0),0)</f>
        <v>0</v>
      </c>
      <c r="Z46" s="54">
        <f>IF(Z24=1,IF(Z37=1,1,0),0)</f>
        <v>0</v>
      </c>
      <c r="AB46" s="59">
        <f>IF(AB24=1,IF(AB37=1,1,0),0)</f>
        <v>0</v>
      </c>
      <c r="AC46" s="54">
        <f>IF(AC24=1,IF(AC37=1,1,0),0)</f>
        <v>0</v>
      </c>
      <c r="AE46" s="59">
        <f>IF(AE24=1,IF(AE37=1,1,0),0)</f>
        <v>0</v>
      </c>
      <c r="AF46" s="54">
        <f>SUM(B46:AE46)</f>
        <v>2</v>
      </c>
      <c r="AG46" s="54">
        <f>AF52-AF46</f>
        <v>0</v>
      </c>
      <c r="AW46" s="57"/>
    </row>
    <row r="47" spans="1:49" s="54" customFormat="1" ht="12.75" hidden="1" customHeight="1" x14ac:dyDescent="0.2">
      <c r="A47" s="54" t="s">
        <v>96</v>
      </c>
      <c r="B47" s="54">
        <f>IF(B24=2,IF(B37=1,1,0),0)</f>
        <v>1</v>
      </c>
      <c r="D47" s="59">
        <f>IF(D24=2,IF(D37=1,1,0),0)</f>
        <v>0</v>
      </c>
      <c r="E47" s="54">
        <f>IF(E24=2,IF(E37=1,1,0),0)</f>
        <v>0</v>
      </c>
      <c r="G47" s="59">
        <f>IF(G24=2,IF(G37=1,1,0),0)</f>
        <v>0</v>
      </c>
      <c r="H47" s="54">
        <f>IF(H24=2,IF(H37=1,1,0),0)</f>
        <v>0</v>
      </c>
      <c r="J47" s="59">
        <f>IF(J24=2,IF(J37=1,1,0),0)</f>
        <v>0</v>
      </c>
      <c r="K47" s="54">
        <f>IF(K24=2,IF(K37=1,1,0),0)</f>
        <v>0</v>
      </c>
      <c r="M47" s="59">
        <f>IF(M24=2,IF(M37=1,1,0),0)</f>
        <v>0</v>
      </c>
      <c r="N47" s="54">
        <f>IF(N24=2,IF(N37=1,1,0),0)</f>
        <v>0</v>
      </c>
      <c r="P47" s="59">
        <f>IF(P24=2,IF(P37=1,1,0),0)</f>
        <v>0</v>
      </c>
      <c r="Q47" s="54">
        <f>IF(Q24=2,IF(Q37=1,1,0),0)</f>
        <v>0</v>
      </c>
      <c r="S47" s="59">
        <f>IF(S24=2,IF(S37=1,1,0),0)</f>
        <v>0</v>
      </c>
      <c r="T47" s="54">
        <f>IF(T24=2,IF(T37=1,1,0),0)</f>
        <v>0</v>
      </c>
      <c r="V47" s="59">
        <f>IF(V24=2,IF(V37=1,1,0),0)</f>
        <v>0</v>
      </c>
      <c r="W47" s="54">
        <f>IF(W24=2,IF(W37=1,1,0),0)</f>
        <v>0</v>
      </c>
      <c r="Y47" s="59">
        <f>IF(Y24=2,IF(Y37=1,1,0),0)</f>
        <v>0</v>
      </c>
      <c r="Z47" s="54">
        <f>IF(Z24=2,IF(Z37=1,1,0),0)</f>
        <v>0</v>
      </c>
      <c r="AB47" s="59">
        <f>IF(AB24=2,IF(AB37=1,1,0),0)</f>
        <v>0</v>
      </c>
      <c r="AC47" s="54">
        <f>IF(AC24=2,IF(AC37=1,1,0),0)</f>
        <v>0</v>
      </c>
      <c r="AE47" s="59">
        <f>IF(AE24=2,IF(AE37=1,1,0),0)</f>
        <v>0</v>
      </c>
      <c r="AF47" s="54">
        <f>SUM(B47:AE47)</f>
        <v>1</v>
      </c>
      <c r="AG47" s="54">
        <f>AF53-AF47</f>
        <v>0</v>
      </c>
      <c r="AW47" s="57"/>
    </row>
    <row r="48" spans="1:49" s="54" customFormat="1" ht="12.75" hidden="1" customHeight="1" x14ac:dyDescent="0.2">
      <c r="A48" s="54" t="s">
        <v>97</v>
      </c>
      <c r="B48" s="54">
        <f>IF(B24=3,IF(B37=1,1,0),0)</f>
        <v>0</v>
      </c>
      <c r="D48" s="59">
        <f>IF(D24=3,IF(D37=1,1,0),0)</f>
        <v>0</v>
      </c>
      <c r="E48" s="54">
        <f>IF(E24=3,IF(E37=1,1,0),0)</f>
        <v>0</v>
      </c>
      <c r="G48" s="59">
        <f>IF(G24=3,IF(G37=1,1,0),0)</f>
        <v>0</v>
      </c>
      <c r="H48" s="54">
        <f>IF(H24=3,IF(H37=1,1,0),0)</f>
        <v>1</v>
      </c>
      <c r="J48" s="59">
        <f>IF(J24=3,IF(J37=1,1,0),0)</f>
        <v>0</v>
      </c>
      <c r="K48" s="54">
        <f>IF(K24=3,IF(K37=1,1,0),0)</f>
        <v>0</v>
      </c>
      <c r="M48" s="59">
        <f>IF(M24=3,IF(M37=1,1,0),0)</f>
        <v>0</v>
      </c>
      <c r="N48" s="54">
        <f>IF(N24=3,IF(N37=1,1,0),0)</f>
        <v>0</v>
      </c>
      <c r="P48" s="59">
        <f>IF(P24=3,IF(P37=1,1,0),0)</f>
        <v>0</v>
      </c>
      <c r="Q48" s="54">
        <f>IF(Q24=3,IF(Q37=1,1,0),0)</f>
        <v>0</v>
      </c>
      <c r="S48" s="59">
        <f>IF(S24=3,IF(S37=1,1,0),0)</f>
        <v>0</v>
      </c>
      <c r="T48" s="54">
        <f>IF(T24=3,IF(T37=1,1,0),0)</f>
        <v>0</v>
      </c>
      <c r="V48" s="59">
        <f>IF(V24=3,IF(V37=1,1,0),0)</f>
        <v>0</v>
      </c>
      <c r="W48" s="54">
        <f>IF(W24=3,IF(W37=1,1,0),0)</f>
        <v>0</v>
      </c>
      <c r="Y48" s="59">
        <f>IF(Y24=3,IF(Y37=1,1,0),0)</f>
        <v>0</v>
      </c>
      <c r="Z48" s="54">
        <f>IF(Z24=3,IF(Z37=1,1,0),0)</f>
        <v>0</v>
      </c>
      <c r="AB48" s="59">
        <f>IF(AB24=3,IF(AB37=1,1,0),0)</f>
        <v>0</v>
      </c>
      <c r="AC48" s="54">
        <f>IF(AC24=3,IF(AC37=1,1,0),0)</f>
        <v>0</v>
      </c>
      <c r="AE48" s="59">
        <f>IF(AE24=3,IF(AE37=1,1,0),0)</f>
        <v>0</v>
      </c>
      <c r="AF48" s="54">
        <f>SUM(B48:AE48)</f>
        <v>1</v>
      </c>
      <c r="AG48" s="54">
        <f>AF54-AF48</f>
        <v>1</v>
      </c>
      <c r="AW48" s="57"/>
    </row>
    <row r="49" spans="1:49" s="54" customFormat="1" ht="12.75" hidden="1" customHeight="1" x14ac:dyDescent="0.2">
      <c r="A49" s="54" t="s">
        <v>98</v>
      </c>
      <c r="B49" s="54">
        <f>IF(B24=4,IF(B37=1,1,0),0)</f>
        <v>0</v>
      </c>
      <c r="D49" s="59">
        <f>IF(D24=4,IF(D37=1,1,0),0)</f>
        <v>0</v>
      </c>
      <c r="E49" s="54">
        <f>IF(E24=4,IF(E37=1,1,0),0)</f>
        <v>0</v>
      </c>
      <c r="G49" s="59">
        <f>IF(G24=4,IF(G37=1,1,0),0)</f>
        <v>0</v>
      </c>
      <c r="H49" s="54">
        <f>IF(H24=4,IF(H37=1,1,0),0)</f>
        <v>0</v>
      </c>
      <c r="J49" s="59">
        <f>IF(J24=4,IF(J37=1,1,0),0)</f>
        <v>0</v>
      </c>
      <c r="K49" s="54">
        <f>IF(K24=4,IF(K37=1,1,0),0)</f>
        <v>0</v>
      </c>
      <c r="M49" s="59">
        <f>IF(M24=4,IF(M37=1,1,0),0)</f>
        <v>0</v>
      </c>
      <c r="N49" s="54">
        <f>IF(N24=4,IF(N37=1,1,0),0)</f>
        <v>0</v>
      </c>
      <c r="P49" s="59">
        <f>IF(P24=4,IF(P37=1,1,0),0)</f>
        <v>0</v>
      </c>
      <c r="Q49" s="54">
        <f>IF(Q24=4,IF(Q37=1,1,0),0)</f>
        <v>1</v>
      </c>
      <c r="S49" s="59">
        <f>IF(S24=4,IF(S37=1,1,0),0)</f>
        <v>0</v>
      </c>
      <c r="T49" s="54">
        <f>IF(T24=4,IF(T37=1,1,0),0)</f>
        <v>0</v>
      </c>
      <c r="V49" s="59">
        <f>IF(V24=4,IF(V37=1,1,0),0)</f>
        <v>0</v>
      </c>
      <c r="W49" s="54">
        <f>IF(W24=4,IF(W37=1,1,0),0)</f>
        <v>0</v>
      </c>
      <c r="Y49" s="59">
        <f>IF(Y24=4,IF(Y37=1,1,0),0)</f>
        <v>0</v>
      </c>
      <c r="Z49" s="54">
        <f>IF(Z24=4,IF(Z37=1,1,0),0)</f>
        <v>0</v>
      </c>
      <c r="AB49" s="59">
        <f>IF(AB24=4,IF(AB37=1,1,0),0)</f>
        <v>0</v>
      </c>
      <c r="AC49" s="54">
        <f>IF(AC24=4,IF(AC37=1,1,0),0)</f>
        <v>0</v>
      </c>
      <c r="AE49" s="59">
        <f>IF(AE24=4,IF(AE37=1,1,0),0)</f>
        <v>0</v>
      </c>
      <c r="AF49" s="54">
        <f>SUM(B49:AE49)</f>
        <v>1</v>
      </c>
      <c r="AG49" s="54">
        <f>AF55-AF49</f>
        <v>0</v>
      </c>
      <c r="AW49" s="57"/>
    </row>
    <row r="50" spans="1:49" s="54" customFormat="1" ht="12.75" hidden="1" customHeight="1" x14ac:dyDescent="0.2">
      <c r="A50" s="54" t="s">
        <v>99</v>
      </c>
      <c r="B50" s="54">
        <f>IF(B24=5,IF(B37=1,1,0),0)</f>
        <v>0</v>
      </c>
      <c r="D50" s="59">
        <f>IF(D24=5,IF(D37=1,1,0),0)</f>
        <v>0</v>
      </c>
      <c r="E50" s="54">
        <f>IF(E24=5,IF(E37=1,1,0),0)</f>
        <v>0</v>
      </c>
      <c r="G50" s="59">
        <f>IF(G24=5,IF(G37=1,1,0),0)</f>
        <v>0</v>
      </c>
      <c r="H50" s="54">
        <f>IF(H24=5,IF(H37=1,1,0),0)</f>
        <v>0</v>
      </c>
      <c r="J50" s="59">
        <f>IF(J24=5,IF(J37=1,1,0),0)</f>
        <v>0</v>
      </c>
      <c r="K50" s="54">
        <f>IF(K24=5,IF(K37=1,1,0),0)</f>
        <v>0</v>
      </c>
      <c r="M50" s="59">
        <f>IF(M24=5,IF(M37=1,1,0),0)</f>
        <v>0</v>
      </c>
      <c r="N50" s="54">
        <f>IF(N24=5,IF(N37=1,1,0),0)</f>
        <v>0</v>
      </c>
      <c r="P50" s="59">
        <f>IF(P24=5,IF(P37=1,1,0),0)</f>
        <v>0</v>
      </c>
      <c r="Q50" s="54">
        <f>IF(Q24=5,IF(Q37=1,1,0),0)</f>
        <v>0</v>
      </c>
      <c r="S50" s="59">
        <f>IF(S24=5,IF(S37=1,1,0),0)</f>
        <v>0</v>
      </c>
      <c r="T50" s="54">
        <f>IF(T24=5,IF(T37=1,1,0),0)</f>
        <v>0</v>
      </c>
      <c r="V50" s="59">
        <f>IF(V24=5,IF(V37=1,1,0),0)</f>
        <v>0</v>
      </c>
      <c r="W50" s="54">
        <f>IF(W24=5,IF(W37=1,1,0),0)</f>
        <v>0</v>
      </c>
      <c r="Y50" s="59">
        <f>IF(Y24=5,IF(Y37=1,1,0),0)</f>
        <v>0</v>
      </c>
      <c r="Z50" s="54">
        <f>IF(Z24=5,IF(Z37=1,1,0),0)</f>
        <v>0</v>
      </c>
      <c r="AB50" s="59">
        <f>IF(AB24=5,IF(AB37=1,1,0),0)</f>
        <v>0</v>
      </c>
      <c r="AC50" s="54">
        <f>IF(AC24=5,IF(AC37=1,1,0),0)</f>
        <v>0</v>
      </c>
      <c r="AE50" s="59">
        <f>IF(AE24=5,IF(AE37=1,1,0),0)</f>
        <v>0</v>
      </c>
      <c r="AF50" s="54">
        <f>SUM(B50:AE50)</f>
        <v>0</v>
      </c>
      <c r="AG50" s="54">
        <f>AF56-AF50</f>
        <v>4</v>
      </c>
      <c r="AW50" s="57"/>
    </row>
    <row r="51" spans="1:49" s="54" customFormat="1" ht="38.25" hidden="1" customHeight="1" x14ac:dyDescent="0.2">
      <c r="A51" s="58"/>
      <c r="D51" s="59"/>
      <c r="G51" s="59"/>
      <c r="J51" s="59"/>
      <c r="M51" s="59"/>
      <c r="P51" s="59"/>
      <c r="S51" s="59"/>
      <c r="V51" s="59"/>
      <c r="Y51" s="59"/>
      <c r="AB51" s="59"/>
      <c r="AE51" s="59"/>
      <c r="AF51" s="58" t="s">
        <v>100</v>
      </c>
      <c r="AW51" s="57"/>
    </row>
    <row r="52" spans="1:49" s="54" customFormat="1" ht="12.75" hidden="1" customHeight="1" x14ac:dyDescent="0.2">
      <c r="A52" s="54" t="s">
        <v>101</v>
      </c>
      <c r="B52" s="54">
        <f>IF(B24=1,IF(C37=1,1,0),0)</f>
        <v>0</v>
      </c>
      <c r="D52" s="59">
        <f>IF(D24=1,IF(C37=1,1,0),0)</f>
        <v>0</v>
      </c>
      <c r="E52" s="54">
        <f>IF(E24=1,IF(F37=1,1,0),0)</f>
        <v>0</v>
      </c>
      <c r="G52" s="59">
        <f>IF(G24=1,IF(F37=1,1,0),0)</f>
        <v>0</v>
      </c>
      <c r="H52" s="54">
        <f>IF(H24=1,IF(I37=1,1,0),0)</f>
        <v>0</v>
      </c>
      <c r="J52" s="59">
        <f>IF(J24=1,IF(I37=1,1,0),0)</f>
        <v>0</v>
      </c>
      <c r="K52" s="54">
        <f>IF(K24=1,IF(L37=1,1,0),0)</f>
        <v>0</v>
      </c>
      <c r="M52" s="59">
        <f>IF(M24=1,IF(L37=1,1,0),0)</f>
        <v>0</v>
      </c>
      <c r="N52" s="54">
        <f>IF(N24=1,IF(O37=1,1,0),0)</f>
        <v>1</v>
      </c>
      <c r="P52" s="59">
        <f>IF(P24=1,IF(O37=1,1,0),0)</f>
        <v>0</v>
      </c>
      <c r="Q52" s="54">
        <f>IF(Q24=1,IF(R37=1,1,0),0)</f>
        <v>0</v>
      </c>
      <c r="S52" s="59">
        <f>IF(S24=1,IF(R37=1,1,0),0)</f>
        <v>0</v>
      </c>
      <c r="T52" s="54">
        <f>IF(T24=1,IF(U37=1,1,0),0)</f>
        <v>0</v>
      </c>
      <c r="V52" s="59">
        <f>IF(V24=1,IF(U37=1,1,0),0)</f>
        <v>0</v>
      </c>
      <c r="W52" s="54">
        <f>IF(W24=1,IF(X37=1,1,0),0)</f>
        <v>1</v>
      </c>
      <c r="Y52" s="59">
        <f>IF(Y24=1,IF(X37=1,1,0),0)</f>
        <v>0</v>
      </c>
      <c r="Z52" s="54">
        <f>IF(Z24=1,IF(AA37=1,1,0),0)</f>
        <v>0</v>
      </c>
      <c r="AB52" s="59">
        <f>IF(AB24=1,IF(AA37=1,1,0),0)</f>
        <v>0</v>
      </c>
      <c r="AC52" s="54">
        <f>IF(AC24=1,IF(AD37=1,1,0),0)</f>
        <v>0</v>
      </c>
      <c r="AE52" s="59">
        <f>IF(AE24=1,IF(AD37=1,1,0),0)</f>
        <v>0</v>
      </c>
      <c r="AF52" s="54">
        <f>SUM(B52:AE52)</f>
        <v>2</v>
      </c>
      <c r="AW52" s="57"/>
    </row>
    <row r="53" spans="1:49" s="54" customFormat="1" ht="12.75" hidden="1" customHeight="1" x14ac:dyDescent="0.2">
      <c r="A53" s="54" t="s">
        <v>102</v>
      </c>
      <c r="B53" s="54">
        <f>IF(B24=2,IF(C37=1,1,0),0)</f>
        <v>1</v>
      </c>
      <c r="D53" s="59">
        <f>IF(D24=2,IF(C37=1,1,0),0)</f>
        <v>0</v>
      </c>
      <c r="E53" s="54">
        <f>IF(E24=2,IF(F37=1,1,0),0)</f>
        <v>0</v>
      </c>
      <c r="G53" s="59">
        <f>IF(G24=2,IF(F37=1,1,0),0)</f>
        <v>0</v>
      </c>
      <c r="H53" s="54">
        <f>IF(H24=2,IF(I37=1,1,0),0)</f>
        <v>0</v>
      </c>
      <c r="J53" s="59">
        <f>IF(J24=2,IF(I37=1,1,0),0)</f>
        <v>0</v>
      </c>
      <c r="K53" s="54">
        <f>IF(K24=2,IF(L37=1,1,0),0)</f>
        <v>0</v>
      </c>
      <c r="M53" s="59">
        <f>IF(M24=2,IF(L37=1,1,0),0)</f>
        <v>0</v>
      </c>
      <c r="N53" s="54">
        <f>IF(N24=2,IF(O37=1,1,0),0)</f>
        <v>0</v>
      </c>
      <c r="P53" s="59">
        <f>IF(P24=2,IF(O37=1,1,0),0)</f>
        <v>0</v>
      </c>
      <c r="Q53" s="54">
        <f>IF(Q24=2,IF(R37=1,1,0),0)</f>
        <v>0</v>
      </c>
      <c r="S53" s="59">
        <f>IF(S24=2,IF(R37=1,1,0),0)</f>
        <v>0</v>
      </c>
      <c r="T53" s="54">
        <f>IF(T24=2,IF(U37=1,1,0),0)</f>
        <v>0</v>
      </c>
      <c r="V53" s="59">
        <f>IF(V24=2,IF(U37=1,1,0),0)</f>
        <v>0</v>
      </c>
      <c r="W53" s="54">
        <f>IF(W24=2,IF(X37=1,1,0),0)</f>
        <v>0</v>
      </c>
      <c r="Y53" s="59">
        <f>IF(Y24=2,IF(X37=1,1,0),0)</f>
        <v>0</v>
      </c>
      <c r="Z53" s="54">
        <f>IF(Z24=2,IF(AA37=1,1,0),0)</f>
        <v>0</v>
      </c>
      <c r="AB53" s="59">
        <f>IF(AB24=2,IF(AA37=1,1,0),0)</f>
        <v>0</v>
      </c>
      <c r="AC53" s="54">
        <f>IF(AC24=2,IF(AD37=1,1,0),0)</f>
        <v>0</v>
      </c>
      <c r="AE53" s="59">
        <f>IF(AE24=2,IF(AD37=1,1,0),0)</f>
        <v>0</v>
      </c>
      <c r="AF53" s="54">
        <f>SUM(B53:AE53)</f>
        <v>1</v>
      </c>
      <c r="AW53" s="57"/>
    </row>
    <row r="54" spans="1:49" s="54" customFormat="1" ht="12.75" hidden="1" customHeight="1" x14ac:dyDescent="0.2">
      <c r="A54" s="54" t="s">
        <v>103</v>
      </c>
      <c r="B54" s="54">
        <f>IF(B24=3,IF(C37=1,1,0),0)</f>
        <v>0</v>
      </c>
      <c r="D54" s="59">
        <f>IF(D24=3,IF(C37=1,1,0),0)</f>
        <v>0</v>
      </c>
      <c r="E54" s="54">
        <f>IF(E24=3,IF(F37=1,1,0),0)</f>
        <v>0</v>
      </c>
      <c r="G54" s="59">
        <f>IF(G24=3,IF(F37=1,1,0),0)</f>
        <v>0</v>
      </c>
      <c r="H54" s="54">
        <f>IF(H24=3,IF(I37=1,1,0),0)</f>
        <v>1</v>
      </c>
      <c r="J54" s="59">
        <f>IF(J24=3,IF(I37=1,1,0),0)</f>
        <v>0</v>
      </c>
      <c r="K54" s="54">
        <f>IF(K24=3,IF(L37=1,1,0),0)</f>
        <v>0</v>
      </c>
      <c r="M54" s="59">
        <f>IF(M24=3,IF(L37=1,1,0),0)</f>
        <v>0</v>
      </c>
      <c r="N54" s="54">
        <f>IF(N24=3,IF(O37=1,1,0),0)</f>
        <v>0</v>
      </c>
      <c r="P54" s="59">
        <f>IF(P24=3,IF(O37=1,1,0),0)</f>
        <v>1</v>
      </c>
      <c r="Q54" s="54">
        <f>IF(Q24=3,IF(R37=1,1,0),0)</f>
        <v>0</v>
      </c>
      <c r="S54" s="59">
        <f>IF(S24=3,IF(R37=1,1,0),0)</f>
        <v>0</v>
      </c>
      <c r="T54" s="54">
        <f>IF(T24=3,IF(U37=1,1,0),0)</f>
        <v>0</v>
      </c>
      <c r="V54" s="59">
        <f>IF(V24=3,IF(U37=1,1,0),0)</f>
        <v>0</v>
      </c>
      <c r="W54" s="54">
        <f>IF(W24=3,IF(X37=1,1,0),0)</f>
        <v>0</v>
      </c>
      <c r="Y54" s="59">
        <f>IF(Y24=3,IF(X37=1,1,0),0)</f>
        <v>0</v>
      </c>
      <c r="Z54" s="54">
        <f>IF(Z24=3,IF(AA37=1,1,0),0)</f>
        <v>0</v>
      </c>
      <c r="AB54" s="59">
        <f>IF(AB24=3,IF(AA37=1,1,0),0)</f>
        <v>0</v>
      </c>
      <c r="AC54" s="54">
        <f>IF(AC24=3,IF(AD37=1,1,0),0)</f>
        <v>0</v>
      </c>
      <c r="AE54" s="59">
        <f>IF(AE24=3,IF(AD37=1,1,0),0)</f>
        <v>0</v>
      </c>
      <c r="AF54" s="54">
        <f>SUM(B54:AE54)</f>
        <v>2</v>
      </c>
      <c r="AW54" s="57"/>
    </row>
    <row r="55" spans="1:49" s="54" customFormat="1" ht="12.75" hidden="1" customHeight="1" x14ac:dyDescent="0.2">
      <c r="A55" s="54" t="s">
        <v>104</v>
      </c>
      <c r="B55" s="54">
        <f>IF(B24=4,IF(C37=1,1,0),0)</f>
        <v>0</v>
      </c>
      <c r="D55" s="59">
        <f>IF(D24=4,IF(C37=1,1,0),0)</f>
        <v>0</v>
      </c>
      <c r="E55" s="54">
        <f>IF(E24=4,IF(F37=1,1,0),0)</f>
        <v>0</v>
      </c>
      <c r="G55" s="59">
        <f>IF(G24=4,IF(F37=1,1,0),0)</f>
        <v>0</v>
      </c>
      <c r="H55" s="54">
        <f>IF(H24=4,IF(I37=1,1,0),0)</f>
        <v>0</v>
      </c>
      <c r="J55" s="59">
        <f>IF(J24=4,IF(I37=1,1,0),0)</f>
        <v>0</v>
      </c>
      <c r="K55" s="54">
        <f>IF(K24=4,IF(L37=1,1,0),0)</f>
        <v>0</v>
      </c>
      <c r="M55" s="59">
        <f>IF(M24=4,IF(L37=1,1,0),0)</f>
        <v>0</v>
      </c>
      <c r="N55" s="54">
        <f>IF(N24=4,IF(O37=1,1,0),0)</f>
        <v>0</v>
      </c>
      <c r="P55" s="59">
        <f>IF(P24=4,IF(O37=1,1,0),0)</f>
        <v>0</v>
      </c>
      <c r="Q55" s="54">
        <f>IF(Q24=4,IF(R37=1,1,0),0)</f>
        <v>1</v>
      </c>
      <c r="S55" s="59">
        <f>IF(S24=4,IF(R37=1,1,0),0)</f>
        <v>0</v>
      </c>
      <c r="T55" s="54">
        <f>IF(T24=4,IF(U37=1,1,0),0)</f>
        <v>0</v>
      </c>
      <c r="V55" s="59">
        <f>IF(V24=4,IF(U37=1,1,0),0)</f>
        <v>0</v>
      </c>
      <c r="W55" s="54">
        <f>IF(W24=4,IF(X37=1,1,0),0)</f>
        <v>0</v>
      </c>
      <c r="Y55" s="59">
        <f>IF(Y24=4,IF(X37=1,1,0),0)</f>
        <v>0</v>
      </c>
      <c r="Z55" s="54">
        <f>IF(Z24=4,IF(AA37=1,1,0),0)</f>
        <v>0</v>
      </c>
      <c r="AB55" s="59">
        <f>IF(AB24=4,IF(AA37=1,1,0),0)</f>
        <v>0</v>
      </c>
      <c r="AC55" s="54">
        <f>IF(AC24=4,IF(AD37=1,1,0),0)</f>
        <v>0</v>
      </c>
      <c r="AE55" s="59">
        <f>IF(AE24=4,IF(AD37=1,1,0),0)</f>
        <v>0</v>
      </c>
      <c r="AF55" s="54">
        <f>SUM(B55:AE55)</f>
        <v>1</v>
      </c>
      <c r="AW55" s="57"/>
    </row>
    <row r="56" spans="1:49" s="54" customFormat="1" ht="12.75" hidden="1" customHeight="1" x14ac:dyDescent="0.2">
      <c r="A56" s="54" t="s">
        <v>105</v>
      </c>
      <c r="B56" s="54">
        <f>IF(B24=5,IF(C37=1,1,0),0)</f>
        <v>0</v>
      </c>
      <c r="D56" s="59">
        <f>IF(D24=5,IF(C37=1,1,0),0)</f>
        <v>1</v>
      </c>
      <c r="E56" s="54">
        <f>IF(E24=5,IF(F37=1,1,0),0)</f>
        <v>0</v>
      </c>
      <c r="G56" s="59">
        <f>IF(G24=5,IF(F37=1,1,0),0)</f>
        <v>0</v>
      </c>
      <c r="H56" s="54">
        <f>IF(H24=5,IF(I37=1,1,0),0)</f>
        <v>0</v>
      </c>
      <c r="J56" s="59">
        <f>IF(J24=5,IF(I37=1,1,0),0)</f>
        <v>1</v>
      </c>
      <c r="K56" s="54">
        <f>IF(K24=5,IF(L37=1,1,0),0)</f>
        <v>0</v>
      </c>
      <c r="M56" s="59">
        <f>IF(M24=5,IF(L37=1,1,0),0)</f>
        <v>0</v>
      </c>
      <c r="N56" s="54">
        <f>IF(N24=5,IF(O37=1,1,0),0)</f>
        <v>0</v>
      </c>
      <c r="P56" s="59">
        <f>IF(P24=5,IF(O37=1,1,0),0)</f>
        <v>0</v>
      </c>
      <c r="Q56" s="54">
        <f>IF(Q24=5,IF(R37=1,1,0),0)</f>
        <v>0</v>
      </c>
      <c r="S56" s="59">
        <f>IF(S24=5,IF(R37=1,1,0),0)</f>
        <v>1</v>
      </c>
      <c r="T56" s="54">
        <f>IF(T24=5,IF(U37=1,1,0),0)</f>
        <v>0</v>
      </c>
      <c r="V56" s="59">
        <f>IF(V24=5,IF(U37=1,1,0),0)</f>
        <v>0</v>
      </c>
      <c r="W56" s="54">
        <f>IF(W24=5,IF(X37=1,1,0),0)</f>
        <v>0</v>
      </c>
      <c r="Y56" s="59">
        <f>IF(Y24=5,IF(X37=1,1,0),0)</f>
        <v>1</v>
      </c>
      <c r="Z56" s="54">
        <f>IF(Z24=5,IF(AA37=1,1,0),0)</f>
        <v>0</v>
      </c>
      <c r="AB56" s="59">
        <f>IF(AB24=5,IF(AA37=1,1,0),0)</f>
        <v>0</v>
      </c>
      <c r="AC56" s="54">
        <f>IF(AC24=5,IF(AD37=1,1,0),0)</f>
        <v>0</v>
      </c>
      <c r="AE56" s="59">
        <f>IF(AE24=5,IF(AD37=1,1,0),0)</f>
        <v>0</v>
      </c>
      <c r="AF56" s="54">
        <f>SUM(B56:AE56)</f>
        <v>4</v>
      </c>
      <c r="AW56" s="57"/>
    </row>
    <row r="57" spans="1:49" s="54" customFormat="1" ht="38.25" hidden="1" customHeight="1" x14ac:dyDescent="0.2">
      <c r="A57" s="58"/>
      <c r="D57" s="59"/>
      <c r="G57" s="59"/>
      <c r="J57" s="59"/>
      <c r="M57" s="59"/>
      <c r="P57" s="59"/>
      <c r="S57" s="59"/>
      <c r="V57" s="59"/>
      <c r="Y57" s="59"/>
      <c r="AB57" s="59"/>
      <c r="AE57" s="59"/>
      <c r="AF57" s="58" t="s">
        <v>106</v>
      </c>
      <c r="AG57" s="702"/>
      <c r="AH57" s="702"/>
      <c r="AI57" s="702"/>
      <c r="AJ57" s="702"/>
      <c r="AK57" s="702"/>
      <c r="AW57" s="57"/>
    </row>
    <row r="58" spans="1:49" s="54" customFormat="1" ht="12.75" hidden="1" customHeight="1" x14ac:dyDescent="0.2">
      <c r="A58" s="54" t="s">
        <v>101</v>
      </c>
      <c r="B58" s="54">
        <f>IF(B24=1,B44,0)</f>
        <v>0</v>
      </c>
      <c r="D58" s="59">
        <f>IF(D24=1,B44,0)</f>
        <v>0</v>
      </c>
      <c r="E58" s="54">
        <f>IF(E24=1,E44,0)</f>
        <v>50</v>
      </c>
      <c r="G58" s="59">
        <f>IF(G24=1,E44,0)</f>
        <v>0</v>
      </c>
      <c r="H58" s="54">
        <f>IF(H24=1,H44,0)</f>
        <v>0</v>
      </c>
      <c r="J58" s="59">
        <f>IF(J24=1,H44,0)</f>
        <v>0</v>
      </c>
      <c r="K58" s="54">
        <f>IF(K24=1,K44,0)</f>
        <v>0</v>
      </c>
      <c r="M58" s="59">
        <f>IF(M24=1,K44,0)</f>
        <v>0</v>
      </c>
      <c r="N58" s="54">
        <f>IF(N24=1,N44,0)</f>
        <v>50</v>
      </c>
      <c r="P58" s="59">
        <f>IF(P24=1,N44,0)</f>
        <v>0</v>
      </c>
      <c r="Q58" s="54">
        <f>IF(Q24=1,Q44,0)</f>
        <v>0</v>
      </c>
      <c r="S58" s="59">
        <f>IF(S24=1,Q44,0)</f>
        <v>0</v>
      </c>
      <c r="T58" s="54">
        <f>IF(T24=1,T44,0)</f>
        <v>0</v>
      </c>
      <c r="V58" s="59">
        <f>IF(V24=1,T44,0)</f>
        <v>0</v>
      </c>
      <c r="W58" s="54">
        <f>IF(W24=1,W44,0)</f>
        <v>50</v>
      </c>
      <c r="Y58" s="59">
        <f>IF(Y24=1,W44,0)</f>
        <v>0</v>
      </c>
      <c r="Z58" s="54">
        <f>IF(Z24=1,Z44,0)</f>
        <v>0</v>
      </c>
      <c r="AB58" s="59">
        <f>IF(AB24=1,Z44,0)</f>
        <v>0</v>
      </c>
      <c r="AC58" s="54">
        <f>IF(AC24=1,AC44,0)</f>
        <v>50</v>
      </c>
      <c r="AE58" s="59">
        <f>IF(AE24=1,AC44,0)</f>
        <v>0</v>
      </c>
      <c r="AF58" s="54">
        <f>SUM(B58:AE58)</f>
        <v>200</v>
      </c>
      <c r="AW58" s="57"/>
    </row>
    <row r="59" spans="1:49" s="54" customFormat="1" ht="12.75" hidden="1" customHeight="1" x14ac:dyDescent="0.2">
      <c r="A59" s="54" t="s">
        <v>102</v>
      </c>
      <c r="B59" s="54">
        <f>IF(B24=2,B44,0)</f>
        <v>51</v>
      </c>
      <c r="D59" s="59">
        <f>IF(D24=2,B44,0)</f>
        <v>0</v>
      </c>
      <c r="E59" s="54">
        <f>IF(E24=2,E44,0)</f>
        <v>0</v>
      </c>
      <c r="G59" s="59">
        <f>IF(G24=2,E44,0)</f>
        <v>0</v>
      </c>
      <c r="H59" s="54">
        <f>IF(H24=2,H44,0)</f>
        <v>0</v>
      </c>
      <c r="J59" s="59">
        <f>IF(J24=2,H44,0)</f>
        <v>0</v>
      </c>
      <c r="K59" s="54">
        <f>IF(K24=2,K44,0)</f>
        <v>52</v>
      </c>
      <c r="M59" s="59">
        <f>IF(M24=2,K44,0)</f>
        <v>0</v>
      </c>
      <c r="N59" s="54">
        <f>IF(N24=2,N44,0)</f>
        <v>0</v>
      </c>
      <c r="P59" s="59">
        <f>IF(P24=2,N44,0)</f>
        <v>0</v>
      </c>
      <c r="Q59" s="54">
        <f>IF(Q24=2,Q44,0)</f>
        <v>0</v>
      </c>
      <c r="S59" s="59">
        <f>IF(S24=2,Q44,0)</f>
        <v>0</v>
      </c>
      <c r="T59" s="54">
        <f>IF(T24=2,T44,0)</f>
        <v>51</v>
      </c>
      <c r="V59" s="59">
        <f>IF(V24=2,T44,0)</f>
        <v>0</v>
      </c>
      <c r="W59" s="54">
        <f>IF(W24=2,W44,0)</f>
        <v>0</v>
      </c>
      <c r="Y59" s="59">
        <f>IF(Y24=2,W44,0)</f>
        <v>0</v>
      </c>
      <c r="Z59" s="54">
        <f>IF(Z24=2,Z44,0)</f>
        <v>0</v>
      </c>
      <c r="AB59" s="59">
        <f>IF(AB24=2,Z44,0)</f>
        <v>0</v>
      </c>
      <c r="AC59" s="54">
        <f>IF(AC24=2,AC44,0)</f>
        <v>0</v>
      </c>
      <c r="AE59" s="59">
        <f>IF(AE24=2,AC44,0)</f>
        <v>50</v>
      </c>
      <c r="AF59" s="54">
        <f>SUM(B59:AE59)</f>
        <v>204</v>
      </c>
      <c r="AW59" s="57"/>
    </row>
    <row r="60" spans="1:49" s="54" customFormat="1" ht="12.75" hidden="1" customHeight="1" x14ac:dyDescent="0.2">
      <c r="A60" s="54" t="s">
        <v>103</v>
      </c>
      <c r="B60" s="54">
        <f>IF(B24=3,B44,0)</f>
        <v>0</v>
      </c>
      <c r="D60" s="59">
        <f>IF(D24=3,B44,0)</f>
        <v>0</v>
      </c>
      <c r="E60" s="54">
        <f>IF(E24=3,E44,0)</f>
        <v>0</v>
      </c>
      <c r="G60" s="59">
        <f>IF(G24=3,E44,0)</f>
        <v>0</v>
      </c>
      <c r="H60" s="54">
        <f>IF(H24=3,H44,0)</f>
        <v>50</v>
      </c>
      <c r="J60" s="59">
        <f>IF(J24=3,H44,0)</f>
        <v>0</v>
      </c>
      <c r="K60" s="54">
        <f>IF(K24=3,K44,0)</f>
        <v>0</v>
      </c>
      <c r="M60" s="59">
        <f>IF(M24=3,K44,0)</f>
        <v>0</v>
      </c>
      <c r="N60" s="54">
        <f>IF(N24=3,N44,0)</f>
        <v>0</v>
      </c>
      <c r="P60" s="59">
        <f>IF(P24=3,N44,0)</f>
        <v>50</v>
      </c>
      <c r="Q60" s="54">
        <f>IF(Q24=3,Q44,0)</f>
        <v>0</v>
      </c>
      <c r="S60" s="59">
        <f>IF(S24=3,Q44,0)</f>
        <v>0</v>
      </c>
      <c r="T60" s="54">
        <f>IF(T24=3,T44,0)</f>
        <v>0</v>
      </c>
      <c r="V60" s="59">
        <f>IF(V24=3,T44,0)</f>
        <v>51</v>
      </c>
      <c r="W60" s="54">
        <f>IF(W24=3,W44,0)</f>
        <v>0</v>
      </c>
      <c r="Y60" s="59">
        <f>IF(Y24=3,W44,0)</f>
        <v>0</v>
      </c>
      <c r="Z60" s="54">
        <f>IF(Z24=3,Z44,0)</f>
        <v>50</v>
      </c>
      <c r="AB60" s="59">
        <f>IF(AB24=3,Z44,0)</f>
        <v>0</v>
      </c>
      <c r="AC60" s="54">
        <f>IF(AC24=3,AC44,0)</f>
        <v>0</v>
      </c>
      <c r="AE60" s="59">
        <f>IF(AE24=3,AC44,0)</f>
        <v>0</v>
      </c>
      <c r="AF60" s="54">
        <f>SUM(B60:AE60)</f>
        <v>201</v>
      </c>
      <c r="AW60" s="57"/>
    </row>
    <row r="61" spans="1:49" s="54" customFormat="1" ht="12.75" hidden="1" customHeight="1" x14ac:dyDescent="0.2">
      <c r="A61" s="54" t="s">
        <v>104</v>
      </c>
      <c r="B61" s="54">
        <f>IF(B24=4,B44,0)</f>
        <v>0</v>
      </c>
      <c r="D61" s="59">
        <f>IF(D24=4,B44,0)</f>
        <v>0</v>
      </c>
      <c r="E61" s="54">
        <f>IF(E24=4,E44,0)</f>
        <v>0</v>
      </c>
      <c r="G61" s="59">
        <f>IF(G24=4,E44,0)</f>
        <v>50</v>
      </c>
      <c r="H61" s="54">
        <f>IF(H24=4,H44,0)</f>
        <v>0</v>
      </c>
      <c r="J61" s="59">
        <f>IF(J24=4,H44,0)</f>
        <v>0</v>
      </c>
      <c r="K61" s="54">
        <f>IF(K24=4,K44,0)</f>
        <v>0</v>
      </c>
      <c r="M61" s="59">
        <f>IF(M24=4,K44,0)</f>
        <v>52</v>
      </c>
      <c r="N61" s="54">
        <f>IF(N24=4,N44,0)</f>
        <v>0</v>
      </c>
      <c r="P61" s="59">
        <f>IF(P24=4,N44,0)</f>
        <v>0</v>
      </c>
      <c r="Q61" s="54">
        <f>IF(Q24=4,Q44,0)</f>
        <v>50</v>
      </c>
      <c r="S61" s="59">
        <f>IF(S24=4,Q44,0)</f>
        <v>0</v>
      </c>
      <c r="T61" s="54">
        <f>IF(T24=4,T44,0)</f>
        <v>0</v>
      </c>
      <c r="V61" s="59">
        <f>IF(V24=4,T44,0)</f>
        <v>0</v>
      </c>
      <c r="W61" s="54">
        <f>IF(W24=4,W44,0)</f>
        <v>0</v>
      </c>
      <c r="Y61" s="59">
        <f>IF(Y24=4,W44,0)</f>
        <v>0</v>
      </c>
      <c r="Z61" s="54">
        <f>IF(Z24=4,Z44,0)</f>
        <v>0</v>
      </c>
      <c r="AB61" s="59">
        <f>IF(AB24=4,Z44,0)</f>
        <v>50</v>
      </c>
      <c r="AC61" s="54">
        <f>IF(AC24=4,AC44,0)</f>
        <v>0</v>
      </c>
      <c r="AE61" s="59">
        <f>IF(AE24=4,AC44,0)</f>
        <v>0</v>
      </c>
      <c r="AF61" s="54">
        <f>SUM(B61:AE61)</f>
        <v>202</v>
      </c>
      <c r="AW61" s="57"/>
    </row>
    <row r="62" spans="1:49" s="54" customFormat="1" ht="12.75" hidden="1" customHeight="1" x14ac:dyDescent="0.2">
      <c r="A62" s="54" t="s">
        <v>105</v>
      </c>
      <c r="B62" s="54">
        <f>IF(B24=5,B44,0)</f>
        <v>0</v>
      </c>
      <c r="D62" s="59">
        <f>IF(D24=5,B44,0)</f>
        <v>51</v>
      </c>
      <c r="E62" s="54">
        <f>IF(E24=5,E44,0)</f>
        <v>0</v>
      </c>
      <c r="G62" s="59">
        <f>IF(G24=5,E44,0)</f>
        <v>0</v>
      </c>
      <c r="H62" s="54">
        <f>IF(H24=5,H44,0)</f>
        <v>0</v>
      </c>
      <c r="J62" s="59">
        <f>IF(J24=5,H44,0)</f>
        <v>50</v>
      </c>
      <c r="K62" s="54">
        <f>IF(K24=5,K44,0)</f>
        <v>0</v>
      </c>
      <c r="M62" s="59">
        <f>IF(M24=5,K44,0)</f>
        <v>0</v>
      </c>
      <c r="N62" s="54">
        <f>IF(N24=5,N44,0)</f>
        <v>0</v>
      </c>
      <c r="P62" s="59">
        <f>IF(P24=5,N44,0)</f>
        <v>0</v>
      </c>
      <c r="Q62" s="54">
        <f>IF(Q24=5,Q44,0)</f>
        <v>0</v>
      </c>
      <c r="S62" s="59">
        <f>IF(S24=5,Q44,0)</f>
        <v>50</v>
      </c>
      <c r="T62" s="54">
        <f>IF(T24=5,T44,0)</f>
        <v>0</v>
      </c>
      <c r="V62" s="59">
        <f>IF(V24=5,T44,0)</f>
        <v>0</v>
      </c>
      <c r="W62" s="54">
        <f>IF(W24=5,W44,0)</f>
        <v>0</v>
      </c>
      <c r="Y62" s="59">
        <f>IF(Y24=5,W44,0)</f>
        <v>50</v>
      </c>
      <c r="Z62" s="54">
        <f>IF(Z24=5,Z44,0)</f>
        <v>0</v>
      </c>
      <c r="AB62" s="59">
        <f>IF(AB24=5,Z44,0)</f>
        <v>0</v>
      </c>
      <c r="AC62" s="54">
        <f>IF(AC24=5,AC44,0)</f>
        <v>0</v>
      </c>
      <c r="AE62" s="59">
        <f>IF(AE24=5,AC44,0)</f>
        <v>0</v>
      </c>
      <c r="AF62" s="54">
        <f>SUM(B62:AE62)</f>
        <v>201</v>
      </c>
      <c r="AW62" s="57"/>
    </row>
    <row r="63" spans="1:49" s="54" customFormat="1" ht="38.25" hidden="1" customHeight="1" x14ac:dyDescent="0.2">
      <c r="A63" s="54" t="s">
        <v>107</v>
      </c>
      <c r="D63" s="59"/>
      <c r="G63" s="59"/>
      <c r="J63" s="59"/>
      <c r="M63" s="59"/>
      <c r="P63" s="59"/>
      <c r="S63" s="59"/>
      <c r="V63" s="59"/>
      <c r="Y63" s="59"/>
      <c r="AB63" s="59"/>
      <c r="AE63" s="59"/>
      <c r="AF63" s="58" t="s">
        <v>108</v>
      </c>
      <c r="AG63" s="54" t="s">
        <v>109</v>
      </c>
      <c r="AW63" s="57"/>
    </row>
    <row r="64" spans="1:49" s="54" customFormat="1" ht="12.75" hidden="1" customHeight="1" x14ac:dyDescent="0.2">
      <c r="A64" s="54" t="s">
        <v>95</v>
      </c>
      <c r="B64" s="54">
        <f>IF(B24=1,SUMIF(B31:B35,"&gt;0"),0)</f>
        <v>0</v>
      </c>
      <c r="D64" s="59">
        <f>IF(D24=1,SUMIF(D31:D35,"&gt;0"),0)</f>
        <v>0</v>
      </c>
      <c r="E64" s="54">
        <f>IF(E24=1,SUMIF(E31:E35,"&gt;0"),0)</f>
        <v>1</v>
      </c>
      <c r="G64" s="59">
        <f>IF(G24=1,SUMIF(G31:G35,"&gt;0"),0)</f>
        <v>0</v>
      </c>
      <c r="H64" s="54">
        <f>IF(H24=1,SUMIF(H31:H35,"&gt;0"),0)</f>
        <v>0</v>
      </c>
      <c r="J64" s="59">
        <f>IF(J24=1,SUMIF(J31:J35,"&gt;0"),0)</f>
        <v>0</v>
      </c>
      <c r="K64" s="54">
        <f>IF(K24=1,SUMIF(K31:K35,"&gt;0"),0)</f>
        <v>0</v>
      </c>
      <c r="M64" s="59">
        <f>IF(M24=1,SUMIF(M31:M35,"&gt;0"),0)</f>
        <v>0</v>
      </c>
      <c r="N64" s="54">
        <f>IF(N24=1,SUMIF(N31:N35,"&gt;0"),0)</f>
        <v>2</v>
      </c>
      <c r="P64" s="59">
        <f>IF(P24=1,SUMIF(P31:P35,"&gt;0"),0)</f>
        <v>0</v>
      </c>
      <c r="Q64" s="54">
        <f>IF(Q24=1,SUMIF(Q31:Q35,"&gt;0"),0)</f>
        <v>0</v>
      </c>
      <c r="S64" s="59">
        <f>IF(S24=1,SUMIF(S31:S35,"&gt;0"),0)</f>
        <v>0</v>
      </c>
      <c r="T64" s="54">
        <f>IF(T24=1,SUMIF(T31:T35,"&gt;0"),0)</f>
        <v>0</v>
      </c>
      <c r="V64" s="59">
        <f>IF(V24=1,SUMIF(V31:V35,"&gt;0"),0)</f>
        <v>0</v>
      </c>
      <c r="W64" s="54">
        <f>IF(W24=1,SUMIF(W31:W35,"&gt;0"),0)</f>
        <v>2</v>
      </c>
      <c r="Y64" s="59">
        <f>IF(Y24=1,SUMIF(Y31:Y35,"&gt;0"),0)</f>
        <v>0</v>
      </c>
      <c r="Z64" s="54">
        <f>IF(Z24=1,SUMIF(Z31:Z35,"&gt;0"),0)</f>
        <v>0</v>
      </c>
      <c r="AB64" s="59">
        <f>IF(AB24=1,SUMIF(AB31:AB35,"&gt;0"),0)</f>
        <v>0</v>
      </c>
      <c r="AC64" s="54">
        <f>IF(AC24=1,SUMIF(AC31:AC35,"&gt;0"),0)</f>
        <v>1</v>
      </c>
      <c r="AE64" s="59">
        <f>IF(AE24=1,SUMIF(AE31:AE35,"&gt;0"),0)</f>
        <v>0</v>
      </c>
      <c r="AF64" s="54">
        <f>SUM(B64:AE64)</f>
        <v>6</v>
      </c>
      <c r="AG64" s="54">
        <f>AF72-AF64</f>
        <v>2</v>
      </c>
      <c r="AW64" s="57"/>
    </row>
    <row r="65" spans="1:54" s="54" customFormat="1" ht="12.75" hidden="1" customHeight="1" x14ac:dyDescent="0.2">
      <c r="A65" s="54" t="s">
        <v>96</v>
      </c>
      <c r="B65" s="54">
        <f>IF(B24=2,SUMIF(B31:B35,"&gt;0"),0)</f>
        <v>2</v>
      </c>
      <c r="D65" s="59">
        <f>IF(D24=2,SUMIF(D31:D35,"&gt;0"),0)</f>
        <v>0</v>
      </c>
      <c r="E65" s="54">
        <f>IF(E24=2,SUMIF(E31:E35,"&gt;0"),0)</f>
        <v>0</v>
      </c>
      <c r="G65" s="59">
        <f>IF(G24=2,SUMIF(G31:G35,"&gt;0"),0)</f>
        <v>0</v>
      </c>
      <c r="H65" s="54">
        <f>IF(H24=2,SUMIF(H31:H35,"&gt;0"),0)</f>
        <v>0</v>
      </c>
      <c r="J65" s="59">
        <f>IF(J24=2,SUMIF(J31:J35,"&gt;0"),0)</f>
        <v>0</v>
      </c>
      <c r="K65" s="54">
        <f>IF(K24=2,SUMIF(K31:K35,"&gt;0"),0)</f>
        <v>1</v>
      </c>
      <c r="M65" s="59">
        <f>IF(M24=2,SUMIF(M31:M35,"&gt;0"),0)</f>
        <v>0</v>
      </c>
      <c r="N65" s="54">
        <f>IF(N24=2,SUMIF(N31:N35,"&gt;0"),0)</f>
        <v>0</v>
      </c>
      <c r="P65" s="59">
        <f>IF(P24=2,SUMIF(P31:P35,"&gt;0"),0)</f>
        <v>0</v>
      </c>
      <c r="Q65" s="54">
        <f>IF(Q24=2,SUMIF(Q31:Q35,"&gt;0"),0)</f>
        <v>0</v>
      </c>
      <c r="S65" s="59">
        <f>IF(S24=2,SUMIF(S31:S35,"&gt;0"),0)</f>
        <v>0</v>
      </c>
      <c r="T65" s="54">
        <f>IF(T24=2,SUMIF(T31:T35,"&gt;0"),0)</f>
        <v>1</v>
      </c>
      <c r="V65" s="59">
        <f>IF(V24=2,SUMIF(V31:V35,"&gt;0"),0)</f>
        <v>0</v>
      </c>
      <c r="W65" s="54">
        <f>IF(W24=2,SUMIF(W31:W35,"&gt;0"),0)</f>
        <v>0</v>
      </c>
      <c r="Y65" s="59">
        <f>IF(Y24=2,SUMIF(Y31:Y35,"&gt;0"),0)</f>
        <v>0</v>
      </c>
      <c r="Z65" s="54">
        <f>IF(Z24=2,SUMIF(Z31:Z35,"&gt;0"),0)</f>
        <v>0</v>
      </c>
      <c r="AB65" s="59">
        <f>IF(AB24=2,SUMIF(AB31:AB35,"&gt;0"),0)</f>
        <v>0</v>
      </c>
      <c r="AC65" s="54">
        <f>IF(AC24=2,SUMIF(AC31:AC35,"&gt;0"),0)</f>
        <v>0</v>
      </c>
      <c r="AE65" s="59">
        <f>IF(AE24=2,SUMIF(AE31:AE35,"&gt;0"),0)</f>
        <v>1</v>
      </c>
      <c r="AF65" s="54">
        <f>SUM(B65:AE65)</f>
        <v>5</v>
      </c>
      <c r="AG65" s="54">
        <f>AF73-AF65</f>
        <v>3</v>
      </c>
      <c r="AW65" s="57"/>
    </row>
    <row r="66" spans="1:54" s="54" customFormat="1" ht="12.75" hidden="1" customHeight="1" x14ac:dyDescent="0.2">
      <c r="A66" s="54" t="s">
        <v>97</v>
      </c>
      <c r="B66" s="54">
        <f>IF(B24=3,SUMIF(B31:B35,"&gt;0"),0)</f>
        <v>0</v>
      </c>
      <c r="D66" s="59">
        <f>IF(D24=3,SUMIF(D31:D35,"&gt;0"),0)</f>
        <v>0</v>
      </c>
      <c r="E66" s="54">
        <f>IF(E24=3,SUMIF(E31:E35,"&gt;0"),0)</f>
        <v>0</v>
      </c>
      <c r="G66" s="59">
        <f>IF(G24=3,SUMIF(G31:G35,"&gt;0"),0)</f>
        <v>0</v>
      </c>
      <c r="H66" s="54">
        <f>IF(H24=3,SUMIF(H31:H35,"&gt;0"),0)</f>
        <v>2</v>
      </c>
      <c r="J66" s="59">
        <f>IF(J24=3,SUMIF(J31:J35,"&gt;0"),0)</f>
        <v>0</v>
      </c>
      <c r="K66" s="54">
        <f>IF(K24=3,SUMIF(K31:K35,"&gt;0"),0)</f>
        <v>0</v>
      </c>
      <c r="M66" s="59">
        <f>IF(M24=3,SUMIF(M31:M35,"&gt;0"),0)</f>
        <v>0</v>
      </c>
      <c r="N66" s="54">
        <f>IF(N24=3,SUMIF(N31:N35,"&gt;0"),0)</f>
        <v>0</v>
      </c>
      <c r="P66" s="59">
        <f>IF(P24=3,SUMIF(P31:P35,"&gt;0"),0)</f>
        <v>0</v>
      </c>
      <c r="Q66" s="54">
        <f>IF(Q24=3,SUMIF(Q31:Q35,"&gt;0"),0)</f>
        <v>0</v>
      </c>
      <c r="S66" s="59">
        <f>IF(S24=3,SUMIF(S31:S35,"&gt;0"),0)</f>
        <v>0</v>
      </c>
      <c r="T66" s="54">
        <f>IF(T24=3,SUMIF(T31:T35,"&gt;0"),0)</f>
        <v>0</v>
      </c>
      <c r="V66" s="59">
        <f>IF(V24=3,SUMIF(V31:V35,"&gt;0"),0)</f>
        <v>1</v>
      </c>
      <c r="W66" s="54">
        <f>IF(W24=3,SUMIF(W31:W35,"&gt;0"),0)</f>
        <v>0</v>
      </c>
      <c r="Y66" s="59">
        <f>IF(Y24=3,SUMIF(Y31:Y35,"&gt;0"),0)</f>
        <v>0</v>
      </c>
      <c r="Z66" s="54">
        <f>IF(Z24=3,SUMIF(Z31:Z35,"&gt;0"),0)</f>
        <v>1</v>
      </c>
      <c r="AB66" s="59">
        <f>IF(AB24=3,SUMIF(AB31:AB35,"&gt;0"),0)</f>
        <v>0</v>
      </c>
      <c r="AC66" s="54">
        <f>IF(AC24=3,SUMIF(AC31:AC35,"&gt;0"),0)</f>
        <v>0</v>
      </c>
      <c r="AE66" s="59">
        <f>IF(AE24=3,SUMIF(AE31:AE35,"&gt;0"),0)</f>
        <v>0</v>
      </c>
      <c r="AF66" s="54">
        <f>SUM(B66:AE66)</f>
        <v>4</v>
      </c>
      <c r="AG66" s="54">
        <f>AF74-AF66</f>
        <v>4</v>
      </c>
      <c r="AW66" s="57"/>
    </row>
    <row r="67" spans="1:54" s="54" customFormat="1" ht="12.75" hidden="1" customHeight="1" x14ac:dyDescent="0.2">
      <c r="A67" s="54" t="s">
        <v>98</v>
      </c>
      <c r="B67" s="54">
        <f>IF(B24=4,SUMIF(B31:B35,"&gt;0"),0)</f>
        <v>0</v>
      </c>
      <c r="D67" s="59">
        <f>IF(D24=4,SUMIF(D31:D35,"&gt;0"),0)</f>
        <v>0</v>
      </c>
      <c r="E67" s="54">
        <f>IF(E24=4,SUMIF(E31:E35,"&gt;0"),0)</f>
        <v>0</v>
      </c>
      <c r="G67" s="59">
        <f>IF(G24=4,SUMIF(G31:G35,"&gt;0"),0)</f>
        <v>1</v>
      </c>
      <c r="H67" s="54">
        <f>IF(H24=4,SUMIF(H31:H35,"&gt;0"),0)</f>
        <v>0</v>
      </c>
      <c r="J67" s="59">
        <f>IF(J24=4,SUMIF(J31:J35,"&gt;0"),0)</f>
        <v>0</v>
      </c>
      <c r="K67" s="54">
        <f>IF(K24=4,SUMIF(K31:K35,"&gt;0"),0)</f>
        <v>0</v>
      </c>
      <c r="M67" s="59">
        <f>IF(M24=4,SUMIF(M31:M35,"&gt;0"),0)</f>
        <v>1</v>
      </c>
      <c r="N67" s="54">
        <f>IF(N24=4,SUMIF(N31:N35,"&gt;0"),0)</f>
        <v>0</v>
      </c>
      <c r="P67" s="59">
        <f>IF(P24=4,SUMIF(P31:P35,"&gt;0"),0)</f>
        <v>0</v>
      </c>
      <c r="Q67" s="54">
        <f>IF(Q24=4,SUMIF(Q31:Q35,"&gt;0"),0)</f>
        <v>2</v>
      </c>
      <c r="S67" s="59">
        <f>IF(S24=4,SUMIF(S31:S35,"&gt;0"),0)</f>
        <v>0</v>
      </c>
      <c r="T67" s="54">
        <f>IF(T24=4,SUMIF(T31:T35,"&gt;0"),0)</f>
        <v>0</v>
      </c>
      <c r="V67" s="59">
        <f>IF(V24=4,SUMIF(V31:V35,"&gt;0"),0)</f>
        <v>0</v>
      </c>
      <c r="W67" s="54">
        <f>IF(W24=4,SUMIF(W31:W35,"&gt;0"),0)</f>
        <v>0</v>
      </c>
      <c r="Y67" s="59">
        <f>IF(Y24=4,SUMIF(Y31:Y35,"&gt;0"),0)</f>
        <v>0</v>
      </c>
      <c r="Z67" s="54">
        <f>IF(Z24=4,SUMIF(Z31:Z35,"&gt;0"),0)</f>
        <v>0</v>
      </c>
      <c r="AB67" s="59">
        <f>IF(AB24=4,SUMIF(AB31:AB35,"&gt;0"),0)</f>
        <v>1</v>
      </c>
      <c r="AC67" s="54">
        <f>IF(AC24=4,SUMIF(AC31:AC35,"&gt;0"),0)</f>
        <v>0</v>
      </c>
      <c r="AE67" s="59">
        <f>IF(AE24=4,SUMIF(AE31:AE35,"&gt;0"),0)</f>
        <v>0</v>
      </c>
      <c r="AF67" s="54">
        <f>SUM(B67:AE67)</f>
        <v>5</v>
      </c>
      <c r="AG67" s="54">
        <f>AF75-AF67</f>
        <v>3</v>
      </c>
      <c r="AW67" s="57"/>
    </row>
    <row r="68" spans="1:54" s="54" customFormat="1" ht="12.75" hidden="1" customHeight="1" x14ac:dyDescent="0.2">
      <c r="A68" s="54" t="s">
        <v>99</v>
      </c>
      <c r="B68" s="54">
        <f>IF(B24=5,SUMIF(B31:B35,"&gt;0"),0)</f>
        <v>0</v>
      </c>
      <c r="D68" s="59">
        <f>IF(D24=5,SUMIF(D31:D35,"&gt;0"),0)</f>
        <v>0</v>
      </c>
      <c r="E68" s="54">
        <f>IF(E24=5,SUMIF(E31:E35,"&gt;0"),0)</f>
        <v>0</v>
      </c>
      <c r="G68" s="59">
        <f>IF(G24=5,SUMIF(G31:G35,"&gt;0"),0)</f>
        <v>0</v>
      </c>
      <c r="H68" s="54">
        <f>IF(H24=5,SUMIF(H31:H35,"&gt;0"),0)</f>
        <v>0</v>
      </c>
      <c r="J68" s="59">
        <f>IF(J24=5,SUMIF(J31:J35,"&gt;0"),0)</f>
        <v>0</v>
      </c>
      <c r="K68" s="54">
        <f>IF(K24=5,SUMIF(K31:K35,"&gt;0"),0)</f>
        <v>0</v>
      </c>
      <c r="M68" s="59">
        <f>IF(M24=5,SUMIF(M31:M35,"&gt;0"),0)</f>
        <v>0</v>
      </c>
      <c r="N68" s="54">
        <f>IF(N24=5,SUMIF(N31:N35,"&gt;0"),0)</f>
        <v>0</v>
      </c>
      <c r="P68" s="59">
        <f>IF(P24=5,SUMIF(P31:P35,"&gt;0"),0)</f>
        <v>0</v>
      </c>
      <c r="Q68" s="54">
        <f>IF(Q24=5,SUMIF(Q31:Q35,"&gt;0"),0)</f>
        <v>0</v>
      </c>
      <c r="S68" s="59">
        <f>IF(S24=5,SUMIF(S31:S35,"&gt;0"),0)</f>
        <v>0</v>
      </c>
      <c r="T68" s="54">
        <f>IF(T24=5,SUMIF(T31:T35,"&gt;0"),0)</f>
        <v>0</v>
      </c>
      <c r="V68" s="59">
        <f>IF(V24=5,SUMIF(V31:V35,"&gt;0"),0)</f>
        <v>0</v>
      </c>
      <c r="W68" s="54">
        <f>IF(W24=5,SUMIF(W31:W35,"&gt;0"),0)</f>
        <v>0</v>
      </c>
      <c r="Y68" s="59">
        <f>IF(Y24=5,SUMIF(Y31:Y35,"&gt;0"),0)</f>
        <v>0</v>
      </c>
      <c r="Z68" s="54">
        <f>IF(Z24=5,SUMIF(Z31:Z35,"&gt;0"),0)</f>
        <v>0</v>
      </c>
      <c r="AB68" s="59">
        <f>IF(AB24=5,SUMIF(AB31:AB35,"&gt;0"),0)</f>
        <v>0</v>
      </c>
      <c r="AC68" s="54">
        <f>IF(AC24=5,SUMIF(AC31:AC35,"&gt;0"),0)</f>
        <v>0</v>
      </c>
      <c r="AE68" s="59">
        <f>IF(AE24=5,SUMIF(AE31:AE35,"&gt;0"),0)</f>
        <v>0</v>
      </c>
      <c r="AF68" s="54">
        <f>SUM(B68:AE68)</f>
        <v>0</v>
      </c>
      <c r="AG68" s="54">
        <f>AF76-AF68</f>
        <v>8</v>
      </c>
      <c r="AW68" s="57"/>
    </row>
    <row r="69" spans="1:54" s="54" customFormat="1" ht="12.75" hidden="1" customHeight="1" x14ac:dyDescent="0.2">
      <c r="D69" s="59"/>
      <c r="G69" s="59"/>
      <c r="J69" s="59"/>
      <c r="M69" s="59"/>
      <c r="P69" s="59"/>
      <c r="S69" s="59"/>
      <c r="V69" s="59"/>
      <c r="Y69" s="59"/>
      <c r="AB69" s="59"/>
      <c r="AE69" s="59"/>
      <c r="AW69" s="57"/>
    </row>
    <row r="70" spans="1:54" s="54" customFormat="1" ht="12.75" hidden="1" customHeight="1" x14ac:dyDescent="0.2">
      <c r="D70" s="59"/>
      <c r="G70" s="59"/>
      <c r="J70" s="59"/>
      <c r="M70" s="59"/>
      <c r="P70" s="59"/>
      <c r="S70" s="59"/>
      <c r="V70" s="59"/>
      <c r="Y70" s="59"/>
      <c r="AB70" s="59"/>
      <c r="AE70" s="59"/>
      <c r="AW70" s="57"/>
    </row>
    <row r="71" spans="1:54" s="54" customFormat="1" ht="51" hidden="1" customHeight="1" x14ac:dyDescent="0.2">
      <c r="A71" s="58" t="s">
        <v>110</v>
      </c>
      <c r="C71" s="54">
        <f>SUMIF(B64:D68,"&gt;0")</f>
        <v>2</v>
      </c>
      <c r="D71" s="59"/>
      <c r="F71" s="54">
        <f>SUMIF(E64:G68,"&gt;0")</f>
        <v>2</v>
      </c>
      <c r="G71" s="59"/>
      <c r="I71" s="54">
        <f>SUMIF(H64:J68,"&gt;0")</f>
        <v>2</v>
      </c>
      <c r="J71" s="59"/>
      <c r="L71" s="54">
        <f>SUMIF(K64:M68,"&gt;0")</f>
        <v>2</v>
      </c>
      <c r="M71" s="59"/>
      <c r="O71" s="54">
        <f>SUMIF(N64:P68,"&gt;0")</f>
        <v>2</v>
      </c>
      <c r="P71" s="59"/>
      <c r="R71" s="54">
        <f>SUMIF(Q64:S68,"&gt;0")</f>
        <v>2</v>
      </c>
      <c r="S71" s="59"/>
      <c r="U71" s="54">
        <f>SUMIF(T64:V68,"&gt;0")</f>
        <v>2</v>
      </c>
      <c r="V71" s="59"/>
      <c r="X71" s="54">
        <f>SUMIF(W64:Y68,"&gt;0")</f>
        <v>2</v>
      </c>
      <c r="Y71" s="59"/>
      <c r="AA71" s="54">
        <f>SUMIF(Z64:AB68,"&gt;0")</f>
        <v>2</v>
      </c>
      <c r="AB71" s="59"/>
      <c r="AD71" s="54">
        <f>SUMIF(AC64:AE68,"&gt;0")</f>
        <v>2</v>
      </c>
      <c r="AE71" s="59"/>
      <c r="AF71" s="58" t="s">
        <v>111</v>
      </c>
      <c r="AW71" s="57"/>
    </row>
    <row r="72" spans="1:54" s="54" customFormat="1" ht="12.75" hidden="1" customHeight="1" x14ac:dyDescent="0.2">
      <c r="A72" s="54" t="s">
        <v>101</v>
      </c>
      <c r="B72" s="54">
        <f>IF(B24=1,C71,0)</f>
        <v>0</v>
      </c>
      <c r="D72" s="59">
        <f>IF(D24=1,C71,0)</f>
        <v>0</v>
      </c>
      <c r="E72" s="54">
        <f>IF(E24=1,F71,0)</f>
        <v>2</v>
      </c>
      <c r="G72" s="59">
        <f>IF(G24=1,F71,0)</f>
        <v>0</v>
      </c>
      <c r="H72" s="54">
        <f>IF(H24=1,I71,0)</f>
        <v>0</v>
      </c>
      <c r="J72" s="59">
        <f>IF(J24=1,I71,0)</f>
        <v>0</v>
      </c>
      <c r="K72" s="54">
        <f>IF(K24=1,L71,0)</f>
        <v>0</v>
      </c>
      <c r="M72" s="59">
        <f>IF(M24=1,L71,0)</f>
        <v>0</v>
      </c>
      <c r="N72" s="54">
        <f>IF(N24=1,O71,0)</f>
        <v>2</v>
      </c>
      <c r="P72" s="59">
        <f>IF(P24=1,O71,0)</f>
        <v>0</v>
      </c>
      <c r="Q72" s="54">
        <f>IF(Q24=1,R71,0)</f>
        <v>0</v>
      </c>
      <c r="S72" s="59">
        <f>IF(S24=1,R71,0)</f>
        <v>0</v>
      </c>
      <c r="T72" s="54">
        <f>IF(T24=1,U71,0)</f>
        <v>0</v>
      </c>
      <c r="V72" s="59">
        <f>IF(V24=1,U71,0)</f>
        <v>0</v>
      </c>
      <c r="W72" s="54">
        <f>IF(W24=1,X71,0)</f>
        <v>2</v>
      </c>
      <c r="Y72" s="59">
        <f>IF(Y24=1,X71,0)</f>
        <v>0</v>
      </c>
      <c r="Z72" s="54">
        <f>IF(Z24=1,AA71,0)</f>
        <v>0</v>
      </c>
      <c r="AB72" s="59">
        <f>IF(AB24=1,AA71,0)</f>
        <v>0</v>
      </c>
      <c r="AC72" s="54">
        <f>IF(AC24=1,AD71,0)</f>
        <v>2</v>
      </c>
      <c r="AE72" s="59">
        <f>IF(AE24=1,AD71,0)</f>
        <v>0</v>
      </c>
      <c r="AF72" s="54">
        <f>SUM(B72:AE72)</f>
        <v>8</v>
      </c>
      <c r="AW72" s="57"/>
    </row>
    <row r="73" spans="1:54" s="54" customFormat="1" ht="12.75" hidden="1" customHeight="1" x14ac:dyDescent="0.2">
      <c r="A73" s="54" t="s">
        <v>102</v>
      </c>
      <c r="B73" s="54">
        <f>IF(B24=2,C71,0)</f>
        <v>2</v>
      </c>
      <c r="D73" s="59">
        <f>IF(D24=2,C71,0)</f>
        <v>0</v>
      </c>
      <c r="E73" s="54">
        <f>IF(E24=2,F71,0)</f>
        <v>0</v>
      </c>
      <c r="G73" s="59">
        <f>IF(G24=2,F71,0)</f>
        <v>0</v>
      </c>
      <c r="H73" s="54">
        <f>IF(H24=2,I71,0)</f>
        <v>0</v>
      </c>
      <c r="J73" s="59">
        <f>IF(J24=2,I71,0)</f>
        <v>0</v>
      </c>
      <c r="K73" s="54">
        <f>IF(K24=2,L71,0)</f>
        <v>2</v>
      </c>
      <c r="M73" s="59">
        <f>IF(M24=2,L71,0)</f>
        <v>0</v>
      </c>
      <c r="N73" s="54">
        <f>IF(N24=2,O71,0)</f>
        <v>0</v>
      </c>
      <c r="P73" s="59">
        <f>IF(P24=2,O71,0)</f>
        <v>0</v>
      </c>
      <c r="Q73" s="54">
        <f>IF(Q24=2,R71,0)</f>
        <v>0</v>
      </c>
      <c r="S73" s="59">
        <f>IF(S24=2,R71,0)</f>
        <v>0</v>
      </c>
      <c r="T73" s="54">
        <f>IF(T24=2,U71,0)</f>
        <v>2</v>
      </c>
      <c r="V73" s="59">
        <f>IF(V24=2,U71,0)</f>
        <v>0</v>
      </c>
      <c r="W73" s="54">
        <f>IF(W24=2,X71,0)</f>
        <v>0</v>
      </c>
      <c r="Y73" s="59">
        <f>IF(Y24=2,X71,0)</f>
        <v>0</v>
      </c>
      <c r="Z73" s="54">
        <f>IF(Z24=2,AA71,0)</f>
        <v>0</v>
      </c>
      <c r="AB73" s="59">
        <f>IF(AB24=2,AA71,0)</f>
        <v>0</v>
      </c>
      <c r="AC73" s="54">
        <f>IF(AC24=2,AD71,0)</f>
        <v>0</v>
      </c>
      <c r="AE73" s="59">
        <f>IF(AE24=2,AD71,0)</f>
        <v>2</v>
      </c>
      <c r="AF73" s="54">
        <f>SUM(B73:AE73)</f>
        <v>8</v>
      </c>
      <c r="AW73" s="57"/>
    </row>
    <row r="74" spans="1:54" s="54" customFormat="1" ht="12.75" hidden="1" customHeight="1" x14ac:dyDescent="0.2">
      <c r="A74" s="54" t="s">
        <v>103</v>
      </c>
      <c r="B74" s="54">
        <f>IF(B24=3,C71,0)</f>
        <v>0</v>
      </c>
      <c r="D74" s="59">
        <f>IF(D24=3,C71,0)</f>
        <v>0</v>
      </c>
      <c r="E74" s="54">
        <f>IF(E24=3,F71,0)</f>
        <v>0</v>
      </c>
      <c r="G74" s="59">
        <f>IF(G24=3,F71,0)</f>
        <v>0</v>
      </c>
      <c r="H74" s="54">
        <f>IF(H24=3,I71,0)</f>
        <v>2</v>
      </c>
      <c r="J74" s="59">
        <f>IF(J24=3,I71,0)</f>
        <v>0</v>
      </c>
      <c r="K74" s="54">
        <f>IF(K24=3,L71,0)</f>
        <v>0</v>
      </c>
      <c r="M74" s="59">
        <f>IF(M24=3,L71,0)</f>
        <v>0</v>
      </c>
      <c r="N74" s="54">
        <f>IF(N24=3,O71,0)</f>
        <v>0</v>
      </c>
      <c r="P74" s="59">
        <f>IF(P24=3,O71,0)</f>
        <v>2</v>
      </c>
      <c r="Q74" s="54">
        <f>IF(Q24=3,R71,0)</f>
        <v>0</v>
      </c>
      <c r="S74" s="59">
        <f>IF(S24=3,R71,0)</f>
        <v>0</v>
      </c>
      <c r="T74" s="54">
        <f>IF(T24=3,U71,0)</f>
        <v>0</v>
      </c>
      <c r="V74" s="59">
        <f>IF(V24=3,U71,0)</f>
        <v>2</v>
      </c>
      <c r="W74" s="54">
        <f>IF(W24=3,X71,0)</f>
        <v>0</v>
      </c>
      <c r="Y74" s="59">
        <f>IF(Y24=3,X71,0)</f>
        <v>0</v>
      </c>
      <c r="Z74" s="54">
        <f>IF(Z24=3,AA71,0)</f>
        <v>2</v>
      </c>
      <c r="AB74" s="59">
        <f>IF(AB24=3,AA71,0)</f>
        <v>0</v>
      </c>
      <c r="AC74" s="54">
        <f>IF(AC24=3,AD71,0)</f>
        <v>0</v>
      </c>
      <c r="AE74" s="59">
        <f>IF(AE24=3,AD71,0)</f>
        <v>0</v>
      </c>
      <c r="AF74" s="54">
        <f>SUM(B74:AE74)</f>
        <v>8</v>
      </c>
      <c r="AW74" s="57"/>
    </row>
    <row r="75" spans="1:54" s="54" customFormat="1" ht="12.75" hidden="1" customHeight="1" x14ac:dyDescent="0.2">
      <c r="A75" s="54" t="s">
        <v>104</v>
      </c>
      <c r="B75" s="54">
        <f>IF(B24=4,C71,0)</f>
        <v>0</v>
      </c>
      <c r="D75" s="59">
        <f>IF(D24=4,C71,0)</f>
        <v>0</v>
      </c>
      <c r="E75" s="54">
        <f>IF(E24=4,F71,0)</f>
        <v>0</v>
      </c>
      <c r="G75" s="59">
        <f>IF(G24=4,F71,0)</f>
        <v>2</v>
      </c>
      <c r="H75" s="54">
        <f>IF(H24=4,I71,0)</f>
        <v>0</v>
      </c>
      <c r="J75" s="59">
        <f>IF(J24=4,I71,0)</f>
        <v>0</v>
      </c>
      <c r="K75" s="54">
        <f>IF(K24=4,L71,0)</f>
        <v>0</v>
      </c>
      <c r="M75" s="59">
        <f>IF(M24=4,L71,0)</f>
        <v>2</v>
      </c>
      <c r="N75" s="54">
        <f>IF(N24=4,O71,0)</f>
        <v>0</v>
      </c>
      <c r="P75" s="59">
        <f>IF(P24=4,O71,0)</f>
        <v>0</v>
      </c>
      <c r="Q75" s="54">
        <f>IF(Q24=4,R71,0)</f>
        <v>2</v>
      </c>
      <c r="S75" s="59">
        <f>IF(S24=4,R71,0)</f>
        <v>0</v>
      </c>
      <c r="T75" s="54">
        <f>IF(T24=4,U71,0)</f>
        <v>0</v>
      </c>
      <c r="V75" s="59">
        <f>IF(V24=4,U71,0)</f>
        <v>0</v>
      </c>
      <c r="W75" s="54">
        <f>IF(W24=4,X71,0)</f>
        <v>0</v>
      </c>
      <c r="Y75" s="59">
        <f>IF(Y24=4,X71,0)</f>
        <v>0</v>
      </c>
      <c r="Z75" s="54">
        <f>IF(Z24=4,AA71,0)</f>
        <v>0</v>
      </c>
      <c r="AB75" s="59">
        <f>IF(AB24=4,AA71,0)</f>
        <v>2</v>
      </c>
      <c r="AC75" s="54">
        <f>IF(AC24=4,AD71,0)</f>
        <v>0</v>
      </c>
      <c r="AE75" s="59">
        <f>IF(AE24=4,AD71,0)</f>
        <v>0</v>
      </c>
      <c r="AF75" s="54">
        <f>SUM(B75:AE75)</f>
        <v>8</v>
      </c>
      <c r="AW75" s="57"/>
    </row>
    <row r="76" spans="1:54" s="54" customFormat="1" ht="12.75" hidden="1" customHeight="1" x14ac:dyDescent="0.2">
      <c r="A76" s="54" t="s">
        <v>105</v>
      </c>
      <c r="B76" s="54">
        <f>IF(B24=5,C71,0)</f>
        <v>0</v>
      </c>
      <c r="D76" s="59">
        <f>IF(D24=5,C71,0)</f>
        <v>2</v>
      </c>
      <c r="E76" s="54">
        <f>IF(E24=5,F71,0)</f>
        <v>0</v>
      </c>
      <c r="G76" s="59">
        <f>IF(G24=5,F71,0)</f>
        <v>0</v>
      </c>
      <c r="H76" s="54">
        <f>IF(H24=5,I71,0)</f>
        <v>0</v>
      </c>
      <c r="J76" s="59">
        <f>IF(J24=5,I71,0)</f>
        <v>2</v>
      </c>
      <c r="K76" s="54">
        <f>IF(K24=5,L71,0)</f>
        <v>0</v>
      </c>
      <c r="M76" s="59">
        <f>IF(M24=5,L71,0)</f>
        <v>0</v>
      </c>
      <c r="N76" s="54">
        <f>IF(N24=5,O71,0)</f>
        <v>0</v>
      </c>
      <c r="P76" s="59">
        <f>IF(P24=5,O71,0)</f>
        <v>0</v>
      </c>
      <c r="Q76" s="54">
        <f>IF(Q24=5,R71,0)</f>
        <v>0</v>
      </c>
      <c r="S76" s="59">
        <f>IF(S24=5,R71,0)</f>
        <v>2</v>
      </c>
      <c r="T76" s="54">
        <f>IF(T24=5,U71,0)</f>
        <v>0</v>
      </c>
      <c r="V76" s="59">
        <f>IF(V24=5,U71,0)</f>
        <v>0</v>
      </c>
      <c r="W76" s="54">
        <f>IF(W24=5,X71,0)</f>
        <v>0</v>
      </c>
      <c r="Y76" s="59">
        <f>IF(Y24=5,X71,0)</f>
        <v>2</v>
      </c>
      <c r="Z76" s="54">
        <f>IF(Z24=5,AA71,0)</f>
        <v>0</v>
      </c>
      <c r="AB76" s="59">
        <f>IF(AB24=5,AA71,0)</f>
        <v>0</v>
      </c>
      <c r="AC76" s="54">
        <f>IF(AC24=5,AD71,0)</f>
        <v>0</v>
      </c>
      <c r="AE76" s="59">
        <f>IF(AE24=5,AD71,0)</f>
        <v>0</v>
      </c>
      <c r="AF76" s="54">
        <f>SUM(B76:AE76)</f>
        <v>8</v>
      </c>
      <c r="AW76" s="57"/>
    </row>
    <row r="77" spans="1:54" hidden="1" x14ac:dyDescent="0.2">
      <c r="A77" s="79"/>
      <c r="B77" s="79"/>
      <c r="C77" s="79"/>
      <c r="D77" s="79"/>
      <c r="E77" s="79"/>
      <c r="F77" s="79"/>
      <c r="G77" s="79"/>
      <c r="H77" s="79"/>
      <c r="I77" s="79"/>
      <c r="J77" s="79"/>
      <c r="K77" s="79"/>
      <c r="L77" s="79"/>
      <c r="M77" s="79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9"/>
      <c r="AB77" s="79"/>
      <c r="AC77" s="79"/>
      <c r="AD77" s="79"/>
      <c r="AE77" s="79"/>
      <c r="AF77" s="79"/>
      <c r="AG77" s="79"/>
      <c r="AH77" s="79"/>
      <c r="AI77" s="79"/>
      <c r="AJ77" s="79"/>
      <c r="AK77" s="79"/>
      <c r="AL77" s="79"/>
      <c r="AM77" s="79"/>
      <c r="AN77" s="80"/>
      <c r="AO77" s="80"/>
      <c r="AP77" s="80"/>
      <c r="AQ77" s="80"/>
      <c r="AR77" s="62"/>
      <c r="AS77" s="62"/>
      <c r="AT77" s="62"/>
      <c r="AU77" s="62"/>
      <c r="AV77" s="62"/>
      <c r="BB77" s="129"/>
    </row>
    <row r="78" spans="1:54" s="62" customFormat="1" hidden="1" x14ac:dyDescent="0.2">
      <c r="A78" s="63"/>
      <c r="B78" s="63"/>
      <c r="C78" s="63" t="s">
        <v>112</v>
      </c>
      <c r="D78" s="63">
        <v>1</v>
      </c>
      <c r="E78" s="63"/>
      <c r="F78" s="63"/>
      <c r="G78" s="63">
        <v>2</v>
      </c>
      <c r="H78" s="63"/>
      <c r="I78" s="63"/>
      <c r="J78" s="63">
        <v>3</v>
      </c>
      <c r="K78" s="63"/>
      <c r="L78" s="63"/>
      <c r="M78" s="63">
        <v>4</v>
      </c>
      <c r="N78" s="63"/>
      <c r="O78" s="63"/>
      <c r="P78" s="63">
        <v>5</v>
      </c>
      <c r="Q78" s="63"/>
      <c r="R78" s="63"/>
      <c r="S78" s="63">
        <v>6</v>
      </c>
      <c r="T78" s="63"/>
      <c r="U78" s="63"/>
      <c r="V78" s="63">
        <v>7</v>
      </c>
      <c r="W78" s="63"/>
      <c r="X78" s="63"/>
      <c r="Y78" s="63">
        <v>8</v>
      </c>
      <c r="Z78" s="63"/>
      <c r="AA78" s="63"/>
      <c r="AB78" s="63">
        <v>9</v>
      </c>
      <c r="AC78" s="63"/>
      <c r="AD78" s="63"/>
      <c r="AE78" s="63">
        <v>10</v>
      </c>
      <c r="AF78" s="4"/>
      <c r="AG78" s="63"/>
      <c r="AI78" s="64"/>
      <c r="AJ78" s="4"/>
      <c r="AK78" s="4"/>
      <c r="AL78" s="4"/>
      <c r="AM78" s="4"/>
      <c r="AN78" s="4"/>
      <c r="AO78" s="4"/>
      <c r="AT78" s="64" t="s">
        <v>113</v>
      </c>
      <c r="AW78" s="65"/>
      <c r="BB78" s="65"/>
    </row>
    <row r="79" spans="1:54" s="62" customFormat="1" hidden="1" x14ac:dyDescent="0.2">
      <c r="A79" s="66">
        <v>1</v>
      </c>
      <c r="B79" s="66" t="str">
        <f>E8</f>
        <v>Lake Murray 14 Black</v>
      </c>
      <c r="C79" s="66">
        <f>VLOOKUP(B79,AU$3:AY$12,3,FALSE)</f>
        <v>1800.3848611781038</v>
      </c>
      <c r="D79" s="66">
        <f>IF(B72,B87,IF(D72,D87,C79))</f>
        <v>1800.3848611781038</v>
      </c>
      <c r="E79" s="66"/>
      <c r="F79" s="66"/>
      <c r="G79" s="66">
        <f>IF(E72,E87,IF(G72,G87,D79))</f>
        <v>1790.1195354844895</v>
      </c>
      <c r="H79" s="66"/>
      <c r="I79" s="66"/>
      <c r="J79" s="66">
        <f>IF(H72,H87,IF(J72,J87,G79))</f>
        <v>1790.1195354844895</v>
      </c>
      <c r="K79" s="66"/>
      <c r="L79" s="66"/>
      <c r="M79" s="66">
        <f>IF(K72,K87,IF(M72,M87,J79))</f>
        <v>1790.1195354844895</v>
      </c>
      <c r="N79" s="66"/>
      <c r="O79" s="66"/>
      <c r="P79" s="66">
        <f>IF(N72,N87,IF(P72,P87,M79))</f>
        <v>1816.8196006161711</v>
      </c>
      <c r="Q79" s="66"/>
      <c r="R79" s="66"/>
      <c r="S79" s="66">
        <f>IF(Q72,Q87,IF(S72,S87,P79))</f>
        <v>1816.8196006161711</v>
      </c>
      <c r="T79" s="66"/>
      <c r="U79" s="66"/>
      <c r="V79" s="66">
        <f>IF(T72,T87,IF(V72,V87,S79))</f>
        <v>1816.8196006161711</v>
      </c>
      <c r="W79" s="66"/>
      <c r="X79" s="66"/>
      <c r="Y79" s="66">
        <f>IF(W72,W87,IF(Y72,Y87,V79))</f>
        <v>1830.0966744217048</v>
      </c>
      <c r="Z79" s="66"/>
      <c r="AA79" s="66"/>
      <c r="AB79" s="66">
        <f>IF(Z72,Z87,IF(AB72,AB87,Y79))</f>
        <v>1830.0966744217048</v>
      </c>
      <c r="AC79" s="66"/>
      <c r="AD79" s="66"/>
      <c r="AE79" s="66">
        <f>IF(AC72,AC87,IF(AE72,AE87,AB79))</f>
        <v>1827.2319232972654</v>
      </c>
      <c r="AF79" s="4"/>
      <c r="AG79" s="4"/>
      <c r="AJ79" s="4"/>
      <c r="AK79" s="4"/>
      <c r="AL79" s="4"/>
      <c r="AM79" s="4"/>
      <c r="AN79" s="4"/>
      <c r="AO79" s="4"/>
      <c r="AT79" s="62" t="str">
        <f>B79</f>
        <v>Lake Murray 14 Black</v>
      </c>
      <c r="AU79" s="62">
        <f>AE79</f>
        <v>1827.2319232972654</v>
      </c>
      <c r="AW79" s="65"/>
      <c r="BB79" s="65"/>
    </row>
    <row r="80" spans="1:54" s="62" customFormat="1" hidden="1" x14ac:dyDescent="0.2">
      <c r="A80" s="66">
        <v>2</v>
      </c>
      <c r="B80" s="66" t="str">
        <f>E10</f>
        <v>Sumter VBC 14</v>
      </c>
      <c r="C80" s="66">
        <f>VLOOKUP(B80,AU$3:AY$12,3,FALSE)</f>
        <v>1799.9656310899888</v>
      </c>
      <c r="D80" s="66">
        <f>IF(B73,B87,IF(D73,D87,C80))</f>
        <v>1819.0629511025238</v>
      </c>
      <c r="E80" s="66"/>
      <c r="F80" s="66"/>
      <c r="G80" s="66">
        <f>IF(E73,E87,IF(G73,G87,D80))</f>
        <v>1819.0629511025238</v>
      </c>
      <c r="H80" s="66"/>
      <c r="I80" s="66"/>
      <c r="J80" s="66">
        <f>IF(H73,H87,IF(J73,J87,G80))</f>
        <v>1819.0629511025238</v>
      </c>
      <c r="K80" s="66"/>
      <c r="L80" s="66"/>
      <c r="M80" s="66">
        <f>IF(K73,K87,IF(M73,M87,J80))</f>
        <v>1808.1080096263349</v>
      </c>
      <c r="N80" s="66"/>
      <c r="O80" s="66"/>
      <c r="P80" s="66">
        <f>IF(N73,N87,IF(P73,P87,M80))</f>
        <v>1808.1080096263349</v>
      </c>
      <c r="Q80" s="66"/>
      <c r="R80" s="66"/>
      <c r="S80" s="66">
        <f>IF(Q73,Q87,IF(S73,S87,P80))</f>
        <v>1808.1080096263349</v>
      </c>
      <c r="T80" s="66"/>
      <c r="U80" s="66"/>
      <c r="V80" s="66">
        <f>IF(T73,T87,IF(V73,V87,S80))</f>
        <v>1798.9095395408467</v>
      </c>
      <c r="W80" s="66"/>
      <c r="X80" s="66"/>
      <c r="Y80" s="66">
        <f>IF(W73,W87,IF(Y73,Y87,V80))</f>
        <v>1798.9095395408467</v>
      </c>
      <c r="Z80" s="66"/>
      <c r="AA80" s="66"/>
      <c r="AB80" s="66">
        <f>IF(Z73,Z87,IF(AB73,AB87,Y80))</f>
        <v>1798.9095395408467</v>
      </c>
      <c r="AC80" s="66"/>
      <c r="AD80" s="66"/>
      <c r="AE80" s="66">
        <f>IF(AC73,AC87,IF(AE73,AE87,AB80))</f>
        <v>1801.7742906652861</v>
      </c>
      <c r="AF80" s="4"/>
      <c r="AG80" s="4"/>
      <c r="AJ80" s="4"/>
      <c r="AL80" s="4"/>
      <c r="AM80" s="4"/>
      <c r="AN80" s="4"/>
      <c r="AO80" s="4"/>
      <c r="AT80" s="62" t="str">
        <f>B80</f>
        <v>Sumter VBC 14</v>
      </c>
      <c r="AU80" s="62">
        <f>AE80</f>
        <v>1801.7742906652861</v>
      </c>
      <c r="AW80" s="65"/>
      <c r="BB80" s="65"/>
    </row>
    <row r="81" spans="1:54" s="62" customFormat="1" hidden="1" x14ac:dyDescent="0.2">
      <c r="A81" s="66">
        <v>3</v>
      </c>
      <c r="B81" s="66" t="str">
        <f>E12</f>
        <v>Palm Strikers 14 Select</v>
      </c>
      <c r="C81" s="66">
        <f>VLOOKUP(B81,AU$3:AY$12,3,FALSE)</f>
        <v>1706.7949714909773</v>
      </c>
      <c r="D81" s="66">
        <f>IF(B74,B87,IF(D74,D87,C81))</f>
        <v>1706.7949714909773</v>
      </c>
      <c r="E81" s="66"/>
      <c r="F81" s="66"/>
      <c r="G81" s="66">
        <f>IF(E74,E87,IF(G74,G87,D81))</f>
        <v>1706.7949714909773</v>
      </c>
      <c r="H81" s="66"/>
      <c r="I81" s="66"/>
      <c r="J81" s="66">
        <f>IF(H74,H87,IF(J74,J87,G81))</f>
        <v>1732.041234410493</v>
      </c>
      <c r="K81" s="66"/>
      <c r="L81" s="66"/>
      <c r="M81" s="66">
        <f>IF(K74,K87,IF(M74,M87,J81))</f>
        <v>1732.041234410493</v>
      </c>
      <c r="N81" s="66"/>
      <c r="O81" s="66"/>
      <c r="P81" s="66">
        <f>IF(N74,N87,IF(P74,P87,M81))</f>
        <v>1705.3411692788113</v>
      </c>
      <c r="Q81" s="66"/>
      <c r="R81" s="66"/>
      <c r="S81" s="66">
        <f>IF(Q74,Q87,IF(S74,S87,P81))</f>
        <v>1705.3411692788113</v>
      </c>
      <c r="T81" s="66"/>
      <c r="U81" s="66"/>
      <c r="V81" s="66">
        <f>IF(T74,T87,IF(V74,V87,S81))</f>
        <v>1714.5396393642995</v>
      </c>
      <c r="W81" s="66"/>
      <c r="X81" s="66"/>
      <c r="Y81" s="66">
        <f>IF(W74,W87,IF(Y74,Y87,V81))</f>
        <v>1714.5396393642995</v>
      </c>
      <c r="Z81" s="66"/>
      <c r="AA81" s="66"/>
      <c r="AB81" s="66">
        <f>IF(Z74,Z87,IF(AB74,AB87,Y81))</f>
        <v>1715.8887380757503</v>
      </c>
      <c r="AC81" s="66"/>
      <c r="AD81" s="66"/>
      <c r="AE81" s="66">
        <f>IF(AC74,AC87,IF(AE74,AE87,AB81))</f>
        <v>1715.8887380757503</v>
      </c>
      <c r="AF81" s="4"/>
      <c r="AG81" s="4"/>
      <c r="AJ81" s="4"/>
      <c r="AL81" s="4"/>
      <c r="AM81" s="4"/>
      <c r="AN81" s="4"/>
      <c r="AO81" s="4"/>
      <c r="AT81" s="62" t="str">
        <f>B81</f>
        <v>Palm Strikers 14 Select</v>
      </c>
      <c r="AU81" s="62">
        <f>AE81</f>
        <v>1715.8887380757503</v>
      </c>
      <c r="AW81" s="65"/>
      <c r="BB81" s="65"/>
    </row>
    <row r="82" spans="1:54" s="62" customFormat="1" hidden="1" x14ac:dyDescent="0.2">
      <c r="A82" s="66">
        <v>4</v>
      </c>
      <c r="B82" s="66" t="str">
        <f>E14</f>
        <v>SC Midlands 14 Garnet</v>
      </c>
      <c r="C82" s="66">
        <f>VLOOKUP(B82,AU$3:AY$12,3,FALSE)</f>
        <v>1684.852427864196</v>
      </c>
      <c r="D82" s="66">
        <f>IF(B75,B87,IF(D75,D87,C82))</f>
        <v>1684.852427864196</v>
      </c>
      <c r="E82" s="66"/>
      <c r="F82" s="66"/>
      <c r="G82" s="66">
        <f>IF(E75,E87,IF(G75,G87,D82))</f>
        <v>1695.1177535578104</v>
      </c>
      <c r="H82" s="66"/>
      <c r="I82" s="66"/>
      <c r="J82" s="66">
        <f>IF(H75,H87,IF(J75,J87,G82))</f>
        <v>1695.1177535578104</v>
      </c>
      <c r="K82" s="66"/>
      <c r="L82" s="66"/>
      <c r="M82" s="66">
        <f>IF(K75,K87,IF(M75,M87,J82))</f>
        <v>1706.0726950339993</v>
      </c>
      <c r="N82" s="66"/>
      <c r="O82" s="66"/>
      <c r="P82" s="66">
        <f>IF(N75,N87,IF(P75,P87,M82))</f>
        <v>1706.0726950339993</v>
      </c>
      <c r="Q82" s="66"/>
      <c r="R82" s="66"/>
      <c r="S82" s="66">
        <f>IF(Q75,Q87,IF(S75,S87,P82))</f>
        <v>1729.1959800717841</v>
      </c>
      <c r="T82" s="66"/>
      <c r="U82" s="66"/>
      <c r="V82" s="66">
        <f>IF(T75,T87,IF(V75,V87,S82))</f>
        <v>1729.1959800717841</v>
      </c>
      <c r="W82" s="66"/>
      <c r="X82" s="66"/>
      <c r="Y82" s="66">
        <f>IF(W75,W87,IF(Y75,Y87,V82))</f>
        <v>1729.1959800717841</v>
      </c>
      <c r="Z82" s="66"/>
      <c r="AA82" s="66"/>
      <c r="AB82" s="66">
        <f>IF(Z75,Z87,IF(AB75,AB87,Y82))</f>
        <v>1727.8468813603333</v>
      </c>
      <c r="AC82" s="66"/>
      <c r="AD82" s="66"/>
      <c r="AE82" s="66">
        <f>IF(AC75,AC87,IF(AE75,AE87,AB82))</f>
        <v>1727.8468813603333</v>
      </c>
      <c r="AF82" s="4"/>
      <c r="AG82" s="4"/>
      <c r="AJ82" s="4"/>
      <c r="AL82" s="4"/>
      <c r="AM82" s="4"/>
      <c r="AN82" s="4"/>
      <c r="AO82" s="4"/>
      <c r="AT82" s="62" t="str">
        <f>B82</f>
        <v>SC Midlands 14 Garnet</v>
      </c>
      <c r="AU82" s="62">
        <f>AE82</f>
        <v>1727.8468813603333</v>
      </c>
      <c r="AW82" s="65"/>
      <c r="BB82" s="65"/>
    </row>
    <row r="83" spans="1:54" s="62" customFormat="1" hidden="1" x14ac:dyDescent="0.2">
      <c r="A83" s="66">
        <v>5</v>
      </c>
      <c r="B83" s="66" t="str">
        <f>E16</f>
        <v>SC Midlands 14 Black</v>
      </c>
      <c r="C83" s="66">
        <f>VLOOKUP(B83,AU$3:AY$12,3,FALSE)</f>
        <v>1651.4456963857826</v>
      </c>
      <c r="D83" s="66">
        <f>IF(B76,B87,IF(D76,D87,C83))</f>
        <v>1632.3483763732477</v>
      </c>
      <c r="E83" s="66"/>
      <c r="F83" s="66"/>
      <c r="G83" s="66">
        <f>IF(E76,E87,IF(G76,G87,D83))</f>
        <v>1632.3483763732477</v>
      </c>
      <c r="H83" s="66"/>
      <c r="I83" s="66"/>
      <c r="J83" s="66">
        <f>IF(H76,H87,IF(J76,J87,G83))</f>
        <v>1607.102113453732</v>
      </c>
      <c r="K83" s="66"/>
      <c r="L83" s="66"/>
      <c r="M83" s="66">
        <f>IF(K76,K87,IF(M76,M87,J83))</f>
        <v>1607.102113453732</v>
      </c>
      <c r="N83" s="66"/>
      <c r="O83" s="66"/>
      <c r="P83" s="66">
        <f>IF(N76,N87,IF(P76,P87,M83))</f>
        <v>1607.102113453732</v>
      </c>
      <c r="Q83" s="66"/>
      <c r="R83" s="66"/>
      <c r="S83" s="66">
        <f>IF(Q76,Q87,IF(S76,S87,P83))</f>
        <v>1583.9788284159472</v>
      </c>
      <c r="T83" s="66"/>
      <c r="U83" s="66"/>
      <c r="V83" s="66">
        <f>IF(T76,T87,IF(V76,V87,S83))</f>
        <v>1583.9788284159472</v>
      </c>
      <c r="W83" s="66"/>
      <c r="X83" s="66"/>
      <c r="Y83" s="66">
        <f>IF(W76,W87,IF(Y76,Y87,V83))</f>
        <v>1570.7017546104134</v>
      </c>
      <c r="Z83" s="66"/>
      <c r="AA83" s="66"/>
      <c r="AB83" s="66">
        <f>IF(Z76,Z87,IF(AB76,AB87,Y83))</f>
        <v>1570.7017546104134</v>
      </c>
      <c r="AC83" s="66"/>
      <c r="AD83" s="66"/>
      <c r="AE83" s="66">
        <f>IF(AC76,AC87,IF(AE76,AE87,AB83))</f>
        <v>1570.7017546104134</v>
      </c>
      <c r="AF83" s="4"/>
      <c r="AG83" s="4"/>
      <c r="AJ83" s="4"/>
      <c r="AL83" s="4"/>
      <c r="AM83" s="4"/>
      <c r="AN83" s="4"/>
      <c r="AO83" s="4"/>
      <c r="AT83" s="62" t="str">
        <f>B83</f>
        <v>SC Midlands 14 Black</v>
      </c>
      <c r="AU83" s="62">
        <f>AE83</f>
        <v>1570.7017546104134</v>
      </c>
      <c r="AW83" s="65"/>
      <c r="BB83" s="65"/>
    </row>
    <row r="84" spans="1:54" s="62" customFormat="1" hidden="1" x14ac:dyDescent="0.2">
      <c r="A84" s="66"/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66"/>
      <c r="AE84" s="66"/>
      <c r="AF84" s="4"/>
      <c r="AG84" s="4"/>
      <c r="AJ84" s="4"/>
      <c r="AL84" s="4"/>
      <c r="AM84" s="4"/>
      <c r="AN84" s="4"/>
      <c r="AO84" s="4"/>
      <c r="AW84" s="65"/>
      <c r="BB84" s="65"/>
    </row>
    <row r="85" spans="1:54" s="62" customFormat="1" hidden="1" x14ac:dyDescent="0.2">
      <c r="A85" s="66" t="s">
        <v>114</v>
      </c>
      <c r="B85" s="66">
        <f>VLOOKUP(B24,$A79:$AE83,3,FALSE)</f>
        <v>1799.9656310899888</v>
      </c>
      <c r="C85" s="66">
        <v>1</v>
      </c>
      <c r="D85" s="66">
        <f>VLOOKUP(D24,$A79:$AE83,3,FALSE)</f>
        <v>1651.4456963857826</v>
      </c>
      <c r="E85" s="66">
        <f>VLOOKUP(E24,$A79:$AE83,4,FALSE)</f>
        <v>1800.3848611781038</v>
      </c>
      <c r="F85" s="66">
        <v>2</v>
      </c>
      <c r="G85" s="66">
        <f>VLOOKUP(G24,$A79:$AE83,4,FALSE)</f>
        <v>1684.852427864196</v>
      </c>
      <c r="H85" s="66">
        <f>VLOOKUP(H24,$A79:$AE83,7,FALSE)</f>
        <v>1706.7949714909773</v>
      </c>
      <c r="I85" s="66">
        <v>3</v>
      </c>
      <c r="J85" s="66">
        <f>VLOOKUP(J24,$A79:$AE83,7,FALSE)</f>
        <v>1632.3483763732477</v>
      </c>
      <c r="K85" s="66">
        <f>VLOOKUP(K24,$A79:$AE83,10,FALSE)</f>
        <v>1819.0629511025238</v>
      </c>
      <c r="L85" s="66">
        <v>4</v>
      </c>
      <c r="M85" s="66">
        <f>VLOOKUP(M24,$A79:$AE83,10,FALSE)</f>
        <v>1695.1177535578104</v>
      </c>
      <c r="N85" s="66">
        <f>VLOOKUP(N24,$A79:$AE83,13,FALSE)</f>
        <v>1790.1195354844895</v>
      </c>
      <c r="O85" s="66">
        <v>5</v>
      </c>
      <c r="P85" s="66">
        <f>VLOOKUP(P24,$A79:$AE83,13,FALSE)</f>
        <v>1732.041234410493</v>
      </c>
      <c r="Q85" s="66">
        <f>VLOOKUP(Q24,$A79:$AE83,16,FALSE)</f>
        <v>1706.0726950339993</v>
      </c>
      <c r="R85" s="66">
        <v>6</v>
      </c>
      <c r="S85" s="66">
        <f>VLOOKUP(S24,$A79:$AE83,16,FALSE)</f>
        <v>1607.102113453732</v>
      </c>
      <c r="T85" s="66">
        <f>VLOOKUP(T24,$A79:$AE83,19,FALSE)</f>
        <v>1808.1080096263349</v>
      </c>
      <c r="U85" s="66">
        <v>7</v>
      </c>
      <c r="V85" s="66">
        <f>VLOOKUP(V24,$A79:$AE83,19,FALSE)</f>
        <v>1705.3411692788113</v>
      </c>
      <c r="W85" s="66">
        <f>VLOOKUP(W24,$A79:$AE83,22,FALSE)</f>
        <v>1816.8196006161711</v>
      </c>
      <c r="X85" s="66">
        <v>8</v>
      </c>
      <c r="Y85" s="66">
        <f>VLOOKUP(Y24,$A79:$AE83,22,FALSE)</f>
        <v>1583.9788284159472</v>
      </c>
      <c r="Z85" s="66">
        <f>VLOOKUP(Z24,$A79:$AE83,25,FALSE)</f>
        <v>1714.5396393642995</v>
      </c>
      <c r="AA85" s="66">
        <v>9</v>
      </c>
      <c r="AB85" s="66">
        <f>VLOOKUP(AB24,$A79:$AE83,25,FALSE)</f>
        <v>1729.1959800717841</v>
      </c>
      <c r="AC85" s="66">
        <f>VLOOKUP(AC24,$A79:$AE83,28,FALSE)</f>
        <v>1830.0966744217048</v>
      </c>
      <c r="AD85" s="66">
        <v>10</v>
      </c>
      <c r="AE85" s="66">
        <f>VLOOKUP(AE24,$A79:$AE83,28,FALSE)</f>
        <v>1798.9095395408467</v>
      </c>
      <c r="AF85" s="4"/>
      <c r="AG85" s="79"/>
      <c r="AH85" s="79"/>
      <c r="AI85" s="79"/>
      <c r="AJ85" s="79"/>
      <c r="AK85" s="79"/>
      <c r="AL85" s="79"/>
      <c r="AM85" s="79"/>
      <c r="AN85" s="80"/>
      <c r="AO85" s="80"/>
      <c r="AP85" s="80"/>
      <c r="AQ85" s="80"/>
      <c r="AW85" s="65"/>
      <c r="BB85" s="65"/>
    </row>
    <row r="86" spans="1:54" s="71" customFormat="1" hidden="1" x14ac:dyDescent="0.2">
      <c r="A86" s="67" t="s">
        <v>115</v>
      </c>
      <c r="B86" s="67">
        <f>1/(1+(10^-((B85-D85)/400)))*(B36+D36)</f>
        <v>1.4032087496082808</v>
      </c>
      <c r="C86" s="67"/>
      <c r="D86" s="67">
        <f>1/(1+(10^-((D85-B85)/400)))*(B36+D36)</f>
        <v>0.59679125039171921</v>
      </c>
      <c r="E86" s="67">
        <f>1/(1+(10^-((E85-G85)/400)))*(E36+G36)</f>
        <v>1.3207914279254511</v>
      </c>
      <c r="F86" s="67"/>
      <c r="G86" s="67">
        <f>1/(1+(10^-((G85-E85)/400)))*(E36+G36)</f>
        <v>0.67920857207454888</v>
      </c>
      <c r="H86" s="67">
        <f>1/(1+(10^-((H85-J85)/400)))*(H36+J36)</f>
        <v>1.2110542837651364</v>
      </c>
      <c r="I86" s="67"/>
      <c r="J86" s="67">
        <f>1/(1+(10^-((J85-H85)/400)))*(H36+J36)</f>
        <v>0.78894571623486365</v>
      </c>
      <c r="K86" s="67">
        <f>1/(1+(10^-((K85-M85)/400)))*(K36+M36)</f>
        <v>1.3423419211309033</v>
      </c>
      <c r="L86" s="67"/>
      <c r="M86" s="67">
        <f>1/(1+(10^-((M85-K85)/400)))*(K36+M36)</f>
        <v>0.65765807886909666</v>
      </c>
      <c r="N86" s="67">
        <f>1/(1+(10^-((N85-P85)/400)))*(N36+P36)</f>
        <v>1.165622964634951</v>
      </c>
      <c r="O86" s="67"/>
      <c r="P86" s="67">
        <f>1/(1+(10^-((P85-N85)/400)))*(N36+P36)</f>
        <v>0.83437703536504904</v>
      </c>
      <c r="Q86" s="67">
        <f>1/(1+(10^-((Q85-S85)/400)))*(Q36+S36)</f>
        <v>1.2773973425692242</v>
      </c>
      <c r="R86" s="67"/>
      <c r="S86" s="67">
        <f>1/(1+(10^-((S85-Q85)/400)))*(Q36+S36)</f>
        <v>0.72260265743077579</v>
      </c>
      <c r="T86" s="67">
        <f>1/(1+(10^-((T85-V85)/400)))*(T36+V36)</f>
        <v>1.2874521901715079</v>
      </c>
      <c r="U86" s="67"/>
      <c r="V86" s="67">
        <f>1/(1+(10^-((V85-T85)/400)))*(T36+V36)</f>
        <v>0.7125478098284922</v>
      </c>
      <c r="W86" s="67">
        <f>1/(1+(10^-((W85-Y85)/400)))*(W36+Y36)</f>
        <v>1.5850914435770702</v>
      </c>
      <c r="X86" s="67"/>
      <c r="Y86" s="67">
        <f>1/(1+(10^-((Y85-W85)/400)))*(W36+Y36)</f>
        <v>0.41490855642292956</v>
      </c>
      <c r="Z86" s="67">
        <f>1/(1+(10^-((Z85-AB85)/400)))*(Z36+AB36)</f>
        <v>0.95784066526716416</v>
      </c>
      <c r="AA86" s="67"/>
      <c r="AB86" s="67">
        <f>1/(1+(10^-((AB85-Z85)/400)))*(Z36+AB36)</f>
        <v>1.042159334732836</v>
      </c>
      <c r="AC86" s="67">
        <f>1/(1+(10^-((AC85-AE85)/400)))*(AC36+AE36)</f>
        <v>1.0895234726387348</v>
      </c>
      <c r="AD86" s="67"/>
      <c r="AE86" s="67">
        <f>1/(1+(10^-((AE85-AC85)/400)))*(AC36+AE36)</f>
        <v>0.91047652736126505</v>
      </c>
      <c r="AF86" s="68"/>
      <c r="AG86" s="69"/>
      <c r="AH86" s="69"/>
      <c r="AI86" s="69"/>
      <c r="AJ86" s="69"/>
      <c r="AK86" s="69"/>
      <c r="AL86" s="69"/>
      <c r="AM86" s="69"/>
      <c r="AN86" s="70"/>
      <c r="AO86" s="70"/>
      <c r="AP86" s="70"/>
      <c r="AQ86" s="70"/>
      <c r="AW86" s="72"/>
      <c r="BB86" s="72"/>
    </row>
    <row r="87" spans="1:54" s="77" customFormat="1" hidden="1" x14ac:dyDescent="0.2">
      <c r="A87" s="73" t="s">
        <v>116</v>
      </c>
      <c r="B87" s="73">
        <f>B85+(B36-B86)*$BA$1</f>
        <v>1819.0629511025238</v>
      </c>
      <c r="C87" s="73"/>
      <c r="D87" s="73">
        <f>D85+(D36-D86)*$BA$1</f>
        <v>1632.3483763732477</v>
      </c>
      <c r="E87" s="73">
        <f>E85+(E36-E86)*$BA$1</f>
        <v>1790.1195354844895</v>
      </c>
      <c r="F87" s="73"/>
      <c r="G87" s="73">
        <f>G85+(G36-G86)*$BA$1</f>
        <v>1695.1177535578104</v>
      </c>
      <c r="H87" s="73">
        <f>H85+(H36-H86)*$BA$1</f>
        <v>1732.041234410493</v>
      </c>
      <c r="I87" s="73"/>
      <c r="J87" s="73">
        <f>J85+(J36-J86)*$BA$1</f>
        <v>1607.102113453732</v>
      </c>
      <c r="K87" s="73">
        <f>K85+(K36-K86)*$BA$1</f>
        <v>1808.1080096263349</v>
      </c>
      <c r="L87" s="73"/>
      <c r="M87" s="73">
        <f>M85+(M36-M86)*$BA$1</f>
        <v>1706.0726950339993</v>
      </c>
      <c r="N87" s="73">
        <f>N85+(N36-N86)*$BA$1</f>
        <v>1816.8196006161711</v>
      </c>
      <c r="O87" s="73"/>
      <c r="P87" s="73">
        <f>P85+(P36-P86)*$BA$1</f>
        <v>1705.3411692788113</v>
      </c>
      <c r="Q87" s="73">
        <f>Q85+(Q36-Q86)*$BA$1</f>
        <v>1729.1959800717841</v>
      </c>
      <c r="R87" s="73"/>
      <c r="S87" s="73">
        <f>S85+(S36-S86)*$BA$1</f>
        <v>1583.9788284159472</v>
      </c>
      <c r="T87" s="73">
        <f>T85+(T36-T86)*$BA$1</f>
        <v>1798.9095395408467</v>
      </c>
      <c r="U87" s="73"/>
      <c r="V87" s="73">
        <f>V85+(V36-V86)*$BA$1</f>
        <v>1714.5396393642995</v>
      </c>
      <c r="W87" s="73">
        <f>W85+(W36-W86)*$BA$1</f>
        <v>1830.0966744217048</v>
      </c>
      <c r="X87" s="73"/>
      <c r="Y87" s="73">
        <f>Y85+(Y36-Y86)*$BA$1</f>
        <v>1570.7017546104134</v>
      </c>
      <c r="Z87" s="73">
        <f>Z85+(Z36-Z86)*$BA$1</f>
        <v>1715.8887380757503</v>
      </c>
      <c r="AA87" s="73"/>
      <c r="AB87" s="73">
        <f>AB85+(AB36-AB86)*$BA$1</f>
        <v>1727.8468813603333</v>
      </c>
      <c r="AC87" s="73">
        <f>AC85+(AC36-AC86)*$BA$1</f>
        <v>1827.2319232972654</v>
      </c>
      <c r="AD87" s="73"/>
      <c r="AE87" s="73">
        <f>AE85+(AE36-AE86)*$BA$1</f>
        <v>1801.7742906652861</v>
      </c>
      <c r="AF87" s="74"/>
      <c r="AG87" s="75"/>
      <c r="AH87" s="75"/>
      <c r="AI87" s="75"/>
      <c r="AJ87" s="75"/>
      <c r="AK87" s="75"/>
      <c r="AL87" s="75"/>
      <c r="AM87" s="75"/>
      <c r="AN87" s="76"/>
      <c r="AO87" s="76"/>
      <c r="AP87" s="76"/>
      <c r="AQ87" s="76"/>
      <c r="AW87" s="78"/>
      <c r="BB87" s="78"/>
    </row>
    <row r="88" spans="1:54" s="77" customFormat="1" hidden="1" x14ac:dyDescent="0.2">
      <c r="A88" s="73"/>
      <c r="B88" s="73"/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73"/>
      <c r="AD88" s="73"/>
      <c r="AE88" s="73"/>
      <c r="AF88" s="74"/>
      <c r="AG88" s="75"/>
      <c r="AH88" s="75"/>
      <c r="AI88" s="75"/>
      <c r="AJ88" s="75"/>
      <c r="AK88" s="75"/>
      <c r="AL88" s="75"/>
      <c r="AM88" s="75"/>
      <c r="AN88" s="76"/>
      <c r="AO88" s="76"/>
      <c r="AP88" s="76"/>
      <c r="AQ88" s="76"/>
      <c r="AW88" s="78"/>
      <c r="BB88" s="78"/>
    </row>
    <row r="89" spans="1:54" s="62" customFormat="1" x14ac:dyDescent="0.2">
      <c r="A89" s="703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703"/>
      <c r="C89" s="703"/>
      <c r="D89" s="703"/>
      <c r="E89" s="703"/>
      <c r="F89" s="703"/>
      <c r="G89" s="703"/>
      <c r="H89" s="703"/>
      <c r="I89" s="703"/>
      <c r="J89" s="703"/>
      <c r="K89" s="703"/>
      <c r="L89" s="703"/>
      <c r="M89" s="703"/>
      <c r="N89" s="703"/>
      <c r="O89" s="703"/>
      <c r="P89" s="703"/>
      <c r="Q89" s="703"/>
      <c r="R89" s="703"/>
      <c r="S89" s="703"/>
      <c r="T89" s="703"/>
      <c r="U89" s="703"/>
      <c r="V89" s="703"/>
      <c r="W89" s="703"/>
      <c r="X89" s="703"/>
      <c r="Y89" s="703"/>
      <c r="Z89" s="703"/>
      <c r="AA89" s="703"/>
      <c r="AB89" s="703"/>
      <c r="AC89" s="703"/>
      <c r="AD89" s="703"/>
      <c r="AE89" s="703"/>
      <c r="AF89" s="703"/>
      <c r="AG89" s="703"/>
      <c r="AH89" s="703"/>
      <c r="AI89" s="703"/>
      <c r="AJ89" s="703"/>
      <c r="AK89" s="703"/>
      <c r="AL89" s="703"/>
      <c r="AM89" s="703"/>
      <c r="AN89" s="681"/>
      <c r="AO89" s="681"/>
      <c r="AP89" s="681"/>
      <c r="AQ89" s="681"/>
      <c r="AW89" s="65"/>
    </row>
    <row r="90" spans="1:54" s="62" customFormat="1" ht="13.5" thickBot="1" x14ac:dyDescent="0.25">
      <c r="A90" s="704"/>
      <c r="B90" s="704"/>
      <c r="C90" s="704"/>
      <c r="D90" s="704"/>
      <c r="E90" s="704"/>
      <c r="F90" s="704"/>
      <c r="G90" s="704"/>
      <c r="H90" s="704"/>
      <c r="I90" s="704"/>
      <c r="J90" s="704"/>
      <c r="K90" s="704"/>
      <c r="L90" s="704"/>
      <c r="M90" s="704"/>
      <c r="N90" s="704"/>
      <c r="O90" s="704"/>
      <c r="P90" s="704"/>
      <c r="Q90" s="704"/>
      <c r="R90" s="704"/>
      <c r="S90" s="704"/>
      <c r="T90" s="704"/>
      <c r="U90" s="704"/>
      <c r="V90" s="704"/>
      <c r="W90" s="704"/>
      <c r="X90" s="704"/>
      <c r="Y90" s="704"/>
      <c r="Z90" s="704"/>
      <c r="AA90" s="704"/>
      <c r="AB90" s="704"/>
      <c r="AC90" s="704"/>
      <c r="AD90" s="704"/>
      <c r="AE90" s="704"/>
      <c r="AF90" s="704"/>
      <c r="AG90" s="704"/>
      <c r="AH90" s="704"/>
      <c r="AI90" s="704"/>
      <c r="AJ90" s="704"/>
      <c r="AK90" s="704"/>
      <c r="AL90" s="704"/>
      <c r="AM90" s="704"/>
      <c r="AN90" s="704"/>
      <c r="AO90" s="704"/>
      <c r="AP90" s="704"/>
      <c r="AQ90" s="704"/>
      <c r="AW90" s="65"/>
    </row>
    <row r="91" spans="1:54" ht="24" customHeight="1" thickBot="1" x14ac:dyDescent="0.25">
      <c r="A91" s="21" t="s">
        <v>33</v>
      </c>
      <c r="B91" s="22" t="s">
        <v>117</v>
      </c>
      <c r="C91" s="775" t="s">
        <v>35</v>
      </c>
      <c r="D91" s="776"/>
      <c r="E91" s="776"/>
      <c r="F91" s="776"/>
      <c r="G91" s="776"/>
      <c r="H91" s="777"/>
      <c r="I91" s="778">
        <v>4</v>
      </c>
      <c r="J91" s="779"/>
      <c r="K91" s="780" t="str">
        <f>"Pool "&amp;B91&amp;" - Round 1 - Court "&amp;I91</f>
        <v>Pool B - Round 1 - Court 4</v>
      </c>
      <c r="L91" s="781"/>
      <c r="M91" s="781"/>
      <c r="N91" s="781"/>
      <c r="O91" s="781"/>
      <c r="P91" s="781"/>
      <c r="Q91" s="781"/>
      <c r="R91" s="781"/>
      <c r="S91" s="781"/>
      <c r="T91" s="781"/>
      <c r="U91" s="781"/>
      <c r="V91" s="781"/>
      <c r="W91" s="781"/>
      <c r="X91" s="781"/>
      <c r="Y91" s="781"/>
      <c r="Z91" s="781"/>
      <c r="AA91" s="781"/>
      <c r="AB91" s="781"/>
      <c r="AC91" s="781"/>
      <c r="AD91" s="781"/>
      <c r="AE91" s="781"/>
      <c r="AF91" s="781"/>
      <c r="AG91" s="781"/>
      <c r="AH91" s="781"/>
      <c r="AI91" s="782"/>
      <c r="AJ91" s="7"/>
      <c r="AK91" s="7"/>
      <c r="AL91" s="7"/>
      <c r="AM91" s="7"/>
      <c r="AN91" s="7"/>
      <c r="AO91" s="7"/>
      <c r="AP91" s="7"/>
      <c r="AQ91" s="7"/>
    </row>
    <row r="92" spans="1:54" ht="27" customHeight="1" thickBot="1" x14ac:dyDescent="0.25">
      <c r="A92" s="23" t="s">
        <v>38</v>
      </c>
      <c r="B92" s="783" t="s">
        <v>10</v>
      </c>
      <c r="C92" s="784"/>
      <c r="D92" s="784"/>
      <c r="E92" s="784"/>
      <c r="F92" s="784"/>
      <c r="G92" s="784"/>
      <c r="H92" s="784"/>
      <c r="I92" s="784"/>
      <c r="J92" s="784"/>
      <c r="K92" s="784"/>
      <c r="L92" s="783" t="str">
        <f>IF($AK95=0,"Games Won","Matches Won")</f>
        <v>Games Won</v>
      </c>
      <c r="M92" s="784"/>
      <c r="N92" s="784"/>
      <c r="O92" s="784"/>
      <c r="P92" s="784"/>
      <c r="Q92" s="785"/>
      <c r="R92" s="783" t="str">
        <f>IF($AK95=0,"Games Lost","Matches Lost")</f>
        <v>Games Lost</v>
      </c>
      <c r="S92" s="786"/>
      <c r="T92" s="786"/>
      <c r="U92" s="786"/>
      <c r="V92" s="787"/>
      <c r="W92" s="788" t="s">
        <v>39</v>
      </c>
      <c r="X92" s="789"/>
      <c r="Y92" s="790"/>
      <c r="Z92" s="788" t="s">
        <v>40</v>
      </c>
      <c r="AA92" s="789"/>
      <c r="AB92" s="790"/>
      <c r="AC92" s="791" t="s">
        <v>41</v>
      </c>
      <c r="AD92" s="792"/>
      <c r="AE92" s="793"/>
      <c r="AF92" s="24" t="s">
        <v>42</v>
      </c>
      <c r="AG92" s="25" t="s">
        <v>9</v>
      </c>
      <c r="AH92" s="773" t="s">
        <v>43</v>
      </c>
      <c r="AI92" s="774"/>
      <c r="AJ92" s="26"/>
      <c r="AK92" s="27">
        <v>2</v>
      </c>
      <c r="AL92" s="28" t="s">
        <v>44</v>
      </c>
      <c r="AM92" s="28"/>
      <c r="AN92" s="28"/>
      <c r="AO92" s="28"/>
      <c r="AP92" s="28"/>
      <c r="AQ92" s="28"/>
      <c r="AR92" s="29"/>
    </row>
    <row r="93" spans="1:54" ht="18.75" customHeight="1" x14ac:dyDescent="0.2">
      <c r="A93" s="742" t="str">
        <f>IF($AK94&gt;0,"1","")</f>
        <v>1</v>
      </c>
      <c r="B93" s="770" t="s">
        <v>10</v>
      </c>
      <c r="C93" s="771"/>
      <c r="D93" s="772"/>
      <c r="E93" s="746" t="str">
        <f>AU4</f>
        <v>TLVC 14 Gray</v>
      </c>
      <c r="F93" s="747"/>
      <c r="G93" s="747"/>
      <c r="H93" s="747"/>
      <c r="I93" s="747"/>
      <c r="J93" s="747"/>
      <c r="K93" s="748"/>
      <c r="L93" s="749">
        <f>IF($AK95=0,AF149,AF131)</f>
        <v>8</v>
      </c>
      <c r="M93" s="750"/>
      <c r="N93" s="750"/>
      <c r="O93" s="750"/>
      <c r="P93" s="750"/>
      <c r="Q93" s="785"/>
      <c r="R93" s="749">
        <f>IF($AK95=0,AG149,AG131)</f>
        <v>0</v>
      </c>
      <c r="S93" s="750"/>
      <c r="T93" s="750"/>
      <c r="U93" s="750"/>
      <c r="V93" s="750"/>
      <c r="W93" s="749">
        <f>AQ109</f>
        <v>67</v>
      </c>
      <c r="X93" s="750"/>
      <c r="Y93" s="750"/>
      <c r="Z93" s="722">
        <f>IF(AF143&gt;0,(AQ109/AF143),0)</f>
        <v>0.33500000000000002</v>
      </c>
      <c r="AA93" s="723"/>
      <c r="AB93" s="723"/>
      <c r="AC93" s="726">
        <f>IF(AF157=0,0,(AF149/AF157))</f>
        <v>1</v>
      </c>
      <c r="AD93" s="727"/>
      <c r="AE93" s="728"/>
      <c r="AF93" s="732">
        <v>1</v>
      </c>
      <c r="AG93" s="732">
        <v>1</v>
      </c>
      <c r="AH93" s="734"/>
      <c r="AI93" s="735"/>
      <c r="AJ93" s="26"/>
      <c r="AK93" s="27">
        <v>10</v>
      </c>
      <c r="AL93" s="28" t="s">
        <v>47</v>
      </c>
      <c r="AM93" s="28"/>
      <c r="AN93" s="28"/>
      <c r="AO93" s="28"/>
      <c r="AP93" s="28"/>
      <c r="AQ93" s="28"/>
      <c r="AR93" s="29"/>
    </row>
    <row r="94" spans="1:54" ht="18.75" customHeight="1" thickBot="1" x14ac:dyDescent="0.25">
      <c r="A94" s="743"/>
      <c r="B94" s="767" t="s">
        <v>11</v>
      </c>
      <c r="C94" s="768"/>
      <c r="D94" s="769"/>
      <c r="E94" s="763" t="str">
        <f>AV4</f>
        <v>fj4tlife2cr</v>
      </c>
      <c r="F94" s="764"/>
      <c r="G94" s="764"/>
      <c r="H94" s="764"/>
      <c r="I94" s="764"/>
      <c r="J94" s="764"/>
      <c r="K94" s="764"/>
      <c r="L94" s="765"/>
      <c r="M94" s="766"/>
      <c r="N94" s="766"/>
      <c r="O94" s="766"/>
      <c r="P94" s="766"/>
      <c r="Q94" s="785"/>
      <c r="R94" s="765"/>
      <c r="S94" s="766"/>
      <c r="T94" s="766"/>
      <c r="U94" s="766"/>
      <c r="V94" s="766"/>
      <c r="W94" s="765"/>
      <c r="X94" s="766"/>
      <c r="Y94" s="766"/>
      <c r="Z94" s="753"/>
      <c r="AA94" s="754"/>
      <c r="AB94" s="754"/>
      <c r="AC94" s="755"/>
      <c r="AD94" s="756"/>
      <c r="AE94" s="757"/>
      <c r="AF94" s="758"/>
      <c r="AG94" s="758"/>
      <c r="AH94" s="759"/>
      <c r="AI94" s="760"/>
      <c r="AJ94" s="26"/>
      <c r="AK94" s="27">
        <v>5</v>
      </c>
      <c r="AL94" s="28" t="s">
        <v>50</v>
      </c>
      <c r="AM94" s="26"/>
      <c r="AN94" s="26"/>
      <c r="AO94" s="26"/>
      <c r="AP94" s="26"/>
      <c r="AQ94" s="26"/>
      <c r="AR94" s="3"/>
    </row>
    <row r="95" spans="1:54" ht="18.75" customHeight="1" x14ac:dyDescent="0.2">
      <c r="A95" s="742" t="str">
        <f>IF($AK94&gt;1,"2","")</f>
        <v>2</v>
      </c>
      <c r="B95" s="770" t="s">
        <v>10</v>
      </c>
      <c r="C95" s="771"/>
      <c r="D95" s="772"/>
      <c r="E95" s="746" t="str">
        <f>AU5</f>
        <v>Magnum Greenwood 14 Purpl</v>
      </c>
      <c r="F95" s="747"/>
      <c r="G95" s="747"/>
      <c r="H95" s="747"/>
      <c r="I95" s="747"/>
      <c r="J95" s="747"/>
      <c r="K95" s="748"/>
      <c r="L95" s="749">
        <f>IF($AK95=0,AF150,AF132)</f>
        <v>3</v>
      </c>
      <c r="M95" s="750"/>
      <c r="N95" s="750"/>
      <c r="O95" s="750"/>
      <c r="P95" s="750"/>
      <c r="Q95" s="785"/>
      <c r="R95" s="749">
        <f>IF($AK95=0,AG150,AG132)</f>
        <v>5</v>
      </c>
      <c r="S95" s="750"/>
      <c r="T95" s="750"/>
      <c r="U95" s="750"/>
      <c r="V95" s="750"/>
      <c r="W95" s="749">
        <f>AQ110</f>
        <v>-28</v>
      </c>
      <c r="X95" s="750"/>
      <c r="Y95" s="750"/>
      <c r="Z95" s="722">
        <f>IF(AF144&gt;0,(AQ110/AF144),0)</f>
        <v>-0.13861386138613863</v>
      </c>
      <c r="AA95" s="723"/>
      <c r="AB95" s="723"/>
      <c r="AC95" s="726">
        <f>IF(AF158=0,0,(AF150/AF158))</f>
        <v>0.375</v>
      </c>
      <c r="AD95" s="727"/>
      <c r="AE95" s="728"/>
      <c r="AF95" s="732">
        <v>4</v>
      </c>
      <c r="AG95" s="732">
        <v>1</v>
      </c>
      <c r="AH95" s="734"/>
      <c r="AI95" s="735"/>
      <c r="AJ95" s="26"/>
      <c r="AK95" s="27">
        <v>0</v>
      </c>
      <c r="AL95" s="28" t="s">
        <v>53</v>
      </c>
      <c r="AM95" s="28"/>
      <c r="AN95" s="28"/>
      <c r="AO95" s="28"/>
      <c r="AP95" s="28"/>
      <c r="AQ95" s="28"/>
      <c r="AR95" s="29"/>
    </row>
    <row r="96" spans="1:54" ht="18.75" customHeight="1" thickBot="1" x14ac:dyDescent="0.25">
      <c r="A96" s="743"/>
      <c r="B96" s="761" t="s">
        <v>11</v>
      </c>
      <c r="C96" s="762"/>
      <c r="D96" s="762"/>
      <c r="E96" s="763" t="str">
        <f>AV5</f>
        <v>fj4magnm9pm</v>
      </c>
      <c r="F96" s="764"/>
      <c r="G96" s="764"/>
      <c r="H96" s="764"/>
      <c r="I96" s="764"/>
      <c r="J96" s="764"/>
      <c r="K96" s="764"/>
      <c r="L96" s="765"/>
      <c r="M96" s="766"/>
      <c r="N96" s="766"/>
      <c r="O96" s="766"/>
      <c r="P96" s="766"/>
      <c r="Q96" s="785"/>
      <c r="R96" s="765"/>
      <c r="S96" s="766"/>
      <c r="T96" s="766"/>
      <c r="U96" s="766"/>
      <c r="V96" s="766"/>
      <c r="W96" s="765"/>
      <c r="X96" s="766"/>
      <c r="Y96" s="766"/>
      <c r="Z96" s="753"/>
      <c r="AA96" s="754"/>
      <c r="AB96" s="754"/>
      <c r="AC96" s="755"/>
      <c r="AD96" s="756"/>
      <c r="AE96" s="757"/>
      <c r="AF96" s="758"/>
      <c r="AG96" s="758"/>
      <c r="AH96" s="759"/>
      <c r="AI96" s="760"/>
      <c r="AJ96" s="26"/>
      <c r="AK96" s="27">
        <v>1</v>
      </c>
      <c r="AL96" s="28" t="s">
        <v>56</v>
      </c>
      <c r="AM96" s="26"/>
      <c r="AN96" s="26"/>
      <c r="AO96" s="26"/>
      <c r="AP96" s="26"/>
      <c r="AQ96" s="26"/>
      <c r="AR96" s="3"/>
    </row>
    <row r="97" spans="1:44" ht="18.75" customHeight="1" x14ac:dyDescent="0.2">
      <c r="A97" s="742" t="str">
        <f>IF($AK94&gt;2,"3","")</f>
        <v>3</v>
      </c>
      <c r="B97" s="744" t="s">
        <v>10</v>
      </c>
      <c r="C97" s="745"/>
      <c r="D97" s="745"/>
      <c r="E97" s="746" t="str">
        <f>AU8</f>
        <v>RHVC 14 Club Hunter</v>
      </c>
      <c r="F97" s="747"/>
      <c r="G97" s="747"/>
      <c r="H97" s="747"/>
      <c r="I97" s="747"/>
      <c r="J97" s="747"/>
      <c r="K97" s="748"/>
      <c r="L97" s="749">
        <f>IF($AK95=0,AF151,AF133)</f>
        <v>4</v>
      </c>
      <c r="M97" s="750"/>
      <c r="N97" s="750"/>
      <c r="O97" s="750"/>
      <c r="P97" s="750"/>
      <c r="Q97" s="785"/>
      <c r="R97" s="749">
        <f>IF($AK95=0,AG151,AG133)</f>
        <v>4</v>
      </c>
      <c r="S97" s="750"/>
      <c r="T97" s="750"/>
      <c r="U97" s="750"/>
      <c r="V97" s="750"/>
      <c r="W97" s="749">
        <f>AQ111</f>
        <v>-8</v>
      </c>
      <c r="X97" s="750"/>
      <c r="Y97" s="750"/>
      <c r="Z97" s="722">
        <f>IF(AF145&gt;0,(AQ111/AF145),0)</f>
        <v>-0.04</v>
      </c>
      <c r="AA97" s="723"/>
      <c r="AB97" s="723"/>
      <c r="AC97" s="726">
        <f>IF(AF159=0,0,(AF151/AF159))</f>
        <v>0.5</v>
      </c>
      <c r="AD97" s="727"/>
      <c r="AE97" s="728"/>
      <c r="AF97" s="732">
        <v>3</v>
      </c>
      <c r="AG97" s="732">
        <v>2</v>
      </c>
      <c r="AH97" s="734"/>
      <c r="AI97" s="735"/>
      <c r="AJ97" s="30"/>
      <c r="AK97" s="27">
        <v>8</v>
      </c>
      <c r="AL97" s="31" t="s">
        <v>59</v>
      </c>
      <c r="AM97" s="28"/>
      <c r="AN97" s="28"/>
      <c r="AO97" s="28"/>
      <c r="AP97" s="28"/>
      <c r="AQ97" s="28"/>
      <c r="AR97" s="29"/>
    </row>
    <row r="98" spans="1:44" ht="18.75" customHeight="1" thickBot="1" x14ac:dyDescent="0.25">
      <c r="A98" s="743"/>
      <c r="B98" s="761" t="s">
        <v>11</v>
      </c>
      <c r="C98" s="762"/>
      <c r="D98" s="762"/>
      <c r="E98" s="763" t="str">
        <f>AV8</f>
        <v>fj4rockh2pm</v>
      </c>
      <c r="F98" s="764"/>
      <c r="G98" s="764"/>
      <c r="H98" s="764"/>
      <c r="I98" s="764"/>
      <c r="J98" s="764"/>
      <c r="K98" s="764"/>
      <c r="L98" s="765"/>
      <c r="M98" s="766"/>
      <c r="N98" s="766"/>
      <c r="O98" s="766"/>
      <c r="P98" s="766"/>
      <c r="Q98" s="785"/>
      <c r="R98" s="765"/>
      <c r="S98" s="766"/>
      <c r="T98" s="766"/>
      <c r="U98" s="766"/>
      <c r="V98" s="766"/>
      <c r="W98" s="765"/>
      <c r="X98" s="766"/>
      <c r="Y98" s="766"/>
      <c r="Z98" s="753"/>
      <c r="AA98" s="754"/>
      <c r="AB98" s="754"/>
      <c r="AC98" s="755"/>
      <c r="AD98" s="756"/>
      <c r="AE98" s="757"/>
      <c r="AF98" s="758"/>
      <c r="AG98" s="758"/>
      <c r="AH98" s="759"/>
      <c r="AI98" s="760"/>
      <c r="AJ98" s="30"/>
      <c r="AK98" s="35"/>
      <c r="AL98" s="36"/>
      <c r="AM98" s="36"/>
      <c r="AN98" s="36"/>
      <c r="AO98" s="36"/>
      <c r="AP98" s="36"/>
      <c r="AQ98" s="26"/>
      <c r="AR98" s="3"/>
    </row>
    <row r="99" spans="1:44" ht="18.75" customHeight="1" x14ac:dyDescent="0.2">
      <c r="A99" s="742" t="str">
        <f>IF($AK94&gt;3,"4","")</f>
        <v>4</v>
      </c>
      <c r="B99" s="744" t="s">
        <v>10</v>
      </c>
      <c r="C99" s="745"/>
      <c r="D99" s="745"/>
      <c r="E99" s="746" t="str">
        <f>AU9</f>
        <v>Magnum Gilbert 14 Gray</v>
      </c>
      <c r="F99" s="747"/>
      <c r="G99" s="747"/>
      <c r="H99" s="747"/>
      <c r="I99" s="747"/>
      <c r="J99" s="747"/>
      <c r="K99" s="748"/>
      <c r="L99" s="749">
        <f>IF($AK95=0,AF152,AF134)</f>
        <v>1</v>
      </c>
      <c r="M99" s="750"/>
      <c r="N99" s="750"/>
      <c r="O99" s="750"/>
      <c r="P99" s="750"/>
      <c r="Q99" s="785"/>
      <c r="R99" s="749">
        <f>IF($AK95=0,AG152,AG134)</f>
        <v>7</v>
      </c>
      <c r="S99" s="750"/>
      <c r="T99" s="750"/>
      <c r="U99" s="750"/>
      <c r="V99" s="750"/>
      <c r="W99" s="749">
        <f>AQ112</f>
        <v>-32</v>
      </c>
      <c r="X99" s="750"/>
      <c r="Y99" s="750"/>
      <c r="Z99" s="722">
        <f>IF(AF146&gt;0,(AQ112/AF146),0)</f>
        <v>-0.16</v>
      </c>
      <c r="AA99" s="723"/>
      <c r="AB99" s="723"/>
      <c r="AC99" s="726">
        <f>IF(AF160=0,0,(AF152/AF160))</f>
        <v>0.125</v>
      </c>
      <c r="AD99" s="727"/>
      <c r="AE99" s="728"/>
      <c r="AF99" s="732">
        <v>5</v>
      </c>
      <c r="AG99" s="732">
        <v>1</v>
      </c>
      <c r="AH99" s="734"/>
      <c r="AI99" s="735"/>
      <c r="AJ99" s="7"/>
      <c r="AK99" s="36"/>
      <c r="AL99" s="36"/>
      <c r="AM99" s="36"/>
      <c r="AN99" s="36"/>
      <c r="AO99" s="36"/>
      <c r="AP99" s="36"/>
      <c r="AQ99" s="28"/>
      <c r="AR99" s="29"/>
    </row>
    <row r="100" spans="1:44" ht="18.75" customHeight="1" thickBot="1" x14ac:dyDescent="0.25">
      <c r="A100" s="743"/>
      <c r="B100" s="761" t="s">
        <v>11</v>
      </c>
      <c r="C100" s="762"/>
      <c r="D100" s="762"/>
      <c r="E100" s="763" t="str">
        <f>AV9</f>
        <v>fj4magnm8pm</v>
      </c>
      <c r="F100" s="764"/>
      <c r="G100" s="764"/>
      <c r="H100" s="764"/>
      <c r="I100" s="764"/>
      <c r="J100" s="764"/>
      <c r="K100" s="764"/>
      <c r="L100" s="765"/>
      <c r="M100" s="766"/>
      <c r="N100" s="766"/>
      <c r="O100" s="766"/>
      <c r="P100" s="766"/>
      <c r="Q100" s="785"/>
      <c r="R100" s="765"/>
      <c r="S100" s="766"/>
      <c r="T100" s="766"/>
      <c r="U100" s="766"/>
      <c r="V100" s="766"/>
      <c r="W100" s="765"/>
      <c r="X100" s="766"/>
      <c r="Y100" s="766"/>
      <c r="Z100" s="753"/>
      <c r="AA100" s="754"/>
      <c r="AB100" s="754"/>
      <c r="AC100" s="755"/>
      <c r="AD100" s="756"/>
      <c r="AE100" s="757"/>
      <c r="AF100" s="758"/>
      <c r="AG100" s="758"/>
      <c r="AH100" s="759"/>
      <c r="AI100" s="760"/>
      <c r="AJ100" s="7"/>
      <c r="AK100" s="36"/>
      <c r="AL100" s="36"/>
      <c r="AM100" s="36"/>
      <c r="AN100" s="36"/>
      <c r="AO100" s="36"/>
      <c r="AP100" s="36"/>
      <c r="AQ100" s="7"/>
      <c r="AR100" s="3"/>
    </row>
    <row r="101" spans="1:44" ht="18.75" customHeight="1" x14ac:dyDescent="0.2">
      <c r="A101" s="742" t="str">
        <f>IF($AK94&gt;4,"5","")</f>
        <v>5</v>
      </c>
      <c r="B101" s="744" t="s">
        <v>10</v>
      </c>
      <c r="C101" s="745"/>
      <c r="D101" s="745"/>
      <c r="E101" s="746" t="str">
        <f>AU12</f>
        <v>Intense 14 Region Elite</v>
      </c>
      <c r="F101" s="747"/>
      <c r="G101" s="747"/>
      <c r="H101" s="747"/>
      <c r="I101" s="747"/>
      <c r="J101" s="747"/>
      <c r="K101" s="748"/>
      <c r="L101" s="749">
        <f>IF($AK95=0,AF153,AF135)</f>
        <v>4</v>
      </c>
      <c r="M101" s="750"/>
      <c r="N101" s="750"/>
      <c r="O101" s="750"/>
      <c r="P101" s="750"/>
      <c r="Q101" s="785"/>
      <c r="R101" s="749">
        <f>IF($AK95=0,AG153,AG135)</f>
        <v>4</v>
      </c>
      <c r="S101" s="750"/>
      <c r="T101" s="750"/>
      <c r="U101" s="750"/>
      <c r="V101" s="750"/>
      <c r="W101" s="749">
        <f>AQ113</f>
        <v>1</v>
      </c>
      <c r="X101" s="750"/>
      <c r="Y101" s="750"/>
      <c r="Z101" s="722">
        <f>IF(AF147&gt;0,(AQ113/AF147),0)</f>
        <v>4.9504950495049506E-3</v>
      </c>
      <c r="AA101" s="723"/>
      <c r="AB101" s="723"/>
      <c r="AC101" s="726">
        <f>IF(AF161=0,0,(AF153/AF161))</f>
        <v>0.5</v>
      </c>
      <c r="AD101" s="727"/>
      <c r="AE101" s="728"/>
      <c r="AF101" s="732">
        <v>2</v>
      </c>
      <c r="AG101" s="732">
        <v>2</v>
      </c>
      <c r="AH101" s="734"/>
      <c r="AI101" s="735"/>
      <c r="AJ101" s="7"/>
      <c r="AK101" s="36"/>
      <c r="AL101" s="36"/>
      <c r="AM101" s="36"/>
      <c r="AN101" s="36"/>
      <c r="AO101" s="36"/>
      <c r="AP101" s="36"/>
      <c r="AQ101" s="7"/>
      <c r="AR101" s="3"/>
    </row>
    <row r="102" spans="1:44" ht="18.75" customHeight="1" thickBot="1" x14ac:dyDescent="0.25">
      <c r="A102" s="743"/>
      <c r="B102" s="738" t="s">
        <v>11</v>
      </c>
      <c r="C102" s="739"/>
      <c r="D102" s="739"/>
      <c r="E102" s="740" t="str">
        <f>AV12</f>
        <v>fj4inten3pm</v>
      </c>
      <c r="F102" s="741"/>
      <c r="G102" s="741"/>
      <c r="H102" s="741"/>
      <c r="I102" s="741"/>
      <c r="J102" s="741"/>
      <c r="K102" s="741"/>
      <c r="L102" s="751"/>
      <c r="M102" s="752"/>
      <c r="N102" s="752"/>
      <c r="O102" s="752"/>
      <c r="P102" s="752"/>
      <c r="Q102" s="785"/>
      <c r="R102" s="751"/>
      <c r="S102" s="752"/>
      <c r="T102" s="752"/>
      <c r="U102" s="752"/>
      <c r="V102" s="752"/>
      <c r="W102" s="751"/>
      <c r="X102" s="752"/>
      <c r="Y102" s="752"/>
      <c r="Z102" s="724"/>
      <c r="AA102" s="725"/>
      <c r="AB102" s="725"/>
      <c r="AC102" s="729"/>
      <c r="AD102" s="730"/>
      <c r="AE102" s="731"/>
      <c r="AF102" s="733"/>
      <c r="AG102" s="733"/>
      <c r="AH102" s="736"/>
      <c r="AI102" s="737"/>
      <c r="AJ102" s="7"/>
      <c r="AK102" s="36"/>
      <c r="AL102" s="36"/>
      <c r="AM102" s="36"/>
      <c r="AN102" s="36"/>
      <c r="AO102" s="36"/>
      <c r="AP102" s="36"/>
      <c r="AQ102" s="7"/>
      <c r="AR102" s="3"/>
    </row>
    <row r="103" spans="1:44" ht="21" customHeight="1" thickTop="1" thickBot="1" x14ac:dyDescent="0.25">
      <c r="A103" s="39"/>
      <c r="B103" s="719" t="s">
        <v>63</v>
      </c>
      <c r="C103" s="720"/>
      <c r="D103" s="720"/>
      <c r="E103" s="720"/>
      <c r="F103" s="720"/>
      <c r="G103" s="720"/>
      <c r="H103" s="720"/>
      <c r="I103" s="720"/>
      <c r="J103" s="720"/>
      <c r="K103" s="720"/>
      <c r="L103" s="720"/>
      <c r="M103" s="720"/>
      <c r="N103" s="720"/>
      <c r="O103" s="720"/>
      <c r="P103" s="720"/>
      <c r="Q103" s="720"/>
      <c r="R103" s="720"/>
      <c r="S103" s="720"/>
      <c r="T103" s="720"/>
      <c r="U103" s="720"/>
      <c r="V103" s="720"/>
      <c r="W103" s="720"/>
      <c r="X103" s="720"/>
      <c r="Y103" s="720"/>
      <c r="Z103" s="720"/>
      <c r="AA103" s="720"/>
      <c r="AB103" s="720"/>
      <c r="AC103" s="720"/>
      <c r="AD103" s="720"/>
      <c r="AE103" s="720"/>
      <c r="AF103" s="720"/>
      <c r="AG103" s="720"/>
      <c r="AH103" s="720"/>
      <c r="AI103" s="721"/>
      <c r="AJ103" s="7"/>
      <c r="AK103" s="36"/>
      <c r="AL103" s="36"/>
      <c r="AM103" s="36"/>
      <c r="AN103" s="36"/>
      <c r="AO103" s="36"/>
      <c r="AP103" s="36"/>
      <c r="AQ103" s="7"/>
      <c r="AR103" s="3"/>
    </row>
    <row r="104" spans="1:44" ht="13.5" thickTop="1" x14ac:dyDescent="0.2">
      <c r="A104" s="4" t="s">
        <v>64</v>
      </c>
      <c r="B104" s="708">
        <v>0.35416666666666669</v>
      </c>
      <c r="C104" s="709"/>
      <c r="D104" s="710"/>
      <c r="E104" s="708">
        <v>0.38541666666666669</v>
      </c>
      <c r="F104" s="709"/>
      <c r="G104" s="710"/>
      <c r="H104" s="708">
        <v>0.41666666666666669</v>
      </c>
      <c r="I104" s="709"/>
      <c r="J104" s="710"/>
      <c r="K104" s="708">
        <v>0.44791666666666669</v>
      </c>
      <c r="L104" s="709"/>
      <c r="M104" s="710"/>
      <c r="N104" s="708">
        <v>0.47916666666666669</v>
      </c>
      <c r="O104" s="709"/>
      <c r="P104" s="710"/>
      <c r="Q104" s="708">
        <v>0.51041666666666663</v>
      </c>
      <c r="R104" s="709"/>
      <c r="S104" s="710"/>
      <c r="T104" s="708">
        <v>4.1666666666666664E-2</v>
      </c>
      <c r="U104" s="709"/>
      <c r="V104" s="710"/>
      <c r="W104" s="708">
        <v>7.2916666666666671E-2</v>
      </c>
      <c r="X104" s="709"/>
      <c r="Y104" s="710"/>
      <c r="Z104" s="708">
        <v>0.10416666666666667</v>
      </c>
      <c r="AA104" s="709"/>
      <c r="AB104" s="710"/>
      <c r="AC104" s="708">
        <v>0.13541666666666666</v>
      </c>
      <c r="AD104" s="709"/>
      <c r="AE104" s="710"/>
      <c r="AF104" s="711" t="s">
        <v>65</v>
      </c>
      <c r="AG104" s="712"/>
      <c r="AH104" s="712"/>
      <c r="AI104" s="712"/>
      <c r="AJ104" s="713"/>
      <c r="AK104" s="713"/>
      <c r="AL104" s="713"/>
      <c r="AM104" s="713"/>
      <c r="AN104" s="713"/>
      <c r="AO104" s="713"/>
      <c r="AP104" s="713"/>
      <c r="AQ104" s="714"/>
    </row>
    <row r="105" spans="1:44" x14ac:dyDescent="0.2">
      <c r="A105" s="40" t="s">
        <v>66</v>
      </c>
      <c r="B105" s="705">
        <v>0.35972222222222222</v>
      </c>
      <c r="C105" s="706"/>
      <c r="D105" s="707"/>
      <c r="E105" s="705">
        <v>0.39583333333333331</v>
      </c>
      <c r="F105" s="706"/>
      <c r="G105" s="707"/>
      <c r="H105" s="705">
        <v>0.4236111111111111</v>
      </c>
      <c r="I105" s="706"/>
      <c r="J105" s="707"/>
      <c r="K105" s="705">
        <v>0.45833333333333331</v>
      </c>
      <c r="L105" s="706"/>
      <c r="M105" s="707"/>
      <c r="N105" s="705">
        <v>0.49652777777777773</v>
      </c>
      <c r="O105" s="706"/>
      <c r="P105" s="707"/>
      <c r="Q105" s="705">
        <v>0.52777777777777779</v>
      </c>
      <c r="R105" s="706"/>
      <c r="S105" s="707"/>
      <c r="T105" s="705">
        <v>5.8333333333333327E-2</v>
      </c>
      <c r="U105" s="706"/>
      <c r="V105" s="707"/>
      <c r="W105" s="705">
        <v>8.8888888888888892E-2</v>
      </c>
      <c r="X105" s="706"/>
      <c r="Y105" s="707"/>
      <c r="Z105" s="705">
        <v>0.125</v>
      </c>
      <c r="AA105" s="706"/>
      <c r="AB105" s="707"/>
      <c r="AC105" s="705">
        <v>0.14930555555555555</v>
      </c>
      <c r="AD105" s="706"/>
      <c r="AE105" s="707"/>
      <c r="AF105" s="711"/>
      <c r="AG105" s="712"/>
      <c r="AH105" s="712"/>
      <c r="AI105" s="712"/>
      <c r="AJ105" s="712"/>
      <c r="AK105" s="712"/>
      <c r="AL105" s="712"/>
      <c r="AM105" s="712"/>
      <c r="AN105" s="712"/>
      <c r="AO105" s="712"/>
      <c r="AP105" s="712"/>
      <c r="AQ105" s="715"/>
    </row>
    <row r="106" spans="1:44" x14ac:dyDescent="0.2">
      <c r="A106" s="40" t="s">
        <v>67</v>
      </c>
      <c r="B106" s="705"/>
      <c r="C106" s="706"/>
      <c r="D106" s="707"/>
      <c r="E106" s="705"/>
      <c r="F106" s="706"/>
      <c r="G106" s="707"/>
      <c r="H106" s="705"/>
      <c r="I106" s="706"/>
      <c r="J106" s="707"/>
      <c r="K106" s="705"/>
      <c r="L106" s="706"/>
      <c r="M106" s="707"/>
      <c r="N106" s="705"/>
      <c r="O106" s="706"/>
      <c r="P106" s="707"/>
      <c r="Q106" s="705"/>
      <c r="R106" s="706"/>
      <c r="S106" s="707"/>
      <c r="T106" s="705"/>
      <c r="U106" s="706"/>
      <c r="V106" s="707"/>
      <c r="W106" s="705"/>
      <c r="X106" s="706"/>
      <c r="Y106" s="707"/>
      <c r="Z106" s="705"/>
      <c r="AA106" s="706"/>
      <c r="AB106" s="707"/>
      <c r="AC106" s="705"/>
      <c r="AD106" s="706"/>
      <c r="AE106" s="707"/>
      <c r="AF106" s="711"/>
      <c r="AG106" s="712"/>
      <c r="AH106" s="712"/>
      <c r="AI106" s="712"/>
      <c r="AJ106" s="712"/>
      <c r="AK106" s="712"/>
      <c r="AL106" s="712"/>
      <c r="AM106" s="712"/>
      <c r="AN106" s="712"/>
      <c r="AO106" s="712"/>
      <c r="AP106" s="712"/>
      <c r="AQ106" s="715"/>
    </row>
    <row r="107" spans="1:44" ht="13.5" thickBot="1" x14ac:dyDescent="0.25">
      <c r="A107" s="7"/>
      <c r="B107" s="597" t="s">
        <v>68</v>
      </c>
      <c r="C107" s="598"/>
      <c r="D107" s="604"/>
      <c r="E107" s="597" t="str">
        <f>IF(AK93&gt;1,"Match 2","")</f>
        <v>Match 2</v>
      </c>
      <c r="F107" s="598"/>
      <c r="G107" s="604"/>
      <c r="H107" s="597" t="str">
        <f>IF(AK93&gt;2,"Match 3","")</f>
        <v>Match 3</v>
      </c>
      <c r="I107" s="598"/>
      <c r="J107" s="604"/>
      <c r="K107" s="597" t="str">
        <f>IF(AK93&gt;3,"Match 4","")</f>
        <v>Match 4</v>
      </c>
      <c r="L107" s="598"/>
      <c r="M107" s="604"/>
      <c r="N107" s="597" t="str">
        <f>IF(AK93&gt;4,"Match 5","")</f>
        <v>Match 5</v>
      </c>
      <c r="O107" s="598"/>
      <c r="P107" s="604"/>
      <c r="Q107" s="597" t="str">
        <f>IF(AK93&gt;5,"Match 6","")</f>
        <v>Match 6</v>
      </c>
      <c r="R107" s="598"/>
      <c r="S107" s="604"/>
      <c r="T107" s="597" t="str">
        <f>IF(AK93&gt;6,"Match 7","")</f>
        <v>Match 7</v>
      </c>
      <c r="U107" s="598"/>
      <c r="V107" s="604"/>
      <c r="W107" s="597" t="str">
        <f>IF(AK93&gt;7,"Match 8","")</f>
        <v>Match 8</v>
      </c>
      <c r="X107" s="598"/>
      <c r="Y107" s="604"/>
      <c r="Z107" s="597" t="str">
        <f>IF(AK93&gt;8,"Match 9","")</f>
        <v>Match 9</v>
      </c>
      <c r="AA107" s="598"/>
      <c r="AB107" s="604"/>
      <c r="AC107" s="597" t="str">
        <f>IF(AK93&gt;9,"Match 10","")</f>
        <v>Match 10</v>
      </c>
      <c r="AD107" s="598"/>
      <c r="AE107" s="604"/>
      <c r="AF107" s="716"/>
      <c r="AG107" s="717"/>
      <c r="AH107" s="717"/>
      <c r="AI107" s="717"/>
      <c r="AJ107" s="717"/>
      <c r="AK107" s="717"/>
      <c r="AL107" s="717"/>
      <c r="AM107" s="717"/>
      <c r="AN107" s="717"/>
      <c r="AO107" s="717"/>
      <c r="AP107" s="717"/>
      <c r="AQ107" s="718"/>
    </row>
    <row r="108" spans="1:44" ht="15.75" x14ac:dyDescent="0.25">
      <c r="A108" s="7"/>
      <c r="B108" s="699" t="s">
        <v>69</v>
      </c>
      <c r="C108" s="700"/>
      <c r="D108" s="701"/>
      <c r="E108" s="699" t="s">
        <v>70</v>
      </c>
      <c r="F108" s="700"/>
      <c r="G108" s="701"/>
      <c r="H108" s="699" t="s">
        <v>71</v>
      </c>
      <c r="I108" s="700"/>
      <c r="J108" s="701"/>
      <c r="K108" s="699" t="s">
        <v>72</v>
      </c>
      <c r="L108" s="700"/>
      <c r="M108" s="701"/>
      <c r="N108" s="699" t="s">
        <v>73</v>
      </c>
      <c r="O108" s="700"/>
      <c r="P108" s="701"/>
      <c r="Q108" s="699" t="s">
        <v>71</v>
      </c>
      <c r="R108" s="700"/>
      <c r="S108" s="701"/>
      <c r="T108" s="699" t="s">
        <v>69</v>
      </c>
      <c r="U108" s="700"/>
      <c r="V108" s="701"/>
      <c r="W108" s="699" t="s">
        <v>73</v>
      </c>
      <c r="X108" s="700"/>
      <c r="Y108" s="701"/>
      <c r="Z108" s="699" t="s">
        <v>72</v>
      </c>
      <c r="AA108" s="700"/>
      <c r="AB108" s="701"/>
      <c r="AC108" s="699" t="s">
        <v>70</v>
      </c>
      <c r="AD108" s="700"/>
      <c r="AE108" s="701"/>
      <c r="AF108" s="41" t="s">
        <v>74</v>
      </c>
      <c r="AG108" s="42">
        <v>1</v>
      </c>
      <c r="AH108" s="42">
        <v>2</v>
      </c>
      <c r="AI108" s="42">
        <v>3</v>
      </c>
      <c r="AJ108" s="42">
        <v>4</v>
      </c>
      <c r="AK108" s="42">
        <v>5</v>
      </c>
      <c r="AL108" s="42">
        <v>6</v>
      </c>
      <c r="AM108" s="42">
        <v>7</v>
      </c>
      <c r="AN108" s="42">
        <v>8</v>
      </c>
      <c r="AO108" s="42">
        <v>9</v>
      </c>
      <c r="AP108" s="42">
        <v>10</v>
      </c>
      <c r="AQ108" s="43" t="s">
        <v>75</v>
      </c>
    </row>
    <row r="109" spans="1:44" ht="15.75" x14ac:dyDescent="0.25">
      <c r="A109" s="7"/>
      <c r="B109" s="44">
        <v>2</v>
      </c>
      <c r="C109" s="45" t="s">
        <v>76</v>
      </c>
      <c r="D109" s="46">
        <v>5</v>
      </c>
      <c r="E109" s="44">
        <v>1</v>
      </c>
      <c r="F109" s="45" t="str">
        <f>IF(AK93&gt;1,"v","")</f>
        <v>v</v>
      </c>
      <c r="G109" s="46">
        <v>4</v>
      </c>
      <c r="H109" s="44">
        <v>3</v>
      </c>
      <c r="I109" s="45" t="str">
        <f>IF(AK93&gt;2,"v","")</f>
        <v>v</v>
      </c>
      <c r="J109" s="46">
        <v>5</v>
      </c>
      <c r="K109" s="44">
        <v>2</v>
      </c>
      <c r="L109" s="45" t="str">
        <f>IF(AK93&gt;3,"v","")</f>
        <v>v</v>
      </c>
      <c r="M109" s="46">
        <v>4</v>
      </c>
      <c r="N109" s="44">
        <v>1</v>
      </c>
      <c r="O109" s="45" t="str">
        <f>IF(AK93&gt;4,"v","")</f>
        <v>v</v>
      </c>
      <c r="P109" s="46">
        <v>3</v>
      </c>
      <c r="Q109" s="44">
        <v>4</v>
      </c>
      <c r="R109" s="45" t="str">
        <f>IF(AK93&gt;5,"v","")</f>
        <v>v</v>
      </c>
      <c r="S109" s="46">
        <v>5</v>
      </c>
      <c r="T109" s="44">
        <v>2</v>
      </c>
      <c r="U109" s="45" t="str">
        <f>IF(AK93&gt;6,"v","")</f>
        <v>v</v>
      </c>
      <c r="V109" s="46">
        <v>3</v>
      </c>
      <c r="W109" s="44">
        <v>1</v>
      </c>
      <c r="X109" s="45" t="str">
        <f>IF(AK93&gt;7,"v","")</f>
        <v>v</v>
      </c>
      <c r="Y109" s="46">
        <v>5</v>
      </c>
      <c r="Z109" s="44">
        <v>3</v>
      </c>
      <c r="AA109" s="45" t="str">
        <f>IF(AK93&gt;8,"v","")</f>
        <v>v</v>
      </c>
      <c r="AB109" s="46">
        <v>4</v>
      </c>
      <c r="AC109" s="44">
        <v>1</v>
      </c>
      <c r="AD109" s="45" t="str">
        <f>IF(AK93&gt;9,"v","")</f>
        <v>v</v>
      </c>
      <c r="AE109" s="46">
        <v>2</v>
      </c>
      <c r="AF109" s="41" t="str">
        <f>IF(AK94&gt;0,"Team 1","")</f>
        <v>Team 1</v>
      </c>
      <c r="AG109" s="47" t="str">
        <f>IF(AK94&lt;1,"",IF(AK93&lt;1,"",IF(B109=1,B115-D115,IF(D109=1,D115-B115,""))))</f>
        <v/>
      </c>
      <c r="AH109" s="47">
        <f>IF(AK94&lt;1,"",IF(AK93&lt;2,"",IF(E109=1,E115-G115,IF(G109=1,G115-E115,""))))</f>
        <v>16</v>
      </c>
      <c r="AI109" s="47" t="str">
        <f>IF(AK94&lt;1,"",IF(AK93&lt;3,"",IF(H109=1,H115-J115,IF(J109=1,J115-H115,""))))</f>
        <v/>
      </c>
      <c r="AJ109" s="47" t="str">
        <f>IF(AK94&lt;1,"",IF(AK93&lt;4,"",IF(K109=1,K115-M115,IF(M109=1,M115-K115,""))))</f>
        <v/>
      </c>
      <c r="AK109" s="47">
        <f>IF(AK94&lt;1,"",IF(AK93&lt;5,"",IF(N109=1,N115-P115,IF(P109=1,P115-N115,""))))</f>
        <v>14</v>
      </c>
      <c r="AL109" s="47" t="str">
        <f>IF(AK94&lt;1,"",IF(AK93&lt;6,"",IF(Q109=1,Q115-S115,IF(S109=1,S115-Q115,""))))</f>
        <v/>
      </c>
      <c r="AM109" s="47" t="str">
        <f>IF(AK94&lt;1,"",IF(AK93&lt;7,"",IF(T109=1,T115-V115,IF(V109=1,V115-T115,""))))</f>
        <v/>
      </c>
      <c r="AN109" s="47">
        <f>IF(AK94&lt;1,"",IF(AK93&lt;8,"",IF(W109=1,W115-Y115,IF(Y109=1,Y115-W115,""))))</f>
        <v>12</v>
      </c>
      <c r="AO109" s="47" t="str">
        <f>IF(AK94&lt;1,"",IF(AK93&lt;9,"",IF(Z109=1,Z115-AB115,IF(AB109=1,AB115-Z115,""))))</f>
        <v/>
      </c>
      <c r="AP109" s="47">
        <f>IF(AK94&lt;1,"",IF(AK93&lt;10,"",IF(AC109=1,AC115-AE115,IF(AE109=1,AE115-AC115,""))))</f>
        <v>25</v>
      </c>
      <c r="AQ109" s="43">
        <f>SUM(AG109:AP109)</f>
        <v>67</v>
      </c>
    </row>
    <row r="110" spans="1:44" ht="15" x14ac:dyDescent="0.2">
      <c r="A110" s="4" t="s">
        <v>77</v>
      </c>
      <c r="B110" s="48">
        <v>27</v>
      </c>
      <c r="C110" s="49" t="s">
        <v>78</v>
      </c>
      <c r="D110" s="50">
        <v>26</v>
      </c>
      <c r="E110" s="48">
        <v>25</v>
      </c>
      <c r="F110" s="49" t="str">
        <f>IF(AK93&gt;1,"/","")</f>
        <v>/</v>
      </c>
      <c r="G110" s="50">
        <v>18</v>
      </c>
      <c r="H110" s="48">
        <v>16</v>
      </c>
      <c r="I110" s="49" t="str">
        <f>IF(AK93&gt;2,"/","")</f>
        <v>/</v>
      </c>
      <c r="J110" s="50">
        <v>25</v>
      </c>
      <c r="K110" s="48">
        <v>25</v>
      </c>
      <c r="L110" s="49" t="str">
        <f>IF(AK93&gt;3,"/","")</f>
        <v>/</v>
      </c>
      <c r="M110" s="50">
        <v>18</v>
      </c>
      <c r="N110" s="48">
        <v>25</v>
      </c>
      <c r="O110" s="49" t="str">
        <f>IF(AK93&gt;4,"/","")</f>
        <v>/</v>
      </c>
      <c r="P110" s="50">
        <v>20</v>
      </c>
      <c r="Q110" s="48">
        <v>25</v>
      </c>
      <c r="R110" s="49" t="str">
        <f>IF(AK93&gt;5,"/","")</f>
        <v>/</v>
      </c>
      <c r="S110" s="50">
        <v>17</v>
      </c>
      <c r="T110" s="48">
        <v>20</v>
      </c>
      <c r="U110" s="49" t="str">
        <f>IF(AK93&gt;6,"/","")</f>
        <v>/</v>
      </c>
      <c r="V110" s="50">
        <v>25</v>
      </c>
      <c r="W110" s="48">
        <v>25</v>
      </c>
      <c r="X110" s="49" t="str">
        <f>IF(AK93&gt;7,"/","")</f>
        <v>/</v>
      </c>
      <c r="Y110" s="50">
        <v>15</v>
      </c>
      <c r="Z110" s="48">
        <v>25</v>
      </c>
      <c r="AA110" s="49" t="str">
        <f>IF(AK93&gt;8,"/","")</f>
        <v>/</v>
      </c>
      <c r="AB110" s="50">
        <v>21</v>
      </c>
      <c r="AC110" s="48">
        <v>25</v>
      </c>
      <c r="AD110" s="49" t="str">
        <f>IF(AK93&gt;9,"/","")</f>
        <v>/</v>
      </c>
      <c r="AE110" s="50">
        <v>15</v>
      </c>
      <c r="AF110" s="41" t="str">
        <f>IF(AK94&gt;1,"Team 2","")</f>
        <v>Team 2</v>
      </c>
      <c r="AG110" s="47">
        <f>IF(AK94&lt;2,"",IF(AK93&lt;1,"",IF(B109=2,B115-D115,IF(D109=2,D115-B115,""))))</f>
        <v>-1</v>
      </c>
      <c r="AH110" s="47" t="str">
        <f>IF(AK94&lt;2,"",IF(AK93&lt;2,"",IF(E109=2,E115-G115,IF(G109=2,G115-E115,""))))</f>
        <v/>
      </c>
      <c r="AI110" s="47" t="str">
        <f>IF(AK94&lt;2,"",IF(AK93&lt;3,"",IF(H109=2,H115-J115,IF(J109=2,J115-H115,""))))</f>
        <v/>
      </c>
      <c r="AJ110" s="47">
        <f>IF(AK94&lt;2,"",IF(AK93&lt;4,"",IF(K109=2,K115-M115,IF(M109=2,M115-K115,""))))</f>
        <v>10</v>
      </c>
      <c r="AK110" s="47" t="str">
        <f>IF(AK94&lt;2,"",IF(AK93&lt;5,"",IF(N109=2,N115-P115,IF(P109=2,P115-N115,""))))</f>
        <v/>
      </c>
      <c r="AL110" s="47" t="str">
        <f>IF(AK94&lt;2,"",IF(AK93&lt;6,"",IF(Q109=2,Q115-S115,IF(S109=2,S115-Q115,""))))</f>
        <v/>
      </c>
      <c r="AM110" s="47">
        <f>IF(AK94&lt;2,"",IF(AK93&lt;7,"",IF(T109=2,T115-V115,IF(V109=2,V115-T115,""))))</f>
        <v>-12</v>
      </c>
      <c r="AN110" s="47" t="str">
        <f>IF(AK94&lt;2,"",IF(AK93&lt;8,"",IF(W109=2,W115-Y115,IF(Y109=2,Y115-W115,""))))</f>
        <v/>
      </c>
      <c r="AO110" s="47" t="str">
        <f>IF(AK94&lt;2,"",IF(AK93&lt;9,"",IF(Z109=2,Z115-AB115,IF(AB109=2,AB115-Z115,""))))</f>
        <v/>
      </c>
      <c r="AP110" s="47">
        <f>IF(AK94&lt;2,"",IF(AK93&lt;10,"",IF(AC109=2,AC115-AE115,IF(AE109=2,AE115-AC115,""))))</f>
        <v>-25</v>
      </c>
      <c r="AQ110" s="43">
        <f>SUM(AG110:AP110)</f>
        <v>-28</v>
      </c>
    </row>
    <row r="111" spans="1:44" ht="15" x14ac:dyDescent="0.2">
      <c r="A111" s="3" t="str">
        <f>IF(AK92&gt;1,"Game 2","")</f>
        <v>Game 2</v>
      </c>
      <c r="B111" s="48">
        <v>23</v>
      </c>
      <c r="C111" s="49" t="s">
        <v>78</v>
      </c>
      <c r="D111" s="50">
        <v>25</v>
      </c>
      <c r="E111" s="48">
        <v>25</v>
      </c>
      <c r="F111" s="49" t="str">
        <f>IF(AK93&gt;1,IF(AK92&gt;1,"/",""),"")</f>
        <v>/</v>
      </c>
      <c r="G111" s="50">
        <v>16</v>
      </c>
      <c r="H111" s="48">
        <v>22</v>
      </c>
      <c r="I111" s="49" t="str">
        <f>IF(AK93&gt;2,IF(AK92&gt;1,"/",""),"")</f>
        <v>/</v>
      </c>
      <c r="J111" s="50">
        <v>25</v>
      </c>
      <c r="K111" s="48">
        <v>25</v>
      </c>
      <c r="L111" s="49" t="str">
        <f>IF(AK93&gt;3,IF(AK92&gt;1,"/",""),"")</f>
        <v>/</v>
      </c>
      <c r="M111" s="50">
        <v>22</v>
      </c>
      <c r="N111" s="48">
        <v>25</v>
      </c>
      <c r="O111" s="49" t="str">
        <f>IF(AK93&gt;4,IF(AK92&gt;1,"/",""),"")</f>
        <v>/</v>
      </c>
      <c r="P111" s="50">
        <v>16</v>
      </c>
      <c r="Q111" s="48">
        <v>17</v>
      </c>
      <c r="R111" s="49" t="str">
        <f>IF(AK93&gt;5,IF(AK92&gt;1,"/",""),"")</f>
        <v>/</v>
      </c>
      <c r="S111" s="50">
        <v>25</v>
      </c>
      <c r="T111" s="48">
        <v>18</v>
      </c>
      <c r="U111" s="49" t="str">
        <f>IF(AK93&gt;6,IF(AK92&gt;1,"/",""),"")</f>
        <v>/</v>
      </c>
      <c r="V111" s="50">
        <v>25</v>
      </c>
      <c r="W111" s="48">
        <v>25</v>
      </c>
      <c r="X111" s="49" t="str">
        <f>IF(AK93&gt;7,IF(AK92&gt;1,"/",""),"")</f>
        <v>/</v>
      </c>
      <c r="Y111" s="50">
        <v>23</v>
      </c>
      <c r="Z111" s="48">
        <v>25</v>
      </c>
      <c r="AA111" s="49" t="str">
        <f>IF(AK93&gt;8,IF(AK92&gt;1,"/",""),"")</f>
        <v>/</v>
      </c>
      <c r="AB111" s="50">
        <v>23</v>
      </c>
      <c r="AC111" s="48">
        <v>25</v>
      </c>
      <c r="AD111" s="49" t="str">
        <f>IF(AK93&gt;9,IF(AK92&gt;1,"/",""),"")</f>
        <v>/</v>
      </c>
      <c r="AE111" s="50">
        <v>10</v>
      </c>
      <c r="AF111" s="41" t="str">
        <f>IF(AK94&gt;2,"Team 3","")</f>
        <v>Team 3</v>
      </c>
      <c r="AG111" s="47" t="str">
        <f>IF(AK94&lt;3,"",IF(AK93&lt;1,"",IF(B109=3,B115-D115,IF(D109=3,D115-B115,""))))</f>
        <v/>
      </c>
      <c r="AH111" s="47" t="str">
        <f>IF(AK94&lt;3,"",IF(AK93&lt;2,"",IF(E109=3,E115-G115,IF(G109=3,G115-E115,""))))</f>
        <v/>
      </c>
      <c r="AI111" s="47">
        <f>IF(AK94&lt;3,"",IF(AK93&lt;3,"",IF(H109=3,H115-J115,IF(J109=3,J115-H115,""))))</f>
        <v>-12</v>
      </c>
      <c r="AJ111" s="47" t="str">
        <f>IF(AK94&lt;3,"",IF(AK93&lt;4,"",IF(K109=3,K115-M115,IF(M109=3,M115-K115,""))))</f>
        <v/>
      </c>
      <c r="AK111" s="47">
        <f>IF(AK94&lt;3,"",IF(AK93&lt;5,"",IF(N109=3,N115-P115,IF(P109=3,P115-N115,""))))</f>
        <v>-14</v>
      </c>
      <c r="AL111" s="47" t="str">
        <f>IF(AK94&lt;3,"",IF(AK93&lt;6,"",IF(Q109=3,Q115-S115,IF(S109=3,S115-Q115,""))))</f>
        <v/>
      </c>
      <c r="AM111" s="47">
        <f>IF(AK94&lt;3,"",IF(AK93&lt;7,"",IF(T109=3,T115-V115,IF(V109=3,V115-T115,""))))</f>
        <v>12</v>
      </c>
      <c r="AN111" s="47" t="str">
        <f>IF(AK94&lt;3,"",IF(AK93&lt;8,"",IF(W109=3,W115-Y115,IF(Y109=3,Y115-W115,""))))</f>
        <v/>
      </c>
      <c r="AO111" s="47">
        <f>IF(AK94&lt;3,"",IF(AK93&lt;9,"",IF(Z109=3,Z115-AB115,IF(AB109=3,AB115-Z115,""))))</f>
        <v>6</v>
      </c>
      <c r="AP111" s="47" t="str">
        <f>IF(AK94&lt;3,"",IF(AK93&lt;9,"",IF(AC109=3,AC115-AE115,IF(AE109=3,AE115-AC115,""))))</f>
        <v/>
      </c>
      <c r="AQ111" s="43">
        <f>SUM(AG111:AP111)</f>
        <v>-8</v>
      </c>
    </row>
    <row r="112" spans="1:44" ht="15" x14ac:dyDescent="0.2">
      <c r="A112" s="3" t="str">
        <f>IF(AK92&gt;2,"Game 3","")</f>
        <v/>
      </c>
      <c r="B112" s="48"/>
      <c r="C112" s="49" t="s">
        <v>78</v>
      </c>
      <c r="D112" s="50"/>
      <c r="E112" s="48"/>
      <c r="F112" s="49" t="str">
        <f>IF(AK93&gt;1,IF(AK92&gt;2,"/",""),"")</f>
        <v/>
      </c>
      <c r="G112" s="50"/>
      <c r="H112" s="48"/>
      <c r="I112" s="49" t="str">
        <f>IF(AK93&gt;2,IF(AK92&gt;2,"/",""),"")</f>
        <v/>
      </c>
      <c r="J112" s="50"/>
      <c r="K112" s="48"/>
      <c r="L112" s="49" t="str">
        <f>IF(AK93&gt;3,IF(AK92&gt;2,"/",""),"")</f>
        <v/>
      </c>
      <c r="M112" s="50"/>
      <c r="N112" s="48"/>
      <c r="O112" s="49" t="str">
        <f>IF(AK93&gt;4,IF(AK92&gt;2,"/",""),"")</f>
        <v/>
      </c>
      <c r="P112" s="50"/>
      <c r="Q112" s="48"/>
      <c r="R112" s="49" t="str">
        <f>IF(AK93&gt;5,IF(AK92&gt;2,"/",""),"")</f>
        <v/>
      </c>
      <c r="S112" s="50"/>
      <c r="T112" s="48"/>
      <c r="U112" s="49" t="str">
        <f>IF(AK93&gt;6,IF(AK92&gt;2,"/",""),"")</f>
        <v/>
      </c>
      <c r="V112" s="50"/>
      <c r="W112" s="48"/>
      <c r="X112" s="49" t="str">
        <f>IF(AK93&gt;7,IF(AK92&gt;2,"/",""),"")</f>
        <v/>
      </c>
      <c r="Y112" s="50"/>
      <c r="Z112" s="48"/>
      <c r="AA112" s="49" t="str">
        <f>IF(AK93&gt;8,IF(AK92&gt;2,"/",""),"")</f>
        <v/>
      </c>
      <c r="AB112" s="50"/>
      <c r="AC112" s="48"/>
      <c r="AD112" s="49" t="str">
        <f>IF(AK93&gt;9,IF(AK92&gt;2,"/",""),"")</f>
        <v/>
      </c>
      <c r="AE112" s="50"/>
      <c r="AF112" s="41" t="str">
        <f>IF(AK94&gt;3,"Team 4","")</f>
        <v>Team 4</v>
      </c>
      <c r="AG112" s="47" t="str">
        <f>IF(AK94&lt;4,"",IF(AK93&lt;1,"",IF(B109=4,B115-D115,IF(D109=4,D115-B115,""))))</f>
        <v/>
      </c>
      <c r="AH112" s="47">
        <f>IF(AK94&lt;4,"",IF(AK93&lt;2,"",IF(E109=4,E115-G115,IF(G109=4,G115-E115,""))))</f>
        <v>-16</v>
      </c>
      <c r="AI112" s="47" t="str">
        <f>IF(AK94&lt;4,"",IF(AK93&lt;3,"",IF(H109=4,H115-J115,IF(J109=4,J115-H115,""))))</f>
        <v/>
      </c>
      <c r="AJ112" s="47">
        <f>IF(AK94&lt;4,"",IF(AK93&lt;4,"",IF(K109=4,K115-M115,IF(M109=4,M115-K115,""))))</f>
        <v>-10</v>
      </c>
      <c r="AK112" s="47" t="str">
        <f>IF(AK94&lt;4,"",IF(AK93&lt;5,"",IF(N109=4,N115-P115,IF(P109=4,P115-N115,""))))</f>
        <v/>
      </c>
      <c r="AL112" s="47">
        <f>IF(AK94&lt;4,"",IF(AK93&lt;6,"",IF(Q109=4,Q115-S115,IF(S109=4,S115-Q115,""))))</f>
        <v>0</v>
      </c>
      <c r="AM112" s="47" t="str">
        <f>IF(AK94&lt;4,"",IF(AK93&lt;7,"",IF(T109=4,T115-V115,IF(V109=4,V115-T115,""))))</f>
        <v/>
      </c>
      <c r="AN112" s="47" t="str">
        <f>IF(AK94&lt;4,"",IF(AK93&lt;8,"",IF(W109=4,W115-Y115,IF(Y109=4,Y115-W115,""))))</f>
        <v/>
      </c>
      <c r="AO112" s="47">
        <f>IF(AK94&lt;4,"",IF(AK93&lt;9,"",IF(Z109=4,Z115-AB115,IF(AB109=4,AB115-Z115,""))))</f>
        <v>-6</v>
      </c>
      <c r="AP112" s="47" t="str">
        <f>IF(AK94&lt;4,"",IF(AK93&lt;10,"",IF(AC109=4,AC115-AE115,IF(AE109=4,AE115-AC115,""))))</f>
        <v/>
      </c>
      <c r="AQ112" s="43">
        <f>SUM(AG112:AP112)</f>
        <v>-32</v>
      </c>
    </row>
    <row r="113" spans="1:49" ht="15" x14ac:dyDescent="0.2">
      <c r="A113" s="3" t="str">
        <f>IF(AK92&gt;3,"Game 4","")</f>
        <v/>
      </c>
      <c r="B113" s="48"/>
      <c r="C113" s="49" t="s">
        <v>78</v>
      </c>
      <c r="D113" s="50"/>
      <c r="E113" s="48"/>
      <c r="F113" s="49" t="str">
        <f>IF(AK93&gt;1,IF(AK92&gt;3,"/",""),"")</f>
        <v/>
      </c>
      <c r="G113" s="50"/>
      <c r="H113" s="48"/>
      <c r="I113" s="49" t="str">
        <f>IF(AK93&gt;2,IF(AK92&gt;3,"/",""),"")</f>
        <v/>
      </c>
      <c r="J113" s="50"/>
      <c r="K113" s="48"/>
      <c r="L113" s="49" t="str">
        <f>IF(AK93&gt;3,IF(AK92&gt;3,"/",""),"")</f>
        <v/>
      </c>
      <c r="M113" s="50"/>
      <c r="N113" s="48"/>
      <c r="O113" s="49" t="str">
        <f>IF(AK93&gt;4,IF(AK92&gt;3,"/",""),"")</f>
        <v/>
      </c>
      <c r="P113" s="50"/>
      <c r="Q113" s="48"/>
      <c r="R113" s="49" t="str">
        <f>IF(AK93&gt;5,IF(AK92&gt;3,"/",""),"")</f>
        <v/>
      </c>
      <c r="S113" s="50"/>
      <c r="T113" s="48"/>
      <c r="U113" s="49" t="str">
        <f>IF(AK93&gt;6,IF(AK92&gt;3,"/",""),"")</f>
        <v/>
      </c>
      <c r="V113" s="50"/>
      <c r="W113" s="48"/>
      <c r="X113" s="49" t="str">
        <f>IF(AK93&gt;7,IF(AK92&gt;3,"/",""),"")</f>
        <v/>
      </c>
      <c r="Y113" s="50"/>
      <c r="Z113" s="48"/>
      <c r="AA113" s="49" t="str">
        <f>IF(AK93&gt;8,IF(AK92&gt;3,"/",""),"")</f>
        <v/>
      </c>
      <c r="AB113" s="50"/>
      <c r="AC113" s="48"/>
      <c r="AD113" s="49" t="str">
        <f>IF(AK93&gt;9,IF(AK92&gt;3,"/",""),"")</f>
        <v/>
      </c>
      <c r="AE113" s="50"/>
      <c r="AF113" s="41" t="str">
        <f>IF(AK94&gt;4,"Team 5","")</f>
        <v>Team 5</v>
      </c>
      <c r="AG113" s="51">
        <f>IF(AK94&lt;5,"",IF(AK93&lt;1,"",IF(B109=5,B115-D115,IF(D109=5,D115-B115,""))))</f>
        <v>1</v>
      </c>
      <c r="AH113" s="47" t="str">
        <f>IF(AK94&lt;5,"",IF(AK93&lt;2,"",IF(E109=5,E115-G115,IF(G109=5,G115-E115,""))))</f>
        <v/>
      </c>
      <c r="AI113" s="47">
        <f>IF(AK94&lt;5,"",IF(AK93&lt;3,"",IF(H109=5,H115-J115,IF(J109=5,J115-H115,""))))</f>
        <v>12</v>
      </c>
      <c r="AJ113" s="47" t="str">
        <f>IF(AK94&lt;5,"",IF(AK93&lt;4,"",IF(K109=5,K115-M115,IF(M109=5,M115-K115,""))))</f>
        <v/>
      </c>
      <c r="AK113" s="47" t="str">
        <f>IF(AK94&lt;5,"",IF(AK93&lt;5,"",IF(N109=5,N115-P115,IF(P109=5,P115-N115,""))))</f>
        <v/>
      </c>
      <c r="AL113" s="47">
        <f>IF(AK94&lt;5,"",IF(AK93&lt;6,"",IF(Q109=5,Q115-S115,IF(S109=5,S115-Q115,""))))</f>
        <v>0</v>
      </c>
      <c r="AM113" s="47" t="str">
        <f>IF(AK94&lt;5,"",IF(AK93&lt;7,"",IF(T109=5,T115-V115,IF(V109=5,V115-T115,""))))</f>
        <v/>
      </c>
      <c r="AN113" s="47">
        <f>IF(AK94&lt;5,"",IF(AK93&lt;8,"",IF(W109=5,W115-Y115,IF(Y109=5,Y115-W115,""))))</f>
        <v>-12</v>
      </c>
      <c r="AO113" s="47" t="str">
        <f>IF(AK94&lt;5,"",IF(AK93&lt;9,"",IF(Z109=5,Z115-AB115,IF(AB109=5,AB115-Z115,""))))</f>
        <v/>
      </c>
      <c r="AP113" s="47" t="str">
        <f>IF(AK94&lt;5,"",IF(AK93&lt;10,"",IF(AC109=5,AC115-AE115,IF(AE109=5,AE115-AC115,""))))</f>
        <v/>
      </c>
      <c r="AQ113" s="43">
        <f>SUM(AG113:AP113)</f>
        <v>1</v>
      </c>
    </row>
    <row r="114" spans="1:49" ht="15" x14ac:dyDescent="0.2">
      <c r="A114" s="3" t="str">
        <f>IF(AK92&gt;4,"Game 5","")</f>
        <v/>
      </c>
      <c r="B114" s="48"/>
      <c r="C114" s="49" t="s">
        <v>78</v>
      </c>
      <c r="D114" s="50"/>
      <c r="E114" s="48"/>
      <c r="F114" s="49" t="str">
        <f>IF(AK93&gt;1,IF(AK92&gt;4,"/",""),"")</f>
        <v/>
      </c>
      <c r="G114" s="50"/>
      <c r="H114" s="48"/>
      <c r="I114" s="49" t="str">
        <f>IF(AK93&gt;2,IF(AK92&gt;4,"/",""),"")</f>
        <v/>
      </c>
      <c r="J114" s="50"/>
      <c r="K114" s="48"/>
      <c r="L114" s="49" t="str">
        <f>IF(AK93&gt;3,IF(AK92&gt;4,"/",""),"")</f>
        <v/>
      </c>
      <c r="M114" s="50"/>
      <c r="N114" s="48"/>
      <c r="O114" s="49" t="str">
        <f>IF(AK93&gt;4,IF(AK92&gt;4,"/",""),"")</f>
        <v/>
      </c>
      <c r="P114" s="50"/>
      <c r="Q114" s="48"/>
      <c r="R114" s="49" t="str">
        <f>IF(AK93&gt;5,IF(AK92&gt;4,"/",""),"")</f>
        <v/>
      </c>
      <c r="S114" s="50"/>
      <c r="T114" s="48"/>
      <c r="U114" s="49" t="str">
        <f>IF(AK93&gt;6,IF(AK92&gt;4,"/",""),"")</f>
        <v/>
      </c>
      <c r="V114" s="50"/>
      <c r="W114" s="48"/>
      <c r="X114" s="49" t="str">
        <f>IF(AK93&gt;7,IF(AK92&gt;4,"/",""),"")</f>
        <v/>
      </c>
      <c r="Y114" s="50"/>
      <c r="Z114" s="48"/>
      <c r="AA114" s="49" t="str">
        <f>IF(AK93&gt;8,IF(AK92&gt;4,"/",""),"")</f>
        <v/>
      </c>
      <c r="AB114" s="50"/>
      <c r="AC114" s="48"/>
      <c r="AD114" s="49" t="str">
        <f>IF(AK93&gt;9,IF(AK92&gt;4,"/",""),"")</f>
        <v/>
      </c>
      <c r="AE114" s="50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</row>
    <row r="115" spans="1:49" hidden="1" x14ac:dyDescent="0.2">
      <c r="A115" s="52"/>
      <c r="B115" s="52">
        <f>IF($AK92=5,SUM(B110:B114),IF($AK92=4,SUM(B110:B113),IF($AK92=3,SUM(B110:B112),IF($AK92=2,SUM(B110:B111),B110))))</f>
        <v>50</v>
      </c>
      <c r="C115" s="52"/>
      <c r="D115" s="52">
        <f>IF($AK92=5,SUM(D110:D114),IF($AK92=4,SUM(D110:D113),IF($AK92=3,SUM(D110:D112),IF($AK92=2,SUM(D110:D111),D110))))</f>
        <v>51</v>
      </c>
      <c r="E115" s="52">
        <f>IF($AK92=5,SUM(E110:E114),IF($AK92=4,SUM(E110:E113),IF($AK92=3,SUM(E110:E112),IF($AK92=2,SUM(E110:E111),E110))))</f>
        <v>50</v>
      </c>
      <c r="F115" s="52"/>
      <c r="G115" s="52">
        <f>IF($AK92=5,SUM(G110:G114),IF($AK92=4,SUM(G110:G113),IF($AK92=3,SUM(G110:G112),IF($AK92=2,SUM(G110:G111),G110))))</f>
        <v>34</v>
      </c>
      <c r="H115" s="52">
        <f>IF($AK92=5,SUM(H110:H114),IF($AK92=4,SUM(H110:H113),IF($AK92=3,SUM(H110:H112),IF($AK92=2,SUM(H110:H111),H110))))</f>
        <v>38</v>
      </c>
      <c r="I115" s="52"/>
      <c r="J115" s="52">
        <f>IF($AK92=5,SUM(J110:J114),IF($AK92=4,SUM(J110:J113),IF($AK92=3,SUM(J110:J112),IF($AK92=2,SUM(J110:J111),J110))))</f>
        <v>50</v>
      </c>
      <c r="K115" s="52">
        <f>IF($AK92=5,SUM(K110:K114),IF($AK92=4,SUM(K110:K113),IF($AK92=3,SUM(K110:K112),IF($AK92=2,SUM(K110:K111),K110))))</f>
        <v>50</v>
      </c>
      <c r="L115" s="52"/>
      <c r="M115" s="52">
        <f>IF($AK92=5,SUM(M110:M114),IF($AK92=4,SUM(M110:M113),IF($AK92=3,SUM(M110:M112),IF($AK92=2,SUM(M110:M111),M110))))</f>
        <v>40</v>
      </c>
      <c r="N115" s="52">
        <f>IF($AK92=5,SUM(N110:N114),IF($AK92=4,SUM(N110:N113),IF($AK92=3,SUM(N110:N112),IF($AK92=2,SUM(N110:N111),N110))))</f>
        <v>50</v>
      </c>
      <c r="O115" s="52"/>
      <c r="P115" s="52">
        <f>IF($AK92=5,SUM(P110:P114),IF($AK92=4,SUM(P110:P113),IF($AK92=3,SUM(P110:P112),IF($AK92=2,SUM(P110:P111),P110))))</f>
        <v>36</v>
      </c>
      <c r="Q115" s="52">
        <f>IF($AK92=5,SUM(Q110:Q114),IF($AK92=4,SUM(Q110:Q113),IF($AK92=3,SUM(Q110:Q112),IF($AK92=2,SUM(Q110:Q111),Q110))))</f>
        <v>42</v>
      </c>
      <c r="R115" s="52"/>
      <c r="S115" s="52">
        <f>IF($AK92=5,SUM(S110:S114),IF($AK92=4,SUM(S110:S113),IF($AK92=3,SUM(S110:S112),IF($AK92=2,SUM(S110:S111),S110))))</f>
        <v>42</v>
      </c>
      <c r="T115" s="52">
        <f>IF($AK92=5,SUM(T110:T114),IF($AK92=4,SUM(T110:T113),IF($AK92=3,SUM(T110:T112),IF($AK92=2,SUM(T110:T111),T110))))</f>
        <v>38</v>
      </c>
      <c r="U115" s="52"/>
      <c r="V115" s="52">
        <f>IF($AK92=5,SUM(V110:V114),IF($AK92=4,SUM(V110:V113),IF($AK92=3,SUM(V110:V112),IF($AK92=2,SUM(V110:V111),V110))))</f>
        <v>50</v>
      </c>
      <c r="W115" s="52">
        <f>IF($AK92=5,SUM(W110:W114),IF($AK92=4,SUM(W110:W113),IF($AK92=3,SUM(W110:W112),IF($AK92=2,SUM(W110:W111),W110))))</f>
        <v>50</v>
      </c>
      <c r="X115" s="52"/>
      <c r="Y115" s="52">
        <f>IF($AK92=5,SUM(Y110:Y114),IF($AK92=4,SUM(Y110:Y113),IF($AK92=3,SUM(Y110:Y112),IF($AK92=2,SUM(Y110:Y111),Y110))))</f>
        <v>38</v>
      </c>
      <c r="Z115" s="52">
        <f>IF($AK92=5,SUM(Z110:Z114),IF($AK92=4,SUM(Z110:Z113),IF($AK92=3,SUM(Z110:Z112),IF($AK92=2,SUM(Z110:Z111),Z110))))</f>
        <v>50</v>
      </c>
      <c r="AA115" s="52"/>
      <c r="AB115" s="52">
        <f>IF($AK92=5,SUM(AB110:AB114),IF($AK92=4,SUM(AB110:AB113),IF($AK92=3,SUM(AB110:AB112),IF($AK92=2,SUM(AB110:AB111),AB110))))</f>
        <v>44</v>
      </c>
      <c r="AC115" s="52">
        <f>IF($AK92=5,SUM(AC110:AC114),IF($AK92=4,SUM(AC110:AC113),IF($AK92=3,SUM(AC110:AC112),IF($AK92=2,SUM(AC110:AC111),AC110))))</f>
        <v>50</v>
      </c>
      <c r="AD115" s="52"/>
      <c r="AE115" s="52">
        <f>IF($AK92=5,SUM(AE110:AE114),IF($AK92=4,SUM(AE110:AE113),IF($AK92=3,SUM(AE110:AE112),IF($AK92=2,SUM(AE110:AE111),AE110))))</f>
        <v>25</v>
      </c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</row>
    <row r="116" spans="1:49" s="54" customFormat="1" ht="12.75" hidden="1" customHeight="1" x14ac:dyDescent="0.2">
      <c r="A116" s="54" t="s">
        <v>79</v>
      </c>
      <c r="B116" s="55">
        <f>IF(AND(B110&gt;D110,$AK93&gt;0,ISNUMBER(B110),ISNUMBER(D110)),1,0)</f>
        <v>1</v>
      </c>
      <c r="C116" s="55"/>
      <c r="D116" s="56">
        <f>IF(AND(D110&gt;B110,$AK93&gt;0,ISNUMBER(B110),ISNUMBER(D110)),1,0)</f>
        <v>0</v>
      </c>
      <c r="E116" s="55">
        <f>IF(AND(E110&gt;G110,$AK93&gt;1,ISNUMBER(E110),ISNUMBER(G110)),1,0)</f>
        <v>1</v>
      </c>
      <c r="F116" s="55"/>
      <c r="G116" s="56">
        <f>IF(AND(G110&gt;E110,$AK93&gt;1,ISNUMBER(E110),ISNUMBER(G110)),1,0)</f>
        <v>0</v>
      </c>
      <c r="H116" s="55">
        <f>IF(AND(H110&gt;J110,$AK93&gt;2,ISNUMBER(H110),ISNUMBER(J110)),1,0)</f>
        <v>0</v>
      </c>
      <c r="I116" s="55"/>
      <c r="J116" s="56">
        <f>IF(AND(J110&gt;H110,$AK93&gt;2,ISNUMBER(H110),ISNUMBER(J110)),1,0)</f>
        <v>1</v>
      </c>
      <c r="K116" s="55">
        <f>IF(AND(K110&gt;M110,$AK93&gt;3,ISNUMBER(K110),ISNUMBER(M110)),1,0)</f>
        <v>1</v>
      </c>
      <c r="L116" s="55"/>
      <c r="M116" s="56">
        <f>IF(AND(M110&gt;K110,$AK93&gt;3,ISNUMBER(K110),ISNUMBER(M110)),1,0)</f>
        <v>0</v>
      </c>
      <c r="N116" s="55">
        <f>IF(AND(N110&gt;P110,$AK93&gt;4,ISNUMBER(N110),ISNUMBER(P110)),1,0)</f>
        <v>1</v>
      </c>
      <c r="O116" s="55"/>
      <c r="P116" s="56">
        <f>IF(AND(P110&gt;N110,$AK93&gt;4,ISNUMBER(N110),ISNUMBER(P110)),1,0)</f>
        <v>0</v>
      </c>
      <c r="Q116" s="55">
        <f>IF(AND(Q110&gt;S110,$AK93&gt;5,ISNUMBER(Q110),ISNUMBER(S110)),1,0)</f>
        <v>1</v>
      </c>
      <c r="R116" s="55"/>
      <c r="S116" s="56">
        <f>IF(AND(S110&gt;Q110,$AK93&gt;5,ISNUMBER(Q110),ISNUMBER(S110)),1,0)</f>
        <v>0</v>
      </c>
      <c r="T116" s="55">
        <f>IF(AND(T110&gt;V110,$AK93&gt;6,ISNUMBER(T110),ISNUMBER(V110)),1,0)</f>
        <v>0</v>
      </c>
      <c r="U116" s="55"/>
      <c r="V116" s="56">
        <f>IF(AND(V110&gt;T110,$AK93&gt;6,ISNUMBER(T110),ISNUMBER(V110)),1,0)</f>
        <v>1</v>
      </c>
      <c r="W116" s="55">
        <f>IF(AND(W110&gt;Y110,$AK93&gt;7,ISNUMBER(W110),ISNUMBER(Y110)),1,0)</f>
        <v>1</v>
      </c>
      <c r="X116" s="55"/>
      <c r="Y116" s="56">
        <f>IF(AND(Y110&gt;W110,$AK93&gt;7,ISNUMBER(W110),ISNUMBER(Y110)),1,0)</f>
        <v>0</v>
      </c>
      <c r="Z116" s="55">
        <f>IF(AND(Z110&gt;AB110,$AK93&gt;8,ISNUMBER(Z110),ISNUMBER(AB110)),1,0)</f>
        <v>1</v>
      </c>
      <c r="AA116" s="55"/>
      <c r="AB116" s="56">
        <f>IF(AND(AB110&gt;Z110,$AK93&gt;8,ISNUMBER(Z110),ISNUMBER(AB110)),1,0)</f>
        <v>0</v>
      </c>
      <c r="AC116" s="55">
        <f>IF(AND(AC110&gt;AE110,$AK93&gt;9,ISNUMBER(AC110),ISNUMBER(AE110)),1,0)</f>
        <v>1</v>
      </c>
      <c r="AD116" s="55"/>
      <c r="AE116" s="56">
        <f>IF(AND(AE110&gt;AC110,$AK93&gt;9,ISNUMBER(AC110),ISNUMBER(AE110)),1,0)</f>
        <v>0</v>
      </c>
      <c r="AW116" s="57"/>
    </row>
    <row r="117" spans="1:49" s="54" customFormat="1" ht="12.75" hidden="1" customHeight="1" x14ac:dyDescent="0.2">
      <c r="A117" s="54" t="s">
        <v>80</v>
      </c>
      <c r="B117" s="55">
        <f>IF(AND(B111&gt;D111,$AK93&gt;0,$AK92&gt;1,ISNUMBER(B111),ISNUMBER(D111)),1,0)</f>
        <v>0</v>
      </c>
      <c r="C117" s="55"/>
      <c r="D117" s="56">
        <f>IF(AND(D111&gt;B111,$AK93&gt;0,$AK92&gt;1,ISNUMBER(B111),ISNUMBER(D111)),1,0)</f>
        <v>1</v>
      </c>
      <c r="E117" s="55">
        <f>IF(AND(E111&gt;G111,$AK93&gt;1,$AK92&gt;1,ISNUMBER(E111),ISNUMBER(G111)),1,0)</f>
        <v>1</v>
      </c>
      <c r="F117" s="55"/>
      <c r="G117" s="56">
        <f>IF(AND(G111&gt;E111,$AK93&gt;1,$AK92&gt;1,ISNUMBER(E111),ISNUMBER(G111)),1,0)</f>
        <v>0</v>
      </c>
      <c r="H117" s="55">
        <f>IF(AND(H111&gt;J111,$AK93&gt;2,$AK92&gt;1,ISNUMBER(H111),ISNUMBER(J111)),1,0)</f>
        <v>0</v>
      </c>
      <c r="I117" s="55"/>
      <c r="J117" s="56">
        <f>IF(AND(J111&gt;H111,$AK93&gt;2,$AK92&gt;1,ISNUMBER(H111),ISNUMBER(J111)),1,0)</f>
        <v>1</v>
      </c>
      <c r="K117" s="55">
        <f>IF(AND(K111&gt;M111,$AK93&gt;3,$AK92&gt;1,ISNUMBER(K111),ISNUMBER(M111)),1,0)</f>
        <v>1</v>
      </c>
      <c r="L117" s="55"/>
      <c r="M117" s="56">
        <f>IF(AND(M111&gt;K111,$AK93&gt;3,$AK92&gt;1,ISNUMBER(K111),ISNUMBER(M111)),1,0)</f>
        <v>0</v>
      </c>
      <c r="N117" s="55">
        <f>IF(AND(N111&gt;P111,$AK93&gt;4,$AK92&gt;1,ISNUMBER(N111),ISNUMBER(P111)),1,0)</f>
        <v>1</v>
      </c>
      <c r="O117" s="55"/>
      <c r="P117" s="56">
        <f>IF(AND(P111&gt;N111,$AK93&gt;4,$AK92&gt;1,ISNUMBER(N111),ISNUMBER(P111)),1,0)</f>
        <v>0</v>
      </c>
      <c r="Q117" s="55">
        <f>IF(AND(Q111&gt;S111,$AK93&gt;5,$AK92&gt;1,ISNUMBER(Q111),ISNUMBER(S111)),1,0)</f>
        <v>0</v>
      </c>
      <c r="R117" s="55"/>
      <c r="S117" s="56">
        <f>IF(AND(S111&gt;Q111,$AK93&gt;5,$AK92&gt;1,ISNUMBER(Q111),ISNUMBER(S111)),1,0)</f>
        <v>1</v>
      </c>
      <c r="T117" s="55">
        <f>IF(AND(T111&gt;V111,$AK93&gt;6,$AK92&gt;1,ISNUMBER(T111),ISNUMBER(V111)),1,0)</f>
        <v>0</v>
      </c>
      <c r="U117" s="55"/>
      <c r="V117" s="56">
        <f>IF(AND(V111&gt;T111,$AK93&gt;6,$AK92&gt;1,ISNUMBER(T111),ISNUMBER(V111)),1,0)</f>
        <v>1</v>
      </c>
      <c r="W117" s="55">
        <f>IF(AND(W111&gt;Y111,$AK93&gt;7,$AK92&gt;1,ISNUMBER(W111),ISNUMBER(Y111)),1,0)</f>
        <v>1</v>
      </c>
      <c r="X117" s="55"/>
      <c r="Y117" s="56">
        <f>IF(AND(Y111&gt;W111,$AK93&gt;7,$AK92&gt;1,ISNUMBER(W111),ISNUMBER(Y111)),1,0)</f>
        <v>0</v>
      </c>
      <c r="Z117" s="55">
        <f>IF(AND(Z111&gt;AB111,$AK93&gt;8,$AK92&gt;1,ISNUMBER(Z111),ISNUMBER(AB111)),1,0)</f>
        <v>1</v>
      </c>
      <c r="AA117" s="55"/>
      <c r="AB117" s="56">
        <f>IF(AND(AB111&gt;Z111,$AK93&gt;8,$AK92&gt;1,ISNUMBER(Z111),ISNUMBER(AB111)),1,0)</f>
        <v>0</v>
      </c>
      <c r="AC117" s="55">
        <f>IF(AND(AC111&gt;AE111,$AK93&gt;9,$AK92&gt;1,ISNUMBER(AC111),ISNUMBER(AE111)),1,0)</f>
        <v>1</v>
      </c>
      <c r="AD117" s="55"/>
      <c r="AE117" s="56">
        <f>IF(AND(AE111&gt;AC111,$AK93&gt;9,$AK92&gt;1,ISNUMBER(AC111),ISNUMBER(AE111)),1,0)</f>
        <v>0</v>
      </c>
      <c r="AW117" s="57"/>
    </row>
    <row r="118" spans="1:49" s="54" customFormat="1" ht="12.75" hidden="1" customHeight="1" x14ac:dyDescent="0.2">
      <c r="A118" s="54" t="s">
        <v>81</v>
      </c>
      <c r="B118" s="55">
        <f>IF(AND(B112&gt;D112,$AK93&gt;0,$AK92&gt;2,ISNUMBER(B112),ISNUMBER(D112)),1,0)</f>
        <v>0</v>
      </c>
      <c r="C118" s="55"/>
      <c r="D118" s="56">
        <f>IF(AND(D112&gt;B112,$AK93&gt;0,$AK92&gt;2,ISNUMBER(B112),ISNUMBER(D112)),1,0)</f>
        <v>0</v>
      </c>
      <c r="E118" s="55">
        <f>IF(AND(E112&gt;G112,$AK93&gt;1,$AK92&gt;2,ISNUMBER(E112),ISNUMBER(G112)),1,0)</f>
        <v>0</v>
      </c>
      <c r="F118" s="55"/>
      <c r="G118" s="56">
        <f>IF(AND(G112&gt;E112,$AK93&gt;1,$AK92&gt;2,ISNUMBER(E112),ISNUMBER(G112)),1,0)</f>
        <v>0</v>
      </c>
      <c r="H118" s="55">
        <f>IF(AND(H112&gt;J112,$AK93&gt;2,$AK92&gt;2,ISNUMBER(H112),ISNUMBER(J112)),1,0)</f>
        <v>0</v>
      </c>
      <c r="I118" s="55"/>
      <c r="J118" s="56">
        <f>IF(AND(J112&gt;H112,$AK93&gt;2,$AK92&gt;2,ISNUMBER(H112),ISNUMBER(J112)),1,0)</f>
        <v>0</v>
      </c>
      <c r="K118" s="55">
        <f>IF(AND(K112&gt;M112,$AK93&gt;3,$AK92&gt;2,ISNUMBER(K112),ISNUMBER(M112)),1,0)</f>
        <v>0</v>
      </c>
      <c r="L118" s="55"/>
      <c r="M118" s="56">
        <f>IF(AND(M112&gt;K112,$AK93&gt;3,$AK92&gt;2,ISNUMBER(K112),ISNUMBER(M112)),1,0)</f>
        <v>0</v>
      </c>
      <c r="N118" s="55">
        <f>IF(AND(N112&gt;P112,$AK93&gt;4,$AK92&gt;2,ISNUMBER(N112),ISNUMBER(P112)),1,0)</f>
        <v>0</v>
      </c>
      <c r="O118" s="55"/>
      <c r="P118" s="56">
        <f>IF(AND(P112&gt;N112,$AK93&gt;4,$AK92&gt;2,ISNUMBER(N112),ISNUMBER(P112)),1,0)</f>
        <v>0</v>
      </c>
      <c r="Q118" s="55">
        <f>IF(AND(Q112&gt;S112,$AK93&gt;5,$AK92&gt;2,ISNUMBER(Q112),ISNUMBER(S112)),1,0)</f>
        <v>0</v>
      </c>
      <c r="R118" s="55"/>
      <c r="S118" s="56">
        <f>IF(AND(S112&gt;Q112,$AK93&gt;5,$AK92&gt;2,ISNUMBER(Q112),ISNUMBER(S112)),1,0)</f>
        <v>0</v>
      </c>
      <c r="T118" s="55">
        <f>IF(AND(T112&gt;V112,$AK93&gt;6,$AK92&gt;2,ISNUMBER(T112),ISNUMBER(V112)),1,0)</f>
        <v>0</v>
      </c>
      <c r="U118" s="55"/>
      <c r="V118" s="56">
        <f>IF(AND(V112&gt;T112,$AK93&gt;6,$AK92&gt;2,ISNUMBER(T112),ISNUMBER(V112)),1,0)</f>
        <v>0</v>
      </c>
      <c r="W118" s="55">
        <f>IF(AND(W112&gt;Y112,$AK93&gt;7,$AK92&gt;2,ISNUMBER(W112),ISNUMBER(Y112)),1,0)</f>
        <v>0</v>
      </c>
      <c r="X118" s="55"/>
      <c r="Y118" s="56">
        <f>IF(AND(Y112&gt;W112,$AK93&gt;7,$AK92&gt;2,ISNUMBER(W112),ISNUMBER(Y112)),1,0)</f>
        <v>0</v>
      </c>
      <c r="Z118" s="55">
        <f>IF(AND(Z112&gt;AB112,$AK93&gt;8,$AK92&gt;2,ISNUMBER(Z112),ISNUMBER(AB112)),1,0)</f>
        <v>0</v>
      </c>
      <c r="AA118" s="55"/>
      <c r="AB118" s="56">
        <f>IF(AND(AB112&gt;Z112,$AK93&gt;8,$AK92&gt;2,ISNUMBER(Z112),ISNUMBER(AB112)),1,0)</f>
        <v>0</v>
      </c>
      <c r="AC118" s="55">
        <f>IF(AND(AC112&gt;AE112,$AK93&gt;9,$AK92&gt;2,ISNUMBER(AC112),ISNUMBER(AE112)),1,0)</f>
        <v>0</v>
      </c>
      <c r="AD118" s="55"/>
      <c r="AE118" s="56">
        <f>IF(AND(AE112&gt;AC112,$AK93&gt;9,$AK92&gt;2,ISNUMBER(AC112),ISNUMBER(AE112)),1,0)</f>
        <v>0</v>
      </c>
      <c r="AW118" s="57"/>
    </row>
    <row r="119" spans="1:49" s="54" customFormat="1" ht="12.75" hidden="1" customHeight="1" x14ac:dyDescent="0.2">
      <c r="A119" s="54" t="s">
        <v>82</v>
      </c>
      <c r="B119" s="55">
        <f>IF(AND(B113&gt;D113,$AK93&gt;0,$AK92&gt;3,ISNUMBER(B113),ISNUMBER(D113)),1,0)</f>
        <v>0</v>
      </c>
      <c r="C119" s="55"/>
      <c r="D119" s="56">
        <f>IF(AND(D113&gt;B113,$AK93&gt;0,$AK92&gt;3,ISNUMBER(B113),ISNUMBER(D113)),1,0)</f>
        <v>0</v>
      </c>
      <c r="E119" s="55">
        <f>IF(AND(E113&gt;G113,$AK93&gt;1,$AK92&gt;3,ISNUMBER(E113),ISNUMBER(G113)),1,0)</f>
        <v>0</v>
      </c>
      <c r="F119" s="55"/>
      <c r="G119" s="56">
        <f>IF(AND(G113&gt;E113,$AK93&gt;1,$AK92&gt;3,ISNUMBER(E113),ISNUMBER(G113)),1,0)</f>
        <v>0</v>
      </c>
      <c r="H119" s="55">
        <f>IF(AND(H113&gt;J113,$AK93&gt;2,$AK92&gt;3,ISNUMBER(H113),ISNUMBER(J113)),1,0)</f>
        <v>0</v>
      </c>
      <c r="I119" s="55"/>
      <c r="J119" s="56">
        <f>IF(AND(J113&gt;H113,$AK93&gt;2,$AK92&gt;3,ISNUMBER(H113),ISNUMBER(J113)),1,0)</f>
        <v>0</v>
      </c>
      <c r="K119" s="55">
        <f>IF(AND(K113&gt;M113,$AK93&gt;3,$AK92&gt;3,ISNUMBER(K113),ISNUMBER(M113)),1,0)</f>
        <v>0</v>
      </c>
      <c r="L119" s="55"/>
      <c r="M119" s="56">
        <f>IF(AND(M113&gt;K113,$AK93&gt;3,$AK92&gt;3,ISNUMBER(K113),ISNUMBER(M113)),1,0)</f>
        <v>0</v>
      </c>
      <c r="N119" s="55">
        <f>IF(AND(N113&gt;P113,$AK93&gt;4,$AK92&gt;3,ISNUMBER(N113),ISNUMBER(P113)),1,0)</f>
        <v>0</v>
      </c>
      <c r="O119" s="55"/>
      <c r="P119" s="56">
        <f>IF(AND(P113&gt;N113,$AK93&gt;4,$AK92&gt;3,ISNUMBER(N113),ISNUMBER(P113)),1,0)</f>
        <v>0</v>
      </c>
      <c r="Q119" s="55">
        <f>IF(AND(Q113&gt;S113,$AK93&gt;5,$AK92&gt;3,ISNUMBER(Q113),ISNUMBER(S113)),1,0)</f>
        <v>0</v>
      </c>
      <c r="R119" s="55"/>
      <c r="S119" s="56">
        <f>IF(AND(S113&gt;Q113,$AK93&gt;5,$AK92&gt;3,ISNUMBER(Q113),ISNUMBER(S113)),1,0)</f>
        <v>0</v>
      </c>
      <c r="T119" s="55">
        <f>IF(AND(T113&gt;V113,$AK93&gt;6,$AK92&gt;3,ISNUMBER(T113),ISNUMBER(V113)),1,0)</f>
        <v>0</v>
      </c>
      <c r="U119" s="55"/>
      <c r="V119" s="56">
        <f>IF(AND(V113&gt;T113,$AK93&gt;6,$AK92&gt;3,ISNUMBER(T113),ISNUMBER(V113)),1,0)</f>
        <v>0</v>
      </c>
      <c r="W119" s="55">
        <f>IF(AND(W113&gt;Y113,$AK93&gt;7,$AK92&gt;3,ISNUMBER(W113),ISNUMBER(Y113)),1,0)</f>
        <v>0</v>
      </c>
      <c r="X119" s="55"/>
      <c r="Y119" s="56">
        <f>IF(AND(Y113&gt;W113,$AK93&gt;7,$AK92&gt;3,ISNUMBER(W113),ISNUMBER(Y113)),1,0)</f>
        <v>0</v>
      </c>
      <c r="Z119" s="55">
        <f>IF(AND(Z113&gt;AB113,$AK93&gt;8,$AK92&gt;3,ISNUMBER(Z113),ISNUMBER(AB113)),1,0)</f>
        <v>0</v>
      </c>
      <c r="AA119" s="55"/>
      <c r="AB119" s="56">
        <f>IF(AND(AB113&gt;Z113,$AK93&gt;8,$AK92&gt;3,ISNUMBER(Z113),ISNUMBER(AB113)),1,0)</f>
        <v>0</v>
      </c>
      <c r="AC119" s="55">
        <f>IF(AND(AC113&gt;AE113,$AK93&gt;9,$AK92&gt;3,ISNUMBER(AC113),ISNUMBER(AE113)),1,0)</f>
        <v>0</v>
      </c>
      <c r="AD119" s="55"/>
      <c r="AE119" s="56">
        <f>IF(AND(AE113&gt;AC113,$AK93&gt;9,$AK92&gt;3,ISNUMBER(AC113),ISNUMBER(AE113)),1,0)</f>
        <v>0</v>
      </c>
      <c r="AW119" s="57"/>
    </row>
    <row r="120" spans="1:49" s="54" customFormat="1" ht="12.75" hidden="1" customHeight="1" x14ac:dyDescent="0.2">
      <c r="A120" s="54" t="s">
        <v>83</v>
      </c>
      <c r="B120" s="55">
        <f>IF(AND(B114&gt;D114,$AK93&gt;0,$AK92&gt;4,ISNUMBER(B114),ISNUMBER(D114)),1,0)</f>
        <v>0</v>
      </c>
      <c r="C120" s="55"/>
      <c r="D120" s="56">
        <f>IF(AND(D114&gt;B114,$AK93&gt;0,$AK92&gt;4,ISNUMBER(B114),ISNUMBER(D114)),1,0)</f>
        <v>0</v>
      </c>
      <c r="E120" s="55">
        <f>IF(AND(E114&gt;G114,$AK93&gt;1,$AK92&gt;4,ISNUMBER(E114),ISNUMBER(G114)),1,0)</f>
        <v>0</v>
      </c>
      <c r="F120" s="55"/>
      <c r="G120" s="56">
        <f>IF(AND(G114&gt;E114,$AK93&gt;1,$AK92&gt;4,ISNUMBER(E114),ISNUMBER(G114)),1,0)</f>
        <v>0</v>
      </c>
      <c r="H120" s="55">
        <f>IF(AND(H114&gt;J114,$AK93&gt;2,$AK92&gt;4,ISNUMBER(H114),ISNUMBER(J114)),1,0)</f>
        <v>0</v>
      </c>
      <c r="I120" s="55"/>
      <c r="J120" s="56">
        <f>IF(AND(J114&gt;H114,$AK93&gt;2,$AK92&gt;4,ISNUMBER(H114),ISNUMBER(J114)),1,0)</f>
        <v>0</v>
      </c>
      <c r="K120" s="55">
        <f>IF(AND(K114&gt;M114,$AK93&gt;3,$AK92&gt;4,ISNUMBER(K114),ISNUMBER(M114)),1,0)</f>
        <v>0</v>
      </c>
      <c r="L120" s="55"/>
      <c r="M120" s="56">
        <f>IF(AND(M114&gt;K114,$AK93&gt;3,$AK92&gt;4,ISNUMBER(K114),ISNUMBER(M114)),1,0)</f>
        <v>0</v>
      </c>
      <c r="N120" s="55">
        <f>IF(AND(N114&gt;P114,$AK93&gt;4,$AK92&gt;4,ISNUMBER(N114),ISNUMBER(P114)),1,0)</f>
        <v>0</v>
      </c>
      <c r="O120" s="55"/>
      <c r="P120" s="56">
        <f>IF(AND(P114&gt;N114,$AK93&gt;4,$AK92&gt;4,ISNUMBER(N114),ISNUMBER(P114)),1,0)</f>
        <v>0</v>
      </c>
      <c r="Q120" s="55">
        <f>IF(AND(Q114&gt;S114,$AK93&gt;5,$AK92&gt;4,ISNUMBER(Q114),ISNUMBER(S114)),1,0)</f>
        <v>0</v>
      </c>
      <c r="R120" s="55"/>
      <c r="S120" s="56">
        <f>IF(AND(S114&gt;Q114,$AK93&gt;5,$AK92&gt;4,ISNUMBER(Q114),ISNUMBER(S114)),1,0)</f>
        <v>0</v>
      </c>
      <c r="T120" s="55">
        <f>IF(AND(T114&gt;V114,$AK93&gt;6,$AK92&gt;4,ISNUMBER(T114),ISNUMBER(V114)),1,0)</f>
        <v>0</v>
      </c>
      <c r="U120" s="55"/>
      <c r="V120" s="56">
        <f>IF(AND(V114&gt;T114,$AK93&gt;6,$AK92&gt;4,ISNUMBER(T114),ISNUMBER(V114)),1,0)</f>
        <v>0</v>
      </c>
      <c r="W120" s="55">
        <f>IF(AND(W114&gt;Y114,$AK93&gt;7,$AK92&gt;4,ISNUMBER(W114),ISNUMBER(Y114)),1,0)</f>
        <v>0</v>
      </c>
      <c r="X120" s="55"/>
      <c r="Y120" s="56">
        <f>IF(AND(Y114&gt;W114,$AK93&gt;7,$AK92&gt;4,ISNUMBER(W114),ISNUMBER(Y114)),1,0)</f>
        <v>0</v>
      </c>
      <c r="Z120" s="55">
        <f>IF(AND(Z114&gt;AB114,$AK93&gt;8,$AK92&gt;4,ISNUMBER(Z114),ISNUMBER(AB114)),1,0)</f>
        <v>0</v>
      </c>
      <c r="AA120" s="55"/>
      <c r="AB120" s="56">
        <f>IF(AND(AB114&gt;Z114,$AK93&gt;8,$AK92&gt;4,ISNUMBER(Z114),ISNUMBER(AB114)),1,0)</f>
        <v>0</v>
      </c>
      <c r="AC120" s="55">
        <f>IF(AND(AC114&gt;AE114,$AK93&gt;9,$AK92&gt;4,ISNUMBER(AC114),ISNUMBER(AE114)),1,0)</f>
        <v>0</v>
      </c>
      <c r="AD120" s="55"/>
      <c r="AE120" s="56">
        <f>IF(AND(AE114&gt;AC114,$AK93&gt;9,$AK92&gt;4,ISNUMBER(AC114),ISNUMBER(AE114)),1,0)</f>
        <v>0</v>
      </c>
      <c r="AW120" s="57"/>
    </row>
    <row r="121" spans="1:49" s="54" customFormat="1" ht="38.25" hidden="1" customHeight="1" x14ac:dyDescent="0.2">
      <c r="A121" s="58" t="s">
        <v>84</v>
      </c>
      <c r="B121" s="54">
        <f>SUM(B116:B120)</f>
        <v>1</v>
      </c>
      <c r="D121" s="59">
        <f>SUM(D116:D120)</f>
        <v>1</v>
      </c>
      <c r="E121" s="54">
        <f>SUM(E116:E120)</f>
        <v>2</v>
      </c>
      <c r="G121" s="59">
        <f>SUM(G116:G120)</f>
        <v>0</v>
      </c>
      <c r="H121" s="54">
        <f>SUM(H116:H120)</f>
        <v>0</v>
      </c>
      <c r="J121" s="59">
        <f>SUM(J116:J120)</f>
        <v>2</v>
      </c>
      <c r="K121" s="54">
        <f>SUM(K116:K120)</f>
        <v>2</v>
      </c>
      <c r="M121" s="59">
        <f>SUM(M116:M120)</f>
        <v>0</v>
      </c>
      <c r="N121" s="54">
        <f>SUM(N116:N120)</f>
        <v>2</v>
      </c>
      <c r="P121" s="59">
        <f>SUM(P116:P120)</f>
        <v>0</v>
      </c>
      <c r="Q121" s="54">
        <f>SUM(Q116:Q120)</f>
        <v>1</v>
      </c>
      <c r="S121" s="59">
        <f>SUM(S116:S120)</f>
        <v>1</v>
      </c>
      <c r="T121" s="54">
        <f>SUM(T116:T120)</f>
        <v>0</v>
      </c>
      <c r="V121" s="59">
        <f>SUM(V116:V120)</f>
        <v>2</v>
      </c>
      <c r="W121" s="54">
        <f>SUM(W116:W120)</f>
        <v>2</v>
      </c>
      <c r="Y121" s="59">
        <f>SUM(Y116:Y120)</f>
        <v>0</v>
      </c>
      <c r="Z121" s="54">
        <f>SUM(Z116:Z120)</f>
        <v>2</v>
      </c>
      <c r="AB121" s="59">
        <f>SUM(AB116:AB120)</f>
        <v>0</v>
      </c>
      <c r="AC121" s="54">
        <f>SUM(AC116:AC120)</f>
        <v>2</v>
      </c>
      <c r="AE121" s="59">
        <f>SUM(AE116:AE120)</f>
        <v>0</v>
      </c>
      <c r="AW121" s="57"/>
    </row>
    <row r="122" spans="1:49" s="54" customFormat="1" ht="25.5" hidden="1" customHeight="1" x14ac:dyDescent="0.2">
      <c r="A122" s="58" t="s">
        <v>85</v>
      </c>
      <c r="B122" s="54">
        <f>IF(B121&gt;D121,IF(C156=AK92,1,IF(C156=AK92-1,1,0)),0)</f>
        <v>0</v>
      </c>
      <c r="C122" s="54">
        <f>B122+D122</f>
        <v>0</v>
      </c>
      <c r="D122" s="59">
        <f>IF(D121&gt;B121,IF(C156=AK92,1,IF(C156=AK92-1,1,0)),0)</f>
        <v>0</v>
      </c>
      <c r="E122" s="54">
        <f>IF(E121&gt;G121,IF(F156=AK92,1,IF(F156=AK92-1,1,0)),0)</f>
        <v>1</v>
      </c>
      <c r="F122" s="54">
        <f>E122+G122</f>
        <v>1</v>
      </c>
      <c r="G122" s="59">
        <f>IF(G121&gt;E121,IF(F156=AK92,1,IF(F156=AK92-1,1,0)),0)</f>
        <v>0</v>
      </c>
      <c r="H122" s="54">
        <f>IF(H121&gt;J121,IF(I156=AK92,1,IF(I156=AK92-1,1,0)),0)</f>
        <v>0</v>
      </c>
      <c r="I122" s="54">
        <f>H122+J122</f>
        <v>1</v>
      </c>
      <c r="J122" s="59">
        <f>IF(J121&gt;H121,IF(I156=AK92,1,IF(I156=AK92-1,1,0)),0)</f>
        <v>1</v>
      </c>
      <c r="K122" s="54">
        <f>IF(K121&gt;M121,IF(L156=AK92,1,IF(L156=AK92-1,1,0)),0)</f>
        <v>1</v>
      </c>
      <c r="L122" s="54">
        <f>K122+M122</f>
        <v>1</v>
      </c>
      <c r="M122" s="59">
        <f>IF(M121&gt;K121,IF(L156=AK92,1,IF(L156=AK92-1,1,0)),0)</f>
        <v>0</v>
      </c>
      <c r="N122" s="54">
        <f>IF(N121&gt;P121,IF(O156=AK92,1,IF(O156=AK92-1,1,0)),0)</f>
        <v>1</v>
      </c>
      <c r="O122" s="54">
        <f>N122+P122</f>
        <v>1</v>
      </c>
      <c r="P122" s="59">
        <f>IF(P121&gt;N121,IF(O156=AK92,1,IF(O156=AK92-1,1,0)),0)</f>
        <v>0</v>
      </c>
      <c r="Q122" s="54">
        <f>IF(Q121&gt;S121,IF(R156=AK92,1,IF(R156=AK92-1,1,0)),0)</f>
        <v>0</v>
      </c>
      <c r="R122" s="54">
        <f>Q122+S122</f>
        <v>0</v>
      </c>
      <c r="S122" s="59">
        <f>IF(S121&gt;Q121,IF(R156=AK92,1,IF(R156=AK92-1,1,0)),0)</f>
        <v>0</v>
      </c>
      <c r="T122" s="54">
        <f>IF(T121&gt;V121,IF(U156=AK92,1,IF(U156=AK92-1,1,0)),0)</f>
        <v>0</v>
      </c>
      <c r="U122" s="54">
        <f>T122+V122</f>
        <v>1</v>
      </c>
      <c r="V122" s="59">
        <f>IF(V121&gt;T121,IF(U156=AK92,1,IF(U156=AK92-1,1,0)),0)</f>
        <v>1</v>
      </c>
      <c r="W122" s="54">
        <f>IF(W121&gt;Y121,IF(X156=AK92,1,IF(X156=AK92-1,1,0)),0)</f>
        <v>1</v>
      </c>
      <c r="X122" s="54">
        <f>W122+Y122</f>
        <v>1</v>
      </c>
      <c r="Y122" s="59">
        <f>IF(Y121&gt;W121,IF(X156=AK92,1,IF(X156=AK92-1,1,0)),0)</f>
        <v>0</v>
      </c>
      <c r="Z122" s="54">
        <f>IF(Z121&gt;AB121,IF(AA156=AK92,1,IF(AA156=AK92-1,1,0)),0)</f>
        <v>1</v>
      </c>
      <c r="AA122" s="54">
        <f>Z122+AB122</f>
        <v>1</v>
      </c>
      <c r="AB122" s="59">
        <f>IF(AB121&gt;Z121,IF(AA156=AK92,1,IF(AA156=AK92-1,1,0)),0)</f>
        <v>0</v>
      </c>
      <c r="AC122" s="54">
        <f>IF(AC121&gt;AE121,IF(AD156=AK92,1,IF(AD156=AK92-1,1,0)),0)</f>
        <v>1</v>
      </c>
      <c r="AD122" s="54">
        <f>AC122+AE122</f>
        <v>1</v>
      </c>
      <c r="AE122" s="59">
        <f>IF(AE121&gt;AC121,IF(AD156=AK92,1,IF(AD156=AK92-1,1,0)),0)</f>
        <v>0</v>
      </c>
      <c r="AW122" s="57"/>
    </row>
    <row r="123" spans="1:49" s="54" customFormat="1" ht="25.5" hidden="1" customHeight="1" x14ac:dyDescent="0.2">
      <c r="A123" s="58"/>
      <c r="D123" s="59"/>
      <c r="G123" s="59"/>
      <c r="J123" s="59"/>
      <c r="M123" s="59"/>
      <c r="P123" s="59"/>
      <c r="S123" s="59"/>
      <c r="V123" s="59"/>
      <c r="Y123" s="59"/>
      <c r="AB123" s="59"/>
      <c r="AE123" s="59"/>
      <c r="AW123" s="57"/>
    </row>
    <row r="124" spans="1:49" s="54" customFormat="1" ht="12.75" hidden="1" customHeight="1" x14ac:dyDescent="0.2">
      <c r="A124" s="54" t="s">
        <v>86</v>
      </c>
      <c r="B124" s="54">
        <f>IF(B116=1,B110,0)</f>
        <v>27</v>
      </c>
      <c r="D124" s="59">
        <f t="shared" ref="D124:E128" si="11">IF(D116=1,D110,0)</f>
        <v>0</v>
      </c>
      <c r="E124" s="54">
        <f t="shared" si="11"/>
        <v>25</v>
      </c>
      <c r="G124" s="59">
        <f t="shared" ref="G124:H128" si="12">IF(G116=1,G110,0)</f>
        <v>0</v>
      </c>
      <c r="H124" s="54">
        <f t="shared" si="12"/>
        <v>0</v>
      </c>
      <c r="J124" s="59">
        <f t="shared" ref="J124:K128" si="13">IF(J116=1,J110,0)</f>
        <v>25</v>
      </c>
      <c r="K124" s="54">
        <f t="shared" si="13"/>
        <v>25</v>
      </c>
      <c r="M124" s="59">
        <f t="shared" ref="M124:N128" si="14">IF(M116=1,M110,0)</f>
        <v>0</v>
      </c>
      <c r="N124" s="54">
        <f t="shared" si="14"/>
        <v>25</v>
      </c>
      <c r="P124" s="59">
        <f t="shared" ref="P124:Q128" si="15">IF(P116=1,P110,0)</f>
        <v>0</v>
      </c>
      <c r="Q124" s="54">
        <f t="shared" si="15"/>
        <v>25</v>
      </c>
      <c r="S124" s="59">
        <f t="shared" ref="S124:T128" si="16">IF(S116=1,S110,0)</f>
        <v>0</v>
      </c>
      <c r="T124" s="54">
        <f t="shared" si="16"/>
        <v>0</v>
      </c>
      <c r="V124" s="59">
        <f t="shared" ref="V124:W128" si="17">IF(V116=1,V110,0)</f>
        <v>25</v>
      </c>
      <c r="W124" s="54">
        <f t="shared" si="17"/>
        <v>25</v>
      </c>
      <c r="Y124" s="59">
        <f t="shared" ref="Y124:Z128" si="18">IF(Y116=1,Y110,0)</f>
        <v>0</v>
      </c>
      <c r="Z124" s="54">
        <f t="shared" si="18"/>
        <v>25</v>
      </c>
      <c r="AB124" s="59">
        <f t="shared" ref="AB124:AC128" si="19">IF(AB116=1,AB110,0)</f>
        <v>0</v>
      </c>
      <c r="AC124" s="54">
        <f t="shared" si="19"/>
        <v>25</v>
      </c>
      <c r="AE124" s="59">
        <f>IF(AE116=1,AE110,0)</f>
        <v>0</v>
      </c>
      <c r="AW124" s="57"/>
    </row>
    <row r="125" spans="1:49" s="54" customFormat="1" ht="12.75" hidden="1" customHeight="1" x14ac:dyDescent="0.2">
      <c r="A125" s="54" t="s">
        <v>87</v>
      </c>
      <c r="B125" s="54">
        <f>IF(B117=1,B111,0)</f>
        <v>0</v>
      </c>
      <c r="D125" s="59">
        <f t="shared" si="11"/>
        <v>25</v>
      </c>
      <c r="E125" s="54">
        <f t="shared" si="11"/>
        <v>25</v>
      </c>
      <c r="G125" s="59">
        <f t="shared" si="12"/>
        <v>0</v>
      </c>
      <c r="H125" s="54">
        <f t="shared" si="12"/>
        <v>0</v>
      </c>
      <c r="J125" s="59">
        <f t="shared" si="13"/>
        <v>25</v>
      </c>
      <c r="K125" s="54">
        <f t="shared" si="13"/>
        <v>25</v>
      </c>
      <c r="M125" s="59">
        <f t="shared" si="14"/>
        <v>0</v>
      </c>
      <c r="N125" s="54">
        <f t="shared" si="14"/>
        <v>25</v>
      </c>
      <c r="P125" s="59">
        <f t="shared" si="15"/>
        <v>0</v>
      </c>
      <c r="Q125" s="54">
        <f t="shared" si="15"/>
        <v>0</v>
      </c>
      <c r="S125" s="59">
        <f t="shared" si="16"/>
        <v>25</v>
      </c>
      <c r="T125" s="54">
        <f t="shared" si="16"/>
        <v>0</v>
      </c>
      <c r="V125" s="59">
        <f t="shared" si="17"/>
        <v>25</v>
      </c>
      <c r="W125" s="54">
        <f t="shared" si="17"/>
        <v>25</v>
      </c>
      <c r="Y125" s="59">
        <f t="shared" si="18"/>
        <v>0</v>
      </c>
      <c r="Z125" s="54">
        <f t="shared" si="18"/>
        <v>25</v>
      </c>
      <c r="AB125" s="59">
        <f t="shared" si="19"/>
        <v>0</v>
      </c>
      <c r="AC125" s="54">
        <f t="shared" si="19"/>
        <v>25</v>
      </c>
      <c r="AE125" s="59">
        <f>IF(AE117=1,AE111,0)</f>
        <v>0</v>
      </c>
      <c r="AW125" s="57"/>
    </row>
    <row r="126" spans="1:49" s="54" customFormat="1" ht="12.75" hidden="1" customHeight="1" x14ac:dyDescent="0.2">
      <c r="A126" s="54" t="s">
        <v>88</v>
      </c>
      <c r="B126" s="54">
        <f>IF(B118=1,B112,0)</f>
        <v>0</v>
      </c>
      <c r="D126" s="59">
        <f t="shared" si="11"/>
        <v>0</v>
      </c>
      <c r="E126" s="54">
        <f t="shared" si="11"/>
        <v>0</v>
      </c>
      <c r="G126" s="59">
        <f t="shared" si="12"/>
        <v>0</v>
      </c>
      <c r="H126" s="54">
        <f t="shared" si="12"/>
        <v>0</v>
      </c>
      <c r="J126" s="59">
        <f t="shared" si="13"/>
        <v>0</v>
      </c>
      <c r="K126" s="54">
        <f t="shared" si="13"/>
        <v>0</v>
      </c>
      <c r="M126" s="59">
        <f t="shared" si="14"/>
        <v>0</v>
      </c>
      <c r="N126" s="54">
        <f t="shared" si="14"/>
        <v>0</v>
      </c>
      <c r="P126" s="59">
        <f t="shared" si="15"/>
        <v>0</v>
      </c>
      <c r="Q126" s="54">
        <f t="shared" si="15"/>
        <v>0</v>
      </c>
      <c r="S126" s="59">
        <f t="shared" si="16"/>
        <v>0</v>
      </c>
      <c r="T126" s="54">
        <f t="shared" si="16"/>
        <v>0</v>
      </c>
      <c r="V126" s="59">
        <f t="shared" si="17"/>
        <v>0</v>
      </c>
      <c r="W126" s="54">
        <f t="shared" si="17"/>
        <v>0</v>
      </c>
      <c r="Y126" s="59">
        <f t="shared" si="18"/>
        <v>0</v>
      </c>
      <c r="Z126" s="54">
        <f t="shared" si="18"/>
        <v>0</v>
      </c>
      <c r="AB126" s="59">
        <f t="shared" si="19"/>
        <v>0</v>
      </c>
      <c r="AC126" s="54">
        <f t="shared" si="19"/>
        <v>0</v>
      </c>
      <c r="AE126" s="59">
        <f>IF(AE118=1,AE112,0)</f>
        <v>0</v>
      </c>
      <c r="AW126" s="57"/>
    </row>
    <row r="127" spans="1:49" s="54" customFormat="1" ht="12.75" hidden="1" customHeight="1" x14ac:dyDescent="0.2">
      <c r="A127" s="54" t="s">
        <v>89</v>
      </c>
      <c r="B127" s="54">
        <f>IF(B119=1,B113,0)</f>
        <v>0</v>
      </c>
      <c r="D127" s="59">
        <f t="shared" si="11"/>
        <v>0</v>
      </c>
      <c r="E127" s="54">
        <f t="shared" si="11"/>
        <v>0</v>
      </c>
      <c r="G127" s="59">
        <f t="shared" si="12"/>
        <v>0</v>
      </c>
      <c r="H127" s="54">
        <f t="shared" si="12"/>
        <v>0</v>
      </c>
      <c r="J127" s="59">
        <f t="shared" si="13"/>
        <v>0</v>
      </c>
      <c r="K127" s="54">
        <f t="shared" si="13"/>
        <v>0</v>
      </c>
      <c r="M127" s="59">
        <f t="shared" si="14"/>
        <v>0</v>
      </c>
      <c r="N127" s="54">
        <f t="shared" si="14"/>
        <v>0</v>
      </c>
      <c r="P127" s="59">
        <f t="shared" si="15"/>
        <v>0</v>
      </c>
      <c r="Q127" s="54">
        <f t="shared" si="15"/>
        <v>0</v>
      </c>
      <c r="S127" s="59">
        <f t="shared" si="16"/>
        <v>0</v>
      </c>
      <c r="T127" s="54">
        <f t="shared" si="16"/>
        <v>0</v>
      </c>
      <c r="V127" s="59">
        <f t="shared" si="17"/>
        <v>0</v>
      </c>
      <c r="W127" s="54">
        <f t="shared" si="17"/>
        <v>0</v>
      </c>
      <c r="Y127" s="59">
        <f t="shared" si="18"/>
        <v>0</v>
      </c>
      <c r="Z127" s="54">
        <f t="shared" si="18"/>
        <v>0</v>
      </c>
      <c r="AB127" s="59">
        <f t="shared" si="19"/>
        <v>0</v>
      </c>
      <c r="AC127" s="54">
        <f t="shared" si="19"/>
        <v>0</v>
      </c>
      <c r="AE127" s="59">
        <f>IF(AE119=1,AE113,0)</f>
        <v>0</v>
      </c>
      <c r="AW127" s="57"/>
    </row>
    <row r="128" spans="1:49" s="54" customFormat="1" ht="12.75" hidden="1" customHeight="1" x14ac:dyDescent="0.2">
      <c r="A128" s="54" t="s">
        <v>90</v>
      </c>
      <c r="B128" s="54">
        <f>IF(B120=1,B114,0)</f>
        <v>0</v>
      </c>
      <c r="D128" s="59">
        <f t="shared" si="11"/>
        <v>0</v>
      </c>
      <c r="E128" s="54">
        <f t="shared" si="11"/>
        <v>0</v>
      </c>
      <c r="G128" s="59">
        <f t="shared" si="12"/>
        <v>0</v>
      </c>
      <c r="H128" s="54">
        <f t="shared" si="12"/>
        <v>0</v>
      </c>
      <c r="J128" s="59">
        <f t="shared" si="13"/>
        <v>0</v>
      </c>
      <c r="K128" s="54">
        <f t="shared" si="13"/>
        <v>0</v>
      </c>
      <c r="M128" s="59">
        <f t="shared" si="14"/>
        <v>0</v>
      </c>
      <c r="N128" s="54">
        <f t="shared" si="14"/>
        <v>0</v>
      </c>
      <c r="P128" s="59">
        <f t="shared" si="15"/>
        <v>0</v>
      </c>
      <c r="Q128" s="54">
        <f t="shared" si="15"/>
        <v>0</v>
      </c>
      <c r="S128" s="59">
        <f t="shared" si="16"/>
        <v>0</v>
      </c>
      <c r="T128" s="54">
        <f t="shared" si="16"/>
        <v>0</v>
      </c>
      <c r="V128" s="59">
        <f t="shared" si="17"/>
        <v>0</v>
      </c>
      <c r="W128" s="54">
        <f t="shared" si="17"/>
        <v>0</v>
      </c>
      <c r="Y128" s="59">
        <f t="shared" si="18"/>
        <v>0</v>
      </c>
      <c r="Z128" s="54">
        <f t="shared" si="18"/>
        <v>0</v>
      </c>
      <c r="AB128" s="59">
        <f t="shared" si="19"/>
        <v>0</v>
      </c>
      <c r="AC128" s="54">
        <f t="shared" si="19"/>
        <v>0</v>
      </c>
      <c r="AE128" s="59">
        <f>IF(AE120=1,AE114,0)</f>
        <v>0</v>
      </c>
      <c r="AW128" s="57"/>
    </row>
    <row r="129" spans="1:49" s="54" customFormat="1" ht="38.25" hidden="1" customHeight="1" x14ac:dyDescent="0.2">
      <c r="A129" s="58" t="s">
        <v>91</v>
      </c>
      <c r="B129" s="54">
        <f>SUM(B124:D128)</f>
        <v>52</v>
      </c>
      <c r="D129" s="59"/>
      <c r="E129" s="54">
        <f>SUM(E124:G128)</f>
        <v>50</v>
      </c>
      <c r="G129" s="59"/>
      <c r="H129" s="54">
        <f>SUM(H124:J128)</f>
        <v>50</v>
      </c>
      <c r="J129" s="59"/>
      <c r="K129" s="54">
        <f>SUM(K124:M128)</f>
        <v>50</v>
      </c>
      <c r="M129" s="59"/>
      <c r="N129" s="54">
        <f>SUM(N124:P128)</f>
        <v>50</v>
      </c>
      <c r="P129" s="59"/>
      <c r="Q129" s="54">
        <f>SUM(Q124:S128)</f>
        <v>50</v>
      </c>
      <c r="S129" s="59"/>
      <c r="T129" s="54">
        <f>SUM(T124:V128)</f>
        <v>50</v>
      </c>
      <c r="V129" s="59"/>
      <c r="W129" s="54">
        <f>SUM(W124:Y128)</f>
        <v>50</v>
      </c>
      <c r="Y129" s="59"/>
      <c r="Z129" s="54">
        <f>SUM(Z124:AB128)</f>
        <v>50</v>
      </c>
      <c r="AB129" s="59"/>
      <c r="AC129" s="54">
        <f>SUM(AC124:AE128)</f>
        <v>50</v>
      </c>
      <c r="AE129" s="59"/>
      <c r="AW129" s="57"/>
    </row>
    <row r="130" spans="1:49" s="54" customFormat="1" ht="38.25" hidden="1" customHeight="1" x14ac:dyDescent="0.2">
      <c r="A130" s="54" t="s">
        <v>92</v>
      </c>
      <c r="D130" s="59"/>
      <c r="G130" s="59"/>
      <c r="J130" s="59"/>
      <c r="M130" s="59"/>
      <c r="P130" s="59"/>
      <c r="S130" s="59"/>
      <c r="V130" s="59"/>
      <c r="Y130" s="59"/>
      <c r="AB130" s="59"/>
      <c r="AE130" s="59"/>
      <c r="AF130" s="58" t="s">
        <v>93</v>
      </c>
      <c r="AG130" s="54" t="s">
        <v>94</v>
      </c>
      <c r="AW130" s="57"/>
    </row>
    <row r="131" spans="1:49" s="54" customFormat="1" ht="12.75" hidden="1" customHeight="1" x14ac:dyDescent="0.2">
      <c r="A131" s="54" t="s">
        <v>95</v>
      </c>
      <c r="B131" s="54">
        <f>IF(B109=1,IF(B122=1,1,0),0)</f>
        <v>0</v>
      </c>
      <c r="D131" s="59">
        <f>IF(D109=1,IF(D122=1,1,0),0)</f>
        <v>0</v>
      </c>
      <c r="E131" s="54">
        <f>IF(E109=1,IF(E122=1,1,0),0)</f>
        <v>1</v>
      </c>
      <c r="G131" s="59">
        <f>IF(G109=1,IF(G122=1,1,0),0)</f>
        <v>0</v>
      </c>
      <c r="H131" s="54">
        <f>IF(H109=1,IF(H122=1,1,0),0)</f>
        <v>0</v>
      </c>
      <c r="J131" s="59">
        <f>IF(J109=1,IF(J122=1,1,0),0)</f>
        <v>0</v>
      </c>
      <c r="K131" s="54">
        <f>IF(K109=1,IF(K122=1,1,0),0)</f>
        <v>0</v>
      </c>
      <c r="M131" s="59">
        <f>IF(M109=1,IF(M122=1,1,0),0)</f>
        <v>0</v>
      </c>
      <c r="N131" s="54">
        <f>IF(N109=1,IF(N122=1,1,0),0)</f>
        <v>1</v>
      </c>
      <c r="P131" s="59">
        <f>IF(P109=1,IF(P122=1,1,0),0)</f>
        <v>0</v>
      </c>
      <c r="Q131" s="54">
        <f>IF(Q109=1,IF(Q122=1,1,0),0)</f>
        <v>0</v>
      </c>
      <c r="S131" s="59">
        <f>IF(S109=1,IF(S122=1,1,0),0)</f>
        <v>0</v>
      </c>
      <c r="T131" s="54">
        <f>IF(T109=1,IF(T122=1,1,0),0)</f>
        <v>0</v>
      </c>
      <c r="V131" s="59">
        <f>IF(V109=1,IF(V122=1,1,0),0)</f>
        <v>0</v>
      </c>
      <c r="W131" s="54">
        <f>IF(W109=1,IF(W122=1,1,0),0)</f>
        <v>1</v>
      </c>
      <c r="Y131" s="59">
        <f>IF(Y109=1,IF(Y122=1,1,0),0)</f>
        <v>0</v>
      </c>
      <c r="Z131" s="54">
        <f>IF(Z109=1,IF(Z122=1,1,0),0)</f>
        <v>0</v>
      </c>
      <c r="AB131" s="59">
        <f>IF(AB109=1,IF(AB122=1,1,0),0)</f>
        <v>0</v>
      </c>
      <c r="AC131" s="54">
        <f>IF(AC109=1,IF(AC122=1,1,0),0)</f>
        <v>1</v>
      </c>
      <c r="AE131" s="59">
        <f>IF(AE109=1,IF(AE122=1,1,0),0)</f>
        <v>0</v>
      </c>
      <c r="AF131" s="54">
        <f>SUM(B131:AE131)</f>
        <v>4</v>
      </c>
      <c r="AG131" s="54">
        <f>AF137-AF131</f>
        <v>0</v>
      </c>
      <c r="AW131" s="57"/>
    </row>
    <row r="132" spans="1:49" s="54" customFormat="1" ht="12.75" hidden="1" customHeight="1" x14ac:dyDescent="0.2">
      <c r="A132" s="54" t="s">
        <v>96</v>
      </c>
      <c r="B132" s="54">
        <f>IF(B109=2,IF(B122=1,1,0),0)</f>
        <v>0</v>
      </c>
      <c r="D132" s="59">
        <f>IF(D109=2,IF(D122=1,1,0),0)</f>
        <v>0</v>
      </c>
      <c r="E132" s="54">
        <f>IF(E109=2,IF(E122=1,1,0),0)</f>
        <v>0</v>
      </c>
      <c r="G132" s="59">
        <f>IF(G109=2,IF(G122=1,1,0),0)</f>
        <v>0</v>
      </c>
      <c r="H132" s="54">
        <f>IF(H109=2,IF(H122=1,1,0),0)</f>
        <v>0</v>
      </c>
      <c r="J132" s="59">
        <f>IF(J109=2,IF(J122=1,1,0),0)</f>
        <v>0</v>
      </c>
      <c r="K132" s="54">
        <f>IF(K109=2,IF(K122=1,1,0),0)</f>
        <v>1</v>
      </c>
      <c r="M132" s="59">
        <f>IF(M109=2,IF(M122=1,1,0),0)</f>
        <v>0</v>
      </c>
      <c r="N132" s="54">
        <f>IF(N109=2,IF(N122=1,1,0),0)</f>
        <v>0</v>
      </c>
      <c r="P132" s="59">
        <f>IF(P109=2,IF(P122=1,1,0),0)</f>
        <v>0</v>
      </c>
      <c r="Q132" s="54">
        <f>IF(Q109=2,IF(Q122=1,1,0),0)</f>
        <v>0</v>
      </c>
      <c r="S132" s="59">
        <f>IF(S109=2,IF(S122=1,1,0),0)</f>
        <v>0</v>
      </c>
      <c r="T132" s="54">
        <f>IF(T109=2,IF(T122=1,1,0),0)</f>
        <v>0</v>
      </c>
      <c r="V132" s="59">
        <f>IF(V109=2,IF(V122=1,1,0),0)</f>
        <v>0</v>
      </c>
      <c r="W132" s="54">
        <f>IF(W109=2,IF(W122=1,1,0),0)</f>
        <v>0</v>
      </c>
      <c r="Y132" s="59">
        <f>IF(Y109=2,IF(Y122=1,1,0),0)</f>
        <v>0</v>
      </c>
      <c r="Z132" s="54">
        <f>IF(Z109=2,IF(Z122=1,1,0),0)</f>
        <v>0</v>
      </c>
      <c r="AB132" s="59">
        <f>IF(AB109=2,IF(AB122=1,1,0),0)</f>
        <v>0</v>
      </c>
      <c r="AC132" s="54">
        <f>IF(AC109=2,IF(AC122=1,1,0),0)</f>
        <v>0</v>
      </c>
      <c r="AE132" s="59">
        <f>IF(AE109=2,IF(AE122=1,1,0),0)</f>
        <v>0</v>
      </c>
      <c r="AF132" s="54">
        <f>SUM(B132:AE132)</f>
        <v>1</v>
      </c>
      <c r="AG132" s="54">
        <f>AF138-AF132</f>
        <v>2</v>
      </c>
      <c r="AW132" s="57"/>
    </row>
    <row r="133" spans="1:49" s="54" customFormat="1" ht="12.75" hidden="1" customHeight="1" x14ac:dyDescent="0.2">
      <c r="A133" s="54" t="s">
        <v>97</v>
      </c>
      <c r="B133" s="54">
        <f>IF(B109=3,IF(B122=1,1,0),0)</f>
        <v>0</v>
      </c>
      <c r="D133" s="59">
        <f>IF(D109=3,IF(D122=1,1,0),0)</f>
        <v>0</v>
      </c>
      <c r="E133" s="54">
        <f>IF(E109=3,IF(E122=1,1,0),0)</f>
        <v>0</v>
      </c>
      <c r="G133" s="59">
        <f>IF(G109=3,IF(G122=1,1,0),0)</f>
        <v>0</v>
      </c>
      <c r="H133" s="54">
        <f>IF(H109=3,IF(H122=1,1,0),0)</f>
        <v>0</v>
      </c>
      <c r="J133" s="59">
        <f>IF(J109=3,IF(J122=1,1,0),0)</f>
        <v>0</v>
      </c>
      <c r="K133" s="54">
        <f>IF(K109=3,IF(K122=1,1,0),0)</f>
        <v>0</v>
      </c>
      <c r="M133" s="59">
        <f>IF(M109=3,IF(M122=1,1,0),0)</f>
        <v>0</v>
      </c>
      <c r="N133" s="54">
        <f>IF(N109=3,IF(N122=1,1,0),0)</f>
        <v>0</v>
      </c>
      <c r="P133" s="59">
        <f>IF(P109=3,IF(P122=1,1,0),0)</f>
        <v>0</v>
      </c>
      <c r="Q133" s="54">
        <f>IF(Q109=3,IF(Q122=1,1,0),0)</f>
        <v>0</v>
      </c>
      <c r="S133" s="59">
        <f>IF(S109=3,IF(S122=1,1,0),0)</f>
        <v>0</v>
      </c>
      <c r="T133" s="54">
        <f>IF(T109=3,IF(T122=1,1,0),0)</f>
        <v>0</v>
      </c>
      <c r="V133" s="59">
        <f>IF(V109=3,IF(V122=1,1,0),0)</f>
        <v>1</v>
      </c>
      <c r="W133" s="54">
        <f>IF(W109=3,IF(W122=1,1,0),0)</f>
        <v>0</v>
      </c>
      <c r="Y133" s="59">
        <f>IF(Y109=3,IF(Y122=1,1,0),0)</f>
        <v>0</v>
      </c>
      <c r="Z133" s="54">
        <f>IF(Z109=3,IF(Z122=1,1,0),0)</f>
        <v>1</v>
      </c>
      <c r="AB133" s="59">
        <f>IF(AB109=3,IF(AB122=1,1,0),0)</f>
        <v>0</v>
      </c>
      <c r="AC133" s="54">
        <f>IF(AC109=3,IF(AC122=1,1,0),0)</f>
        <v>0</v>
      </c>
      <c r="AE133" s="59">
        <f>IF(AE109=3,IF(AE122=1,1,0),0)</f>
        <v>0</v>
      </c>
      <c r="AF133" s="54">
        <f>SUM(B133:AE133)</f>
        <v>2</v>
      </c>
      <c r="AG133" s="54">
        <f>AF139-AF133</f>
        <v>2</v>
      </c>
      <c r="AW133" s="57"/>
    </row>
    <row r="134" spans="1:49" s="54" customFormat="1" ht="12.75" hidden="1" customHeight="1" x14ac:dyDescent="0.2">
      <c r="A134" s="54" t="s">
        <v>98</v>
      </c>
      <c r="B134" s="54">
        <f>IF(B109=4,IF(B122=1,1,0),0)</f>
        <v>0</v>
      </c>
      <c r="D134" s="59">
        <f>IF(D109=4,IF(D122=1,1,0),0)</f>
        <v>0</v>
      </c>
      <c r="E134" s="54">
        <f>IF(E109=4,IF(E122=1,1,0),0)</f>
        <v>0</v>
      </c>
      <c r="G134" s="59">
        <f>IF(G109=4,IF(G122=1,1,0),0)</f>
        <v>0</v>
      </c>
      <c r="H134" s="54">
        <f>IF(H109=4,IF(H122=1,1,0),0)</f>
        <v>0</v>
      </c>
      <c r="J134" s="59">
        <f>IF(J109=4,IF(J122=1,1,0),0)</f>
        <v>0</v>
      </c>
      <c r="K134" s="54">
        <f>IF(K109=4,IF(K122=1,1,0),0)</f>
        <v>0</v>
      </c>
      <c r="M134" s="59">
        <f>IF(M109=4,IF(M122=1,1,0),0)</f>
        <v>0</v>
      </c>
      <c r="N134" s="54">
        <f>IF(N109=4,IF(N122=1,1,0),0)</f>
        <v>0</v>
      </c>
      <c r="P134" s="59">
        <f>IF(P109=4,IF(P122=1,1,0),0)</f>
        <v>0</v>
      </c>
      <c r="Q134" s="54">
        <f>IF(Q109=4,IF(Q122=1,1,0),0)</f>
        <v>0</v>
      </c>
      <c r="S134" s="59">
        <f>IF(S109=4,IF(S122=1,1,0),0)</f>
        <v>0</v>
      </c>
      <c r="T134" s="54">
        <f>IF(T109=4,IF(T122=1,1,0),0)</f>
        <v>0</v>
      </c>
      <c r="V134" s="59">
        <f>IF(V109=4,IF(V122=1,1,0),0)</f>
        <v>0</v>
      </c>
      <c r="W134" s="54">
        <f>IF(W109=4,IF(W122=1,1,0),0)</f>
        <v>0</v>
      </c>
      <c r="Y134" s="59">
        <f>IF(Y109=4,IF(Y122=1,1,0),0)</f>
        <v>0</v>
      </c>
      <c r="Z134" s="54">
        <f>IF(Z109=4,IF(Z122=1,1,0),0)</f>
        <v>0</v>
      </c>
      <c r="AB134" s="59">
        <f>IF(AB109=4,IF(AB122=1,1,0),0)</f>
        <v>0</v>
      </c>
      <c r="AC134" s="54">
        <f>IF(AC109=4,IF(AC122=1,1,0),0)</f>
        <v>0</v>
      </c>
      <c r="AE134" s="59">
        <f>IF(AE109=4,IF(AE122=1,1,0),0)</f>
        <v>0</v>
      </c>
      <c r="AF134" s="54">
        <f>SUM(B134:AE134)</f>
        <v>0</v>
      </c>
      <c r="AG134" s="54">
        <f>AF140-AF134</f>
        <v>3</v>
      </c>
      <c r="AW134" s="57"/>
    </row>
    <row r="135" spans="1:49" s="54" customFormat="1" ht="12.75" hidden="1" customHeight="1" x14ac:dyDescent="0.2">
      <c r="A135" s="54" t="s">
        <v>99</v>
      </c>
      <c r="B135" s="54">
        <f>IF(B109=5,IF(B122=1,1,0),0)</f>
        <v>0</v>
      </c>
      <c r="D135" s="59">
        <f>IF(D109=5,IF(D122=1,1,0),0)</f>
        <v>0</v>
      </c>
      <c r="E135" s="54">
        <f>IF(E109=5,IF(E122=1,1,0),0)</f>
        <v>0</v>
      </c>
      <c r="G135" s="59">
        <f>IF(G109=5,IF(G122=1,1,0),0)</f>
        <v>0</v>
      </c>
      <c r="H135" s="54">
        <f>IF(H109=5,IF(H122=1,1,0),0)</f>
        <v>0</v>
      </c>
      <c r="J135" s="59">
        <f>IF(J109=5,IF(J122=1,1,0),0)</f>
        <v>1</v>
      </c>
      <c r="K135" s="54">
        <f>IF(K109=5,IF(K122=1,1,0),0)</f>
        <v>0</v>
      </c>
      <c r="M135" s="59">
        <f>IF(M109=5,IF(M122=1,1,0),0)</f>
        <v>0</v>
      </c>
      <c r="N135" s="54">
        <f>IF(N109=5,IF(N122=1,1,0),0)</f>
        <v>0</v>
      </c>
      <c r="P135" s="59">
        <f>IF(P109=5,IF(P122=1,1,0),0)</f>
        <v>0</v>
      </c>
      <c r="Q135" s="54">
        <f>IF(Q109=5,IF(Q122=1,1,0),0)</f>
        <v>0</v>
      </c>
      <c r="S135" s="59">
        <f>IF(S109=5,IF(S122=1,1,0),0)</f>
        <v>0</v>
      </c>
      <c r="T135" s="54">
        <f>IF(T109=5,IF(T122=1,1,0),0)</f>
        <v>0</v>
      </c>
      <c r="V135" s="59">
        <f>IF(V109=5,IF(V122=1,1,0),0)</f>
        <v>0</v>
      </c>
      <c r="W135" s="54">
        <f>IF(W109=5,IF(W122=1,1,0),0)</f>
        <v>0</v>
      </c>
      <c r="Y135" s="59">
        <f>IF(Y109=5,IF(Y122=1,1,0),0)</f>
        <v>0</v>
      </c>
      <c r="Z135" s="54">
        <f>IF(Z109=5,IF(Z122=1,1,0),0)</f>
        <v>0</v>
      </c>
      <c r="AB135" s="59">
        <f>IF(AB109=5,IF(AB122=1,1,0),0)</f>
        <v>0</v>
      </c>
      <c r="AC135" s="54">
        <f>IF(AC109=5,IF(AC122=1,1,0),0)</f>
        <v>0</v>
      </c>
      <c r="AE135" s="59">
        <f>IF(AE109=5,IF(AE122=1,1,0),0)</f>
        <v>0</v>
      </c>
      <c r="AF135" s="54">
        <f>SUM(B135:AE135)</f>
        <v>1</v>
      </c>
      <c r="AG135" s="54">
        <f>AF141-AF135</f>
        <v>1</v>
      </c>
      <c r="AW135" s="57"/>
    </row>
    <row r="136" spans="1:49" s="54" customFormat="1" ht="38.25" hidden="1" customHeight="1" x14ac:dyDescent="0.2">
      <c r="A136" s="58"/>
      <c r="D136" s="59"/>
      <c r="G136" s="59"/>
      <c r="J136" s="59"/>
      <c r="M136" s="59"/>
      <c r="P136" s="59"/>
      <c r="S136" s="59"/>
      <c r="V136" s="59"/>
      <c r="Y136" s="59"/>
      <c r="AB136" s="59"/>
      <c r="AE136" s="59"/>
      <c r="AF136" s="58" t="s">
        <v>100</v>
      </c>
      <c r="AW136" s="57"/>
    </row>
    <row r="137" spans="1:49" s="54" customFormat="1" ht="12.75" hidden="1" customHeight="1" x14ac:dyDescent="0.2">
      <c r="A137" s="54" t="s">
        <v>101</v>
      </c>
      <c r="B137" s="54">
        <f>IF(B109=1,IF(C122=1,1,0),0)</f>
        <v>0</v>
      </c>
      <c r="D137" s="59">
        <f>IF(D109=1,IF(C122=1,1,0),0)</f>
        <v>0</v>
      </c>
      <c r="E137" s="54">
        <f>IF(E109=1,IF(F122=1,1,0),0)</f>
        <v>1</v>
      </c>
      <c r="G137" s="59">
        <f>IF(G109=1,IF(F122=1,1,0),0)</f>
        <v>0</v>
      </c>
      <c r="H137" s="54">
        <f>IF(H109=1,IF(I122=1,1,0),0)</f>
        <v>0</v>
      </c>
      <c r="J137" s="59">
        <f>IF(J109=1,IF(I122=1,1,0),0)</f>
        <v>0</v>
      </c>
      <c r="K137" s="54">
        <f>IF(K109=1,IF(L122=1,1,0),0)</f>
        <v>0</v>
      </c>
      <c r="M137" s="59">
        <f>IF(M109=1,IF(L122=1,1,0),0)</f>
        <v>0</v>
      </c>
      <c r="N137" s="54">
        <f>IF(N109=1,IF(O122=1,1,0),0)</f>
        <v>1</v>
      </c>
      <c r="P137" s="59">
        <f>IF(P109=1,IF(O122=1,1,0),0)</f>
        <v>0</v>
      </c>
      <c r="Q137" s="54">
        <f>IF(Q109=1,IF(R122=1,1,0),0)</f>
        <v>0</v>
      </c>
      <c r="S137" s="59">
        <f>IF(S109=1,IF(R122=1,1,0),0)</f>
        <v>0</v>
      </c>
      <c r="T137" s="54">
        <f>IF(T109=1,IF(U122=1,1,0),0)</f>
        <v>0</v>
      </c>
      <c r="V137" s="59">
        <f>IF(V109=1,IF(U122=1,1,0),0)</f>
        <v>0</v>
      </c>
      <c r="W137" s="54">
        <f>IF(W109=1,IF(X122=1,1,0),0)</f>
        <v>1</v>
      </c>
      <c r="Y137" s="59">
        <f>IF(Y109=1,IF(X122=1,1,0),0)</f>
        <v>0</v>
      </c>
      <c r="Z137" s="54">
        <f>IF(Z109=1,IF(AA122=1,1,0),0)</f>
        <v>0</v>
      </c>
      <c r="AB137" s="59">
        <f>IF(AB109=1,IF(AA122=1,1,0),0)</f>
        <v>0</v>
      </c>
      <c r="AC137" s="54">
        <f>IF(AC109=1,IF(AD122=1,1,0),0)</f>
        <v>1</v>
      </c>
      <c r="AE137" s="59">
        <f>IF(AE109=1,IF(AD122=1,1,0),0)</f>
        <v>0</v>
      </c>
      <c r="AF137" s="54">
        <f>SUM(B137:AE137)</f>
        <v>4</v>
      </c>
      <c r="AW137" s="57"/>
    </row>
    <row r="138" spans="1:49" s="54" customFormat="1" ht="12.75" hidden="1" customHeight="1" x14ac:dyDescent="0.2">
      <c r="A138" s="54" t="s">
        <v>102</v>
      </c>
      <c r="B138" s="54">
        <f>IF(B109=2,IF(C122=1,1,0),0)</f>
        <v>0</v>
      </c>
      <c r="D138" s="59">
        <f>IF(D109=2,IF(C122=1,1,0),0)</f>
        <v>0</v>
      </c>
      <c r="E138" s="54">
        <f>IF(E109=2,IF(F122=1,1,0),0)</f>
        <v>0</v>
      </c>
      <c r="G138" s="59">
        <f>IF(G109=2,IF(F122=1,1,0),0)</f>
        <v>0</v>
      </c>
      <c r="H138" s="54">
        <f>IF(H109=2,IF(I122=1,1,0),0)</f>
        <v>0</v>
      </c>
      <c r="J138" s="59">
        <f>IF(J109=2,IF(I122=1,1,0),0)</f>
        <v>0</v>
      </c>
      <c r="K138" s="54">
        <f>IF(K109=2,IF(L122=1,1,0),0)</f>
        <v>1</v>
      </c>
      <c r="M138" s="59">
        <f>IF(M109=2,IF(L122=1,1,0),0)</f>
        <v>0</v>
      </c>
      <c r="N138" s="54">
        <f>IF(N109=2,IF(O122=1,1,0),0)</f>
        <v>0</v>
      </c>
      <c r="P138" s="59">
        <f>IF(P109=2,IF(O122=1,1,0),0)</f>
        <v>0</v>
      </c>
      <c r="Q138" s="54">
        <f>IF(Q109=2,IF(R122=1,1,0),0)</f>
        <v>0</v>
      </c>
      <c r="S138" s="59">
        <f>IF(S109=2,IF(R122=1,1,0),0)</f>
        <v>0</v>
      </c>
      <c r="T138" s="54">
        <f>IF(T109=2,IF(U122=1,1,0),0)</f>
        <v>1</v>
      </c>
      <c r="V138" s="59">
        <f>IF(V109=2,IF(U122=1,1,0),0)</f>
        <v>0</v>
      </c>
      <c r="W138" s="54">
        <f>IF(W109=2,IF(X122=1,1,0),0)</f>
        <v>0</v>
      </c>
      <c r="Y138" s="59">
        <f>IF(Y109=2,IF(X122=1,1,0),0)</f>
        <v>0</v>
      </c>
      <c r="Z138" s="54">
        <f>IF(Z109=2,IF(AA122=1,1,0),0)</f>
        <v>0</v>
      </c>
      <c r="AB138" s="59">
        <f>IF(AB109=2,IF(AA122=1,1,0),0)</f>
        <v>0</v>
      </c>
      <c r="AC138" s="54">
        <f>IF(AC109=2,IF(AD122=1,1,0),0)</f>
        <v>0</v>
      </c>
      <c r="AE138" s="59">
        <f>IF(AE109=2,IF(AD122=1,1,0),0)</f>
        <v>1</v>
      </c>
      <c r="AF138" s="54">
        <f>SUM(B138:AE138)</f>
        <v>3</v>
      </c>
      <c r="AW138" s="57"/>
    </row>
    <row r="139" spans="1:49" s="54" customFormat="1" ht="12.75" hidden="1" customHeight="1" x14ac:dyDescent="0.2">
      <c r="A139" s="54" t="s">
        <v>103</v>
      </c>
      <c r="B139" s="54">
        <f>IF(B109=3,IF(C122=1,1,0),0)</f>
        <v>0</v>
      </c>
      <c r="D139" s="59">
        <f>IF(D109=3,IF(C122=1,1,0),0)</f>
        <v>0</v>
      </c>
      <c r="E139" s="54">
        <f>IF(E109=3,IF(F122=1,1,0),0)</f>
        <v>0</v>
      </c>
      <c r="G139" s="59">
        <f>IF(G109=3,IF(F122=1,1,0),0)</f>
        <v>0</v>
      </c>
      <c r="H139" s="54">
        <f>IF(H109=3,IF(I122=1,1,0),0)</f>
        <v>1</v>
      </c>
      <c r="J139" s="59">
        <f>IF(J109=3,IF(I122=1,1,0),0)</f>
        <v>0</v>
      </c>
      <c r="K139" s="54">
        <f>IF(K109=3,IF(L122=1,1,0),0)</f>
        <v>0</v>
      </c>
      <c r="M139" s="59">
        <f>IF(M109=3,IF(L122=1,1,0),0)</f>
        <v>0</v>
      </c>
      <c r="N139" s="54">
        <f>IF(N109=3,IF(O122=1,1,0),0)</f>
        <v>0</v>
      </c>
      <c r="P139" s="59">
        <f>IF(P109=3,IF(O122=1,1,0),0)</f>
        <v>1</v>
      </c>
      <c r="Q139" s="54">
        <f>IF(Q109=3,IF(R122=1,1,0),0)</f>
        <v>0</v>
      </c>
      <c r="S139" s="59">
        <f>IF(S109=3,IF(R122=1,1,0),0)</f>
        <v>0</v>
      </c>
      <c r="T139" s="54">
        <f>IF(T109=3,IF(U122=1,1,0),0)</f>
        <v>0</v>
      </c>
      <c r="V139" s="59">
        <f>IF(V109=3,IF(U122=1,1,0),0)</f>
        <v>1</v>
      </c>
      <c r="W139" s="54">
        <f>IF(W109=3,IF(X122=1,1,0),0)</f>
        <v>0</v>
      </c>
      <c r="Y139" s="59">
        <f>IF(Y109=3,IF(X122=1,1,0),0)</f>
        <v>0</v>
      </c>
      <c r="Z139" s="54">
        <f>IF(Z109=3,IF(AA122=1,1,0),0)</f>
        <v>1</v>
      </c>
      <c r="AB139" s="59">
        <f>IF(AB109=3,IF(AA122=1,1,0),0)</f>
        <v>0</v>
      </c>
      <c r="AC139" s="54">
        <f>IF(AC109=3,IF(AD122=1,1,0),0)</f>
        <v>0</v>
      </c>
      <c r="AE139" s="59">
        <f>IF(AE109=3,IF(AD122=1,1,0),0)</f>
        <v>0</v>
      </c>
      <c r="AF139" s="54">
        <f>SUM(B139:AE139)</f>
        <v>4</v>
      </c>
      <c r="AW139" s="57"/>
    </row>
    <row r="140" spans="1:49" s="54" customFormat="1" ht="12.75" hidden="1" customHeight="1" x14ac:dyDescent="0.2">
      <c r="A140" s="54" t="s">
        <v>104</v>
      </c>
      <c r="B140" s="54">
        <f>IF(B109=4,IF(C122=1,1,0),0)</f>
        <v>0</v>
      </c>
      <c r="D140" s="59">
        <f>IF(D109=4,IF(C122=1,1,0),0)</f>
        <v>0</v>
      </c>
      <c r="E140" s="54">
        <f>IF(E109=4,IF(F122=1,1,0),0)</f>
        <v>0</v>
      </c>
      <c r="G140" s="59">
        <f>IF(G109=4,IF(F122=1,1,0),0)</f>
        <v>1</v>
      </c>
      <c r="H140" s="54">
        <f>IF(H109=4,IF(I122=1,1,0),0)</f>
        <v>0</v>
      </c>
      <c r="J140" s="59">
        <f>IF(J109=4,IF(I122=1,1,0),0)</f>
        <v>0</v>
      </c>
      <c r="K140" s="54">
        <f>IF(K109=4,IF(L122=1,1,0),0)</f>
        <v>0</v>
      </c>
      <c r="M140" s="59">
        <f>IF(M109=4,IF(L122=1,1,0),0)</f>
        <v>1</v>
      </c>
      <c r="N140" s="54">
        <f>IF(N109=4,IF(O122=1,1,0),0)</f>
        <v>0</v>
      </c>
      <c r="P140" s="59">
        <f>IF(P109=4,IF(O122=1,1,0),0)</f>
        <v>0</v>
      </c>
      <c r="Q140" s="54">
        <f>IF(Q109=4,IF(R122=1,1,0),0)</f>
        <v>0</v>
      </c>
      <c r="S140" s="59">
        <f>IF(S109=4,IF(R122=1,1,0),0)</f>
        <v>0</v>
      </c>
      <c r="T140" s="54">
        <f>IF(T109=4,IF(U122=1,1,0),0)</f>
        <v>0</v>
      </c>
      <c r="V140" s="59">
        <f>IF(V109=4,IF(U122=1,1,0),0)</f>
        <v>0</v>
      </c>
      <c r="W140" s="54">
        <f>IF(W109=4,IF(X122=1,1,0),0)</f>
        <v>0</v>
      </c>
      <c r="Y140" s="59">
        <f>IF(Y109=4,IF(X122=1,1,0),0)</f>
        <v>0</v>
      </c>
      <c r="Z140" s="54">
        <f>IF(Z109=4,IF(AA122=1,1,0),0)</f>
        <v>0</v>
      </c>
      <c r="AB140" s="59">
        <f>IF(AB109=4,IF(AA122=1,1,0),0)</f>
        <v>1</v>
      </c>
      <c r="AC140" s="54">
        <f>IF(AC109=4,IF(AD122=1,1,0),0)</f>
        <v>0</v>
      </c>
      <c r="AE140" s="59">
        <f>IF(AE109=4,IF(AD122=1,1,0),0)</f>
        <v>0</v>
      </c>
      <c r="AF140" s="54">
        <f>SUM(B140:AE140)</f>
        <v>3</v>
      </c>
      <c r="AW140" s="57"/>
    </row>
    <row r="141" spans="1:49" s="54" customFormat="1" ht="12.75" hidden="1" customHeight="1" x14ac:dyDescent="0.2">
      <c r="A141" s="54" t="s">
        <v>105</v>
      </c>
      <c r="B141" s="54">
        <f>IF(B109=5,IF(C122=1,1,0),0)</f>
        <v>0</v>
      </c>
      <c r="D141" s="59">
        <f>IF(D109=5,IF(C122=1,1,0),0)</f>
        <v>0</v>
      </c>
      <c r="E141" s="54">
        <f>IF(E109=5,IF(F122=1,1,0),0)</f>
        <v>0</v>
      </c>
      <c r="G141" s="59">
        <f>IF(G109=5,IF(F122=1,1,0),0)</f>
        <v>0</v>
      </c>
      <c r="H141" s="54">
        <f>IF(H109=5,IF(I122=1,1,0),0)</f>
        <v>0</v>
      </c>
      <c r="J141" s="59">
        <f>IF(J109=5,IF(I122=1,1,0),0)</f>
        <v>1</v>
      </c>
      <c r="K141" s="54">
        <f>IF(K109=5,IF(L122=1,1,0),0)</f>
        <v>0</v>
      </c>
      <c r="M141" s="59">
        <f>IF(M109=5,IF(L122=1,1,0),0)</f>
        <v>0</v>
      </c>
      <c r="N141" s="54">
        <f>IF(N109=5,IF(O122=1,1,0),0)</f>
        <v>0</v>
      </c>
      <c r="P141" s="59">
        <f>IF(P109=5,IF(O122=1,1,0),0)</f>
        <v>0</v>
      </c>
      <c r="Q141" s="54">
        <f>IF(Q109=5,IF(R122=1,1,0),0)</f>
        <v>0</v>
      </c>
      <c r="S141" s="59">
        <f>IF(S109=5,IF(R122=1,1,0),0)</f>
        <v>0</v>
      </c>
      <c r="T141" s="54">
        <f>IF(T109=5,IF(U122=1,1,0),0)</f>
        <v>0</v>
      </c>
      <c r="V141" s="59">
        <f>IF(V109=5,IF(U122=1,1,0),0)</f>
        <v>0</v>
      </c>
      <c r="W141" s="54">
        <f>IF(W109=5,IF(X122=1,1,0),0)</f>
        <v>0</v>
      </c>
      <c r="Y141" s="59">
        <f>IF(Y109=5,IF(X122=1,1,0),0)</f>
        <v>1</v>
      </c>
      <c r="Z141" s="54">
        <f>IF(Z109=5,IF(AA122=1,1,0),0)</f>
        <v>0</v>
      </c>
      <c r="AB141" s="59">
        <f>IF(AB109=5,IF(AA122=1,1,0),0)</f>
        <v>0</v>
      </c>
      <c r="AC141" s="54">
        <f>IF(AC109=5,IF(AD122=1,1,0),0)</f>
        <v>0</v>
      </c>
      <c r="AE141" s="59">
        <f>IF(AE109=5,IF(AD122=1,1,0),0)</f>
        <v>0</v>
      </c>
      <c r="AF141" s="54">
        <f>SUM(B141:AE141)</f>
        <v>2</v>
      </c>
      <c r="AW141" s="57"/>
    </row>
    <row r="142" spans="1:49" s="54" customFormat="1" ht="38.25" hidden="1" customHeight="1" x14ac:dyDescent="0.2">
      <c r="A142" s="58"/>
      <c r="D142" s="59"/>
      <c r="G142" s="59"/>
      <c r="J142" s="59"/>
      <c r="M142" s="59"/>
      <c r="P142" s="59"/>
      <c r="S142" s="59"/>
      <c r="V142" s="59"/>
      <c r="Y142" s="59"/>
      <c r="AB142" s="59"/>
      <c r="AE142" s="59"/>
      <c r="AF142" s="58" t="s">
        <v>106</v>
      </c>
      <c r="AG142" s="702"/>
      <c r="AH142" s="702"/>
      <c r="AI142" s="702"/>
      <c r="AJ142" s="702"/>
      <c r="AK142" s="702"/>
      <c r="AW142" s="57"/>
    </row>
    <row r="143" spans="1:49" s="54" customFormat="1" ht="12.75" hidden="1" customHeight="1" x14ac:dyDescent="0.2">
      <c r="A143" s="54" t="s">
        <v>101</v>
      </c>
      <c r="B143" s="54">
        <f>IF(B109=1,B129,0)</f>
        <v>0</v>
      </c>
      <c r="D143" s="59">
        <f>IF(D109=1,B129,0)</f>
        <v>0</v>
      </c>
      <c r="E143" s="54">
        <f>IF(E109=1,E129,0)</f>
        <v>50</v>
      </c>
      <c r="G143" s="59">
        <f>IF(G109=1,E129,0)</f>
        <v>0</v>
      </c>
      <c r="H143" s="54">
        <f>IF(H109=1,H129,0)</f>
        <v>0</v>
      </c>
      <c r="J143" s="59">
        <f>IF(J109=1,H129,0)</f>
        <v>0</v>
      </c>
      <c r="K143" s="54">
        <f>IF(K109=1,K129,0)</f>
        <v>0</v>
      </c>
      <c r="M143" s="59">
        <f>IF(M109=1,K129,0)</f>
        <v>0</v>
      </c>
      <c r="N143" s="54">
        <f>IF(N109=1,N129,0)</f>
        <v>50</v>
      </c>
      <c r="P143" s="59">
        <f>IF(P109=1,N129,0)</f>
        <v>0</v>
      </c>
      <c r="Q143" s="54">
        <f>IF(Q109=1,Q129,0)</f>
        <v>0</v>
      </c>
      <c r="S143" s="59">
        <f>IF(S109=1,Q129,0)</f>
        <v>0</v>
      </c>
      <c r="T143" s="54">
        <f>IF(T109=1,T129,0)</f>
        <v>0</v>
      </c>
      <c r="V143" s="59">
        <f>IF(V109=1,T129,0)</f>
        <v>0</v>
      </c>
      <c r="W143" s="54">
        <f>IF(W109=1,W129,0)</f>
        <v>50</v>
      </c>
      <c r="Y143" s="59">
        <f>IF(Y109=1,W129,0)</f>
        <v>0</v>
      </c>
      <c r="Z143" s="54">
        <f>IF(Z109=1,Z129,0)</f>
        <v>0</v>
      </c>
      <c r="AB143" s="59">
        <f>IF(AB109=1,Z129,0)</f>
        <v>0</v>
      </c>
      <c r="AC143" s="54">
        <f>IF(AC109=1,AC129,0)</f>
        <v>50</v>
      </c>
      <c r="AE143" s="59">
        <f>IF(AE109=1,AC129,0)</f>
        <v>0</v>
      </c>
      <c r="AF143" s="54">
        <f>SUM(B143:AE143)</f>
        <v>200</v>
      </c>
      <c r="AW143" s="57"/>
    </row>
    <row r="144" spans="1:49" s="54" customFormat="1" ht="12.75" hidden="1" customHeight="1" x14ac:dyDescent="0.2">
      <c r="A144" s="54" t="s">
        <v>102</v>
      </c>
      <c r="B144" s="54">
        <f>IF(B109=2,B129,0)</f>
        <v>52</v>
      </c>
      <c r="D144" s="59">
        <f>IF(D109=2,B129,0)</f>
        <v>0</v>
      </c>
      <c r="E144" s="54">
        <f>IF(E109=2,E129,0)</f>
        <v>0</v>
      </c>
      <c r="G144" s="59">
        <f>IF(G109=2,E129,0)</f>
        <v>0</v>
      </c>
      <c r="H144" s="54">
        <f>IF(H109=2,H129,0)</f>
        <v>0</v>
      </c>
      <c r="J144" s="59">
        <f>IF(J109=2,H129,0)</f>
        <v>0</v>
      </c>
      <c r="K144" s="54">
        <f>IF(K109=2,K129,0)</f>
        <v>50</v>
      </c>
      <c r="M144" s="59">
        <f>IF(M109=2,K129,0)</f>
        <v>0</v>
      </c>
      <c r="N144" s="54">
        <f>IF(N109=2,N129,0)</f>
        <v>0</v>
      </c>
      <c r="P144" s="59">
        <f>IF(P109=2,N129,0)</f>
        <v>0</v>
      </c>
      <c r="Q144" s="54">
        <f>IF(Q109=2,Q129,0)</f>
        <v>0</v>
      </c>
      <c r="S144" s="59">
        <f>IF(S109=2,Q129,0)</f>
        <v>0</v>
      </c>
      <c r="T144" s="54">
        <f>IF(T109=2,T129,0)</f>
        <v>50</v>
      </c>
      <c r="V144" s="59">
        <f>IF(V109=2,T129,0)</f>
        <v>0</v>
      </c>
      <c r="W144" s="54">
        <f>IF(W109=2,W129,0)</f>
        <v>0</v>
      </c>
      <c r="Y144" s="59">
        <f>IF(Y109=2,W129,0)</f>
        <v>0</v>
      </c>
      <c r="Z144" s="54">
        <f>IF(Z109=2,Z129,0)</f>
        <v>0</v>
      </c>
      <c r="AB144" s="59">
        <f>IF(AB109=2,Z129,0)</f>
        <v>0</v>
      </c>
      <c r="AC144" s="54">
        <f>IF(AC109=2,AC129,0)</f>
        <v>0</v>
      </c>
      <c r="AE144" s="59">
        <f>IF(AE109=2,AC129,0)</f>
        <v>50</v>
      </c>
      <c r="AF144" s="54">
        <f>SUM(B144:AE144)</f>
        <v>202</v>
      </c>
      <c r="AW144" s="57"/>
    </row>
    <row r="145" spans="1:49" s="54" customFormat="1" ht="12.75" hidden="1" customHeight="1" x14ac:dyDescent="0.2">
      <c r="A145" s="54" t="s">
        <v>103</v>
      </c>
      <c r="B145" s="54">
        <f>IF(B109=3,B129,0)</f>
        <v>0</v>
      </c>
      <c r="D145" s="59">
        <f>IF(D109=3,B129,0)</f>
        <v>0</v>
      </c>
      <c r="E145" s="54">
        <f>IF(E109=3,E129,0)</f>
        <v>0</v>
      </c>
      <c r="G145" s="59">
        <f>IF(G109=3,E129,0)</f>
        <v>0</v>
      </c>
      <c r="H145" s="54">
        <f>IF(H109=3,H129,0)</f>
        <v>50</v>
      </c>
      <c r="J145" s="59">
        <f>IF(J109=3,H129,0)</f>
        <v>0</v>
      </c>
      <c r="K145" s="54">
        <f>IF(K109=3,K129,0)</f>
        <v>0</v>
      </c>
      <c r="M145" s="59">
        <f>IF(M109=3,K129,0)</f>
        <v>0</v>
      </c>
      <c r="N145" s="54">
        <f>IF(N109=3,N129,0)</f>
        <v>0</v>
      </c>
      <c r="P145" s="59">
        <f>IF(P109=3,N129,0)</f>
        <v>50</v>
      </c>
      <c r="Q145" s="54">
        <f>IF(Q109=3,Q129,0)</f>
        <v>0</v>
      </c>
      <c r="S145" s="59">
        <f>IF(S109=3,Q129,0)</f>
        <v>0</v>
      </c>
      <c r="T145" s="54">
        <f>IF(T109=3,T129,0)</f>
        <v>0</v>
      </c>
      <c r="V145" s="59">
        <f>IF(V109=3,T129,0)</f>
        <v>50</v>
      </c>
      <c r="W145" s="54">
        <f>IF(W109=3,W129,0)</f>
        <v>0</v>
      </c>
      <c r="Y145" s="59">
        <f>IF(Y109=3,W129,0)</f>
        <v>0</v>
      </c>
      <c r="Z145" s="54">
        <f>IF(Z109=3,Z129,0)</f>
        <v>50</v>
      </c>
      <c r="AB145" s="59">
        <f>IF(AB109=3,Z129,0)</f>
        <v>0</v>
      </c>
      <c r="AC145" s="54">
        <f>IF(AC109=3,AC129,0)</f>
        <v>0</v>
      </c>
      <c r="AE145" s="59">
        <f>IF(AE109=3,AC129,0)</f>
        <v>0</v>
      </c>
      <c r="AF145" s="54">
        <f>SUM(B145:AE145)</f>
        <v>200</v>
      </c>
      <c r="AW145" s="57"/>
    </row>
    <row r="146" spans="1:49" s="54" customFormat="1" ht="12.75" hidden="1" customHeight="1" x14ac:dyDescent="0.2">
      <c r="A146" s="54" t="s">
        <v>104</v>
      </c>
      <c r="B146" s="54">
        <f>IF(B109=4,B129,0)</f>
        <v>0</v>
      </c>
      <c r="D146" s="59">
        <f>IF(D109=4,B129,0)</f>
        <v>0</v>
      </c>
      <c r="E146" s="54">
        <f>IF(E109=4,E129,0)</f>
        <v>0</v>
      </c>
      <c r="G146" s="59">
        <f>IF(G109=4,E129,0)</f>
        <v>50</v>
      </c>
      <c r="H146" s="54">
        <f>IF(H109=4,H129,0)</f>
        <v>0</v>
      </c>
      <c r="J146" s="59">
        <f>IF(J109=4,H129,0)</f>
        <v>0</v>
      </c>
      <c r="K146" s="54">
        <f>IF(K109=4,K129,0)</f>
        <v>0</v>
      </c>
      <c r="M146" s="59">
        <f>IF(M109=4,K129,0)</f>
        <v>50</v>
      </c>
      <c r="N146" s="54">
        <f>IF(N109=4,N129,0)</f>
        <v>0</v>
      </c>
      <c r="P146" s="59">
        <f>IF(P109=4,N129,0)</f>
        <v>0</v>
      </c>
      <c r="Q146" s="54">
        <f>IF(Q109=4,Q129,0)</f>
        <v>50</v>
      </c>
      <c r="S146" s="59">
        <f>IF(S109=4,Q129,0)</f>
        <v>0</v>
      </c>
      <c r="T146" s="54">
        <f>IF(T109=4,T129,0)</f>
        <v>0</v>
      </c>
      <c r="V146" s="59">
        <f>IF(V109=4,T129,0)</f>
        <v>0</v>
      </c>
      <c r="W146" s="54">
        <f>IF(W109=4,W129,0)</f>
        <v>0</v>
      </c>
      <c r="Y146" s="59">
        <f>IF(Y109=4,W129,0)</f>
        <v>0</v>
      </c>
      <c r="Z146" s="54">
        <f>IF(Z109=4,Z129,0)</f>
        <v>0</v>
      </c>
      <c r="AB146" s="59">
        <f>IF(AB109=4,Z129,0)</f>
        <v>50</v>
      </c>
      <c r="AC146" s="54">
        <f>IF(AC109=4,AC129,0)</f>
        <v>0</v>
      </c>
      <c r="AE146" s="59">
        <f>IF(AE109=4,AC129,0)</f>
        <v>0</v>
      </c>
      <c r="AF146" s="54">
        <f>SUM(B146:AE146)</f>
        <v>200</v>
      </c>
      <c r="AW146" s="57"/>
    </row>
    <row r="147" spans="1:49" s="54" customFormat="1" ht="12.75" hidden="1" customHeight="1" x14ac:dyDescent="0.2">
      <c r="A147" s="54" t="s">
        <v>105</v>
      </c>
      <c r="B147" s="54">
        <f>IF(B109=5,B129,0)</f>
        <v>0</v>
      </c>
      <c r="D147" s="59">
        <f>IF(D109=5,B129,0)</f>
        <v>52</v>
      </c>
      <c r="E147" s="54">
        <f>IF(E109=5,E129,0)</f>
        <v>0</v>
      </c>
      <c r="G147" s="59">
        <f>IF(G109=5,E129,0)</f>
        <v>0</v>
      </c>
      <c r="H147" s="54">
        <f>IF(H109=5,H129,0)</f>
        <v>0</v>
      </c>
      <c r="J147" s="59">
        <f>IF(J109=5,H129,0)</f>
        <v>50</v>
      </c>
      <c r="K147" s="54">
        <f>IF(K109=5,K129,0)</f>
        <v>0</v>
      </c>
      <c r="M147" s="59">
        <f>IF(M109=5,K129,0)</f>
        <v>0</v>
      </c>
      <c r="N147" s="54">
        <f>IF(N109=5,N129,0)</f>
        <v>0</v>
      </c>
      <c r="P147" s="59">
        <f>IF(P109=5,N129,0)</f>
        <v>0</v>
      </c>
      <c r="Q147" s="54">
        <f>IF(Q109=5,Q129,0)</f>
        <v>0</v>
      </c>
      <c r="S147" s="59">
        <f>IF(S109=5,Q129,0)</f>
        <v>50</v>
      </c>
      <c r="T147" s="54">
        <f>IF(T109=5,T129,0)</f>
        <v>0</v>
      </c>
      <c r="V147" s="59">
        <f>IF(V109=5,T129,0)</f>
        <v>0</v>
      </c>
      <c r="W147" s="54">
        <f>IF(W109=5,W129,0)</f>
        <v>0</v>
      </c>
      <c r="Y147" s="59">
        <f>IF(Y109=5,W129,0)</f>
        <v>50</v>
      </c>
      <c r="Z147" s="54">
        <f>IF(Z109=5,Z129,0)</f>
        <v>0</v>
      </c>
      <c r="AB147" s="59">
        <f>IF(AB109=5,Z129,0)</f>
        <v>0</v>
      </c>
      <c r="AC147" s="54">
        <f>IF(AC109=5,AC129,0)</f>
        <v>0</v>
      </c>
      <c r="AE147" s="59">
        <f>IF(AE109=5,AC129,0)</f>
        <v>0</v>
      </c>
      <c r="AF147" s="54">
        <f>SUM(B147:AE147)</f>
        <v>202</v>
      </c>
      <c r="AW147" s="57"/>
    </row>
    <row r="148" spans="1:49" s="54" customFormat="1" ht="38.25" hidden="1" customHeight="1" x14ac:dyDescent="0.2">
      <c r="A148" s="54" t="s">
        <v>107</v>
      </c>
      <c r="D148" s="59"/>
      <c r="G148" s="59"/>
      <c r="J148" s="59"/>
      <c r="M148" s="59"/>
      <c r="P148" s="59"/>
      <c r="S148" s="59"/>
      <c r="V148" s="59"/>
      <c r="Y148" s="59"/>
      <c r="AB148" s="59"/>
      <c r="AE148" s="59"/>
      <c r="AF148" s="58" t="s">
        <v>108</v>
      </c>
      <c r="AG148" s="54" t="s">
        <v>109</v>
      </c>
      <c r="AW148" s="57"/>
    </row>
    <row r="149" spans="1:49" s="54" customFormat="1" ht="12.75" hidden="1" customHeight="1" x14ac:dyDescent="0.2">
      <c r="A149" s="54" t="s">
        <v>95</v>
      </c>
      <c r="B149" s="54">
        <f>IF(B109=1,SUMIF(B116:B120,"&gt;0"),0)</f>
        <v>0</v>
      </c>
      <c r="D149" s="59">
        <f>IF(D109=1,SUMIF(D116:D120,"&gt;0"),0)</f>
        <v>0</v>
      </c>
      <c r="E149" s="54">
        <f>IF(E109=1,SUMIF(E116:E120,"&gt;0"),0)</f>
        <v>2</v>
      </c>
      <c r="G149" s="59">
        <f>IF(G109=1,SUMIF(G116:G120,"&gt;0"),0)</f>
        <v>0</v>
      </c>
      <c r="H149" s="54">
        <f>IF(H109=1,SUMIF(H116:H120,"&gt;0"),0)</f>
        <v>0</v>
      </c>
      <c r="J149" s="59">
        <f>IF(J109=1,SUMIF(J116:J120,"&gt;0"),0)</f>
        <v>0</v>
      </c>
      <c r="K149" s="54">
        <f>IF(K109=1,SUMIF(K116:K120,"&gt;0"),0)</f>
        <v>0</v>
      </c>
      <c r="M149" s="59">
        <f>IF(M109=1,SUMIF(M116:M120,"&gt;0"),0)</f>
        <v>0</v>
      </c>
      <c r="N149" s="54">
        <f>IF(N109=1,SUMIF(N116:N120,"&gt;0"),0)</f>
        <v>2</v>
      </c>
      <c r="P149" s="59">
        <f>IF(P109=1,SUMIF(P116:P120,"&gt;0"),0)</f>
        <v>0</v>
      </c>
      <c r="Q149" s="54">
        <f>IF(Q109=1,SUMIF(Q116:Q120,"&gt;0"),0)</f>
        <v>0</v>
      </c>
      <c r="S149" s="59">
        <f>IF(S109=1,SUMIF(S116:S120,"&gt;0"),0)</f>
        <v>0</v>
      </c>
      <c r="T149" s="54">
        <f>IF(T109=1,SUMIF(T116:T120,"&gt;0"),0)</f>
        <v>0</v>
      </c>
      <c r="V149" s="59">
        <f>IF(V109=1,SUMIF(V116:V120,"&gt;0"),0)</f>
        <v>0</v>
      </c>
      <c r="W149" s="54">
        <f>IF(W109=1,SUMIF(W116:W120,"&gt;0"),0)</f>
        <v>2</v>
      </c>
      <c r="Y149" s="59">
        <f>IF(Y109=1,SUMIF(Y116:Y120,"&gt;0"),0)</f>
        <v>0</v>
      </c>
      <c r="Z149" s="54">
        <f>IF(Z109=1,SUMIF(Z116:Z120,"&gt;0"),0)</f>
        <v>0</v>
      </c>
      <c r="AB149" s="59">
        <f>IF(AB109=1,SUMIF(AB116:AB120,"&gt;0"),0)</f>
        <v>0</v>
      </c>
      <c r="AC149" s="54">
        <f>IF(AC109=1,SUMIF(AC116:AC120,"&gt;0"),0)</f>
        <v>2</v>
      </c>
      <c r="AE149" s="59">
        <f>IF(AE109=1,SUMIF(AE116:AE120,"&gt;0"),0)</f>
        <v>0</v>
      </c>
      <c r="AF149" s="54">
        <f>SUM(B149:AE149)</f>
        <v>8</v>
      </c>
      <c r="AG149" s="54">
        <f>AF157-AF149</f>
        <v>0</v>
      </c>
      <c r="AW149" s="57"/>
    </row>
    <row r="150" spans="1:49" s="54" customFormat="1" ht="12.75" hidden="1" customHeight="1" x14ac:dyDescent="0.2">
      <c r="A150" s="54" t="s">
        <v>96</v>
      </c>
      <c r="B150" s="54">
        <f>IF(B109=2,SUMIF(B116:B120,"&gt;0"),0)</f>
        <v>1</v>
      </c>
      <c r="D150" s="59">
        <f>IF(D109=2,SUMIF(D116:D120,"&gt;0"),0)</f>
        <v>0</v>
      </c>
      <c r="E150" s="54">
        <f>IF(E109=2,SUMIF(E116:E120,"&gt;0"),0)</f>
        <v>0</v>
      </c>
      <c r="G150" s="59">
        <f>IF(G109=2,SUMIF(G116:G120,"&gt;0"),0)</f>
        <v>0</v>
      </c>
      <c r="H150" s="54">
        <f>IF(H109=2,SUMIF(H116:H120,"&gt;0"),0)</f>
        <v>0</v>
      </c>
      <c r="J150" s="59">
        <f>IF(J109=2,SUMIF(J116:J120,"&gt;0"),0)</f>
        <v>0</v>
      </c>
      <c r="K150" s="54">
        <f>IF(K109=2,SUMIF(K116:K120,"&gt;0"),0)</f>
        <v>2</v>
      </c>
      <c r="M150" s="59">
        <f>IF(M109=2,SUMIF(M116:M120,"&gt;0"),0)</f>
        <v>0</v>
      </c>
      <c r="N150" s="54">
        <f>IF(N109=2,SUMIF(N116:N120,"&gt;0"),0)</f>
        <v>0</v>
      </c>
      <c r="P150" s="59">
        <f>IF(P109=2,SUMIF(P116:P120,"&gt;0"),0)</f>
        <v>0</v>
      </c>
      <c r="Q150" s="54">
        <f>IF(Q109=2,SUMIF(Q116:Q120,"&gt;0"),0)</f>
        <v>0</v>
      </c>
      <c r="S150" s="59">
        <f>IF(S109=2,SUMIF(S116:S120,"&gt;0"),0)</f>
        <v>0</v>
      </c>
      <c r="T150" s="54">
        <f>IF(T109=2,SUMIF(T116:T120,"&gt;0"),0)</f>
        <v>0</v>
      </c>
      <c r="V150" s="59">
        <f>IF(V109=2,SUMIF(V116:V120,"&gt;0"),0)</f>
        <v>0</v>
      </c>
      <c r="W150" s="54">
        <f>IF(W109=2,SUMIF(W116:W120,"&gt;0"),0)</f>
        <v>0</v>
      </c>
      <c r="Y150" s="59">
        <f>IF(Y109=2,SUMIF(Y116:Y120,"&gt;0"),0)</f>
        <v>0</v>
      </c>
      <c r="Z150" s="54">
        <f>IF(Z109=2,SUMIF(Z116:Z120,"&gt;0"),0)</f>
        <v>0</v>
      </c>
      <c r="AB150" s="59">
        <f>IF(AB109=2,SUMIF(AB116:AB120,"&gt;0"),0)</f>
        <v>0</v>
      </c>
      <c r="AC150" s="54">
        <f>IF(AC109=2,SUMIF(AC116:AC120,"&gt;0"),0)</f>
        <v>0</v>
      </c>
      <c r="AE150" s="59">
        <f>IF(AE109=2,SUMIF(AE116:AE120,"&gt;0"),0)</f>
        <v>0</v>
      </c>
      <c r="AF150" s="54">
        <f>SUM(B150:AE150)</f>
        <v>3</v>
      </c>
      <c r="AG150" s="54">
        <f>AF158-AF150</f>
        <v>5</v>
      </c>
      <c r="AW150" s="57"/>
    </row>
    <row r="151" spans="1:49" s="54" customFormat="1" ht="12.75" hidden="1" customHeight="1" x14ac:dyDescent="0.2">
      <c r="A151" s="54" t="s">
        <v>97</v>
      </c>
      <c r="B151" s="54">
        <f>IF(B109=3,SUMIF(B116:B120,"&gt;0"),0)</f>
        <v>0</v>
      </c>
      <c r="D151" s="59">
        <f>IF(D109=3,SUMIF(D116:D120,"&gt;0"),0)</f>
        <v>0</v>
      </c>
      <c r="E151" s="54">
        <f>IF(E109=3,SUMIF(E116:E120,"&gt;0"),0)</f>
        <v>0</v>
      </c>
      <c r="G151" s="59">
        <f>IF(G109=3,SUMIF(G116:G120,"&gt;0"),0)</f>
        <v>0</v>
      </c>
      <c r="H151" s="54">
        <f>IF(H109=3,SUMIF(H116:H120,"&gt;0"),0)</f>
        <v>0</v>
      </c>
      <c r="J151" s="59">
        <f>IF(J109=3,SUMIF(J116:J120,"&gt;0"),0)</f>
        <v>0</v>
      </c>
      <c r="K151" s="54">
        <f>IF(K109=3,SUMIF(K116:K120,"&gt;0"),0)</f>
        <v>0</v>
      </c>
      <c r="M151" s="59">
        <f>IF(M109=3,SUMIF(M116:M120,"&gt;0"),0)</f>
        <v>0</v>
      </c>
      <c r="N151" s="54">
        <f>IF(N109=3,SUMIF(N116:N120,"&gt;0"),0)</f>
        <v>0</v>
      </c>
      <c r="P151" s="59">
        <f>IF(P109=3,SUMIF(P116:P120,"&gt;0"),0)</f>
        <v>0</v>
      </c>
      <c r="Q151" s="54">
        <f>IF(Q109=3,SUMIF(Q116:Q120,"&gt;0"),0)</f>
        <v>0</v>
      </c>
      <c r="S151" s="59">
        <f>IF(S109=3,SUMIF(S116:S120,"&gt;0"),0)</f>
        <v>0</v>
      </c>
      <c r="T151" s="54">
        <f>IF(T109=3,SUMIF(T116:T120,"&gt;0"),0)</f>
        <v>0</v>
      </c>
      <c r="V151" s="59">
        <f>IF(V109=3,SUMIF(V116:V120,"&gt;0"),0)</f>
        <v>2</v>
      </c>
      <c r="W151" s="54">
        <f>IF(W109=3,SUMIF(W116:W120,"&gt;0"),0)</f>
        <v>0</v>
      </c>
      <c r="Y151" s="59">
        <f>IF(Y109=3,SUMIF(Y116:Y120,"&gt;0"),0)</f>
        <v>0</v>
      </c>
      <c r="Z151" s="54">
        <f>IF(Z109=3,SUMIF(Z116:Z120,"&gt;0"),0)</f>
        <v>2</v>
      </c>
      <c r="AB151" s="59">
        <f>IF(AB109=3,SUMIF(AB116:AB120,"&gt;0"),0)</f>
        <v>0</v>
      </c>
      <c r="AC151" s="54">
        <f>IF(AC109=3,SUMIF(AC116:AC120,"&gt;0"),0)</f>
        <v>0</v>
      </c>
      <c r="AE151" s="59">
        <f>IF(AE109=3,SUMIF(AE116:AE120,"&gt;0"),0)</f>
        <v>0</v>
      </c>
      <c r="AF151" s="54">
        <f>SUM(B151:AE151)</f>
        <v>4</v>
      </c>
      <c r="AG151" s="54">
        <f>AF159-AF151</f>
        <v>4</v>
      </c>
      <c r="AW151" s="57"/>
    </row>
    <row r="152" spans="1:49" s="54" customFormat="1" ht="12.75" hidden="1" customHeight="1" x14ac:dyDescent="0.2">
      <c r="A152" s="54" t="s">
        <v>98</v>
      </c>
      <c r="B152" s="54">
        <f>IF(B109=4,SUMIF(B116:B120,"&gt;0"),0)</f>
        <v>0</v>
      </c>
      <c r="D152" s="59">
        <f>IF(D109=4,SUMIF(D116:D120,"&gt;0"),0)</f>
        <v>0</v>
      </c>
      <c r="E152" s="54">
        <f>IF(E109=4,SUMIF(E116:E120,"&gt;0"),0)</f>
        <v>0</v>
      </c>
      <c r="G152" s="59">
        <f>IF(G109=4,SUMIF(G116:G120,"&gt;0"),0)</f>
        <v>0</v>
      </c>
      <c r="H152" s="54">
        <f>IF(H109=4,SUMIF(H116:H120,"&gt;0"),0)</f>
        <v>0</v>
      </c>
      <c r="J152" s="59">
        <f>IF(J109=4,SUMIF(J116:J120,"&gt;0"),0)</f>
        <v>0</v>
      </c>
      <c r="K152" s="54">
        <f>IF(K109=4,SUMIF(K116:K120,"&gt;0"),0)</f>
        <v>0</v>
      </c>
      <c r="M152" s="59">
        <f>IF(M109=4,SUMIF(M116:M120,"&gt;0"),0)</f>
        <v>0</v>
      </c>
      <c r="N152" s="54">
        <f>IF(N109=4,SUMIF(N116:N120,"&gt;0"),0)</f>
        <v>0</v>
      </c>
      <c r="P152" s="59">
        <f>IF(P109=4,SUMIF(P116:P120,"&gt;0"),0)</f>
        <v>0</v>
      </c>
      <c r="Q152" s="54">
        <f>IF(Q109=4,SUMIF(Q116:Q120,"&gt;0"),0)</f>
        <v>1</v>
      </c>
      <c r="S152" s="59">
        <f>IF(S109=4,SUMIF(S116:S120,"&gt;0"),0)</f>
        <v>0</v>
      </c>
      <c r="T152" s="54">
        <f>IF(T109=4,SUMIF(T116:T120,"&gt;0"),0)</f>
        <v>0</v>
      </c>
      <c r="V152" s="59">
        <f>IF(V109=4,SUMIF(V116:V120,"&gt;0"),0)</f>
        <v>0</v>
      </c>
      <c r="W152" s="54">
        <f>IF(W109=4,SUMIF(W116:W120,"&gt;0"),0)</f>
        <v>0</v>
      </c>
      <c r="Y152" s="59">
        <f>IF(Y109=4,SUMIF(Y116:Y120,"&gt;0"),0)</f>
        <v>0</v>
      </c>
      <c r="Z152" s="54">
        <f>IF(Z109=4,SUMIF(Z116:Z120,"&gt;0"),0)</f>
        <v>0</v>
      </c>
      <c r="AB152" s="59">
        <f>IF(AB109=4,SUMIF(AB116:AB120,"&gt;0"),0)</f>
        <v>0</v>
      </c>
      <c r="AC152" s="54">
        <f>IF(AC109=4,SUMIF(AC116:AC120,"&gt;0"),0)</f>
        <v>0</v>
      </c>
      <c r="AE152" s="59">
        <f>IF(AE109=4,SUMIF(AE116:AE120,"&gt;0"),0)</f>
        <v>0</v>
      </c>
      <c r="AF152" s="54">
        <f>SUM(B152:AE152)</f>
        <v>1</v>
      </c>
      <c r="AG152" s="54">
        <f>AF160-AF152</f>
        <v>7</v>
      </c>
      <c r="AW152" s="57"/>
    </row>
    <row r="153" spans="1:49" s="54" customFormat="1" ht="12.75" hidden="1" customHeight="1" x14ac:dyDescent="0.2">
      <c r="A153" s="54" t="s">
        <v>99</v>
      </c>
      <c r="B153" s="54">
        <f>IF(B109=5,SUMIF(B116:B120,"&gt;0"),0)</f>
        <v>0</v>
      </c>
      <c r="D153" s="59">
        <f>IF(D109=5,SUMIF(D116:D120,"&gt;0"),0)</f>
        <v>1</v>
      </c>
      <c r="E153" s="54">
        <f>IF(E109=5,SUMIF(E116:E120,"&gt;0"),0)</f>
        <v>0</v>
      </c>
      <c r="G153" s="59">
        <f>IF(G109=5,SUMIF(G116:G120,"&gt;0"),0)</f>
        <v>0</v>
      </c>
      <c r="H153" s="54">
        <f>IF(H109=5,SUMIF(H116:H120,"&gt;0"),0)</f>
        <v>0</v>
      </c>
      <c r="J153" s="59">
        <f>IF(J109=5,SUMIF(J116:J120,"&gt;0"),0)</f>
        <v>2</v>
      </c>
      <c r="K153" s="54">
        <f>IF(K109=5,SUMIF(K116:K120,"&gt;0"),0)</f>
        <v>0</v>
      </c>
      <c r="M153" s="59">
        <f>IF(M109=5,SUMIF(M116:M120,"&gt;0"),0)</f>
        <v>0</v>
      </c>
      <c r="N153" s="54">
        <f>IF(N109=5,SUMIF(N116:N120,"&gt;0"),0)</f>
        <v>0</v>
      </c>
      <c r="P153" s="59">
        <f>IF(P109=5,SUMIF(P116:P120,"&gt;0"),0)</f>
        <v>0</v>
      </c>
      <c r="Q153" s="54">
        <f>IF(Q109=5,SUMIF(Q116:Q120,"&gt;0"),0)</f>
        <v>0</v>
      </c>
      <c r="S153" s="59">
        <f>IF(S109=5,SUMIF(S116:S120,"&gt;0"),0)</f>
        <v>1</v>
      </c>
      <c r="T153" s="54">
        <f>IF(T109=5,SUMIF(T116:T120,"&gt;0"),0)</f>
        <v>0</v>
      </c>
      <c r="V153" s="59">
        <f>IF(V109=5,SUMIF(V116:V120,"&gt;0"),0)</f>
        <v>0</v>
      </c>
      <c r="W153" s="54">
        <f>IF(W109=5,SUMIF(W116:W120,"&gt;0"),0)</f>
        <v>0</v>
      </c>
      <c r="Y153" s="59">
        <f>IF(Y109=5,SUMIF(Y116:Y120,"&gt;0"),0)</f>
        <v>0</v>
      </c>
      <c r="Z153" s="54">
        <f>IF(Z109=5,SUMIF(Z116:Z120,"&gt;0"),0)</f>
        <v>0</v>
      </c>
      <c r="AB153" s="59">
        <f>IF(AB109=5,SUMIF(AB116:AB120,"&gt;0"),0)</f>
        <v>0</v>
      </c>
      <c r="AC153" s="54">
        <f>IF(AC109=5,SUMIF(AC116:AC120,"&gt;0"),0)</f>
        <v>0</v>
      </c>
      <c r="AE153" s="59">
        <f>IF(AE109=5,SUMIF(AE116:AE120,"&gt;0"),0)</f>
        <v>0</v>
      </c>
      <c r="AF153" s="54">
        <f>SUM(B153:AE153)</f>
        <v>4</v>
      </c>
      <c r="AG153" s="54">
        <f>AF161-AF153</f>
        <v>4</v>
      </c>
      <c r="AW153" s="57"/>
    </row>
    <row r="154" spans="1:49" s="54" customFormat="1" ht="12.75" hidden="1" customHeight="1" x14ac:dyDescent="0.2">
      <c r="D154" s="59"/>
      <c r="G154" s="59"/>
      <c r="J154" s="59"/>
      <c r="M154" s="59"/>
      <c r="P154" s="59"/>
      <c r="S154" s="59"/>
      <c r="V154" s="59"/>
      <c r="Y154" s="59"/>
      <c r="AB154" s="59"/>
      <c r="AE154" s="59"/>
      <c r="AW154" s="57"/>
    </row>
    <row r="155" spans="1:49" s="54" customFormat="1" ht="12.75" hidden="1" customHeight="1" x14ac:dyDescent="0.2">
      <c r="D155" s="59"/>
      <c r="G155" s="59"/>
      <c r="J155" s="59"/>
      <c r="M155" s="59"/>
      <c r="P155" s="59"/>
      <c r="S155" s="59"/>
      <c r="V155" s="59"/>
      <c r="Y155" s="59"/>
      <c r="AB155" s="59"/>
      <c r="AE155" s="59"/>
      <c r="AW155" s="57"/>
    </row>
    <row r="156" spans="1:49" s="54" customFormat="1" ht="51" hidden="1" customHeight="1" x14ac:dyDescent="0.2">
      <c r="A156" s="58" t="s">
        <v>110</v>
      </c>
      <c r="C156" s="54">
        <f>SUMIF(B149:D153,"&gt;0")</f>
        <v>2</v>
      </c>
      <c r="D156" s="59"/>
      <c r="F156" s="54">
        <f>SUMIF(E149:G153,"&gt;0")</f>
        <v>2</v>
      </c>
      <c r="G156" s="59"/>
      <c r="I156" s="54">
        <f>SUMIF(H149:J153,"&gt;0")</f>
        <v>2</v>
      </c>
      <c r="J156" s="59"/>
      <c r="L156" s="54">
        <f>SUMIF(K149:M153,"&gt;0")</f>
        <v>2</v>
      </c>
      <c r="M156" s="59"/>
      <c r="O156" s="54">
        <f>SUMIF(N149:P153,"&gt;0")</f>
        <v>2</v>
      </c>
      <c r="P156" s="59"/>
      <c r="R156" s="54">
        <f>SUMIF(Q149:S153,"&gt;0")</f>
        <v>2</v>
      </c>
      <c r="S156" s="59"/>
      <c r="U156" s="54">
        <f>SUMIF(T149:V153,"&gt;0")</f>
        <v>2</v>
      </c>
      <c r="V156" s="59"/>
      <c r="X156" s="54">
        <f>SUMIF(W149:Y153,"&gt;0")</f>
        <v>2</v>
      </c>
      <c r="Y156" s="59"/>
      <c r="AA156" s="54">
        <f>SUMIF(Z149:AB153,"&gt;0")</f>
        <v>2</v>
      </c>
      <c r="AB156" s="59"/>
      <c r="AD156" s="54">
        <f>SUMIF(AC149:AE153,"&gt;0")</f>
        <v>2</v>
      </c>
      <c r="AE156" s="59"/>
      <c r="AF156" s="58" t="s">
        <v>111</v>
      </c>
      <c r="AW156" s="57"/>
    </row>
    <row r="157" spans="1:49" s="54" customFormat="1" ht="12.75" hidden="1" customHeight="1" x14ac:dyDescent="0.2">
      <c r="A157" s="54" t="s">
        <v>101</v>
      </c>
      <c r="B157" s="54">
        <f>IF(B109=1,C156,0)</f>
        <v>0</v>
      </c>
      <c r="D157" s="59">
        <f>IF(D109=1,C156,0)</f>
        <v>0</v>
      </c>
      <c r="E157" s="54">
        <f>IF(E109=1,F156,0)</f>
        <v>2</v>
      </c>
      <c r="G157" s="59">
        <f>IF(G109=1,F156,0)</f>
        <v>0</v>
      </c>
      <c r="H157" s="54">
        <f>IF(H109=1,I156,0)</f>
        <v>0</v>
      </c>
      <c r="J157" s="59">
        <f>IF(J109=1,I156,0)</f>
        <v>0</v>
      </c>
      <c r="K157" s="54">
        <f>IF(K109=1,L156,0)</f>
        <v>0</v>
      </c>
      <c r="M157" s="59">
        <f>IF(M109=1,L156,0)</f>
        <v>0</v>
      </c>
      <c r="N157" s="54">
        <f>IF(N109=1,O156,0)</f>
        <v>2</v>
      </c>
      <c r="P157" s="59">
        <f>IF(P109=1,O156,0)</f>
        <v>0</v>
      </c>
      <c r="Q157" s="54">
        <f>IF(Q109=1,R156,0)</f>
        <v>0</v>
      </c>
      <c r="S157" s="59">
        <f>IF(S109=1,R156,0)</f>
        <v>0</v>
      </c>
      <c r="T157" s="54">
        <f>IF(T109=1,U156,0)</f>
        <v>0</v>
      </c>
      <c r="V157" s="59">
        <f>IF(V109=1,U156,0)</f>
        <v>0</v>
      </c>
      <c r="W157" s="54">
        <f>IF(W109=1,X156,0)</f>
        <v>2</v>
      </c>
      <c r="Y157" s="59">
        <f>IF(Y109=1,X156,0)</f>
        <v>0</v>
      </c>
      <c r="Z157" s="54">
        <f>IF(Z109=1,AA156,0)</f>
        <v>0</v>
      </c>
      <c r="AB157" s="59">
        <f>IF(AB109=1,AA156,0)</f>
        <v>0</v>
      </c>
      <c r="AC157" s="54">
        <f>IF(AC109=1,AD156,0)</f>
        <v>2</v>
      </c>
      <c r="AE157" s="59">
        <f>IF(AE109=1,AD156,0)</f>
        <v>0</v>
      </c>
      <c r="AF157" s="54">
        <f>SUM(B157:AE157)</f>
        <v>8</v>
      </c>
      <c r="AW157" s="57"/>
    </row>
    <row r="158" spans="1:49" s="54" customFormat="1" ht="12.75" hidden="1" customHeight="1" x14ac:dyDescent="0.2">
      <c r="A158" s="54" t="s">
        <v>102</v>
      </c>
      <c r="B158" s="54">
        <f>IF(B109=2,C156,0)</f>
        <v>2</v>
      </c>
      <c r="D158" s="59">
        <f>IF(D109=2,C156,0)</f>
        <v>0</v>
      </c>
      <c r="E158" s="54">
        <f>IF(E109=2,F156,0)</f>
        <v>0</v>
      </c>
      <c r="G158" s="59">
        <f>IF(G109=2,F156,0)</f>
        <v>0</v>
      </c>
      <c r="H158" s="54">
        <f>IF(H109=2,I156,0)</f>
        <v>0</v>
      </c>
      <c r="J158" s="59">
        <f>IF(J109=2,I156,0)</f>
        <v>0</v>
      </c>
      <c r="K158" s="54">
        <f>IF(K109=2,L156,0)</f>
        <v>2</v>
      </c>
      <c r="M158" s="59">
        <f>IF(M109=2,L156,0)</f>
        <v>0</v>
      </c>
      <c r="N158" s="54">
        <f>IF(N109=2,O156,0)</f>
        <v>0</v>
      </c>
      <c r="P158" s="59">
        <f>IF(P109=2,O156,0)</f>
        <v>0</v>
      </c>
      <c r="Q158" s="54">
        <f>IF(Q109=2,R156,0)</f>
        <v>0</v>
      </c>
      <c r="S158" s="59">
        <f>IF(S109=2,R156,0)</f>
        <v>0</v>
      </c>
      <c r="T158" s="54">
        <f>IF(T109=2,U156,0)</f>
        <v>2</v>
      </c>
      <c r="V158" s="59">
        <f>IF(V109=2,U156,0)</f>
        <v>0</v>
      </c>
      <c r="W158" s="54">
        <f>IF(W109=2,X156,0)</f>
        <v>0</v>
      </c>
      <c r="Y158" s="59">
        <f>IF(Y109=2,X156,0)</f>
        <v>0</v>
      </c>
      <c r="Z158" s="54">
        <f>IF(Z109=2,AA156,0)</f>
        <v>0</v>
      </c>
      <c r="AB158" s="59">
        <f>IF(AB109=2,AA156,0)</f>
        <v>0</v>
      </c>
      <c r="AC158" s="54">
        <f>IF(AC109=2,AD156,0)</f>
        <v>0</v>
      </c>
      <c r="AE158" s="59">
        <f>IF(AE109=2,AD156,0)</f>
        <v>2</v>
      </c>
      <c r="AF158" s="54">
        <f>SUM(B158:AE158)</f>
        <v>8</v>
      </c>
      <c r="AW158" s="57"/>
    </row>
    <row r="159" spans="1:49" s="54" customFormat="1" ht="12.75" hidden="1" customHeight="1" x14ac:dyDescent="0.2">
      <c r="A159" s="54" t="s">
        <v>103</v>
      </c>
      <c r="B159" s="54">
        <f>IF(B109=3,C156,0)</f>
        <v>0</v>
      </c>
      <c r="D159" s="59">
        <f>IF(D109=3,C156,0)</f>
        <v>0</v>
      </c>
      <c r="E159" s="54">
        <f>IF(E109=3,F156,0)</f>
        <v>0</v>
      </c>
      <c r="G159" s="59">
        <f>IF(G109=3,F156,0)</f>
        <v>0</v>
      </c>
      <c r="H159" s="54">
        <f>IF(H109=3,I156,0)</f>
        <v>2</v>
      </c>
      <c r="J159" s="59">
        <f>IF(J109=3,I156,0)</f>
        <v>0</v>
      </c>
      <c r="K159" s="54">
        <f>IF(K109=3,L156,0)</f>
        <v>0</v>
      </c>
      <c r="M159" s="59">
        <f>IF(M109=3,L156,0)</f>
        <v>0</v>
      </c>
      <c r="N159" s="54">
        <f>IF(N109=3,O156,0)</f>
        <v>0</v>
      </c>
      <c r="P159" s="59">
        <f>IF(P109=3,O156,0)</f>
        <v>2</v>
      </c>
      <c r="Q159" s="54">
        <f>IF(Q109=3,R156,0)</f>
        <v>0</v>
      </c>
      <c r="S159" s="59">
        <f>IF(S109=3,R156,0)</f>
        <v>0</v>
      </c>
      <c r="T159" s="54">
        <f>IF(T109=3,U156,0)</f>
        <v>0</v>
      </c>
      <c r="V159" s="59">
        <f>IF(V109=3,U156,0)</f>
        <v>2</v>
      </c>
      <c r="W159" s="54">
        <f>IF(W109=3,X156,0)</f>
        <v>0</v>
      </c>
      <c r="Y159" s="59">
        <f>IF(Y109=3,X156,0)</f>
        <v>0</v>
      </c>
      <c r="Z159" s="54">
        <f>IF(Z109=3,AA156,0)</f>
        <v>2</v>
      </c>
      <c r="AB159" s="59">
        <f>IF(AB109=3,AA156,0)</f>
        <v>0</v>
      </c>
      <c r="AC159" s="54">
        <f>IF(AC109=3,AD156,0)</f>
        <v>0</v>
      </c>
      <c r="AE159" s="59">
        <f>IF(AE109=3,AD156,0)</f>
        <v>0</v>
      </c>
      <c r="AF159" s="54">
        <f>SUM(B159:AE159)</f>
        <v>8</v>
      </c>
      <c r="AW159" s="57"/>
    </row>
    <row r="160" spans="1:49" s="54" customFormat="1" ht="12.75" hidden="1" customHeight="1" x14ac:dyDescent="0.2">
      <c r="A160" s="54" t="s">
        <v>104</v>
      </c>
      <c r="B160" s="54">
        <f>IF(B109=4,C156,0)</f>
        <v>0</v>
      </c>
      <c r="D160" s="59">
        <f>IF(D109=4,C156,0)</f>
        <v>0</v>
      </c>
      <c r="E160" s="54">
        <f>IF(E109=4,F156,0)</f>
        <v>0</v>
      </c>
      <c r="G160" s="59">
        <f>IF(G109=4,F156,0)</f>
        <v>2</v>
      </c>
      <c r="H160" s="54">
        <f>IF(H109=4,I156,0)</f>
        <v>0</v>
      </c>
      <c r="J160" s="59">
        <f>IF(J109=4,I156,0)</f>
        <v>0</v>
      </c>
      <c r="K160" s="54">
        <f>IF(K109=4,L156,0)</f>
        <v>0</v>
      </c>
      <c r="M160" s="59">
        <f>IF(M109=4,L156,0)</f>
        <v>2</v>
      </c>
      <c r="N160" s="54">
        <f>IF(N109=4,O156,0)</f>
        <v>0</v>
      </c>
      <c r="P160" s="59">
        <f>IF(P109=4,O156,0)</f>
        <v>0</v>
      </c>
      <c r="Q160" s="54">
        <f>IF(Q109=4,R156,0)</f>
        <v>2</v>
      </c>
      <c r="S160" s="59">
        <f>IF(S109=4,R156,0)</f>
        <v>0</v>
      </c>
      <c r="T160" s="54">
        <f>IF(T109=4,U156,0)</f>
        <v>0</v>
      </c>
      <c r="V160" s="59">
        <f>IF(V109=4,U156,0)</f>
        <v>0</v>
      </c>
      <c r="W160" s="54">
        <f>IF(W109=4,X156,0)</f>
        <v>0</v>
      </c>
      <c r="Y160" s="59">
        <f>IF(Y109=4,X156,0)</f>
        <v>0</v>
      </c>
      <c r="Z160" s="54">
        <f>IF(Z109=4,AA156,0)</f>
        <v>0</v>
      </c>
      <c r="AB160" s="59">
        <f>IF(AB109=4,AA156,0)</f>
        <v>2</v>
      </c>
      <c r="AC160" s="54">
        <f>IF(AC109=4,AD156,0)</f>
        <v>0</v>
      </c>
      <c r="AE160" s="59">
        <f>IF(AE109=4,AD156,0)</f>
        <v>0</v>
      </c>
      <c r="AF160" s="54">
        <f>SUM(B160:AE160)</f>
        <v>8</v>
      </c>
      <c r="AW160" s="57"/>
    </row>
    <row r="161" spans="1:54" s="54" customFormat="1" ht="12.75" hidden="1" customHeight="1" x14ac:dyDescent="0.2">
      <c r="A161" s="54" t="s">
        <v>105</v>
      </c>
      <c r="B161" s="54">
        <f>IF(B109=5,C156,0)</f>
        <v>0</v>
      </c>
      <c r="D161" s="59">
        <f>IF(D109=5,C156,0)</f>
        <v>2</v>
      </c>
      <c r="E161" s="54">
        <f>IF(E109=5,F156,0)</f>
        <v>0</v>
      </c>
      <c r="G161" s="59">
        <f>IF(G109=5,F156,0)</f>
        <v>0</v>
      </c>
      <c r="H161" s="54">
        <f>IF(H109=5,I156,0)</f>
        <v>0</v>
      </c>
      <c r="J161" s="59">
        <f>IF(J109=5,I156,0)</f>
        <v>2</v>
      </c>
      <c r="K161" s="54">
        <f>IF(K109=5,L156,0)</f>
        <v>0</v>
      </c>
      <c r="M161" s="59">
        <f>IF(M109=5,L156,0)</f>
        <v>0</v>
      </c>
      <c r="N161" s="54">
        <f>IF(N109=5,O156,0)</f>
        <v>0</v>
      </c>
      <c r="P161" s="59">
        <f>IF(P109=5,O156,0)</f>
        <v>0</v>
      </c>
      <c r="Q161" s="54">
        <f>IF(Q109=5,R156,0)</f>
        <v>0</v>
      </c>
      <c r="S161" s="59">
        <f>IF(S109=5,R156,0)</f>
        <v>2</v>
      </c>
      <c r="T161" s="54">
        <f>IF(T109=5,U156,0)</f>
        <v>0</v>
      </c>
      <c r="V161" s="59">
        <f>IF(V109=5,U156,0)</f>
        <v>0</v>
      </c>
      <c r="W161" s="54">
        <f>IF(W109=5,X156,0)</f>
        <v>0</v>
      </c>
      <c r="Y161" s="59">
        <f>IF(Y109=5,X156,0)</f>
        <v>2</v>
      </c>
      <c r="Z161" s="54">
        <f>IF(Z109=5,AA156,0)</f>
        <v>0</v>
      </c>
      <c r="AB161" s="59">
        <f>IF(AB109=5,AA156,0)</f>
        <v>0</v>
      </c>
      <c r="AC161" s="54">
        <f>IF(AC109=5,AD156,0)</f>
        <v>0</v>
      </c>
      <c r="AE161" s="59">
        <f>IF(AE109=5,AD156,0)</f>
        <v>0</v>
      </c>
      <c r="AF161" s="54">
        <f>SUM(B161:AE161)</f>
        <v>8</v>
      </c>
      <c r="AW161" s="57"/>
    </row>
    <row r="162" spans="1:54" hidden="1" x14ac:dyDescent="0.2">
      <c r="A162" s="79"/>
      <c r="B162" s="79"/>
      <c r="C162" s="79"/>
      <c r="D162" s="79"/>
      <c r="E162" s="79"/>
      <c r="F162" s="79"/>
      <c r="G162" s="79"/>
      <c r="H162" s="79"/>
      <c r="I162" s="79"/>
      <c r="J162" s="79"/>
      <c r="K162" s="79"/>
      <c r="L162" s="79"/>
      <c r="M162" s="79"/>
      <c r="N162" s="79"/>
      <c r="O162" s="79"/>
      <c r="P162" s="79"/>
      <c r="Q162" s="79"/>
      <c r="R162" s="79"/>
      <c r="S162" s="79"/>
      <c r="T162" s="79"/>
      <c r="U162" s="79"/>
      <c r="V162" s="79"/>
      <c r="W162" s="79"/>
      <c r="X162" s="79"/>
      <c r="Y162" s="79"/>
      <c r="Z162" s="79"/>
      <c r="AA162" s="79"/>
      <c r="AB162" s="79"/>
      <c r="AC162" s="79"/>
      <c r="AD162" s="79"/>
      <c r="AE162" s="79"/>
      <c r="AF162" s="79"/>
      <c r="AG162" s="79"/>
      <c r="AH162" s="79"/>
      <c r="AI162" s="79"/>
      <c r="AJ162" s="79"/>
      <c r="AK162" s="79"/>
      <c r="AL162" s="79"/>
      <c r="AM162" s="79"/>
      <c r="AN162" s="80"/>
      <c r="AO162" s="80"/>
      <c r="AP162" s="80"/>
      <c r="AQ162" s="80"/>
      <c r="AR162" s="62"/>
      <c r="AS162" s="62"/>
      <c r="AT162" s="62"/>
      <c r="AU162" s="62"/>
      <c r="AV162" s="62"/>
      <c r="BB162" s="129"/>
    </row>
    <row r="163" spans="1:54" s="62" customFormat="1" hidden="1" x14ac:dyDescent="0.2">
      <c r="A163" s="63"/>
      <c r="B163" s="63"/>
      <c r="C163" s="63" t="s">
        <v>112</v>
      </c>
      <c r="D163" s="63">
        <v>1</v>
      </c>
      <c r="E163" s="63"/>
      <c r="F163" s="63"/>
      <c r="G163" s="63">
        <v>2</v>
      </c>
      <c r="H163" s="63"/>
      <c r="I163" s="63"/>
      <c r="J163" s="63">
        <v>3</v>
      </c>
      <c r="K163" s="63"/>
      <c r="L163" s="63"/>
      <c r="M163" s="63">
        <v>4</v>
      </c>
      <c r="N163" s="63"/>
      <c r="O163" s="63"/>
      <c r="P163" s="63">
        <v>5</v>
      </c>
      <c r="Q163" s="63"/>
      <c r="R163" s="63"/>
      <c r="S163" s="63">
        <v>6</v>
      </c>
      <c r="T163" s="63"/>
      <c r="U163" s="63"/>
      <c r="V163" s="63">
        <v>7</v>
      </c>
      <c r="W163" s="63"/>
      <c r="X163" s="63"/>
      <c r="Y163" s="63">
        <v>8</v>
      </c>
      <c r="Z163" s="63"/>
      <c r="AA163" s="63"/>
      <c r="AB163" s="63">
        <v>9</v>
      </c>
      <c r="AC163" s="63"/>
      <c r="AD163" s="63"/>
      <c r="AE163" s="63">
        <v>10</v>
      </c>
      <c r="AF163" s="4"/>
      <c r="AG163" s="63"/>
      <c r="AI163" s="64"/>
      <c r="AJ163" s="4"/>
      <c r="AK163" s="4"/>
      <c r="AL163" s="4"/>
      <c r="AM163" s="4"/>
      <c r="AN163" s="4"/>
      <c r="AO163" s="4"/>
      <c r="AT163" s="64" t="s">
        <v>113</v>
      </c>
      <c r="AW163" s="65"/>
      <c r="BB163" s="65"/>
    </row>
    <row r="164" spans="1:54" s="62" customFormat="1" hidden="1" x14ac:dyDescent="0.2">
      <c r="A164" s="66">
        <v>1</v>
      </c>
      <c r="B164" s="66" t="str">
        <f>E93</f>
        <v>TLVC 14 Gray</v>
      </c>
      <c r="C164" s="66">
        <f>VLOOKUP(B164,AU$3:AY$12,3,FALSE)</f>
        <v>1800</v>
      </c>
      <c r="D164" s="66">
        <f>IF(B157,B172,IF(D157,D172,C164))</f>
        <v>1800</v>
      </c>
      <c r="E164" s="66"/>
      <c r="F164" s="66"/>
      <c r="G164" s="66">
        <f>IF(E157,E172,IF(G157,G172,D164))</f>
        <v>1832</v>
      </c>
      <c r="H164" s="66"/>
      <c r="I164" s="66"/>
      <c r="J164" s="66">
        <f>IF(H157,H172,IF(J157,J172,G164))</f>
        <v>1832</v>
      </c>
      <c r="K164" s="66"/>
      <c r="L164" s="66"/>
      <c r="M164" s="66">
        <f>IF(K157,K172,IF(M157,M172,J164))</f>
        <v>1832</v>
      </c>
      <c r="N164" s="66"/>
      <c r="O164" s="66"/>
      <c r="P164" s="66">
        <f>IF(N157,N172,IF(P157,P172,M164))</f>
        <v>1849.2661727135978</v>
      </c>
      <c r="Q164" s="66"/>
      <c r="R164" s="66"/>
      <c r="S164" s="66">
        <f>IF(Q157,Q172,IF(S157,S172,P164))</f>
        <v>1849.2661727135978</v>
      </c>
      <c r="T164" s="66"/>
      <c r="U164" s="66"/>
      <c r="V164" s="66">
        <f>IF(T157,T172,IF(V157,V172,S164))</f>
        <v>1849.2661727135978</v>
      </c>
      <c r="W164" s="66"/>
      <c r="X164" s="66"/>
      <c r="Y164" s="66">
        <f>IF(W157,W172,IF(Y157,Y172,V164))</f>
        <v>1865.9421637355424</v>
      </c>
      <c r="Z164" s="66"/>
      <c r="AA164" s="66"/>
      <c r="AB164" s="66">
        <f>IF(Z157,Z172,IF(AB157,AB172,Y164))</f>
        <v>1865.9421637355424</v>
      </c>
      <c r="AC164" s="66"/>
      <c r="AD164" s="66"/>
      <c r="AE164" s="66">
        <f>IF(AC157,AC172,IF(AE157,AE172,AB164))</f>
        <v>1889.1215582371156</v>
      </c>
      <c r="AF164" s="4"/>
      <c r="AG164" s="4"/>
      <c r="AJ164" s="4"/>
      <c r="AK164" s="4"/>
      <c r="AL164" s="4"/>
      <c r="AM164" s="4"/>
      <c r="AN164" s="4"/>
      <c r="AO164" s="4"/>
      <c r="AT164" s="62" t="str">
        <f>B164</f>
        <v>TLVC 14 Gray</v>
      </c>
      <c r="AU164" s="62">
        <f>AE164</f>
        <v>1889.1215582371156</v>
      </c>
      <c r="AW164" s="65"/>
      <c r="BB164" s="65"/>
    </row>
    <row r="165" spans="1:54" s="62" customFormat="1" hidden="1" x14ac:dyDescent="0.2">
      <c r="A165" s="66">
        <v>2</v>
      </c>
      <c r="B165" s="66" t="str">
        <f>E95</f>
        <v>Magnum Greenwood 14 Purpl</v>
      </c>
      <c r="C165" s="66">
        <f>VLOOKUP(B165,AU$3:AY$12,3,FALSE)</f>
        <v>1800</v>
      </c>
      <c r="D165" s="66">
        <f>IF(B158,B172,IF(D158,D172,C165))</f>
        <v>1783.7894330123265</v>
      </c>
      <c r="E165" s="66"/>
      <c r="F165" s="66"/>
      <c r="G165" s="66">
        <f>IF(E158,E172,IF(G158,G172,D165))</f>
        <v>1783.7894330123265</v>
      </c>
      <c r="H165" s="66"/>
      <c r="I165" s="66"/>
      <c r="J165" s="66">
        <f>IF(H158,H172,IF(J158,J172,G165))</f>
        <v>1783.7894330123265</v>
      </c>
      <c r="K165" s="66"/>
      <c r="L165" s="66"/>
      <c r="M165" s="66">
        <f>IF(K158,K172,IF(M158,M172,J165))</f>
        <v>1814.3361728271746</v>
      </c>
      <c r="N165" s="66"/>
      <c r="O165" s="66"/>
      <c r="P165" s="66">
        <f>IF(N158,N172,IF(P158,P172,M165))</f>
        <v>1814.3361728271746</v>
      </c>
      <c r="Q165" s="66"/>
      <c r="R165" s="66"/>
      <c r="S165" s="66">
        <f>IF(Q158,Q172,IF(S158,S172,P165))</f>
        <v>1814.3361728271746</v>
      </c>
      <c r="T165" s="66"/>
      <c r="U165" s="66"/>
      <c r="V165" s="66">
        <f>IF(T158,T172,IF(V158,V172,S165))</f>
        <v>1767.6312215882397</v>
      </c>
      <c r="W165" s="66"/>
      <c r="X165" s="66"/>
      <c r="Y165" s="66">
        <f>IF(W158,W172,IF(Y158,Y172,V165))</f>
        <v>1767.6312215882397</v>
      </c>
      <c r="Z165" s="66"/>
      <c r="AA165" s="66"/>
      <c r="AB165" s="66">
        <f>IF(Z158,Z172,IF(AB158,AB172,Y165))</f>
        <v>1767.6312215882397</v>
      </c>
      <c r="AC165" s="66"/>
      <c r="AD165" s="66"/>
      <c r="AE165" s="66">
        <f>IF(AC158,AC172,IF(AE158,AE172,AB165))</f>
        <v>1744.4518270866665</v>
      </c>
      <c r="AF165" s="4"/>
      <c r="AG165" s="4"/>
      <c r="AJ165" s="4"/>
      <c r="AL165" s="4"/>
      <c r="AM165" s="4"/>
      <c r="AN165" s="4"/>
      <c r="AO165" s="4"/>
      <c r="AT165" s="62" t="str">
        <f>B165</f>
        <v>Magnum Greenwood 14 Purpl</v>
      </c>
      <c r="AU165" s="62">
        <f>AE165</f>
        <v>1744.4518270866665</v>
      </c>
      <c r="AW165" s="65"/>
      <c r="BB165" s="65"/>
    </row>
    <row r="166" spans="1:54" s="62" customFormat="1" hidden="1" x14ac:dyDescent="0.2">
      <c r="A166" s="66">
        <v>3</v>
      </c>
      <c r="B166" s="66" t="str">
        <f>E97</f>
        <v>RHVC 14 Club Hunter</v>
      </c>
      <c r="C166" s="66">
        <f>VLOOKUP(B166,AU$3:AY$12,3,FALSE)</f>
        <v>1697.8792064296672</v>
      </c>
      <c r="D166" s="66">
        <f>IF(B159,B172,IF(D159,D172,C166))</f>
        <v>1697.8792064296672</v>
      </c>
      <c r="E166" s="66"/>
      <c r="F166" s="66"/>
      <c r="G166" s="66">
        <f>IF(E159,E172,IF(G159,G172,D166))</f>
        <v>1697.8792064296672</v>
      </c>
      <c r="H166" s="66"/>
      <c r="I166" s="66"/>
      <c r="J166" s="66">
        <f>IF(H159,H172,IF(J159,J172,G166))</f>
        <v>1659.0258926546894</v>
      </c>
      <c r="K166" s="66"/>
      <c r="L166" s="66"/>
      <c r="M166" s="66">
        <f>IF(K159,K172,IF(M159,M172,J166))</f>
        <v>1659.0258926546894</v>
      </c>
      <c r="N166" s="66"/>
      <c r="O166" s="66"/>
      <c r="P166" s="66">
        <f>IF(N159,N172,IF(P159,P172,M166))</f>
        <v>1641.7597199410916</v>
      </c>
      <c r="Q166" s="66"/>
      <c r="R166" s="66"/>
      <c r="S166" s="66">
        <f>IF(Q159,Q172,IF(S159,S172,P166))</f>
        <v>1641.7597199410916</v>
      </c>
      <c r="T166" s="66"/>
      <c r="U166" s="66"/>
      <c r="V166" s="66">
        <f>IF(T159,T172,IF(V159,V172,S166))</f>
        <v>1688.4646711800265</v>
      </c>
      <c r="W166" s="66"/>
      <c r="X166" s="66"/>
      <c r="Y166" s="66">
        <f>IF(W159,W172,IF(Y159,Y172,V166))</f>
        <v>1688.4646711800265</v>
      </c>
      <c r="Z166" s="66"/>
      <c r="AA166" s="66"/>
      <c r="AB166" s="66">
        <f>IF(Z159,Z172,IF(AB159,AB172,Y166))</f>
        <v>1724.3208126650675</v>
      </c>
      <c r="AC166" s="66"/>
      <c r="AD166" s="66"/>
      <c r="AE166" s="66">
        <f>IF(AC159,AC172,IF(AE159,AE172,AB166))</f>
        <v>1724.3208126650675</v>
      </c>
      <c r="AF166" s="4"/>
      <c r="AG166" s="4"/>
      <c r="AJ166" s="4"/>
      <c r="AL166" s="4"/>
      <c r="AM166" s="4"/>
      <c r="AN166" s="4"/>
      <c r="AO166" s="4"/>
      <c r="AT166" s="62" t="str">
        <f>B166</f>
        <v>RHVC 14 Club Hunter</v>
      </c>
      <c r="AU166" s="62">
        <f>AE166</f>
        <v>1724.3208126650675</v>
      </c>
      <c r="AW166" s="65"/>
      <c r="BB166" s="65"/>
    </row>
    <row r="167" spans="1:54" s="62" customFormat="1" hidden="1" x14ac:dyDescent="0.2">
      <c r="A167" s="66">
        <v>4</v>
      </c>
      <c r="B167" s="66" t="str">
        <f>E99</f>
        <v>Magnum Gilbert 14 Gray</v>
      </c>
      <c r="C167" s="66">
        <f>VLOOKUP(B167,AU$3:AY$12,3,FALSE)</f>
        <v>1800</v>
      </c>
      <c r="D167" s="66">
        <f>IF(B160,B172,IF(D160,D172,C167))</f>
        <v>1800</v>
      </c>
      <c r="E167" s="66"/>
      <c r="F167" s="66"/>
      <c r="G167" s="66">
        <f>IF(E160,E172,IF(G160,G172,D167))</f>
        <v>1768</v>
      </c>
      <c r="H167" s="66"/>
      <c r="I167" s="66"/>
      <c r="J167" s="66">
        <f>IF(H160,H172,IF(J160,J172,G167))</f>
        <v>1768</v>
      </c>
      <c r="K167" s="66"/>
      <c r="L167" s="66"/>
      <c r="M167" s="66">
        <f>IF(K160,K172,IF(M160,M172,J167))</f>
        <v>1737.453260185152</v>
      </c>
      <c r="N167" s="66"/>
      <c r="O167" s="66"/>
      <c r="P167" s="66">
        <f>IF(N160,N172,IF(P160,P172,M167))</f>
        <v>1737.453260185152</v>
      </c>
      <c r="Q167" s="66"/>
      <c r="R167" s="66"/>
      <c r="S167" s="66">
        <f>IF(Q160,Q172,IF(S160,S172,P167))</f>
        <v>1730.5366368002185</v>
      </c>
      <c r="T167" s="66"/>
      <c r="U167" s="66"/>
      <c r="V167" s="66">
        <f>IF(T160,T172,IF(V160,V172,S167))</f>
        <v>1730.5366368002185</v>
      </c>
      <c r="W167" s="66"/>
      <c r="X167" s="66"/>
      <c r="Y167" s="66">
        <f>IF(W160,W172,IF(Y160,Y172,V167))</f>
        <v>1730.5366368002185</v>
      </c>
      <c r="Z167" s="66"/>
      <c r="AA167" s="66"/>
      <c r="AB167" s="66">
        <f>IF(Z160,Z172,IF(AB160,AB172,Y167))</f>
        <v>1694.6804953151775</v>
      </c>
      <c r="AC167" s="66"/>
      <c r="AD167" s="66"/>
      <c r="AE167" s="66">
        <f>IF(AC160,AC172,IF(AE160,AE172,AB167))</f>
        <v>1694.6804953151775</v>
      </c>
      <c r="AF167" s="4"/>
      <c r="AG167" s="4"/>
      <c r="AJ167" s="4"/>
      <c r="AL167" s="4"/>
      <c r="AM167" s="4"/>
      <c r="AN167" s="4"/>
      <c r="AO167" s="4"/>
      <c r="AT167" s="62" t="str">
        <f>B167</f>
        <v>Magnum Gilbert 14 Gray</v>
      </c>
      <c r="AU167" s="62">
        <f>AE167</f>
        <v>1694.6804953151775</v>
      </c>
      <c r="AW167" s="65"/>
      <c r="BB167" s="65"/>
    </row>
    <row r="168" spans="1:54" s="62" customFormat="1" hidden="1" x14ac:dyDescent="0.2">
      <c r="A168" s="66">
        <v>5</v>
      </c>
      <c r="B168" s="66" t="str">
        <f>E101</f>
        <v>Intense 14 Region Elite</v>
      </c>
      <c r="C168" s="66">
        <f>VLOOKUP(B168,AU$3:AY$12,3,FALSE)</f>
        <v>1606.0897183893037</v>
      </c>
      <c r="D168" s="66">
        <f>IF(B161,B172,IF(D161,D172,C168))</f>
        <v>1622.3002853769772</v>
      </c>
      <c r="E168" s="66"/>
      <c r="F168" s="66"/>
      <c r="G168" s="66">
        <f>IF(E161,E172,IF(G161,G172,D168))</f>
        <v>1622.3002853769772</v>
      </c>
      <c r="H168" s="66"/>
      <c r="I168" s="66"/>
      <c r="J168" s="66">
        <f>IF(H161,H172,IF(J161,J172,G168))</f>
        <v>1661.1535991519549</v>
      </c>
      <c r="K168" s="66"/>
      <c r="L168" s="66"/>
      <c r="M168" s="66">
        <f>IF(K161,K172,IF(M161,M172,J168))</f>
        <v>1661.1535991519549</v>
      </c>
      <c r="N168" s="66"/>
      <c r="O168" s="66"/>
      <c r="P168" s="66">
        <f>IF(N161,N172,IF(P161,P172,M168))</f>
        <v>1661.1535991519549</v>
      </c>
      <c r="Q168" s="66"/>
      <c r="R168" s="66"/>
      <c r="S168" s="66">
        <f>IF(Q161,Q172,IF(S161,S172,P168))</f>
        <v>1668.0702225368884</v>
      </c>
      <c r="T168" s="66"/>
      <c r="U168" s="66"/>
      <c r="V168" s="66">
        <f>IF(T161,T172,IF(V161,V172,S168))</f>
        <v>1668.0702225368884</v>
      </c>
      <c r="W168" s="66"/>
      <c r="X168" s="66"/>
      <c r="Y168" s="66">
        <f>IF(W161,W172,IF(Y161,Y172,V168))</f>
        <v>1651.3942315149438</v>
      </c>
      <c r="Z168" s="66"/>
      <c r="AA168" s="66"/>
      <c r="AB168" s="66">
        <f>IF(Z161,Z172,IF(AB161,AB172,Y168))</f>
        <v>1651.3942315149438</v>
      </c>
      <c r="AC168" s="66"/>
      <c r="AD168" s="66"/>
      <c r="AE168" s="66">
        <f>IF(AC161,AC172,IF(AE161,AE172,AB168))</f>
        <v>1651.3942315149438</v>
      </c>
      <c r="AF168" s="4"/>
      <c r="AG168" s="4"/>
      <c r="AJ168" s="4"/>
      <c r="AL168" s="4"/>
      <c r="AM168" s="4"/>
      <c r="AN168" s="4"/>
      <c r="AO168" s="4"/>
      <c r="AT168" s="62" t="str">
        <f>B168</f>
        <v>Intense 14 Region Elite</v>
      </c>
      <c r="AU168" s="62">
        <f>AE168</f>
        <v>1651.3942315149438</v>
      </c>
      <c r="AW168" s="65"/>
      <c r="BB168" s="65"/>
    </row>
    <row r="169" spans="1:54" s="62" customFormat="1" hidden="1" x14ac:dyDescent="0.2">
      <c r="A169" s="66"/>
      <c r="B169" s="66"/>
      <c r="C169" s="66"/>
      <c r="D169" s="66"/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66"/>
      <c r="AE169" s="66"/>
      <c r="AF169" s="4"/>
      <c r="AG169" s="4"/>
      <c r="AJ169" s="4"/>
      <c r="AL169" s="4"/>
      <c r="AM169" s="4"/>
      <c r="AN169" s="4"/>
      <c r="AO169" s="4"/>
      <c r="AW169" s="65"/>
      <c r="BB169" s="65"/>
    </row>
    <row r="170" spans="1:54" s="62" customFormat="1" hidden="1" x14ac:dyDescent="0.2">
      <c r="A170" s="66" t="s">
        <v>114</v>
      </c>
      <c r="B170" s="66">
        <f>VLOOKUP(B109,$A164:$AE168,3,FALSE)</f>
        <v>1800</v>
      </c>
      <c r="C170" s="66">
        <v>1</v>
      </c>
      <c r="D170" s="66">
        <f>VLOOKUP(D109,$A164:$AE168,3,FALSE)</f>
        <v>1606.0897183893037</v>
      </c>
      <c r="E170" s="66">
        <f>VLOOKUP(E109,$A164:$AE168,4,FALSE)</f>
        <v>1800</v>
      </c>
      <c r="F170" s="66">
        <v>2</v>
      </c>
      <c r="G170" s="66">
        <f>VLOOKUP(G109,$A164:$AE168,4,FALSE)</f>
        <v>1800</v>
      </c>
      <c r="H170" s="66">
        <f>VLOOKUP(H109,$A164:$AE168,7,FALSE)</f>
        <v>1697.8792064296672</v>
      </c>
      <c r="I170" s="66">
        <v>3</v>
      </c>
      <c r="J170" s="66">
        <f>VLOOKUP(J109,$A164:$AE168,7,FALSE)</f>
        <v>1622.3002853769772</v>
      </c>
      <c r="K170" s="66">
        <f>VLOOKUP(K109,$A164:$AE168,10,FALSE)</f>
        <v>1783.7894330123265</v>
      </c>
      <c r="L170" s="66">
        <v>4</v>
      </c>
      <c r="M170" s="66">
        <f>VLOOKUP(M109,$A164:$AE168,10,FALSE)</f>
        <v>1768</v>
      </c>
      <c r="N170" s="66">
        <f>VLOOKUP(N109,$A164:$AE168,13,FALSE)</f>
        <v>1832</v>
      </c>
      <c r="O170" s="66">
        <v>5</v>
      </c>
      <c r="P170" s="66">
        <f>VLOOKUP(P109,$A164:$AE168,13,FALSE)</f>
        <v>1659.0258926546894</v>
      </c>
      <c r="Q170" s="66">
        <f>VLOOKUP(Q109,$A164:$AE168,16,FALSE)</f>
        <v>1737.453260185152</v>
      </c>
      <c r="R170" s="66">
        <v>6</v>
      </c>
      <c r="S170" s="66">
        <f>VLOOKUP(S109,$A164:$AE168,16,FALSE)</f>
        <v>1661.1535991519549</v>
      </c>
      <c r="T170" s="66">
        <f>VLOOKUP(T109,$A164:$AE168,19,FALSE)</f>
        <v>1814.3361728271746</v>
      </c>
      <c r="U170" s="66">
        <v>7</v>
      </c>
      <c r="V170" s="66">
        <f>VLOOKUP(V109,$A164:$AE168,19,FALSE)</f>
        <v>1641.7597199410916</v>
      </c>
      <c r="W170" s="66">
        <f>VLOOKUP(W109,$A164:$AE168,22,FALSE)</f>
        <v>1849.2661727135978</v>
      </c>
      <c r="X170" s="66">
        <v>8</v>
      </c>
      <c r="Y170" s="66">
        <f>VLOOKUP(Y109,$A164:$AE168,22,FALSE)</f>
        <v>1668.0702225368884</v>
      </c>
      <c r="Z170" s="66">
        <f>VLOOKUP(Z109,$A164:$AE168,25,FALSE)</f>
        <v>1688.4646711800265</v>
      </c>
      <c r="AA170" s="66">
        <v>9</v>
      </c>
      <c r="AB170" s="66">
        <f>VLOOKUP(AB109,$A164:$AE168,25,FALSE)</f>
        <v>1730.5366368002185</v>
      </c>
      <c r="AC170" s="66">
        <f>VLOOKUP(AC109,$A164:$AE168,28,FALSE)</f>
        <v>1865.9421637355424</v>
      </c>
      <c r="AD170" s="66">
        <v>10</v>
      </c>
      <c r="AE170" s="66">
        <f>VLOOKUP(AE109,$A164:$AE168,28,FALSE)</f>
        <v>1767.6312215882397</v>
      </c>
      <c r="AF170" s="4"/>
      <c r="AG170" s="79"/>
      <c r="AH170" s="79"/>
      <c r="AI170" s="79"/>
      <c r="AJ170" s="79"/>
      <c r="AK170" s="79"/>
      <c r="AL170" s="79"/>
      <c r="AM170" s="79"/>
      <c r="AN170" s="80"/>
      <c r="AO170" s="80"/>
      <c r="AP170" s="80"/>
      <c r="AQ170" s="80"/>
      <c r="AW170" s="65"/>
      <c r="BB170" s="65"/>
    </row>
    <row r="171" spans="1:54" s="71" customFormat="1" hidden="1" x14ac:dyDescent="0.2">
      <c r="A171" s="67" t="s">
        <v>115</v>
      </c>
      <c r="B171" s="67">
        <f>1/(1+(10^-((B170-D170)/400)))*(B121+D121)</f>
        <v>1.5065802183647989</v>
      </c>
      <c r="C171" s="67"/>
      <c r="D171" s="67">
        <f>1/(1+(10^-((D170-B170)/400)))*(B121+D121)</f>
        <v>0.49341978163520112</v>
      </c>
      <c r="E171" s="67">
        <f>1/(1+(10^-((E170-G170)/400)))*(E121+G121)</f>
        <v>1</v>
      </c>
      <c r="F171" s="67"/>
      <c r="G171" s="67">
        <f>1/(1+(10^-((G170-E170)/400)))*(E121+G121)</f>
        <v>1</v>
      </c>
      <c r="H171" s="67">
        <f>1/(1+(10^-((H170-J170)/400)))*(H121+J121)</f>
        <v>1.2141660554680571</v>
      </c>
      <c r="I171" s="67"/>
      <c r="J171" s="67">
        <f>1/(1+(10^-((J170-H170)/400)))*(H121+J121)</f>
        <v>0.78583394453194277</v>
      </c>
      <c r="K171" s="67">
        <f>1/(1+(10^-((K170-M170)/400)))*(K121+M121)</f>
        <v>1.0454143807860004</v>
      </c>
      <c r="L171" s="67"/>
      <c r="M171" s="67">
        <f>1/(1+(10^-((M170-K170)/400)))*(K121+M121)</f>
        <v>0.95458561921399976</v>
      </c>
      <c r="N171" s="67">
        <f>1/(1+(10^-((N170-P170)/400)))*(N121+P121)</f>
        <v>1.4604321027000691</v>
      </c>
      <c r="O171" s="67"/>
      <c r="P171" s="67">
        <f>1/(1+(10^-((P170-N170)/400)))*(N121+P121)</f>
        <v>0.53956789729993093</v>
      </c>
      <c r="Q171" s="67">
        <f>1/(1+(10^-((Q170-S170)/400)))*(Q121+S121)</f>
        <v>1.2161444807791741</v>
      </c>
      <c r="R171" s="67"/>
      <c r="S171" s="67">
        <f>1/(1+(10^-((S170-Q170)/400)))*(Q121+S121)</f>
        <v>0.78385551922082597</v>
      </c>
      <c r="T171" s="67">
        <f>1/(1+(10^-((T170-V170)/400)))*(T121+V121)</f>
        <v>1.459529726216716</v>
      </c>
      <c r="U171" s="67"/>
      <c r="V171" s="67">
        <f>1/(1+(10^-((V170-T170)/400)))*(T121+V121)</f>
        <v>0.54047027378328394</v>
      </c>
      <c r="W171" s="67">
        <f>1/(1+(10^-((W170-Y170)/400)))*(W121+Y121)</f>
        <v>1.4788752805642309</v>
      </c>
      <c r="X171" s="67"/>
      <c r="Y171" s="67">
        <f>1/(1+(10^-((Y170-W170)/400)))*(W121+Y121)</f>
        <v>0.5211247194357691</v>
      </c>
      <c r="Z171" s="67">
        <f>1/(1+(10^-((Z170-AB170)/400)))*(Z121+AB121)</f>
        <v>0.87949557859247185</v>
      </c>
      <c r="AA171" s="67"/>
      <c r="AB171" s="67">
        <f>1/(1+(10^-((AB170-Z170)/400)))*(Z121+AB121)</f>
        <v>1.1205044214075282</v>
      </c>
      <c r="AC171" s="67">
        <f>1/(1+(10^-((AC170-AE170)/400)))*(AC121+AE121)</f>
        <v>1.275643921825842</v>
      </c>
      <c r="AD171" s="67"/>
      <c r="AE171" s="67">
        <f>1/(1+(10^-((AE170-AC170)/400)))*(AC121+AE121)</f>
        <v>0.72435607817415804</v>
      </c>
      <c r="AF171" s="68"/>
      <c r="AG171" s="69"/>
      <c r="AH171" s="69"/>
      <c r="AI171" s="69"/>
      <c r="AJ171" s="69"/>
      <c r="AK171" s="69"/>
      <c r="AL171" s="69"/>
      <c r="AM171" s="69"/>
      <c r="AN171" s="70"/>
      <c r="AO171" s="70"/>
      <c r="AP171" s="70"/>
      <c r="AQ171" s="70"/>
      <c r="AW171" s="72"/>
      <c r="BB171" s="72"/>
    </row>
    <row r="172" spans="1:54" s="77" customFormat="1" hidden="1" x14ac:dyDescent="0.2">
      <c r="A172" s="73" t="s">
        <v>116</v>
      </c>
      <c r="B172" s="73">
        <f>B170+(B121-B171)*$BA$1</f>
        <v>1783.7894330123265</v>
      </c>
      <c r="C172" s="73"/>
      <c r="D172" s="73">
        <f>D170+(D121-D171)*$BA$1</f>
        <v>1622.3002853769772</v>
      </c>
      <c r="E172" s="73">
        <f>E170+(E121-E171)*$BA$1</f>
        <v>1832</v>
      </c>
      <c r="F172" s="73"/>
      <c r="G172" s="73">
        <f>G170+(G121-G171)*$BA$1</f>
        <v>1768</v>
      </c>
      <c r="H172" s="73">
        <f>H170+(H121-H171)*$BA$1</f>
        <v>1659.0258926546894</v>
      </c>
      <c r="I172" s="73"/>
      <c r="J172" s="73">
        <f>J170+(J121-J171)*$BA$1</f>
        <v>1661.1535991519549</v>
      </c>
      <c r="K172" s="73">
        <f>K170+(K121-K171)*$BA$1</f>
        <v>1814.3361728271746</v>
      </c>
      <c r="L172" s="73"/>
      <c r="M172" s="73">
        <f>M170+(M121-M171)*$BA$1</f>
        <v>1737.453260185152</v>
      </c>
      <c r="N172" s="73">
        <f>N170+(N121-N171)*$BA$1</f>
        <v>1849.2661727135978</v>
      </c>
      <c r="O172" s="73"/>
      <c r="P172" s="73">
        <f>P170+(P121-P171)*$BA$1</f>
        <v>1641.7597199410916</v>
      </c>
      <c r="Q172" s="73">
        <f>Q170+(Q121-Q171)*$BA$1</f>
        <v>1730.5366368002185</v>
      </c>
      <c r="R172" s="73"/>
      <c r="S172" s="73">
        <f>S170+(S121-S171)*$BA$1</f>
        <v>1668.0702225368884</v>
      </c>
      <c r="T172" s="73">
        <f>T170+(T121-T171)*$BA$1</f>
        <v>1767.6312215882397</v>
      </c>
      <c r="U172" s="73"/>
      <c r="V172" s="73">
        <f>V170+(V121-V171)*$BA$1</f>
        <v>1688.4646711800265</v>
      </c>
      <c r="W172" s="73">
        <f>W170+(W121-W171)*$BA$1</f>
        <v>1865.9421637355424</v>
      </c>
      <c r="X172" s="73"/>
      <c r="Y172" s="73">
        <f>Y170+(Y121-Y171)*$BA$1</f>
        <v>1651.3942315149438</v>
      </c>
      <c r="Z172" s="73">
        <f>Z170+(Z121-Z171)*$BA$1</f>
        <v>1724.3208126650675</v>
      </c>
      <c r="AA172" s="73"/>
      <c r="AB172" s="73">
        <f>AB170+(AB121-AB171)*$BA$1</f>
        <v>1694.6804953151775</v>
      </c>
      <c r="AC172" s="73">
        <f>AC170+(AC121-AC171)*$BA$1</f>
        <v>1889.1215582371156</v>
      </c>
      <c r="AD172" s="73"/>
      <c r="AE172" s="73">
        <f>AE170+(AE121-AE171)*$BA$1</f>
        <v>1744.4518270866665</v>
      </c>
      <c r="AF172" s="74"/>
      <c r="AG172" s="75"/>
      <c r="AH172" s="75"/>
      <c r="AI172" s="75"/>
      <c r="AJ172" s="75"/>
      <c r="AK172" s="75"/>
      <c r="AL172" s="75"/>
      <c r="AM172" s="75"/>
      <c r="AN172" s="76"/>
      <c r="AO172" s="76"/>
      <c r="AP172" s="76"/>
      <c r="AQ172" s="76"/>
      <c r="AW172" s="78"/>
      <c r="BB172" s="78"/>
    </row>
    <row r="173" spans="1:54" s="77" customFormat="1" hidden="1" x14ac:dyDescent="0.2">
      <c r="A173" s="73"/>
      <c r="B173" s="73"/>
      <c r="C173" s="73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N173" s="73"/>
      <c r="O173" s="73"/>
      <c r="P173" s="73"/>
      <c r="Q173" s="73"/>
      <c r="R173" s="73"/>
      <c r="S173" s="73"/>
      <c r="T173" s="73"/>
      <c r="U173" s="73"/>
      <c r="V173" s="73"/>
      <c r="W173" s="73"/>
      <c r="X173" s="73"/>
      <c r="Y173" s="73"/>
      <c r="Z173" s="73"/>
      <c r="AA173" s="73"/>
      <c r="AB173" s="73"/>
      <c r="AC173" s="73"/>
      <c r="AD173" s="73"/>
      <c r="AE173" s="73"/>
      <c r="AF173" s="74"/>
      <c r="AG173" s="75"/>
      <c r="AH173" s="75"/>
      <c r="AI173" s="75"/>
      <c r="AJ173" s="75"/>
      <c r="AK173" s="75"/>
      <c r="AL173" s="75"/>
      <c r="AM173" s="75"/>
      <c r="AN173" s="76"/>
      <c r="AO173" s="76"/>
      <c r="AP173" s="76"/>
      <c r="AQ173" s="76"/>
      <c r="AW173" s="78"/>
      <c r="BB173" s="78"/>
    </row>
    <row r="174" spans="1:54" s="62" customFormat="1" x14ac:dyDescent="0.2">
      <c r="A174" s="703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174" s="703"/>
      <c r="C174" s="703"/>
      <c r="D174" s="703"/>
      <c r="E174" s="703"/>
      <c r="F174" s="703"/>
      <c r="G174" s="703"/>
      <c r="H174" s="703"/>
      <c r="I174" s="703"/>
      <c r="J174" s="703"/>
      <c r="K174" s="703"/>
      <c r="L174" s="703"/>
      <c r="M174" s="703"/>
      <c r="N174" s="703"/>
      <c r="O174" s="703"/>
      <c r="P174" s="703"/>
      <c r="Q174" s="703"/>
      <c r="R174" s="703"/>
      <c r="S174" s="703"/>
      <c r="T174" s="703"/>
      <c r="U174" s="703"/>
      <c r="V174" s="703"/>
      <c r="W174" s="703"/>
      <c r="X174" s="703"/>
      <c r="Y174" s="703"/>
      <c r="Z174" s="703"/>
      <c r="AA174" s="703"/>
      <c r="AB174" s="703"/>
      <c r="AC174" s="703"/>
      <c r="AD174" s="703"/>
      <c r="AE174" s="703"/>
      <c r="AF174" s="703"/>
      <c r="AG174" s="703"/>
      <c r="AH174" s="703"/>
      <c r="AI174" s="703"/>
      <c r="AJ174" s="703"/>
      <c r="AK174" s="703"/>
      <c r="AL174" s="703"/>
      <c r="AM174" s="703"/>
      <c r="AN174" s="681"/>
      <c r="AO174" s="681"/>
      <c r="AP174" s="681"/>
      <c r="AQ174" s="681"/>
      <c r="AW174" s="65"/>
    </row>
    <row r="175" spans="1:54" s="62" customFormat="1" x14ac:dyDescent="0.2">
      <c r="A175" s="704"/>
      <c r="B175" s="704"/>
      <c r="C175" s="704"/>
      <c r="D175" s="704"/>
      <c r="E175" s="704"/>
      <c r="F175" s="704"/>
      <c r="G175" s="704"/>
      <c r="H175" s="704"/>
      <c r="I175" s="704"/>
      <c r="J175" s="704"/>
      <c r="K175" s="704"/>
      <c r="L175" s="704"/>
      <c r="M175" s="704"/>
      <c r="N175" s="704"/>
      <c r="O175" s="704"/>
      <c r="P175" s="704"/>
      <c r="Q175" s="704"/>
      <c r="R175" s="704"/>
      <c r="S175" s="704"/>
      <c r="T175" s="704"/>
      <c r="U175" s="704"/>
      <c r="V175" s="704"/>
      <c r="W175" s="704"/>
      <c r="X175" s="704"/>
      <c r="Y175" s="704"/>
      <c r="Z175" s="704"/>
      <c r="AA175" s="704"/>
      <c r="AB175" s="704"/>
      <c r="AC175" s="704"/>
      <c r="AD175" s="704"/>
      <c r="AE175" s="704"/>
      <c r="AF175" s="704"/>
      <c r="AG175" s="704"/>
      <c r="AH175" s="704"/>
      <c r="AI175" s="704"/>
      <c r="AJ175" s="704"/>
      <c r="AK175" s="704"/>
      <c r="AL175" s="704"/>
      <c r="AM175" s="704"/>
      <c r="AN175" s="704"/>
      <c r="AO175" s="704"/>
      <c r="AP175" s="704"/>
      <c r="AQ175" s="704"/>
      <c r="AW175" s="65"/>
    </row>
    <row r="176" spans="1:54" ht="21" thickBot="1" x14ac:dyDescent="0.35">
      <c r="A176" s="693" t="s">
        <v>118</v>
      </c>
      <c r="B176" s="693"/>
      <c r="C176" s="693"/>
      <c r="D176" s="693"/>
      <c r="E176" s="693"/>
      <c r="F176" s="693"/>
      <c r="G176" s="693"/>
      <c r="H176" s="693"/>
      <c r="I176" s="693"/>
      <c r="J176" s="693"/>
      <c r="K176" s="693"/>
      <c r="L176" s="693"/>
      <c r="M176" s="693"/>
      <c r="N176" s="693"/>
      <c r="O176" s="693"/>
      <c r="P176" s="693"/>
      <c r="Q176" s="693"/>
      <c r="R176" s="693"/>
      <c r="S176" s="693"/>
      <c r="T176" s="693"/>
      <c r="U176" s="693"/>
      <c r="V176" s="693"/>
      <c r="W176" s="693"/>
      <c r="X176" s="693"/>
      <c r="Y176" s="693"/>
      <c r="Z176" s="693"/>
      <c r="AA176" s="693"/>
      <c r="AB176" s="693"/>
      <c r="AC176" s="693"/>
      <c r="AD176" s="693"/>
      <c r="AE176" s="693"/>
      <c r="AF176" s="693"/>
      <c r="AG176" s="693"/>
      <c r="AH176" s="693"/>
      <c r="AI176" s="693"/>
      <c r="AJ176" s="693"/>
      <c r="AK176" s="693"/>
      <c r="AL176" s="693"/>
      <c r="AM176" s="693"/>
      <c r="AN176" s="693"/>
      <c r="AO176" s="693"/>
      <c r="AP176" s="693"/>
      <c r="AQ176" s="693"/>
    </row>
    <row r="177" spans="1:53" ht="13.5" thickBot="1" x14ac:dyDescent="0.25">
      <c r="A177" s="694" t="s">
        <v>119</v>
      </c>
      <c r="B177" s="696" t="s">
        <v>120</v>
      </c>
      <c r="C177" s="697"/>
      <c r="D177" s="697"/>
      <c r="E177" s="697"/>
      <c r="F177" s="697"/>
      <c r="G177" s="697"/>
      <c r="H177" s="697"/>
      <c r="I177" s="697"/>
      <c r="J177" s="697"/>
      <c r="K177" s="698"/>
      <c r="L177" s="696" t="s">
        <v>121</v>
      </c>
      <c r="M177" s="697"/>
      <c r="N177" s="697"/>
      <c r="O177" s="697"/>
      <c r="P177" s="697"/>
      <c r="Q177" s="697"/>
      <c r="R177" s="697"/>
      <c r="S177" s="697"/>
      <c r="T177" s="697"/>
      <c r="U177" s="698"/>
      <c r="V177" s="696" t="s">
        <v>122</v>
      </c>
      <c r="W177" s="697"/>
      <c r="X177" s="697"/>
      <c r="Y177" s="697"/>
      <c r="Z177" s="697"/>
      <c r="AA177" s="697"/>
      <c r="AB177" s="697"/>
      <c r="AC177" s="697"/>
      <c r="AD177" s="697"/>
      <c r="AE177" s="698"/>
      <c r="AF177" s="696" t="s">
        <v>123</v>
      </c>
      <c r="AG177" s="697"/>
      <c r="AH177" s="697"/>
      <c r="AI177" s="697"/>
      <c r="AJ177" s="697"/>
      <c r="AK177" s="697"/>
      <c r="AL177" s="697"/>
      <c r="AM177" s="697"/>
      <c r="AN177" s="697"/>
      <c r="AO177" s="698"/>
    </row>
    <row r="178" spans="1:53" ht="13.5" thickBot="1" x14ac:dyDescent="0.25">
      <c r="A178" s="695"/>
      <c r="B178" s="690" t="s">
        <v>10</v>
      </c>
      <c r="C178" s="691"/>
      <c r="D178" s="691"/>
      <c r="E178" s="691"/>
      <c r="F178" s="691"/>
      <c r="G178" s="692"/>
      <c r="H178" s="690" t="s">
        <v>124</v>
      </c>
      <c r="I178" s="691"/>
      <c r="J178" s="691"/>
      <c r="K178" s="692"/>
      <c r="L178" s="690" t="s">
        <v>10</v>
      </c>
      <c r="M178" s="691"/>
      <c r="N178" s="691"/>
      <c r="O178" s="691"/>
      <c r="P178" s="691"/>
      <c r="Q178" s="692"/>
      <c r="R178" s="690" t="s">
        <v>124</v>
      </c>
      <c r="S178" s="691"/>
      <c r="T178" s="691"/>
      <c r="U178" s="692"/>
      <c r="V178" s="690" t="s">
        <v>10</v>
      </c>
      <c r="W178" s="691"/>
      <c r="X178" s="691"/>
      <c r="Y178" s="691"/>
      <c r="Z178" s="691"/>
      <c r="AA178" s="692"/>
      <c r="AB178" s="690" t="s">
        <v>124</v>
      </c>
      <c r="AC178" s="691"/>
      <c r="AD178" s="691"/>
      <c r="AE178" s="692"/>
      <c r="AF178" s="690" t="s">
        <v>10</v>
      </c>
      <c r="AG178" s="691"/>
      <c r="AH178" s="691"/>
      <c r="AI178" s="691"/>
      <c r="AJ178" s="691"/>
      <c r="AK178" s="692"/>
      <c r="AL178" s="690" t="s">
        <v>124</v>
      </c>
      <c r="AM178" s="691"/>
      <c r="AN178" s="691"/>
      <c r="AO178" s="692"/>
    </row>
    <row r="179" spans="1:53" x14ac:dyDescent="0.2">
      <c r="A179" s="81" t="s">
        <v>125</v>
      </c>
      <c r="B179" s="682" t="str">
        <f>IF($AF$8=1,$E$8,IF($AF$10=1,$E$10,IF($AF$12=1,$E$12,IF($AF$14=1,$E$14,IF($AF$16=1,$E$16,"1st Place "&amp;$A179)))))</f>
        <v>Lake Murray 14 Black</v>
      </c>
      <c r="C179" s="683"/>
      <c r="D179" s="683"/>
      <c r="E179" s="683"/>
      <c r="F179" s="683"/>
      <c r="G179" s="683"/>
      <c r="H179" s="684" t="str">
        <f>IF($AF$8=1,$E$9,IF($AF$10=1,$E$11,IF($AF$12=1,$E$13,IF($AF$14=1,$E$15,IF($AF$16=1,$E$17,"1st Place "&amp;$A179)))))</f>
        <v>fj4lakem2pm</v>
      </c>
      <c r="I179" s="684"/>
      <c r="J179" s="684"/>
      <c r="K179" s="685"/>
      <c r="L179" s="682" t="str">
        <f>IF($AF$8=2,$E$8,IF($AF$10=2,$E$10,IF($AF$12=2,$E$12,IF($AF$14=2,$E$14,IF($AF$16=2,$E$16,"2nd Place "&amp;$A179)))))</f>
        <v>Sumter VBC 14</v>
      </c>
      <c r="M179" s="683"/>
      <c r="N179" s="683"/>
      <c r="O179" s="683"/>
      <c r="P179" s="683"/>
      <c r="Q179" s="683"/>
      <c r="R179" s="684" t="str">
        <f>IF($AF$8=2,$E$9,IF($AF$10=2,$E$11,IF($AF$12=2,$E$13,IF($AF$14=2,$E$15,IF($AF$16=2,$E$17,"2nd Place "&amp;$A179)))))</f>
        <v>fj4sumtr1pm</v>
      </c>
      <c r="S179" s="684"/>
      <c r="T179" s="684"/>
      <c r="U179" s="685"/>
      <c r="V179" s="682" t="str">
        <f>IF($AF$8=3,$E$8,IF($AF$10=3,$E$10,IF($AF$12=3,$E$12,IF($AF$14=3,$E$14,IF($AF$16=3,$E$16,"3rd Place "&amp;$A179)))))</f>
        <v>SC Midlands 14 Garnet</v>
      </c>
      <c r="W179" s="683"/>
      <c r="X179" s="683"/>
      <c r="Y179" s="683"/>
      <c r="Z179" s="683"/>
      <c r="AA179" s="683"/>
      <c r="AB179" s="684" t="str">
        <f>IF($AF$8=3,$E$9,IF($AF$10=3,$E$11,IF($AF$12=3,$E$13,IF($AF$14=3,$E$15,IF($AF$16=3,$E$17,"3rd Place "&amp;$A179)))))</f>
        <v>fj4scmid4pm</v>
      </c>
      <c r="AC179" s="684"/>
      <c r="AD179" s="684"/>
      <c r="AE179" s="685"/>
      <c r="AF179" s="682" t="str">
        <f>IF($AF$8=4,$E$8,IF($AF$10=4,$E$10,IF($AF$12=4,$E$12,IF($AF$14=4,$E$14,IF($AF$16=4,$E$16,"4th Place "&amp;$A179)))))</f>
        <v>Palm Strikers 14 Select</v>
      </c>
      <c r="AG179" s="683"/>
      <c r="AH179" s="683"/>
      <c r="AI179" s="683"/>
      <c r="AJ179" s="683"/>
      <c r="AK179" s="683"/>
      <c r="AL179" s="684" t="str">
        <f>IF($AF$8=4,$E$9,IF($AF$10=4,$E$11,IF($AF$12=4,$E$13,IF($AF$14=4,$E$15,IF($AF$16=4,$E$17,"4th Place "&amp;$A179)))))</f>
        <v>fj4pstri2pm</v>
      </c>
      <c r="AM179" s="684"/>
      <c r="AN179" s="684"/>
      <c r="AO179" s="685"/>
    </row>
    <row r="180" spans="1:53" ht="13.5" thickBot="1" x14ac:dyDescent="0.25">
      <c r="A180" s="82" t="s">
        <v>126</v>
      </c>
      <c r="B180" s="686" t="str">
        <f>IF($AF$93=1,$E$93,IF($AF$95=1,$E$95,IF($AF$97=1,$E$97,IF($AF$99=1,$E$99,IF($AF$101=1,$E$101,"1st Place "&amp;$A180)))))</f>
        <v>TLVC 14 Gray</v>
      </c>
      <c r="C180" s="687"/>
      <c r="D180" s="687"/>
      <c r="E180" s="687"/>
      <c r="F180" s="687"/>
      <c r="G180" s="687"/>
      <c r="H180" s="688" t="str">
        <f>IF($AF$93=1,$E$94,IF($AF$95=1,$E$96,IF($AF$97=1,$E$98,IF($AF$99=1,$E$100,IF($AF$101=1,$E$102,"1st Place "&amp;$A180)))))</f>
        <v>fj4tlife2cr</v>
      </c>
      <c r="I180" s="688"/>
      <c r="J180" s="688"/>
      <c r="K180" s="689"/>
      <c r="L180" s="686" t="str">
        <f>IF($AF$93=2,$E$93,IF($AF$95=2,$E$95,IF($AF$97=2,$E$97,IF($AF$99=2,$E$99,IF($AF$101=2,$E$101,"2nd Place "&amp;$A180)))))</f>
        <v>Intense 14 Region Elite</v>
      </c>
      <c r="M180" s="687"/>
      <c r="N180" s="687"/>
      <c r="O180" s="687"/>
      <c r="P180" s="687"/>
      <c r="Q180" s="687"/>
      <c r="R180" s="688" t="str">
        <f>IF($AF$93=2,$E$94,IF($AF$95=2,$E$96,IF($AF$97=2,$E$98,IF($AF$99=2,$E$100,IF($AF$101=2,$E$102,"2nd Place "&amp;$A180)))))</f>
        <v>fj4inten3pm</v>
      </c>
      <c r="S180" s="688"/>
      <c r="T180" s="688"/>
      <c r="U180" s="689"/>
      <c r="V180" s="686" t="str">
        <f>IF($AF$93=3,$E$93,IF($AF$95=3,$E$95,IF($AF$97=3,$E$97,IF($AF$99=3,$E$99,IF($AF$101=3,$E$101,"3rd Place "&amp;$A180)))))</f>
        <v>RHVC 14 Club Hunter</v>
      </c>
      <c r="W180" s="687"/>
      <c r="X180" s="687"/>
      <c r="Y180" s="687"/>
      <c r="Z180" s="687"/>
      <c r="AA180" s="687"/>
      <c r="AB180" s="688" t="str">
        <f>IF($AF$93=3,$E$94,IF($AF$95=3,$E$96,IF($AF$97=3,$E$98,IF($AF$99=3,$E$100,IF($AF$101=3,$E$102,"3rd Place "&amp;$A180)))))</f>
        <v>fj4rockh2pm</v>
      </c>
      <c r="AC180" s="688"/>
      <c r="AD180" s="688"/>
      <c r="AE180" s="689"/>
      <c r="AF180" s="686" t="str">
        <f>IF($AF$93=4,$E$93,IF($AF$95=4,$E$95,IF($AF$97=4,$E$97,IF($AF$99=4,$E$99,IF($AF$101=4,$E$101,"4th Place "&amp;$A180)))))</f>
        <v>Magnum Greenwood 14 Purpl</v>
      </c>
      <c r="AG180" s="687"/>
      <c r="AH180" s="687"/>
      <c r="AI180" s="687"/>
      <c r="AJ180" s="687"/>
      <c r="AK180" s="687"/>
      <c r="AL180" s="688" t="str">
        <f>IF($AF$93=4,$E$94,IF($AF$95=4,$E$96,IF($AF$97=4,$E$98,IF($AF$99=4,$E$100,IF($AF$101=4,$E$102,"4th Place "&amp;$A180)))))</f>
        <v>fj4magnm9pm</v>
      </c>
      <c r="AM180" s="688"/>
      <c r="AN180" s="688"/>
      <c r="AO180" s="689"/>
    </row>
    <row r="181" spans="1:53" s="3" customFormat="1" x14ac:dyDescent="0.2">
      <c r="A181" s="83"/>
      <c r="B181" s="84"/>
      <c r="C181" s="84"/>
      <c r="D181" s="84"/>
      <c r="E181" s="84"/>
      <c r="F181" s="84"/>
      <c r="G181" s="84"/>
      <c r="H181" s="84"/>
      <c r="I181" s="84"/>
      <c r="J181" s="84"/>
      <c r="K181" s="84"/>
      <c r="L181" s="84"/>
      <c r="M181" s="84"/>
      <c r="N181" s="84"/>
      <c r="O181" s="84"/>
      <c r="P181" s="84"/>
      <c r="Q181" s="84"/>
      <c r="R181" s="84"/>
      <c r="S181" s="84"/>
      <c r="T181" s="84"/>
      <c r="U181" s="84"/>
      <c r="V181" s="84"/>
      <c r="W181" s="84"/>
      <c r="X181" s="84"/>
      <c r="Y181" s="84"/>
      <c r="Z181" s="84"/>
      <c r="AA181" s="84"/>
      <c r="AB181" s="84"/>
      <c r="AC181" s="84"/>
      <c r="AD181" s="84"/>
      <c r="AE181" s="84"/>
      <c r="AF181" s="84"/>
      <c r="AG181" s="84"/>
      <c r="AH181" s="84"/>
      <c r="AI181" s="84"/>
      <c r="AJ181" s="84"/>
      <c r="AK181" s="84"/>
      <c r="AL181" s="84"/>
      <c r="AM181" s="84"/>
      <c r="AN181" s="84"/>
      <c r="AO181" s="84"/>
      <c r="AW181" s="129"/>
      <c r="AX181" s="4"/>
      <c r="AY181" s="4"/>
      <c r="AZ181" s="4"/>
      <c r="BA181" s="4"/>
    </row>
    <row r="182" spans="1:53" ht="15.75" x14ac:dyDescent="0.25">
      <c r="A182" s="676" t="s">
        <v>127</v>
      </c>
      <c r="B182" s="676"/>
      <c r="C182" s="676"/>
      <c r="D182" s="676"/>
      <c r="E182" s="676"/>
      <c r="F182" s="676"/>
      <c r="G182" s="676"/>
      <c r="H182" s="676"/>
      <c r="I182" s="676"/>
      <c r="J182" s="676"/>
      <c r="K182" s="676"/>
      <c r="L182" s="676"/>
      <c r="M182" s="676"/>
      <c r="N182" s="676"/>
      <c r="O182" s="676"/>
      <c r="P182" s="676"/>
      <c r="Q182" s="676"/>
      <c r="R182" s="676"/>
      <c r="S182" s="676"/>
      <c r="T182" s="676"/>
      <c r="U182" s="676"/>
      <c r="V182" s="676"/>
      <c r="W182" s="676"/>
      <c r="X182" s="676"/>
      <c r="Y182" s="676"/>
      <c r="Z182" s="676"/>
      <c r="AA182" s="676"/>
      <c r="AB182" s="676"/>
      <c r="AC182" s="676"/>
      <c r="AD182" s="676"/>
      <c r="AE182" s="676"/>
      <c r="AF182" s="676"/>
      <c r="AG182" s="676"/>
      <c r="AH182" s="676"/>
      <c r="AI182" s="676"/>
      <c r="AJ182" s="676"/>
      <c r="AK182" s="676"/>
      <c r="AL182" s="676"/>
      <c r="AM182" s="676"/>
      <c r="AN182" s="676"/>
      <c r="AO182" s="676"/>
      <c r="AP182" s="676"/>
      <c r="AQ182" s="676"/>
      <c r="AT182" s="85"/>
      <c r="AU182" s="85"/>
      <c r="AV182" s="85"/>
    </row>
    <row r="183" spans="1:53" ht="39.75" customHeight="1" x14ac:dyDescent="0.25">
      <c r="A183" s="677" t="s">
        <v>128</v>
      </c>
      <c r="B183" s="678"/>
      <c r="C183" s="678"/>
      <c r="D183" s="678"/>
      <c r="E183" s="678"/>
      <c r="F183" s="678"/>
      <c r="G183" s="678"/>
      <c r="H183" s="678"/>
      <c r="I183" s="678"/>
      <c r="J183" s="678"/>
      <c r="K183" s="678"/>
      <c r="L183" s="678"/>
      <c r="M183" s="678"/>
      <c r="N183" s="678"/>
      <c r="O183" s="678"/>
      <c r="P183" s="678"/>
      <c r="Q183" s="678"/>
      <c r="R183" s="678"/>
      <c r="S183" s="678"/>
      <c r="T183" s="678"/>
      <c r="U183" s="678"/>
      <c r="V183" s="678"/>
      <c r="W183" s="678"/>
      <c r="X183" s="678"/>
      <c r="Y183" s="678"/>
      <c r="Z183" s="678"/>
      <c r="AA183" s="678"/>
      <c r="AB183" s="678"/>
      <c r="AC183" s="678"/>
      <c r="AD183" s="678"/>
      <c r="AE183" s="678"/>
      <c r="AF183" s="678"/>
      <c r="AG183" s="678"/>
      <c r="AH183" s="678"/>
      <c r="AI183" s="678"/>
      <c r="AJ183" s="678"/>
      <c r="AK183" s="678"/>
      <c r="AL183" s="678"/>
      <c r="AM183" s="678"/>
      <c r="AN183" s="678"/>
      <c r="AO183" s="678"/>
      <c r="AP183" s="678"/>
      <c r="AQ183" s="678"/>
    </row>
    <row r="184" spans="1:53" x14ac:dyDescent="0.2">
      <c r="A184" s="679" t="s">
        <v>129</v>
      </c>
      <c r="B184" s="679"/>
      <c r="C184" s="679"/>
      <c r="D184" s="679"/>
      <c r="E184" s="679"/>
      <c r="F184" s="679"/>
      <c r="G184" s="679"/>
      <c r="H184" s="679"/>
      <c r="I184" s="679"/>
      <c r="J184" s="679"/>
      <c r="K184" s="679"/>
      <c r="L184" s="679"/>
      <c r="M184" s="679"/>
      <c r="N184" s="679"/>
      <c r="O184" s="679"/>
      <c r="P184" s="679"/>
      <c r="Q184" s="679"/>
      <c r="R184" s="679"/>
      <c r="S184" s="679"/>
      <c r="T184" s="679"/>
      <c r="U184" s="679"/>
      <c r="V184" s="679"/>
      <c r="W184" s="679"/>
      <c r="X184" s="679"/>
      <c r="Y184" s="679"/>
      <c r="Z184" s="679"/>
      <c r="AA184" s="679"/>
      <c r="AB184" s="679"/>
      <c r="AC184" s="679"/>
      <c r="AD184" s="679"/>
      <c r="AE184" s="679"/>
      <c r="AF184" s="679"/>
      <c r="AG184" s="679"/>
      <c r="AH184" s="679"/>
      <c r="AI184" s="679"/>
      <c r="AJ184" s="679"/>
      <c r="AK184" s="679"/>
      <c r="AL184" s="679"/>
      <c r="AM184" s="679"/>
      <c r="AN184" s="679"/>
      <c r="AO184" s="679"/>
      <c r="AP184" s="679"/>
      <c r="AQ184" s="679"/>
    </row>
    <row r="185" spans="1:53" x14ac:dyDescent="0.2">
      <c r="A185" s="679"/>
      <c r="B185" s="679"/>
      <c r="C185" s="679"/>
      <c r="D185" s="679"/>
      <c r="E185" s="679"/>
      <c r="F185" s="679"/>
      <c r="G185" s="679"/>
      <c r="H185" s="679"/>
      <c r="I185" s="679"/>
      <c r="J185" s="679"/>
      <c r="K185" s="679"/>
      <c r="L185" s="679"/>
      <c r="M185" s="679"/>
      <c r="N185" s="679"/>
      <c r="O185" s="679"/>
      <c r="P185" s="679"/>
      <c r="Q185" s="679"/>
      <c r="R185" s="679"/>
      <c r="S185" s="679"/>
      <c r="T185" s="679"/>
      <c r="U185" s="679"/>
      <c r="V185" s="679"/>
      <c r="W185" s="679"/>
      <c r="X185" s="679"/>
      <c r="Y185" s="679"/>
      <c r="Z185" s="679"/>
      <c r="AA185" s="679"/>
      <c r="AB185" s="679"/>
      <c r="AC185" s="679"/>
      <c r="AD185" s="679"/>
      <c r="AE185" s="679"/>
      <c r="AF185" s="679"/>
      <c r="AG185" s="679"/>
      <c r="AH185" s="679"/>
      <c r="AI185" s="679"/>
      <c r="AJ185" s="679"/>
      <c r="AK185" s="679"/>
      <c r="AL185" s="679"/>
      <c r="AM185" s="679"/>
      <c r="AN185" s="679"/>
      <c r="AO185" s="679"/>
      <c r="AP185" s="679"/>
      <c r="AQ185" s="679"/>
    </row>
    <row r="186" spans="1:53" x14ac:dyDescent="0.2">
      <c r="A186" s="680" t="s">
        <v>130</v>
      </c>
      <c r="B186" s="680"/>
      <c r="C186" s="680"/>
      <c r="D186" s="680"/>
      <c r="E186" s="680"/>
      <c r="F186" s="680"/>
      <c r="G186" s="680"/>
      <c r="H186" s="680"/>
      <c r="I186" s="680"/>
      <c r="J186" s="680"/>
      <c r="K186" s="680"/>
      <c r="L186" s="86"/>
    </row>
    <row r="187" spans="1:53" x14ac:dyDescent="0.2">
      <c r="C187" s="3"/>
      <c r="D187" s="3"/>
      <c r="E187" s="3"/>
      <c r="L187" s="86"/>
    </row>
    <row r="188" spans="1:53" x14ac:dyDescent="0.2">
      <c r="A188" s="681" t="s">
        <v>131</v>
      </c>
      <c r="B188" s="681"/>
      <c r="C188" s="681"/>
      <c r="D188" s="681"/>
      <c r="E188" s="681"/>
      <c r="F188" s="681"/>
      <c r="G188" s="681"/>
      <c r="H188" s="681"/>
      <c r="I188" s="681"/>
      <c r="J188" s="681"/>
      <c r="K188" s="681"/>
      <c r="L188" s="681"/>
      <c r="M188" s="681"/>
      <c r="N188" s="681"/>
      <c r="O188" s="681"/>
      <c r="P188" s="129"/>
      <c r="R188" s="681" t="s">
        <v>132</v>
      </c>
      <c r="S188" s="681"/>
      <c r="T188" s="681"/>
      <c r="U188" s="681"/>
      <c r="V188" s="681"/>
      <c r="W188" s="681"/>
      <c r="X188" s="681"/>
      <c r="Y188" s="681"/>
      <c r="Z188" s="681"/>
      <c r="AA188" s="681"/>
      <c r="AB188" s="681"/>
      <c r="AC188" s="681"/>
      <c r="AD188" s="681"/>
      <c r="AE188" s="681"/>
      <c r="AF188" s="681"/>
    </row>
    <row r="190" spans="1:53" ht="13.5" thickBot="1" x14ac:dyDescent="0.25">
      <c r="A190" s="649" t="str">
        <f>IF(B218=1,B210,IF(B218=2,B211,IF(B218=3,B212,IF(B218=4,B213,IF(OR(B218="B",B218="b"),"BYE","invalid")))))</f>
        <v>Lake Murray 14 Black</v>
      </c>
      <c r="B190" s="649"/>
      <c r="C190" s="649"/>
      <c r="D190" s="649"/>
      <c r="E190" s="649"/>
      <c r="F190" s="87"/>
      <c r="G190" s="87"/>
      <c r="H190" s="87"/>
      <c r="I190" s="87"/>
      <c r="J190" s="87"/>
      <c r="K190" s="87"/>
      <c r="L190" s="87"/>
      <c r="M190" s="87"/>
      <c r="N190" s="87"/>
      <c r="S190" s="130"/>
      <c r="T190" s="130"/>
      <c r="U190" s="649" t="str">
        <f>IF(W218=1,X210,IF(W218=2,X211,IF(W218=3,X212,IF(W218=4,X213,IF(OR(W218="B",W218="b"),"BYE","invalid")))))</f>
        <v>SC Midlands 14 Garnet</v>
      </c>
      <c r="V190" s="649"/>
      <c r="W190" s="649"/>
      <c r="X190" s="649"/>
      <c r="Y190" s="649"/>
      <c r="Z190" s="649"/>
      <c r="AA190" s="649"/>
      <c r="AB190" s="87"/>
      <c r="AC190" s="87"/>
      <c r="AD190" s="87"/>
      <c r="AE190" s="87"/>
    </row>
    <row r="191" spans="1:53" x14ac:dyDescent="0.2">
      <c r="A191" s="651" t="s">
        <v>133</v>
      </c>
      <c r="B191" s="651"/>
      <c r="C191" s="651"/>
      <c r="D191" s="651"/>
      <c r="E191" s="651"/>
      <c r="F191" s="89"/>
      <c r="G191" s="87"/>
      <c r="H191" s="87"/>
      <c r="I191" s="87"/>
      <c r="J191" s="87"/>
      <c r="K191" s="87"/>
      <c r="L191" s="87"/>
      <c r="M191" s="87"/>
      <c r="N191" s="87"/>
      <c r="S191" s="90"/>
      <c r="T191" s="90"/>
      <c r="U191" s="652" t="s">
        <v>134</v>
      </c>
      <c r="V191" s="652"/>
      <c r="W191" s="652"/>
      <c r="X191" s="652"/>
      <c r="Y191" s="652"/>
      <c r="Z191" s="652"/>
      <c r="AA191" s="665"/>
      <c r="AB191" s="87"/>
      <c r="AC191" s="87"/>
      <c r="AD191" s="87"/>
      <c r="AE191" s="87"/>
    </row>
    <row r="192" spans="1:53" x14ac:dyDescent="0.2">
      <c r="A192" s="87"/>
      <c r="B192" s="87"/>
      <c r="C192" s="87"/>
      <c r="D192" s="87"/>
      <c r="E192" s="87"/>
      <c r="F192" s="89"/>
      <c r="G192" s="87"/>
      <c r="H192" s="87"/>
      <c r="I192" s="87"/>
      <c r="J192" s="87"/>
      <c r="K192" s="87"/>
      <c r="L192" s="87"/>
      <c r="M192" s="87"/>
      <c r="N192" s="87"/>
      <c r="R192" s="87"/>
      <c r="S192" s="87"/>
      <c r="T192" s="87"/>
      <c r="U192" s="87"/>
      <c r="V192" s="87"/>
      <c r="W192" s="87"/>
      <c r="X192" s="87"/>
      <c r="Y192" s="87"/>
      <c r="Z192" s="87"/>
      <c r="AA192" s="91"/>
      <c r="AB192" s="87"/>
      <c r="AC192" s="87"/>
      <c r="AD192" s="87"/>
      <c r="AE192" s="87"/>
    </row>
    <row r="193" spans="1:53" ht="13.5" thickBot="1" x14ac:dyDescent="0.25">
      <c r="A193" s="652" t="str">
        <f>B212&amp;" ref"</f>
        <v>Sumter VBC 14 ref</v>
      </c>
      <c r="B193" s="652"/>
      <c r="C193" s="652"/>
      <c r="D193" s="652"/>
      <c r="E193" s="665"/>
      <c r="F193" s="661" t="str">
        <f>IF(H218=1,B210,IF(H218=2,B211,IF(H218=3,B212,IF(H218=4,B213,"Winner Match 1"))))</f>
        <v>Lake Murray 14 Black</v>
      </c>
      <c r="G193" s="662"/>
      <c r="H193" s="662"/>
      <c r="I193" s="662"/>
      <c r="J193" s="662"/>
      <c r="K193" s="662"/>
      <c r="L193" s="662"/>
      <c r="M193" s="662"/>
      <c r="N193" s="87"/>
      <c r="P193" s="92"/>
      <c r="Q193" s="92"/>
      <c r="R193" s="92"/>
      <c r="S193" s="92"/>
      <c r="T193" s="652" t="str">
        <f>X212&amp;" ref"</f>
        <v>Palm Strikers 14 Select ref</v>
      </c>
      <c r="U193" s="652"/>
      <c r="V193" s="652"/>
      <c r="W193" s="652"/>
      <c r="X193" s="652"/>
      <c r="Y193" s="652"/>
      <c r="Z193" s="652"/>
      <c r="AA193" s="665"/>
      <c r="AB193" s="661" t="str">
        <f>IF(AC218=1,X210,IF(AC218=2,X211,IF(AC218=3,X212,IF(AC218=4,X213,"Winner Match 1"))))</f>
        <v>Magnum Greenwood 14 Purpl</v>
      </c>
      <c r="AC193" s="662"/>
      <c r="AD193" s="662"/>
      <c r="AE193" s="662"/>
      <c r="AF193" s="662"/>
      <c r="AG193" s="662"/>
      <c r="AH193" s="662"/>
    </row>
    <row r="194" spans="1:53" x14ac:dyDescent="0.2">
      <c r="A194" s="659" t="s">
        <v>135</v>
      </c>
      <c r="B194" s="659"/>
      <c r="C194" s="659"/>
      <c r="D194" s="659"/>
      <c r="E194" s="659"/>
      <c r="F194" s="672"/>
      <c r="G194" s="673"/>
      <c r="H194" s="673"/>
      <c r="I194" s="674"/>
      <c r="J194" s="657"/>
      <c r="K194" s="658"/>
      <c r="L194" s="658"/>
      <c r="M194" s="658"/>
      <c r="N194" s="87"/>
      <c r="O194" s="87"/>
      <c r="P194" s="93"/>
      <c r="Q194" s="6"/>
      <c r="R194" s="94"/>
      <c r="S194" s="94"/>
      <c r="T194" s="675" t="s">
        <v>136</v>
      </c>
      <c r="U194" s="675"/>
      <c r="V194" s="675"/>
      <c r="W194" s="675"/>
      <c r="X194" s="675"/>
      <c r="Y194" s="675"/>
      <c r="Z194" s="675"/>
      <c r="AA194" s="91"/>
      <c r="AB194" s="672"/>
      <c r="AC194" s="673"/>
      <c r="AD194" s="673"/>
      <c r="AE194" s="674"/>
      <c r="AF194" s="657"/>
      <c r="AG194" s="658"/>
      <c r="AH194" s="658"/>
    </row>
    <row r="195" spans="1:53" ht="13.5" thickBot="1" x14ac:dyDescent="0.25">
      <c r="A195" s="649" t="str">
        <f>IF(D218=1,B210,IF(D218=2,B211,IF(D218=3,B212,IF(D218=4,B213,IF(OR(D218="B",D218="b"),"BYE","invalid")))))</f>
        <v>Intense 14 Region Elite</v>
      </c>
      <c r="B195" s="649"/>
      <c r="C195" s="649"/>
      <c r="D195" s="649"/>
      <c r="E195" s="650"/>
      <c r="F195" s="89"/>
      <c r="G195" s="87"/>
      <c r="H195" s="87"/>
      <c r="I195" s="87"/>
      <c r="J195" s="89"/>
      <c r="K195" s="87"/>
      <c r="L195" s="87"/>
      <c r="M195" s="87"/>
      <c r="N195" s="87"/>
      <c r="O195" s="87"/>
      <c r="P195" s="87"/>
      <c r="T195" s="87"/>
      <c r="U195" s="649" t="str">
        <f>IF(Y218=1,X210,IF(Y218=2,X211,IF(Y218=3,X212,IF(Y218=4,X213,IF(OR(Y218="B",Y218="b"),"BYE","invalid")))))</f>
        <v>Magnum Greenwood 14 Purpl</v>
      </c>
      <c r="V195" s="649"/>
      <c r="W195" s="649"/>
      <c r="X195" s="649"/>
      <c r="Y195" s="649"/>
      <c r="Z195" s="649"/>
      <c r="AA195" s="650"/>
      <c r="AB195" s="87"/>
      <c r="AC195" s="87"/>
      <c r="AD195" s="87"/>
      <c r="AE195" s="91"/>
      <c r="AF195" s="87"/>
      <c r="AG195" s="87"/>
    </row>
    <row r="196" spans="1:53" x14ac:dyDescent="0.2">
      <c r="A196" s="651" t="s">
        <v>137</v>
      </c>
      <c r="B196" s="651"/>
      <c r="C196" s="651"/>
      <c r="D196" s="651"/>
      <c r="E196" s="651"/>
      <c r="F196" s="87"/>
      <c r="G196" s="87"/>
      <c r="H196" s="87"/>
      <c r="I196" s="87"/>
      <c r="J196" s="89"/>
      <c r="K196" s="87"/>
      <c r="L196" s="87"/>
      <c r="M196" s="87"/>
      <c r="N196" s="87"/>
      <c r="O196" s="87"/>
      <c r="P196" s="87"/>
      <c r="U196" s="670" t="s">
        <v>138</v>
      </c>
      <c r="V196" s="670"/>
      <c r="W196" s="670"/>
      <c r="X196" s="670"/>
      <c r="Y196" s="670"/>
      <c r="Z196" s="670"/>
      <c r="AA196" s="670"/>
      <c r="AB196" s="87"/>
      <c r="AC196" s="87"/>
      <c r="AD196" s="87"/>
      <c r="AE196" s="91"/>
      <c r="AF196" s="87"/>
      <c r="AG196" s="87"/>
      <c r="AQ196" s="95"/>
      <c r="AR196" s="95"/>
      <c r="AS196" s="95"/>
    </row>
    <row r="197" spans="1:53" x14ac:dyDescent="0.2">
      <c r="A197" s="87"/>
      <c r="B197" s="87"/>
      <c r="C197" s="87"/>
      <c r="D197" s="87"/>
      <c r="E197" s="87"/>
      <c r="F197" s="664" t="s">
        <v>139</v>
      </c>
      <c r="G197" s="664"/>
      <c r="H197" s="664"/>
      <c r="I197" s="671"/>
      <c r="J197" s="89"/>
      <c r="K197" s="87"/>
      <c r="L197" s="87"/>
      <c r="M197" s="87"/>
      <c r="N197" s="87"/>
      <c r="O197" s="87"/>
      <c r="P197" s="87"/>
      <c r="R197" s="87"/>
      <c r="S197" s="87"/>
      <c r="T197" s="87"/>
      <c r="U197" s="87"/>
      <c r="V197" s="87"/>
      <c r="W197" s="92"/>
      <c r="X197" s="92"/>
      <c r="Y197" s="92"/>
      <c r="AA197" s="92"/>
      <c r="AB197" s="664" t="s">
        <v>139</v>
      </c>
      <c r="AC197" s="664"/>
      <c r="AD197" s="664"/>
      <c r="AE197" s="671"/>
      <c r="AF197" s="87"/>
      <c r="AG197" s="87"/>
    </row>
    <row r="198" spans="1:53" ht="13.5" thickBot="1" x14ac:dyDescent="0.25">
      <c r="A198" s="87"/>
      <c r="B198" s="87"/>
      <c r="C198" s="87"/>
      <c r="D198" s="87"/>
      <c r="E198" s="87"/>
      <c r="F198" s="87"/>
      <c r="G198" s="87"/>
      <c r="H198" s="87"/>
      <c r="I198" s="87"/>
      <c r="J198" s="666" t="str">
        <f>IF(K223=1,B210,IF(K223=2,B211,IF(K223=3,B212,IF(K223=4,B213,"Division Winner"))))</f>
        <v>Lake Murray 14 Black</v>
      </c>
      <c r="K198" s="667"/>
      <c r="L198" s="667"/>
      <c r="M198" s="667"/>
      <c r="N198" s="667"/>
      <c r="O198" s="667"/>
      <c r="P198" s="667"/>
      <c r="Q198" s="130"/>
      <c r="R198" s="87"/>
      <c r="S198" s="87"/>
      <c r="T198" s="87"/>
      <c r="U198" s="87"/>
      <c r="V198" s="87"/>
      <c r="W198" s="87"/>
      <c r="X198" s="87"/>
      <c r="Y198" s="87"/>
      <c r="Z198" s="87"/>
      <c r="AA198" s="97"/>
      <c r="AB198" s="97"/>
      <c r="AC198" s="97"/>
      <c r="AD198" s="97"/>
      <c r="AE198" s="98"/>
      <c r="AF198" s="667" t="str">
        <f>IF(AF223=1,X210,IF(AF223=2,X211,IF(AF223=3,X212,IF(AF223=4,X213,"Division Winner"))))</f>
        <v>Palm Strikers 14 Select</v>
      </c>
      <c r="AG198" s="667"/>
      <c r="AH198" s="667"/>
      <c r="AI198" s="667"/>
      <c r="AJ198" s="667"/>
      <c r="AK198" s="97"/>
    </row>
    <row r="199" spans="1:53" ht="13.5" thickBot="1" x14ac:dyDescent="0.25">
      <c r="A199" s="649" t="str">
        <f>IF(E218=1,B210,IF(E218=2,B211,IF(E218=3,B212,IF(E218=4,B213,IF(OR(E218="B",E218="b"),"BYE","invalid")))))</f>
        <v>TLVC 14 Gray</v>
      </c>
      <c r="B199" s="649"/>
      <c r="C199" s="649"/>
      <c r="D199" s="649"/>
      <c r="E199" s="649"/>
      <c r="F199" s="659" t="s">
        <v>140</v>
      </c>
      <c r="G199" s="659"/>
      <c r="H199" s="659"/>
      <c r="I199" s="659"/>
      <c r="J199" s="663" t="s">
        <v>141</v>
      </c>
      <c r="K199" s="664"/>
      <c r="L199" s="664"/>
      <c r="M199" s="664"/>
      <c r="N199" s="664"/>
      <c r="O199" s="664"/>
      <c r="P199" s="664"/>
      <c r="R199" s="97"/>
      <c r="S199" s="97"/>
      <c r="T199" s="97"/>
      <c r="U199" s="649" t="str">
        <f>IF(Z218=1,X210,IF(Z218=2,X211,IF(Z218=3,X212,IF(Z218=4,X213,IF(OR(Z218="B",Z218="b"),"BYE","invalid")))))</f>
        <v>RHVC 14 Club Hunter</v>
      </c>
      <c r="V199" s="649"/>
      <c r="W199" s="649"/>
      <c r="X199" s="649"/>
      <c r="Y199" s="649"/>
      <c r="Z199" s="649"/>
      <c r="AA199" s="649"/>
      <c r="AB199" s="659" t="s">
        <v>142</v>
      </c>
      <c r="AC199" s="659"/>
      <c r="AD199" s="659"/>
      <c r="AE199" s="660"/>
      <c r="AF199" s="668" t="s">
        <v>143</v>
      </c>
      <c r="AG199" s="669"/>
      <c r="AH199" s="669"/>
      <c r="AI199" s="669"/>
      <c r="AJ199" s="669"/>
    </row>
    <row r="200" spans="1:53" x14ac:dyDescent="0.2">
      <c r="A200" s="651" t="s">
        <v>144</v>
      </c>
      <c r="B200" s="651"/>
      <c r="C200" s="651"/>
      <c r="D200" s="651"/>
      <c r="E200" s="651"/>
      <c r="F200" s="89"/>
      <c r="G200" s="87"/>
      <c r="H200" s="87"/>
      <c r="I200" s="87"/>
      <c r="J200" s="663"/>
      <c r="K200" s="664"/>
      <c r="L200" s="664"/>
      <c r="M200" s="664"/>
      <c r="N200" s="664"/>
      <c r="O200" s="664"/>
      <c r="P200" s="664"/>
      <c r="Q200" s="87"/>
      <c r="R200" s="95"/>
      <c r="S200" s="95"/>
      <c r="T200" s="95"/>
      <c r="U200" s="652" t="s">
        <v>145</v>
      </c>
      <c r="V200" s="652"/>
      <c r="W200" s="652"/>
      <c r="X200" s="652"/>
      <c r="Y200" s="652"/>
      <c r="Z200" s="652"/>
      <c r="AA200" s="665"/>
      <c r="AB200" s="87"/>
      <c r="AC200" s="87"/>
      <c r="AD200" s="87"/>
      <c r="AE200" s="91"/>
      <c r="AF200" s="87"/>
      <c r="AG200" s="87"/>
    </row>
    <row r="201" spans="1:53" x14ac:dyDescent="0.2">
      <c r="A201" s="87"/>
      <c r="B201" s="87"/>
      <c r="C201" s="87"/>
      <c r="D201" s="87"/>
      <c r="E201" s="87"/>
      <c r="F201" s="89"/>
      <c r="G201" s="87"/>
      <c r="H201" s="87"/>
      <c r="I201" s="87"/>
      <c r="J201" s="89"/>
      <c r="K201" s="87"/>
      <c r="L201" s="87"/>
      <c r="M201" s="87"/>
      <c r="N201" s="87"/>
      <c r="P201" s="87"/>
      <c r="Q201" s="87"/>
      <c r="R201" s="87"/>
      <c r="S201" s="87"/>
      <c r="T201" s="87"/>
      <c r="U201" s="87"/>
      <c r="V201" s="87"/>
      <c r="W201" s="87"/>
      <c r="X201" s="87"/>
      <c r="Y201" s="87"/>
      <c r="Z201" s="87"/>
      <c r="AA201" s="91"/>
      <c r="AB201" s="89"/>
      <c r="AC201" s="87"/>
      <c r="AD201" s="87"/>
      <c r="AE201" s="91"/>
      <c r="AF201" s="87"/>
      <c r="AG201" s="87"/>
      <c r="AW201" s="57"/>
      <c r="AX201" s="54"/>
      <c r="AY201" s="54"/>
      <c r="AZ201" s="54"/>
      <c r="BA201" s="54"/>
    </row>
    <row r="202" spans="1:53" ht="13.5" thickBot="1" x14ac:dyDescent="0.25">
      <c r="A202" s="664" t="s">
        <v>146</v>
      </c>
      <c r="B202" s="664"/>
      <c r="C202" s="664"/>
      <c r="D202" s="664"/>
      <c r="E202" s="93"/>
      <c r="F202" s="654"/>
      <c r="G202" s="655"/>
      <c r="H202" s="655"/>
      <c r="I202" s="656"/>
      <c r="J202" s="657"/>
      <c r="K202" s="658"/>
      <c r="L202" s="658"/>
      <c r="M202" s="658"/>
      <c r="N202" s="87"/>
      <c r="Q202" s="92"/>
      <c r="R202" s="92"/>
      <c r="S202" s="92"/>
      <c r="T202" s="664" t="s">
        <v>146</v>
      </c>
      <c r="U202" s="664"/>
      <c r="V202" s="664"/>
      <c r="W202" s="664"/>
      <c r="X202" s="664"/>
      <c r="Y202" s="664"/>
      <c r="Z202" s="664"/>
      <c r="AA202" s="87"/>
      <c r="AB202" s="654"/>
      <c r="AC202" s="655"/>
      <c r="AD202" s="655"/>
      <c r="AE202" s="656"/>
      <c r="AF202" s="657"/>
      <c r="AG202" s="658"/>
      <c r="AH202" s="658"/>
      <c r="AW202" s="57"/>
      <c r="AX202" s="54"/>
      <c r="AY202" s="54"/>
      <c r="AZ202" s="54"/>
      <c r="BA202" s="54"/>
    </row>
    <row r="203" spans="1:53" x14ac:dyDescent="0.2">
      <c r="A203" s="659" t="s">
        <v>135</v>
      </c>
      <c r="B203" s="659"/>
      <c r="C203" s="659"/>
      <c r="D203" s="659"/>
      <c r="E203" s="660"/>
      <c r="F203" s="661" t="str">
        <f>IF(J218=1,B210,IF(J218=2,B211,IF(J218=3,B212,IF(J218=4,B213,"Winner Match 2"))))</f>
        <v>Sumter VBC 14</v>
      </c>
      <c r="G203" s="662"/>
      <c r="H203" s="662"/>
      <c r="I203" s="662"/>
      <c r="J203" s="662"/>
      <c r="K203" s="662"/>
      <c r="L203" s="662"/>
      <c r="M203" s="662"/>
      <c r="N203" s="87"/>
      <c r="P203" s="93"/>
      <c r="Q203" s="93"/>
      <c r="S203" s="94"/>
      <c r="T203" s="659" t="s">
        <v>136</v>
      </c>
      <c r="U203" s="659"/>
      <c r="V203" s="659"/>
      <c r="W203" s="659"/>
      <c r="X203" s="659"/>
      <c r="Y203" s="659"/>
      <c r="Z203" s="659"/>
      <c r="AA203" s="91"/>
      <c r="AB203" s="661" t="str">
        <f>IF(AE218=1,X210,IF(AE218=2,X211,IF(AE218=3,X212,IF(AE218=4,X213,"Winner Match 2"))))</f>
        <v>Palm Strikers 14 Select</v>
      </c>
      <c r="AC203" s="662"/>
      <c r="AD203" s="662"/>
      <c r="AE203" s="662"/>
      <c r="AF203" s="662"/>
      <c r="AG203" s="662"/>
      <c r="AH203" s="662"/>
      <c r="AW203" s="57"/>
      <c r="AX203" s="54"/>
      <c r="AY203" s="54"/>
      <c r="AZ203" s="54"/>
      <c r="BA203" s="54"/>
    </row>
    <row r="204" spans="1:53" ht="13.5" thickBot="1" x14ac:dyDescent="0.25">
      <c r="A204" s="649" t="str">
        <f>IF(G218=1,B210,IF(G218=2,B211,IF(G218=3,B212,IF(G218=4,B213,IF(OR(G218="B",G218="b"),"BYE","invalid")))))</f>
        <v>Sumter VBC 14</v>
      </c>
      <c r="B204" s="649"/>
      <c r="C204" s="649"/>
      <c r="D204" s="649"/>
      <c r="E204" s="650"/>
      <c r="F204" s="89"/>
      <c r="G204" s="87"/>
      <c r="H204" s="87"/>
      <c r="I204" s="87"/>
      <c r="J204" s="87"/>
      <c r="K204" s="87"/>
      <c r="L204" s="87"/>
      <c r="M204" s="87"/>
      <c r="N204" s="87"/>
      <c r="P204" s="87"/>
      <c r="Q204" s="87"/>
      <c r="R204" s="87"/>
      <c r="S204" s="97"/>
      <c r="T204" s="97"/>
      <c r="U204" s="649" t="str">
        <f>IF(AB218=1,X210,IF(AB218=2,X211,IF(AB218=3,X212,IF(AB218=4,X213,IF(OR(AB218="B",AB218="b"),"BYE","invalid")))))</f>
        <v>Palm Strikers 14 Select</v>
      </c>
      <c r="V204" s="649"/>
      <c r="W204" s="649"/>
      <c r="X204" s="649"/>
      <c r="Y204" s="649"/>
      <c r="Z204" s="649"/>
      <c r="AA204" s="650"/>
      <c r="AB204" s="87"/>
      <c r="AC204" s="87"/>
      <c r="AD204" s="87"/>
      <c r="AE204" s="87"/>
      <c r="AW204" s="57"/>
      <c r="AX204" s="54"/>
      <c r="AY204" s="54"/>
      <c r="AZ204" s="54"/>
      <c r="BA204" s="54"/>
    </row>
    <row r="205" spans="1:53" x14ac:dyDescent="0.2">
      <c r="A205" s="651" t="s">
        <v>147</v>
      </c>
      <c r="B205" s="651"/>
      <c r="C205" s="651"/>
      <c r="D205" s="651"/>
      <c r="E205" s="651"/>
      <c r="S205" s="95"/>
      <c r="T205" s="95"/>
      <c r="U205" s="652" t="s">
        <v>148</v>
      </c>
      <c r="V205" s="652"/>
      <c r="W205" s="652"/>
      <c r="X205" s="652"/>
      <c r="Y205" s="652"/>
      <c r="Z205" s="652"/>
      <c r="AA205" s="652"/>
      <c r="AW205" s="57"/>
      <c r="AX205" s="54"/>
      <c r="AY205" s="54"/>
      <c r="AZ205" s="54"/>
      <c r="BA205" s="54"/>
    </row>
    <row r="206" spans="1:53" x14ac:dyDescent="0.2">
      <c r="AT206" s="54"/>
      <c r="AU206" s="54"/>
      <c r="AV206" s="54"/>
      <c r="AW206" s="57"/>
      <c r="AX206" s="54"/>
      <c r="AY206" s="54"/>
      <c r="AZ206" s="54"/>
      <c r="BA206" s="54"/>
    </row>
    <row r="207" spans="1:53" x14ac:dyDescent="0.2">
      <c r="AT207" s="54"/>
      <c r="AU207" s="54"/>
      <c r="AV207" s="54"/>
      <c r="AW207" s="57"/>
      <c r="AX207" s="54"/>
      <c r="AY207" s="54"/>
      <c r="AZ207" s="54"/>
      <c r="BA207" s="54"/>
    </row>
    <row r="208" spans="1:53" ht="16.5" thickBot="1" x14ac:dyDescent="0.3">
      <c r="A208" s="653" t="s">
        <v>149</v>
      </c>
      <c r="B208" s="653"/>
      <c r="C208" s="653"/>
      <c r="D208" s="653"/>
      <c r="E208" s="653"/>
      <c r="F208" s="653"/>
      <c r="G208" s="653"/>
      <c r="H208" s="653"/>
      <c r="I208" s="653"/>
      <c r="J208" s="653"/>
      <c r="Q208" s="99"/>
      <c r="R208" s="99"/>
      <c r="S208" s="99"/>
      <c r="U208" s="653" t="s">
        <v>150</v>
      </c>
      <c r="V208" s="653"/>
      <c r="W208" s="653"/>
      <c r="X208" s="653"/>
      <c r="Y208" s="653"/>
      <c r="Z208" s="653"/>
      <c r="AA208" s="653"/>
      <c r="AB208" s="653"/>
      <c r="AC208" s="653"/>
      <c r="AD208" s="653"/>
      <c r="AE208" s="653"/>
      <c r="AF208" s="653"/>
      <c r="AT208" s="54"/>
      <c r="AU208" s="54"/>
      <c r="AV208" s="54"/>
      <c r="AW208" s="57"/>
      <c r="AX208" s="54"/>
      <c r="AY208" s="54"/>
      <c r="AZ208" s="54"/>
      <c r="BA208" s="54"/>
    </row>
    <row r="209" spans="1:53" ht="13.5" thickBot="1" x14ac:dyDescent="0.25">
      <c r="A209" s="100" t="s">
        <v>151</v>
      </c>
      <c r="B209" s="643" t="s">
        <v>152</v>
      </c>
      <c r="C209" s="644"/>
      <c r="D209" s="644"/>
      <c r="E209" s="644"/>
      <c r="F209" s="644"/>
      <c r="G209" s="644"/>
      <c r="H209" s="644"/>
      <c r="I209" s="644"/>
      <c r="J209" s="645"/>
      <c r="K209" s="646" t="s">
        <v>153</v>
      </c>
      <c r="L209" s="647"/>
      <c r="M209" s="647"/>
      <c r="N209" s="647"/>
      <c r="O209" s="647"/>
      <c r="P209" s="647"/>
      <c r="Q209" s="648"/>
      <c r="U209" s="631" t="s">
        <v>151</v>
      </c>
      <c r="V209" s="632"/>
      <c r="W209" s="633"/>
      <c r="X209" s="643" t="s">
        <v>152</v>
      </c>
      <c r="Y209" s="644"/>
      <c r="Z209" s="644"/>
      <c r="AA209" s="644"/>
      <c r="AB209" s="644"/>
      <c r="AC209" s="644"/>
      <c r="AD209" s="644"/>
      <c r="AE209" s="644"/>
      <c r="AF209" s="645"/>
      <c r="AG209" s="646" t="s">
        <v>153</v>
      </c>
      <c r="AH209" s="647"/>
      <c r="AI209" s="647"/>
      <c r="AJ209" s="647"/>
      <c r="AK209" s="647"/>
      <c r="AL209" s="647"/>
      <c r="AM209" s="648"/>
      <c r="AT209" s="54"/>
      <c r="AU209" s="54"/>
      <c r="AV209" s="54"/>
      <c r="AW209" s="57"/>
      <c r="AX209" s="54"/>
      <c r="AY209" s="54"/>
      <c r="AZ209" s="54"/>
      <c r="BA209" s="54"/>
    </row>
    <row r="210" spans="1:53" ht="13.5" thickBot="1" x14ac:dyDescent="0.25">
      <c r="A210" s="100">
        <v>1</v>
      </c>
      <c r="B210" s="625" t="str">
        <f>B179</f>
        <v>Lake Murray 14 Black</v>
      </c>
      <c r="C210" s="626"/>
      <c r="D210" s="626"/>
      <c r="E210" s="626"/>
      <c r="F210" s="626"/>
      <c r="G210" s="626"/>
      <c r="H210" s="626"/>
      <c r="I210" s="626"/>
      <c r="J210" s="627"/>
      <c r="K210" s="628" t="str">
        <f>H179</f>
        <v>fj4lakem2pm</v>
      </c>
      <c r="L210" s="629"/>
      <c r="M210" s="629"/>
      <c r="N210" s="629"/>
      <c r="O210" s="629"/>
      <c r="P210" s="629"/>
      <c r="Q210" s="630"/>
      <c r="U210" s="631">
        <v>1</v>
      </c>
      <c r="V210" s="632"/>
      <c r="W210" s="633"/>
      <c r="X210" s="625" t="str">
        <f>V179</f>
        <v>SC Midlands 14 Garnet</v>
      </c>
      <c r="Y210" s="626"/>
      <c r="Z210" s="626"/>
      <c r="AA210" s="626"/>
      <c r="AB210" s="626"/>
      <c r="AC210" s="626"/>
      <c r="AD210" s="626"/>
      <c r="AE210" s="626"/>
      <c r="AF210" s="627"/>
      <c r="AG210" s="628" t="str">
        <f>AB179</f>
        <v>fj4scmid4pm</v>
      </c>
      <c r="AH210" s="629"/>
      <c r="AI210" s="629"/>
      <c r="AJ210" s="629"/>
      <c r="AK210" s="629"/>
      <c r="AL210" s="629"/>
      <c r="AM210" s="630"/>
      <c r="AT210" s="54"/>
      <c r="AU210" s="54"/>
      <c r="AV210" s="54"/>
      <c r="AW210" s="57"/>
      <c r="AX210" s="54"/>
      <c r="AY210" s="54"/>
      <c r="AZ210" s="54"/>
      <c r="BA210" s="54"/>
    </row>
    <row r="211" spans="1:53" ht="13.5" thickBot="1" x14ac:dyDescent="0.25">
      <c r="A211" s="100">
        <v>2</v>
      </c>
      <c r="B211" s="625" t="str">
        <f>B180</f>
        <v>TLVC 14 Gray</v>
      </c>
      <c r="C211" s="626"/>
      <c r="D211" s="626"/>
      <c r="E211" s="626"/>
      <c r="F211" s="626"/>
      <c r="G211" s="626"/>
      <c r="H211" s="626"/>
      <c r="I211" s="626"/>
      <c r="J211" s="627"/>
      <c r="K211" s="628" t="str">
        <f>H180</f>
        <v>fj4tlife2cr</v>
      </c>
      <c r="L211" s="629"/>
      <c r="M211" s="629"/>
      <c r="N211" s="629"/>
      <c r="O211" s="629"/>
      <c r="P211" s="629"/>
      <c r="Q211" s="630"/>
      <c r="U211" s="631">
        <v>2</v>
      </c>
      <c r="V211" s="632"/>
      <c r="W211" s="633"/>
      <c r="X211" s="625" t="str">
        <f>V180</f>
        <v>RHVC 14 Club Hunter</v>
      </c>
      <c r="Y211" s="626"/>
      <c r="Z211" s="626"/>
      <c r="AA211" s="626"/>
      <c r="AB211" s="626"/>
      <c r="AC211" s="626"/>
      <c r="AD211" s="626"/>
      <c r="AE211" s="626"/>
      <c r="AF211" s="627"/>
      <c r="AG211" s="628" t="str">
        <f>AB180</f>
        <v>fj4rockh2pm</v>
      </c>
      <c r="AH211" s="629"/>
      <c r="AI211" s="629"/>
      <c r="AJ211" s="629"/>
      <c r="AK211" s="629"/>
      <c r="AL211" s="629"/>
      <c r="AM211" s="630"/>
      <c r="AT211" s="54"/>
      <c r="AU211" s="54"/>
      <c r="AV211" s="54"/>
      <c r="AW211" s="57"/>
      <c r="AX211" s="54"/>
      <c r="AY211" s="54"/>
      <c r="AZ211" s="54"/>
      <c r="BA211" s="54"/>
    </row>
    <row r="212" spans="1:53" ht="13.5" thickBot="1" x14ac:dyDescent="0.25">
      <c r="A212" s="100">
        <v>3</v>
      </c>
      <c r="B212" s="625" t="str">
        <f>L179</f>
        <v>Sumter VBC 14</v>
      </c>
      <c r="C212" s="626"/>
      <c r="D212" s="626"/>
      <c r="E212" s="626"/>
      <c r="F212" s="626"/>
      <c r="G212" s="626"/>
      <c r="H212" s="626"/>
      <c r="I212" s="626"/>
      <c r="J212" s="627"/>
      <c r="K212" s="628" t="str">
        <f>R179</f>
        <v>fj4sumtr1pm</v>
      </c>
      <c r="L212" s="629"/>
      <c r="M212" s="629"/>
      <c r="N212" s="629"/>
      <c r="O212" s="629"/>
      <c r="P212" s="629"/>
      <c r="Q212" s="630"/>
      <c r="U212" s="631">
        <v>3</v>
      </c>
      <c r="V212" s="632"/>
      <c r="W212" s="633"/>
      <c r="X212" s="625" t="str">
        <f>AF179</f>
        <v>Palm Strikers 14 Select</v>
      </c>
      <c r="Y212" s="626"/>
      <c r="Z212" s="626"/>
      <c r="AA212" s="626"/>
      <c r="AB212" s="626"/>
      <c r="AC212" s="626"/>
      <c r="AD212" s="626"/>
      <c r="AE212" s="626"/>
      <c r="AF212" s="627"/>
      <c r="AG212" s="628" t="str">
        <f>AL179</f>
        <v>fj4pstri2pm</v>
      </c>
      <c r="AH212" s="629"/>
      <c r="AI212" s="629"/>
      <c r="AJ212" s="629"/>
      <c r="AK212" s="629"/>
      <c r="AL212" s="629"/>
      <c r="AM212" s="630"/>
      <c r="AT212" s="54"/>
      <c r="AU212" s="54"/>
      <c r="AV212" s="54"/>
      <c r="AW212" s="57"/>
      <c r="AX212" s="54"/>
      <c r="AY212" s="54"/>
      <c r="AZ212" s="54"/>
      <c r="BA212" s="54"/>
    </row>
    <row r="213" spans="1:53" ht="13.5" thickBot="1" x14ac:dyDescent="0.25">
      <c r="A213" s="100">
        <v>4</v>
      </c>
      <c r="B213" s="625" t="str">
        <f>L180</f>
        <v>Intense 14 Region Elite</v>
      </c>
      <c r="C213" s="626"/>
      <c r="D213" s="626"/>
      <c r="E213" s="626"/>
      <c r="F213" s="626"/>
      <c r="G213" s="626"/>
      <c r="H213" s="626"/>
      <c r="I213" s="626"/>
      <c r="J213" s="627"/>
      <c r="K213" s="628" t="str">
        <f>R180</f>
        <v>fj4inten3pm</v>
      </c>
      <c r="L213" s="629"/>
      <c r="M213" s="629"/>
      <c r="N213" s="629"/>
      <c r="O213" s="629"/>
      <c r="P213" s="629"/>
      <c r="Q213" s="630"/>
      <c r="U213" s="631">
        <v>4</v>
      </c>
      <c r="V213" s="632"/>
      <c r="W213" s="633"/>
      <c r="X213" s="625" t="str">
        <f>AF180</f>
        <v>Magnum Greenwood 14 Purpl</v>
      </c>
      <c r="Y213" s="626"/>
      <c r="Z213" s="626"/>
      <c r="AA213" s="626"/>
      <c r="AB213" s="626"/>
      <c r="AC213" s="626"/>
      <c r="AD213" s="626"/>
      <c r="AE213" s="626"/>
      <c r="AF213" s="627"/>
      <c r="AG213" s="628" t="str">
        <f>AL180</f>
        <v>fj4magnm9pm</v>
      </c>
      <c r="AH213" s="629"/>
      <c r="AI213" s="629"/>
      <c r="AJ213" s="629"/>
      <c r="AK213" s="629"/>
      <c r="AL213" s="629"/>
      <c r="AM213" s="630"/>
      <c r="AT213" s="54"/>
      <c r="AU213" s="54"/>
      <c r="AV213" s="54"/>
      <c r="AW213" s="57"/>
      <c r="AX213" s="54"/>
      <c r="AY213" s="54"/>
      <c r="AZ213" s="54"/>
      <c r="BA213" s="54"/>
    </row>
    <row r="214" spans="1:53" ht="13.5" thickBot="1" x14ac:dyDescent="0.25">
      <c r="AT214" s="54"/>
      <c r="AU214" s="54"/>
      <c r="AV214" s="54"/>
      <c r="AW214" s="57"/>
      <c r="AX214" s="54"/>
      <c r="AY214" s="54"/>
      <c r="AZ214" s="54"/>
      <c r="BA214" s="54"/>
    </row>
    <row r="215" spans="1:53" x14ac:dyDescent="0.2">
      <c r="B215" s="634" t="s">
        <v>154</v>
      </c>
      <c r="C215" s="606"/>
      <c r="D215" s="607"/>
      <c r="E215" s="605" t="s">
        <v>154</v>
      </c>
      <c r="F215" s="606"/>
      <c r="G215" s="607"/>
      <c r="H215" s="605" t="s">
        <v>14</v>
      </c>
      <c r="I215" s="606"/>
      <c r="J215" s="608"/>
      <c r="K215" s="609" t="s">
        <v>155</v>
      </c>
      <c r="L215" s="635"/>
      <c r="M215" s="635"/>
      <c r="N215" s="635"/>
      <c r="O215" s="635"/>
      <c r="P215" s="635"/>
      <c r="Q215" s="636"/>
      <c r="R215" s="101"/>
      <c r="S215" s="101"/>
      <c r="T215" s="101"/>
      <c r="U215" s="101"/>
      <c r="W215" s="634" t="s">
        <v>154</v>
      </c>
      <c r="X215" s="606"/>
      <c r="Y215" s="607"/>
      <c r="Z215" s="605" t="s">
        <v>154</v>
      </c>
      <c r="AA215" s="606"/>
      <c r="AB215" s="607"/>
      <c r="AC215" s="605" t="s">
        <v>14</v>
      </c>
      <c r="AD215" s="606"/>
      <c r="AE215" s="608"/>
      <c r="AF215" s="609" t="s">
        <v>155</v>
      </c>
      <c r="AG215" s="610"/>
      <c r="AH215" s="610"/>
      <c r="AI215" s="610"/>
      <c r="AJ215" s="611"/>
      <c r="AW215" s="57"/>
      <c r="AX215" s="54"/>
      <c r="AY215" s="54"/>
      <c r="AZ215" s="54"/>
      <c r="BA215" s="54"/>
    </row>
    <row r="216" spans="1:53" x14ac:dyDescent="0.2">
      <c r="A216" s="40" t="s">
        <v>156</v>
      </c>
      <c r="B216" s="618">
        <v>3</v>
      </c>
      <c r="C216" s="619"/>
      <c r="D216" s="620"/>
      <c r="E216" s="621" t="s">
        <v>157</v>
      </c>
      <c r="F216" s="619"/>
      <c r="G216" s="620"/>
      <c r="H216" s="621" t="s">
        <v>158</v>
      </c>
      <c r="I216" s="619"/>
      <c r="J216" s="622"/>
      <c r="K216" s="637"/>
      <c r="L216" s="638"/>
      <c r="M216" s="638"/>
      <c r="N216" s="638"/>
      <c r="O216" s="638"/>
      <c r="P216" s="638"/>
      <c r="Q216" s="639"/>
      <c r="R216" s="101"/>
      <c r="S216" s="101"/>
      <c r="T216" s="623" t="s">
        <v>156</v>
      </c>
      <c r="U216" s="623"/>
      <c r="V216" s="624"/>
      <c r="W216" s="618">
        <v>3</v>
      </c>
      <c r="X216" s="619"/>
      <c r="Y216" s="620"/>
      <c r="Z216" s="621" t="s">
        <v>157</v>
      </c>
      <c r="AA216" s="619"/>
      <c r="AB216" s="620"/>
      <c r="AC216" s="621" t="s">
        <v>158</v>
      </c>
      <c r="AD216" s="619"/>
      <c r="AE216" s="622"/>
      <c r="AF216" s="612"/>
      <c r="AG216" s="613"/>
      <c r="AH216" s="613"/>
      <c r="AI216" s="613"/>
      <c r="AJ216" s="614"/>
      <c r="AW216" s="57"/>
      <c r="AX216" s="54"/>
      <c r="AY216" s="54"/>
      <c r="AZ216" s="54"/>
      <c r="BA216" s="54"/>
    </row>
    <row r="217" spans="1:53" ht="13.5" thickBot="1" x14ac:dyDescent="0.25">
      <c r="A217" s="7"/>
      <c r="B217" s="603" t="s">
        <v>68</v>
      </c>
      <c r="C217" s="598"/>
      <c r="D217" s="604"/>
      <c r="E217" s="597" t="s">
        <v>159</v>
      </c>
      <c r="F217" s="598"/>
      <c r="G217" s="604"/>
      <c r="H217" s="597" t="s">
        <v>160</v>
      </c>
      <c r="I217" s="598"/>
      <c r="J217" s="599"/>
      <c r="K217" s="640"/>
      <c r="L217" s="641"/>
      <c r="M217" s="641"/>
      <c r="N217" s="641"/>
      <c r="O217" s="641"/>
      <c r="P217" s="641"/>
      <c r="Q217" s="642"/>
      <c r="R217" s="101"/>
      <c r="S217" s="101"/>
      <c r="T217" s="584"/>
      <c r="U217" s="584"/>
      <c r="V217" s="585"/>
      <c r="W217" s="603" t="s">
        <v>68</v>
      </c>
      <c r="X217" s="598"/>
      <c r="Y217" s="604"/>
      <c r="Z217" s="597" t="s">
        <v>159</v>
      </c>
      <c r="AA217" s="598"/>
      <c r="AB217" s="604"/>
      <c r="AC217" s="597" t="s">
        <v>160</v>
      </c>
      <c r="AD217" s="598"/>
      <c r="AE217" s="599"/>
      <c r="AF217" s="615"/>
      <c r="AG217" s="616"/>
      <c r="AH217" s="616"/>
      <c r="AI217" s="616"/>
      <c r="AJ217" s="617"/>
      <c r="AW217" s="57"/>
      <c r="AX217" s="54"/>
      <c r="AY217" s="54"/>
      <c r="AZ217" s="54"/>
      <c r="BA217" s="54"/>
    </row>
    <row r="218" spans="1:53" ht="13.5" thickBot="1" x14ac:dyDescent="0.25">
      <c r="A218" s="7"/>
      <c r="B218" s="102">
        <v>1</v>
      </c>
      <c r="C218" s="103" t="s">
        <v>76</v>
      </c>
      <c r="D218" s="104">
        <v>4</v>
      </c>
      <c r="E218" s="105">
        <v>2</v>
      </c>
      <c r="F218" s="103" t="s">
        <v>76</v>
      </c>
      <c r="G218" s="104">
        <v>3</v>
      </c>
      <c r="H218" s="106">
        <f>IF(OR(AND(OR(B222&gt;0,D222&gt;0),B222&gt;D222),OR(D218="b",D218="B")),B218,IF(OR(AND(OR(B222&gt;0,D222&gt;0),D222&gt;B222),OR(B218="b",B218="B")),D218,"W1"))</f>
        <v>1</v>
      </c>
      <c r="I218" s="107" t="s">
        <v>76</v>
      </c>
      <c r="J218" s="108">
        <f>IF(OR(AND(OR(E222&gt;0,G222&gt;0),E222&gt;G222),OR(G218="b",G218="B")),E218,IF(OR(AND(OR(E222&gt;0,G222&gt;0),G222&gt;E222),OR(E218="b",E218="B")),G218,"W2"))</f>
        <v>3</v>
      </c>
      <c r="K218" s="600" t="s">
        <v>161</v>
      </c>
      <c r="L218" s="601"/>
      <c r="M218" s="601"/>
      <c r="N218" s="602"/>
      <c r="R218" s="101"/>
      <c r="S218" s="101"/>
      <c r="T218" s="584"/>
      <c r="U218" s="584"/>
      <c r="V218" s="585"/>
      <c r="W218" s="102">
        <v>1</v>
      </c>
      <c r="X218" s="103" t="s">
        <v>76</v>
      </c>
      <c r="Y218" s="104">
        <v>4</v>
      </c>
      <c r="Z218" s="105">
        <v>2</v>
      </c>
      <c r="AA218" s="103" t="s">
        <v>76</v>
      </c>
      <c r="AB218" s="104">
        <v>3</v>
      </c>
      <c r="AC218" s="106">
        <f>IF(OR(AND(OR(W222&gt;0,Y222&gt;0),W222&gt;Y222),OR(Y218="b",Y218="B")),W218,IF(OR(AND(OR(W222&gt;0,Y222&gt;0),Y222&gt;W222),OR(W218="b",W218="B")),Y218,"W1"))</f>
        <v>4</v>
      </c>
      <c r="AD218" s="107" t="s">
        <v>76</v>
      </c>
      <c r="AE218" s="108">
        <f>IF(OR(AND(OR(Z222&gt;0,AB222&gt;0),Z222&gt;AB222),OR(AB222="b",AB222="B")),Z218,IF(OR(AND(OR(Z222&gt;0,AB222&gt;0),AB222&gt;Z222),OR(Z222="b",Z222="B")),AB218,"W2"))</f>
        <v>3</v>
      </c>
      <c r="AF218" s="600" t="s">
        <v>161</v>
      </c>
      <c r="AG218" s="602"/>
      <c r="AH218" s="101"/>
      <c r="AI218" s="101"/>
      <c r="AJ218" s="101"/>
      <c r="AW218" s="57"/>
      <c r="AX218" s="54"/>
      <c r="AY218" s="54"/>
      <c r="AZ218" s="54"/>
      <c r="BA218" s="54"/>
    </row>
    <row r="219" spans="1:53" ht="13.5" hidden="1" customHeight="1" x14ac:dyDescent="0.2">
      <c r="A219" s="7"/>
      <c r="B219" s="109">
        <f>IF(B223&gt;D223,1,0)</f>
        <v>1</v>
      </c>
      <c r="C219" s="110"/>
      <c r="D219" s="111">
        <f>IF(D223&gt;B223,1,0)</f>
        <v>0</v>
      </c>
      <c r="E219" s="109">
        <f>IF(E223&gt;G223,1,0)</f>
        <v>0</v>
      </c>
      <c r="F219" s="110"/>
      <c r="G219" s="111">
        <f>IF(G223&gt;E223,1,0)</f>
        <v>1</v>
      </c>
      <c r="H219" s="109">
        <f>IF(H223&gt;J223,1,0)</f>
        <v>1</v>
      </c>
      <c r="I219" s="110"/>
      <c r="J219" s="111">
        <f>IF(J223&gt;H223,1,0)</f>
        <v>0</v>
      </c>
      <c r="K219" s="112"/>
      <c r="L219" s="113"/>
      <c r="M219" s="113"/>
      <c r="N219" s="114"/>
      <c r="R219" s="101"/>
      <c r="S219" s="101"/>
      <c r="T219" s="584"/>
      <c r="U219" s="584"/>
      <c r="V219" s="585"/>
      <c r="W219" s="109">
        <f>IF(W223&gt;Y223,1,0)</f>
        <v>0</v>
      </c>
      <c r="X219" s="110"/>
      <c r="Y219" s="111">
        <f>IF(Y223&gt;W223,1,0)</f>
        <v>1</v>
      </c>
      <c r="Z219" s="109">
        <f>IF(Z223&gt;AB223,1,0)</f>
        <v>0</v>
      </c>
      <c r="AA219" s="110"/>
      <c r="AB219" s="111">
        <f>IF(AB223&gt;Z223,1,0)</f>
        <v>1</v>
      </c>
      <c r="AC219" s="109">
        <f>IF(AC223&gt;AE223,1,0)</f>
        <v>0</v>
      </c>
      <c r="AD219" s="110"/>
      <c r="AE219" s="111">
        <f>IF(AE223&gt;AC223,1,0)</f>
        <v>1</v>
      </c>
      <c r="AF219" s="115"/>
      <c r="AG219" s="116"/>
      <c r="AH219" s="101"/>
      <c r="AI219" s="101"/>
      <c r="AJ219" s="101"/>
      <c r="AW219" s="57"/>
      <c r="AX219" s="54"/>
      <c r="AY219" s="54"/>
      <c r="AZ219" s="54"/>
      <c r="BA219" s="54"/>
    </row>
    <row r="220" spans="1:53" ht="13.5" hidden="1" customHeight="1" x14ac:dyDescent="0.2">
      <c r="A220" s="7"/>
      <c r="B220" s="109">
        <f>IF(B224&gt;D224,1,0)</f>
        <v>0</v>
      </c>
      <c r="C220" s="110"/>
      <c r="D220" s="111">
        <f>IF(D224&gt;B224,1,0)</f>
        <v>0</v>
      </c>
      <c r="E220" s="109">
        <f>IF(E224&gt;G224,1,0)</f>
        <v>0</v>
      </c>
      <c r="F220" s="110"/>
      <c r="G220" s="111">
        <f>IF(G224&gt;E224,1,0)</f>
        <v>0</v>
      </c>
      <c r="H220" s="109">
        <f>IF(H224&gt;J224,1,0)</f>
        <v>0</v>
      </c>
      <c r="I220" s="110"/>
      <c r="J220" s="111">
        <f>IF(J224&gt;H224,1,0)</f>
        <v>1</v>
      </c>
      <c r="K220" s="112"/>
      <c r="L220" s="113"/>
      <c r="M220" s="113"/>
      <c r="N220" s="114"/>
      <c r="R220" s="101"/>
      <c r="S220" s="101"/>
      <c r="T220" s="584"/>
      <c r="U220" s="584"/>
      <c r="V220" s="585"/>
      <c r="W220" s="109">
        <f>IF(W224&gt;Y224,1,0)</f>
        <v>0</v>
      </c>
      <c r="X220" s="110"/>
      <c r="Y220" s="111">
        <f>IF(Y224&gt;W224,1,0)</f>
        <v>0</v>
      </c>
      <c r="Z220" s="109">
        <f>IF(Z224&gt;AB224,1,0)</f>
        <v>0</v>
      </c>
      <c r="AA220" s="110"/>
      <c r="AB220" s="111">
        <f>IF(AB224&gt;Z224,1,0)</f>
        <v>0</v>
      </c>
      <c r="AC220" s="109">
        <f>IF(AC224&gt;AE224,1,0)</f>
        <v>0</v>
      </c>
      <c r="AD220" s="110"/>
      <c r="AE220" s="111">
        <f>IF(AE224&gt;AC224,1,0)</f>
        <v>1</v>
      </c>
      <c r="AF220" s="115"/>
      <c r="AG220" s="116"/>
      <c r="AH220" s="101"/>
      <c r="AI220" s="101"/>
      <c r="AJ220" s="101"/>
      <c r="AW220" s="57"/>
      <c r="AX220" s="54"/>
      <c r="AY220" s="54"/>
      <c r="AZ220" s="54"/>
      <c r="BA220" s="54"/>
    </row>
    <row r="221" spans="1:53" ht="13.5" hidden="1" customHeight="1" thickBot="1" x14ac:dyDescent="0.25">
      <c r="A221" s="7"/>
      <c r="B221" s="109">
        <f>IF(B225&gt;D225,1,0)</f>
        <v>0</v>
      </c>
      <c r="C221" s="110"/>
      <c r="D221" s="111">
        <f>IF(D225&gt;B225,1,0)</f>
        <v>0</v>
      </c>
      <c r="E221" s="109">
        <f>IF(E225&gt;G225,1,0)</f>
        <v>0</v>
      </c>
      <c r="F221" s="110"/>
      <c r="G221" s="111">
        <f>IF(G225&gt;E225,1,0)</f>
        <v>0</v>
      </c>
      <c r="H221" s="109">
        <f>IF(H225&gt;J225,1,0)</f>
        <v>1</v>
      </c>
      <c r="I221" s="110"/>
      <c r="J221" s="111">
        <f>IF(J225&gt;H225,1,0)</f>
        <v>0</v>
      </c>
      <c r="K221" s="112"/>
      <c r="L221" s="113"/>
      <c r="M221" s="113"/>
      <c r="N221" s="114"/>
      <c r="R221" s="101"/>
      <c r="S221" s="101"/>
      <c r="T221" s="584"/>
      <c r="U221" s="584"/>
      <c r="V221" s="585"/>
      <c r="W221" s="109">
        <f>IF(W225&gt;Y225,1,0)</f>
        <v>0</v>
      </c>
      <c r="X221" s="110"/>
      <c r="Y221" s="111">
        <f>IF(Y225&gt;W225,1,0)</f>
        <v>0</v>
      </c>
      <c r="Z221" s="109">
        <f>IF(Z225&gt;AB225,1,0)</f>
        <v>0</v>
      </c>
      <c r="AA221" s="110"/>
      <c r="AB221" s="111">
        <f>IF(AB225&gt;Z225,1,0)</f>
        <v>0</v>
      </c>
      <c r="AC221" s="109">
        <f>IF(AC225&gt;AE225,1,0)</f>
        <v>0</v>
      </c>
      <c r="AD221" s="110"/>
      <c r="AE221" s="111">
        <f>IF(AE225&gt;AC225,1,0)</f>
        <v>0</v>
      </c>
      <c r="AF221" s="115"/>
      <c r="AG221" s="116"/>
      <c r="AH221" s="101"/>
      <c r="AI221" s="101"/>
      <c r="AJ221" s="101"/>
      <c r="AW221" s="57"/>
      <c r="AX221" s="54"/>
      <c r="AY221" s="54"/>
      <c r="AZ221" s="54"/>
      <c r="BA221" s="54"/>
    </row>
    <row r="222" spans="1:53" ht="13.5" hidden="1" customHeight="1" x14ac:dyDescent="0.2">
      <c r="A222" s="7"/>
      <c r="B222" s="109">
        <f>SUM(B219:B221)</f>
        <v>1</v>
      </c>
      <c r="C222" s="110"/>
      <c r="D222" s="109">
        <f>SUM(D219:D221)</f>
        <v>0</v>
      </c>
      <c r="E222" s="109">
        <f>SUM(E219:E221)</f>
        <v>0</v>
      </c>
      <c r="F222" s="110"/>
      <c r="G222" s="109">
        <f>SUM(G219:G221)</f>
        <v>1</v>
      </c>
      <c r="H222" s="109">
        <f>SUM(H219:H221)</f>
        <v>2</v>
      </c>
      <c r="I222" s="110"/>
      <c r="J222" s="109">
        <f>SUM(J219:J221)</f>
        <v>1</v>
      </c>
      <c r="K222" s="112"/>
      <c r="L222" s="113"/>
      <c r="M222" s="113"/>
      <c r="N222" s="114"/>
      <c r="R222" s="101"/>
      <c r="S222" s="101"/>
      <c r="T222" s="584"/>
      <c r="U222" s="584"/>
      <c r="V222" s="585"/>
      <c r="W222" s="109">
        <f>SUM(W219:W221)</f>
        <v>0</v>
      </c>
      <c r="X222" s="110"/>
      <c r="Y222" s="109">
        <f>SUM(Y219:Y221)</f>
        <v>1</v>
      </c>
      <c r="Z222" s="109">
        <f>SUM(Z219:Z221)</f>
        <v>0</v>
      </c>
      <c r="AA222" s="110"/>
      <c r="AB222" s="109">
        <f>SUM(AB219:AB221)</f>
        <v>1</v>
      </c>
      <c r="AC222" s="109">
        <f>SUM(AC219:AC221)</f>
        <v>0</v>
      </c>
      <c r="AD222" s="110"/>
      <c r="AE222" s="109">
        <f>SUM(AE219:AE221)</f>
        <v>2</v>
      </c>
      <c r="AF222" s="115"/>
      <c r="AG222" s="116"/>
      <c r="AH222" s="101"/>
      <c r="AI222" s="101"/>
      <c r="AJ222" s="101"/>
      <c r="AW222" s="57"/>
      <c r="AX222" s="54"/>
      <c r="AY222" s="54"/>
      <c r="AZ222" s="54"/>
      <c r="BA222" s="54"/>
    </row>
    <row r="223" spans="1:53" ht="12.75" customHeight="1" x14ac:dyDescent="0.2">
      <c r="A223" s="5" t="s">
        <v>77</v>
      </c>
      <c r="B223" s="117">
        <v>25</v>
      </c>
      <c r="C223" s="49" t="s">
        <v>78</v>
      </c>
      <c r="D223" s="118">
        <v>18</v>
      </c>
      <c r="E223" s="119">
        <v>16</v>
      </c>
      <c r="F223" s="49" t="s">
        <v>78</v>
      </c>
      <c r="G223" s="118">
        <v>25</v>
      </c>
      <c r="H223" s="119">
        <v>25</v>
      </c>
      <c r="I223" s="49" t="s">
        <v>78</v>
      </c>
      <c r="J223" s="120">
        <v>22</v>
      </c>
      <c r="K223" s="586">
        <f>IF(AND(OR(H222&gt;0,J222&gt;0),AND(1&lt;=H218,H218&lt;=4),AND(1&lt;=J218,J218&lt;=4)),IF(H222&gt;J222,H218,IF(J222&gt;H222,J218,"")),"")</f>
        <v>1</v>
      </c>
      <c r="L223" s="587"/>
      <c r="M223" s="587"/>
      <c r="N223" s="588"/>
      <c r="R223" s="101"/>
      <c r="S223" s="101"/>
      <c r="T223" s="121"/>
      <c r="U223" s="121"/>
      <c r="V223" s="5" t="s">
        <v>77</v>
      </c>
      <c r="W223" s="117">
        <v>23</v>
      </c>
      <c r="X223" s="49" t="s">
        <v>78</v>
      </c>
      <c r="Y223" s="118">
        <v>25</v>
      </c>
      <c r="Z223" s="119">
        <v>19</v>
      </c>
      <c r="AA223" s="49" t="s">
        <v>78</v>
      </c>
      <c r="AB223" s="118">
        <v>25</v>
      </c>
      <c r="AC223" s="119">
        <v>21</v>
      </c>
      <c r="AD223" s="49" t="s">
        <v>78</v>
      </c>
      <c r="AE223" s="120">
        <v>25</v>
      </c>
      <c r="AF223" s="586">
        <f>IF(AND(OR(AC222&gt;0,AE222&gt;0),AND(1&lt;=AC218,AC218&lt;=4),AND(1&lt;=AE218,AE218&lt;=4)),IF(AC222&gt;AE222,AC218,IF(AE222&gt;AC222,AE218,"")),"")</f>
        <v>3</v>
      </c>
      <c r="AG223" s="588"/>
      <c r="AH223" s="101"/>
      <c r="AI223" s="101"/>
      <c r="AJ223" s="101"/>
      <c r="AW223" s="57"/>
      <c r="AX223" s="54"/>
      <c r="AY223" s="54"/>
      <c r="AZ223" s="54"/>
      <c r="BA223" s="54"/>
    </row>
    <row r="224" spans="1:53" ht="12.75" customHeight="1" x14ac:dyDescent="0.2">
      <c r="A224" s="5" t="s">
        <v>162</v>
      </c>
      <c r="B224" s="117"/>
      <c r="C224" s="49" t="s">
        <v>78</v>
      </c>
      <c r="D224" s="118"/>
      <c r="E224" s="119"/>
      <c r="F224" s="49" t="s">
        <v>78</v>
      </c>
      <c r="G224" s="118"/>
      <c r="H224" s="119">
        <v>22</v>
      </c>
      <c r="I224" s="49" t="s">
        <v>78</v>
      </c>
      <c r="J224" s="120">
        <v>25</v>
      </c>
      <c r="K224" s="589"/>
      <c r="L224" s="590"/>
      <c r="M224" s="590"/>
      <c r="N224" s="591"/>
      <c r="R224" s="101"/>
      <c r="S224" s="101"/>
      <c r="T224" s="121"/>
      <c r="U224" s="121"/>
      <c r="V224" s="5" t="s">
        <v>162</v>
      </c>
      <c r="W224" s="117"/>
      <c r="X224" s="49" t="s">
        <v>78</v>
      </c>
      <c r="Y224" s="118"/>
      <c r="Z224" s="119"/>
      <c r="AA224" s="49" t="s">
        <v>78</v>
      </c>
      <c r="AB224" s="118"/>
      <c r="AC224" s="119">
        <v>22</v>
      </c>
      <c r="AD224" s="49" t="s">
        <v>78</v>
      </c>
      <c r="AE224" s="120">
        <v>25</v>
      </c>
      <c r="AF224" s="589"/>
      <c r="AG224" s="591"/>
      <c r="AH224" s="101"/>
      <c r="AI224" s="101"/>
      <c r="AJ224" s="101"/>
      <c r="AW224" s="57"/>
      <c r="AX224" s="54"/>
      <c r="AY224" s="54"/>
      <c r="AZ224" s="54"/>
      <c r="BA224" s="54"/>
    </row>
    <row r="225" spans="1:77" ht="13.5" customHeight="1" thickBot="1" x14ac:dyDescent="0.25">
      <c r="A225" s="5" t="s">
        <v>163</v>
      </c>
      <c r="B225" s="122"/>
      <c r="C225" s="123" t="s">
        <v>78</v>
      </c>
      <c r="D225" s="124"/>
      <c r="E225" s="125"/>
      <c r="F225" s="123" t="s">
        <v>78</v>
      </c>
      <c r="G225" s="124"/>
      <c r="H225" s="125">
        <v>15</v>
      </c>
      <c r="I225" s="123" t="s">
        <v>78</v>
      </c>
      <c r="J225" s="126">
        <v>4</v>
      </c>
      <c r="K225" s="592"/>
      <c r="L225" s="593"/>
      <c r="M225" s="593"/>
      <c r="N225" s="594"/>
      <c r="R225" s="101"/>
      <c r="S225" s="101"/>
      <c r="T225" s="121"/>
      <c r="U225" s="121"/>
      <c r="V225" s="5" t="s">
        <v>163</v>
      </c>
      <c r="W225" s="122"/>
      <c r="X225" s="123" t="s">
        <v>78</v>
      </c>
      <c r="Y225" s="124"/>
      <c r="Z225" s="125"/>
      <c r="AA225" s="123" t="s">
        <v>78</v>
      </c>
      <c r="AB225" s="124"/>
      <c r="AC225" s="125"/>
      <c r="AD225" s="123" t="s">
        <v>78</v>
      </c>
      <c r="AE225" s="126"/>
      <c r="AF225" s="592"/>
      <c r="AG225" s="594"/>
      <c r="AH225" s="101"/>
      <c r="AI225" s="101"/>
      <c r="AJ225" s="101"/>
      <c r="AW225" s="57"/>
      <c r="AX225" s="54"/>
      <c r="AY225" s="54"/>
      <c r="AZ225" s="54"/>
      <c r="BA225" s="54"/>
    </row>
    <row r="226" spans="1:77" hidden="1" x14ac:dyDescent="0.2">
      <c r="B226" s="3"/>
      <c r="C226" s="127" t="s">
        <v>112</v>
      </c>
      <c r="D226" s="3" t="s">
        <v>164</v>
      </c>
      <c r="E226" s="3"/>
      <c r="F226" s="127"/>
      <c r="G226" s="4" t="s">
        <v>165</v>
      </c>
      <c r="J226" s="4" t="s">
        <v>166</v>
      </c>
      <c r="W226" s="3"/>
      <c r="X226" s="127" t="s">
        <v>112</v>
      </c>
      <c r="Y226" s="3" t="s">
        <v>164</v>
      </c>
      <c r="Z226" s="3"/>
      <c r="AA226" s="127"/>
      <c r="AB226" s="4" t="s">
        <v>165</v>
      </c>
      <c r="AE226" s="4" t="s">
        <v>166</v>
      </c>
      <c r="AT226" s="4" t="str">
        <f>B227</f>
        <v>Lake Murray 14 Black</v>
      </c>
      <c r="AU226" s="4">
        <f>J227</f>
        <v>1838.133719846739</v>
      </c>
      <c r="AW226" s="57"/>
      <c r="AX226" s="54"/>
      <c r="AY226" s="54"/>
      <c r="AZ226" s="54"/>
      <c r="BA226" s="54"/>
      <c r="BB226" s="57"/>
      <c r="BC226" s="54"/>
      <c r="BD226" s="54"/>
      <c r="BE226" s="57"/>
      <c r="BF226" s="54"/>
      <c r="BG226" s="54"/>
      <c r="BH226" s="57"/>
      <c r="BI226" s="54"/>
      <c r="BJ226" s="54"/>
      <c r="BK226" s="57"/>
      <c r="BL226" s="54"/>
      <c r="BM226" s="54"/>
      <c r="BN226" s="57"/>
      <c r="BO226" s="54"/>
      <c r="BP226" s="54"/>
      <c r="BQ226" s="57"/>
      <c r="BR226" s="54"/>
      <c r="BS226" s="54"/>
      <c r="BT226" s="57"/>
      <c r="BU226" s="54"/>
      <c r="BV226" s="54"/>
      <c r="BW226" s="57"/>
      <c r="BX226" s="54"/>
      <c r="BY226" s="54"/>
    </row>
    <row r="227" spans="1:77" hidden="1" x14ac:dyDescent="0.2">
      <c r="A227" s="4">
        <v>1</v>
      </c>
      <c r="B227" s="4" t="str">
        <f>B210</f>
        <v>Lake Murray 14 Black</v>
      </c>
      <c r="C227" s="4">
        <f>VLOOKUP(B227,AU$2:AY$22,4,FALSE)</f>
        <v>1827.2319232972654</v>
      </c>
      <c r="D227" s="4">
        <f>IF(A227=B218,B233,IF(A227=D218,D233,C227))</f>
        <v>1831.4967059866942</v>
      </c>
      <c r="G227" s="4">
        <f>IF(A227=E218,E233,IF(A227=G218,G233,D227))</f>
        <v>1831.4967059866942</v>
      </c>
      <c r="J227" s="4">
        <f>IF(A227=H218,H233,IF(A227=J218,J233,G227))</f>
        <v>1838.133719846739</v>
      </c>
      <c r="U227" s="128"/>
      <c r="V227" s="128">
        <v>1</v>
      </c>
      <c r="W227" s="4" t="str">
        <f>X210</f>
        <v>SC Midlands 14 Garnet</v>
      </c>
      <c r="X227" s="4">
        <f>VLOOKUP(W227,AU$2:AY$22,4,FALSE)</f>
        <v>1727.8468813603333</v>
      </c>
      <c r="Y227" s="4">
        <f>IF(V227=W218,W233,IF(V227=Y218,Y233,X227))</f>
        <v>1720.2289335203257</v>
      </c>
      <c r="AB227" s="4">
        <f>IF(V227=Z218,Z233,IF(V227=AB218,AB233,Y227))</f>
        <v>1720.2289335203257</v>
      </c>
      <c r="AE227" s="4">
        <f>IF(V227=AC218,AC233,IF(V227=AE218,AE233,AB227))</f>
        <v>1720.2289335203257</v>
      </c>
      <c r="AT227" s="4" t="str">
        <f>B228</f>
        <v>TLVC 14 Gray</v>
      </c>
      <c r="AU227" s="4">
        <f>J228</f>
        <v>1879.1516419632358</v>
      </c>
      <c r="AW227" s="57"/>
      <c r="AX227" s="54"/>
      <c r="AY227" s="54"/>
      <c r="AZ227" s="54"/>
      <c r="BA227" s="54"/>
      <c r="BB227" s="57"/>
      <c r="BC227" s="54"/>
      <c r="BD227" s="54"/>
      <c r="BE227" s="57"/>
      <c r="BF227" s="54"/>
      <c r="BG227" s="54"/>
      <c r="BH227" s="57"/>
      <c r="BI227" s="54"/>
      <c r="BJ227" s="54"/>
      <c r="BK227" s="57"/>
      <c r="BL227" s="54"/>
      <c r="BM227" s="54"/>
      <c r="BN227" s="57"/>
      <c r="BO227" s="54"/>
      <c r="BP227" s="54"/>
      <c r="BQ227" s="57"/>
      <c r="BR227" s="54"/>
      <c r="BS227" s="54"/>
      <c r="BT227" s="57"/>
      <c r="BU227" s="54"/>
      <c r="BV227" s="54"/>
      <c r="BW227" s="57"/>
      <c r="BX227" s="54"/>
      <c r="BY227" s="54"/>
    </row>
    <row r="228" spans="1:77" hidden="1" x14ac:dyDescent="0.2">
      <c r="A228" s="4">
        <v>2</v>
      </c>
      <c r="B228" s="4" t="str">
        <f>B211</f>
        <v>TLVC 14 Gray</v>
      </c>
      <c r="C228" s="4">
        <f>VLOOKUP(B228,AU$2:AY$22,4,FALSE)</f>
        <v>1889.1215582371156</v>
      </c>
      <c r="D228" s="4">
        <f>IF(A228=B218,B233,IF(A228=D218,D233,C228))</f>
        <v>1889.1215582371156</v>
      </c>
      <c r="G228" s="4">
        <f>IF(A228=E218,E233,IF(A228=G218,G233,D228))</f>
        <v>1879.1516419632358</v>
      </c>
      <c r="J228" s="4">
        <f>IF(A228=H218,H233,IF(A228=J218,J233,G228))</f>
        <v>1879.1516419632358</v>
      </c>
      <c r="U228" s="128"/>
      <c r="V228" s="128">
        <v>2</v>
      </c>
      <c r="W228" s="4" t="str">
        <f>X211</f>
        <v>RHVC 14 Club Hunter</v>
      </c>
      <c r="X228" s="4">
        <f>VLOOKUP(W228,AU$2:AY$22,4,FALSE)</f>
        <v>1724.3208126650675</v>
      </c>
      <c r="Y228" s="4">
        <f>IF(V228=W218,W233,IF(V228=Y218,Y233,X228))</f>
        <v>1724.3208126650675</v>
      </c>
      <c r="AB228" s="4">
        <f>IF(V228=Z218,Z233,IF(V228=AB218,AB233,Y228))</f>
        <v>1716.1266950832369</v>
      </c>
      <c r="AE228" s="4">
        <f>IF(V228=AC218,AC233,IF(V228=AE218,AE233,AB228))</f>
        <v>1716.1266950832369</v>
      </c>
      <c r="AT228" s="4" t="str">
        <f>B229</f>
        <v>Sumter VBC 14</v>
      </c>
      <c r="AU228" s="4">
        <f>J229</f>
        <v>1805.1071930791211</v>
      </c>
      <c r="AW228" s="57"/>
      <c r="AX228" s="54"/>
      <c r="AY228" s="54"/>
      <c r="AZ228" s="54"/>
      <c r="BA228" s="54"/>
      <c r="BB228" s="57"/>
      <c r="BC228" s="54"/>
      <c r="BD228" s="54"/>
      <c r="BE228" s="57"/>
      <c r="BF228" s="54"/>
      <c r="BG228" s="54"/>
      <c r="BH228" s="57"/>
      <c r="BI228" s="54"/>
      <c r="BJ228" s="54"/>
      <c r="BK228" s="57"/>
      <c r="BL228" s="54"/>
      <c r="BM228" s="54"/>
      <c r="BN228" s="57"/>
      <c r="BO228" s="54"/>
      <c r="BP228" s="54"/>
      <c r="BQ228" s="57"/>
      <c r="BR228" s="54"/>
      <c r="BS228" s="54"/>
      <c r="BT228" s="57"/>
      <c r="BU228" s="54"/>
      <c r="BV228" s="54"/>
      <c r="BW228" s="57"/>
      <c r="BX228" s="54"/>
      <c r="BY228" s="54"/>
    </row>
    <row r="229" spans="1:77" hidden="1" x14ac:dyDescent="0.2">
      <c r="A229" s="4">
        <v>3</v>
      </c>
      <c r="B229" s="4" t="str">
        <f>B212</f>
        <v>Sumter VBC 14</v>
      </c>
      <c r="C229" s="4">
        <f>VLOOKUP(B229,AU$2:AY$22,4,FALSE)</f>
        <v>1801.7742906652861</v>
      </c>
      <c r="D229" s="4">
        <f>IF(A229=B218,B233,IF(A229=D218,D233,C229))</f>
        <v>1801.7742906652861</v>
      </c>
      <c r="G229" s="4">
        <f>IF(A229=E218,E233,IF(A229=G218,G233,D229))</f>
        <v>1811.7442069391659</v>
      </c>
      <c r="J229" s="4">
        <f>IF(A229=H218,H233,IF(A229=J218,J233,G229))</f>
        <v>1805.1071930791211</v>
      </c>
      <c r="U229" s="128"/>
      <c r="V229" s="128">
        <v>3</v>
      </c>
      <c r="W229" s="4" t="str">
        <f>X212</f>
        <v>Palm Strikers 14 Select</v>
      </c>
      <c r="X229" s="4">
        <f>VLOOKUP(W229,AU$2:AY$22,4,FALSE)</f>
        <v>1715.8887380757503</v>
      </c>
      <c r="Y229" s="4">
        <f>IF(V229=W218,W233,IF(V229=Y218,Y233,X229))</f>
        <v>1715.8887380757503</v>
      </c>
      <c r="AB229" s="4">
        <f>IF(V229=Z218,Z233,IF(V229=AB218,AB233,Y229))</f>
        <v>1724.0828556575809</v>
      </c>
      <c r="AE229" s="4">
        <f>IF(V229=AC218,AC233,IF(V229=AE218,AE233,AB229))</f>
        <v>1741.3689204677482</v>
      </c>
      <c r="AT229" s="4" t="str">
        <f>B230</f>
        <v>Intense 14 Region Elite</v>
      </c>
      <c r="AU229" s="4">
        <f>J230</f>
        <v>1647.1294488255151</v>
      </c>
      <c r="AW229" s="57"/>
      <c r="AX229" s="54"/>
      <c r="AY229" s="54"/>
      <c r="AZ229" s="54"/>
      <c r="BA229" s="54"/>
      <c r="BB229" s="57"/>
      <c r="BC229" s="54"/>
      <c r="BD229" s="54"/>
      <c r="BE229" s="57"/>
      <c r="BF229" s="54"/>
      <c r="BG229" s="54"/>
      <c r="BH229" s="57"/>
      <c r="BI229" s="54"/>
      <c r="BJ229" s="54"/>
      <c r="BK229" s="57"/>
      <c r="BL229" s="54"/>
      <c r="BM229" s="54"/>
      <c r="BN229" s="57"/>
      <c r="BO229" s="54"/>
      <c r="BP229" s="54"/>
      <c r="BQ229" s="57"/>
      <c r="BR229" s="54"/>
      <c r="BS229" s="54"/>
      <c r="BT229" s="57"/>
      <c r="BU229" s="54"/>
      <c r="BV229" s="54"/>
      <c r="BW229" s="57"/>
      <c r="BX229" s="54"/>
      <c r="BY229" s="54"/>
    </row>
    <row r="230" spans="1:77" hidden="1" x14ac:dyDescent="0.2">
      <c r="A230" s="4">
        <v>4</v>
      </c>
      <c r="B230" s="4" t="str">
        <f>B213</f>
        <v>Intense 14 Region Elite</v>
      </c>
      <c r="C230" s="4">
        <f>VLOOKUP(B230,AU$2:AY$22,4,FALSE)</f>
        <v>1651.3942315149438</v>
      </c>
      <c r="D230" s="4">
        <f>IF(A230=B218,B233,IF(A230=D218,D233,C230))</f>
        <v>1647.1294488255151</v>
      </c>
      <c r="G230" s="4">
        <f>IF(A230=E218,E233,IF(A230=G218,G233,D230))</f>
        <v>1647.1294488255151</v>
      </c>
      <c r="J230" s="4">
        <f>IF(A230=H218,H233,IF(A230=J218,J233,G230))</f>
        <v>1647.1294488255151</v>
      </c>
      <c r="U230" s="128"/>
      <c r="V230" s="128">
        <v>4</v>
      </c>
      <c r="W230" s="4" t="str">
        <f>X213</f>
        <v>Magnum Greenwood 14 Purpl</v>
      </c>
      <c r="X230" s="4">
        <f>VLOOKUP(W230,AU$2:AY$22,4,FALSE)</f>
        <v>1744.4518270866665</v>
      </c>
      <c r="Y230" s="4">
        <f>IF(V230=W218,W233,IF(V230=Y218,Y233,X230))</f>
        <v>1752.0697749266742</v>
      </c>
      <c r="AB230" s="4">
        <f>IF(V230=Z218,Z233,IF(V230=AB218,AB233,Y230))</f>
        <v>1752.0697749266742</v>
      </c>
      <c r="AE230" s="4">
        <f>IF(V230=AC218,AC233,IF(V230=AE218,AE233,AB230))</f>
        <v>1734.7837101165069</v>
      </c>
      <c r="AT230" s="4" t="str">
        <f>W227</f>
        <v>SC Midlands 14 Garnet</v>
      </c>
      <c r="AU230" s="4">
        <f>AE227</f>
        <v>1720.2289335203257</v>
      </c>
      <c r="AW230" s="57"/>
      <c r="AX230" s="54"/>
      <c r="AY230" s="54"/>
      <c r="AZ230" s="54"/>
      <c r="BA230" s="54"/>
      <c r="BB230" s="57"/>
      <c r="BC230" s="54"/>
      <c r="BD230" s="54"/>
      <c r="BE230" s="57"/>
      <c r="BF230" s="54"/>
      <c r="BG230" s="54"/>
      <c r="BH230" s="57"/>
      <c r="BI230" s="54"/>
      <c r="BJ230" s="54"/>
      <c r="BK230" s="57"/>
      <c r="BL230" s="54"/>
      <c r="BM230" s="54"/>
      <c r="BN230" s="57"/>
      <c r="BO230" s="54"/>
      <c r="BP230" s="54"/>
      <c r="BQ230" s="57"/>
      <c r="BR230" s="54"/>
      <c r="BS230" s="54"/>
      <c r="BT230" s="57"/>
      <c r="BU230" s="54"/>
      <c r="BV230" s="54"/>
      <c r="BW230" s="57"/>
      <c r="BX230" s="54"/>
      <c r="BY230" s="54"/>
    </row>
    <row r="231" spans="1:77" hidden="1" x14ac:dyDescent="0.2">
      <c r="A231" s="4" t="s">
        <v>114</v>
      </c>
      <c r="B231" s="4">
        <f>VLOOKUP(B218,$A227:$J230,3,FALSE)</f>
        <v>1827.2319232972654</v>
      </c>
      <c r="D231" s="4">
        <f>VLOOKUP(D218,$A227:$J230,3,FALSE)</f>
        <v>1651.3942315149438</v>
      </c>
      <c r="E231" s="4">
        <f>VLOOKUP(E218,$A227:$J230,4,FALSE)</f>
        <v>1889.1215582371156</v>
      </c>
      <c r="G231" s="4">
        <f>VLOOKUP(G218,$A227:$J230,4,FALSE)</f>
        <v>1801.7742906652861</v>
      </c>
      <c r="H231" s="4">
        <f>VLOOKUP(H218,$A227:$J230,7,FALSE)</f>
        <v>1831.4967059866942</v>
      </c>
      <c r="J231" s="4">
        <f>VLOOKUP(J218,$A227:$J230,7,FALSE)</f>
        <v>1811.7442069391659</v>
      </c>
      <c r="T231" s="595" t="s">
        <v>114</v>
      </c>
      <c r="U231" s="595"/>
      <c r="V231" s="595"/>
      <c r="W231" s="4">
        <f>VLOOKUP(W218,$V227:$AE230,3,FALSE)</f>
        <v>1727.8468813603333</v>
      </c>
      <c r="Y231" s="4">
        <f>VLOOKUP(Y218,$V227:$AE230,3,FALSE)</f>
        <v>1744.4518270866665</v>
      </c>
      <c r="Z231" s="4">
        <f>VLOOKUP(Z218,$V227:$AE230,4,FALSE)</f>
        <v>1724.3208126650675</v>
      </c>
      <c r="AB231" s="4">
        <f>VLOOKUP(AB218,$V227:$AE230,4,FALSE)</f>
        <v>1715.8887380757503</v>
      </c>
      <c r="AC231" s="4">
        <f>VLOOKUP(AC218,$V227:$AE230,7,FALSE)</f>
        <v>1752.0697749266742</v>
      </c>
      <c r="AE231" s="4">
        <f>VLOOKUP(AE218,$V227:$AE230,7,FALSE)</f>
        <v>1724.0828556575809</v>
      </c>
      <c r="AT231" s="4" t="str">
        <f>W228</f>
        <v>RHVC 14 Club Hunter</v>
      </c>
      <c r="AU231" s="4">
        <f>AE228</f>
        <v>1716.1266950832369</v>
      </c>
      <c r="AW231" s="57"/>
      <c r="AX231" s="54"/>
      <c r="AY231" s="54"/>
      <c r="AZ231" s="54"/>
      <c r="BA231" s="54"/>
      <c r="BB231" s="57"/>
      <c r="BC231" s="54"/>
      <c r="BD231" s="54"/>
      <c r="BE231" s="57"/>
      <c r="BF231" s="54"/>
      <c r="BG231" s="54"/>
      <c r="BH231" s="57"/>
      <c r="BI231" s="54"/>
      <c r="BJ231" s="54"/>
      <c r="BK231" s="57"/>
      <c r="BL231" s="54"/>
      <c r="BM231" s="54"/>
      <c r="BN231" s="57"/>
      <c r="BO231" s="54"/>
      <c r="BP231" s="54"/>
      <c r="BQ231" s="57"/>
      <c r="BR231" s="54"/>
      <c r="BS231" s="54"/>
      <c r="BT231" s="57"/>
      <c r="BU231" s="54"/>
      <c r="BV231" s="54"/>
      <c r="BW231" s="57"/>
      <c r="BX231" s="54"/>
      <c r="BY231" s="54"/>
    </row>
    <row r="232" spans="1:77" hidden="1" x14ac:dyDescent="0.2">
      <c r="A232" s="68" t="s">
        <v>115</v>
      </c>
      <c r="B232" s="68">
        <f>1/(1+(10^-((B231-D231)/400)))*(B222+D222)</f>
        <v>0.73345108191069563</v>
      </c>
      <c r="C232" s="68"/>
      <c r="D232" s="68">
        <f>1/(1+(10^-((D231-B231)/400)))*(B222+D222)</f>
        <v>0.26654891808930442</v>
      </c>
      <c r="E232" s="68">
        <f>1/(1+(10^-((E231-G231)/400)))*(E222+G222)</f>
        <v>0.62311976711749106</v>
      </c>
      <c r="G232" s="68">
        <f>1/(1+(10^-((G231-E231)/400)))*(E222+G222)</f>
        <v>0.37688023288250894</v>
      </c>
      <c r="H232" s="68">
        <f>1/(1+(10^-((H231-J231)/400)))*(H222+J222)</f>
        <v>1.585186633747198</v>
      </c>
      <c r="J232" s="68">
        <f>1/(1+(10^-((J231-H231)/400)))*(H222+J222)</f>
        <v>1.4148133662528024</v>
      </c>
      <c r="T232" s="596" t="s">
        <v>115</v>
      </c>
      <c r="U232" s="596"/>
      <c r="V232" s="596"/>
      <c r="W232" s="68">
        <f>1/(1+(10^-((W231-Y231)/400)))*(W222+Y222)</f>
        <v>0.47612174000048174</v>
      </c>
      <c r="X232" s="68"/>
      <c r="Y232" s="68">
        <f>1/(1+(10^-((Y231-W231)/400)))*(W222+Y222)</f>
        <v>0.5238782599995182</v>
      </c>
      <c r="Z232" s="68">
        <f>1/(1+(10^-((Z231-AB231)/400)))*(Z222+AB222)</f>
        <v>0.51213234886441339</v>
      </c>
      <c r="AB232" s="68">
        <f>1/(1+(10^-((AB231-Z231)/400)))*(Z222+AB222)</f>
        <v>0.48786765113558661</v>
      </c>
      <c r="AC232" s="68">
        <f>1/(1+(10^-((AC231-AE231)/400)))*(AC222+AE222)</f>
        <v>1.0803790506354589</v>
      </c>
      <c r="AE232" s="68">
        <f>1/(1+(10^-((AE231-AC231)/400)))*(AC222+AE222)</f>
        <v>0.91962094936454108</v>
      </c>
      <c r="AT232" s="4" t="str">
        <f>W229</f>
        <v>Palm Strikers 14 Select</v>
      </c>
      <c r="AU232" s="4">
        <f>AE229</f>
        <v>1741.3689204677482</v>
      </c>
      <c r="AW232" s="57"/>
      <c r="AX232" s="54"/>
      <c r="AY232" s="54"/>
      <c r="AZ232" s="54"/>
      <c r="BA232" s="54"/>
      <c r="BB232" s="57"/>
      <c r="BC232" s="54"/>
      <c r="BD232" s="54"/>
      <c r="BE232" s="57"/>
      <c r="BF232" s="54"/>
      <c r="BG232" s="54"/>
      <c r="BH232" s="57"/>
      <c r="BI232" s="54"/>
      <c r="BJ232" s="54"/>
      <c r="BK232" s="57"/>
      <c r="BL232" s="54"/>
      <c r="BM232" s="54"/>
      <c r="BN232" s="57"/>
      <c r="BO232" s="54"/>
      <c r="BP232" s="54"/>
      <c r="BQ232" s="57"/>
      <c r="BR232" s="54"/>
      <c r="BS232" s="54"/>
      <c r="BT232" s="57"/>
      <c r="BU232" s="54"/>
      <c r="BV232" s="54"/>
      <c r="BW232" s="57"/>
      <c r="BX232" s="54"/>
      <c r="BY232" s="54"/>
    </row>
    <row r="233" spans="1:77" hidden="1" x14ac:dyDescent="0.2">
      <c r="A233" s="74" t="s">
        <v>116</v>
      </c>
      <c r="B233" s="74">
        <f>B231+(B222-B232)*$BA$2</f>
        <v>1831.4967059866942</v>
      </c>
      <c r="C233" s="74"/>
      <c r="D233" s="74">
        <f>D231+(D222-D232)*$BA$2</f>
        <v>1647.1294488255151</v>
      </c>
      <c r="E233" s="74">
        <f>E231+(E222-E232)*$BA$2</f>
        <v>1879.1516419632358</v>
      </c>
      <c r="G233" s="74">
        <f>G231+(G222-G232)*$BA$2</f>
        <v>1811.7442069391659</v>
      </c>
      <c r="H233" s="74">
        <f>H231+(H222-H232)*$BA$2</f>
        <v>1838.133719846739</v>
      </c>
      <c r="J233" s="74">
        <f>J231+(J222-J232)*$BA$2</f>
        <v>1805.1071930791211</v>
      </c>
      <c r="T233" s="582" t="s">
        <v>116</v>
      </c>
      <c r="U233" s="582"/>
      <c r="V233" s="582"/>
      <c r="W233" s="74">
        <f>W231+(W222-W232)*$BA$2</f>
        <v>1720.2289335203257</v>
      </c>
      <c r="X233" s="74"/>
      <c r="Y233" s="74">
        <f>Y231+(Y222-Y232)*$BA$2</f>
        <v>1752.0697749266742</v>
      </c>
      <c r="Z233" s="74">
        <f>Z231+(Z222-Z232)*$BA$2</f>
        <v>1716.1266950832369</v>
      </c>
      <c r="AB233" s="74">
        <f>AB231+(AB222-AB232)*$BA$2</f>
        <v>1724.0828556575809</v>
      </c>
      <c r="AC233" s="74">
        <f>AC231+(AC222-AC232)*$BA$2</f>
        <v>1734.7837101165069</v>
      </c>
      <c r="AE233" s="74">
        <f>AE231+(AE222-AE232)*$BA$2</f>
        <v>1741.3689204677482</v>
      </c>
      <c r="AT233" s="4" t="str">
        <f>W230</f>
        <v>Magnum Greenwood 14 Purpl</v>
      </c>
      <c r="AU233" s="4">
        <f>AE230</f>
        <v>1734.7837101165069</v>
      </c>
      <c r="AW233" s="57"/>
      <c r="AX233" s="54"/>
      <c r="AY233" s="54"/>
      <c r="AZ233" s="54"/>
      <c r="BA233" s="54"/>
      <c r="BB233" s="57"/>
      <c r="BC233" s="54"/>
      <c r="BD233" s="54"/>
      <c r="BE233" s="57"/>
      <c r="BF233" s="54"/>
      <c r="BG233" s="54"/>
      <c r="BH233" s="57"/>
      <c r="BI233" s="54"/>
      <c r="BJ233" s="54"/>
      <c r="BK233" s="57"/>
      <c r="BL233" s="54"/>
      <c r="BM233" s="54"/>
      <c r="BN233" s="57"/>
      <c r="BO233" s="54"/>
      <c r="BP233" s="54"/>
      <c r="BQ233" s="57"/>
      <c r="BR233" s="54"/>
      <c r="BS233" s="54"/>
      <c r="BT233" s="57"/>
      <c r="BU233" s="54"/>
      <c r="BV233" s="54"/>
      <c r="BW233" s="57"/>
      <c r="BX233" s="54"/>
      <c r="BY233" s="54"/>
    </row>
    <row r="234" spans="1:77" x14ac:dyDescent="0.2">
      <c r="A234" s="583" t="s">
        <v>167</v>
      </c>
      <c r="B234" s="583"/>
      <c r="C234" s="583"/>
      <c r="D234" s="583"/>
      <c r="E234" s="583"/>
      <c r="F234" s="583"/>
      <c r="G234" s="583"/>
      <c r="H234" s="583"/>
      <c r="I234" s="583"/>
      <c r="J234" s="583"/>
      <c r="K234" s="583"/>
      <c r="L234" s="583"/>
      <c r="M234" s="583"/>
      <c r="R234" s="101"/>
      <c r="S234" s="101"/>
      <c r="T234" s="121"/>
      <c r="U234" s="121"/>
      <c r="V234" s="583" t="s">
        <v>167</v>
      </c>
      <c r="W234" s="583"/>
      <c r="X234" s="583"/>
      <c r="Y234" s="583"/>
      <c r="Z234" s="583"/>
      <c r="AA234" s="583"/>
      <c r="AB234" s="583"/>
      <c r="AC234" s="583"/>
      <c r="AD234" s="583"/>
      <c r="AE234" s="583"/>
      <c r="AF234" s="583"/>
      <c r="AG234" s="583"/>
      <c r="AH234" s="101"/>
      <c r="AI234" s="101"/>
      <c r="AJ234" s="101"/>
      <c r="AW234" s="57"/>
      <c r="AX234" s="54"/>
      <c r="AY234" s="54"/>
      <c r="AZ234" s="54"/>
      <c r="BA234" s="54"/>
    </row>
    <row r="235" spans="1:77" x14ac:dyDescent="0.2">
      <c r="AT235" s="54"/>
      <c r="AU235" s="54"/>
      <c r="AV235" s="54"/>
      <c r="AW235" s="57"/>
      <c r="AX235" s="54"/>
      <c r="AY235" s="54"/>
      <c r="AZ235" s="54"/>
      <c r="BA235" s="54"/>
    </row>
    <row r="236" spans="1:77" x14ac:dyDescent="0.2">
      <c r="AT236" s="54"/>
      <c r="AU236" s="54"/>
      <c r="AV236" s="54"/>
      <c r="AW236" s="57"/>
      <c r="AX236" s="54"/>
      <c r="AY236" s="54"/>
      <c r="AZ236" s="54"/>
      <c r="BA236" s="54"/>
    </row>
    <row r="237" spans="1:77" x14ac:dyDescent="0.2">
      <c r="AT237" s="54"/>
      <c r="AU237" s="54"/>
      <c r="AV237" s="54"/>
      <c r="AW237" s="57"/>
      <c r="AX237" s="54"/>
      <c r="AY237" s="54"/>
      <c r="AZ237" s="54"/>
      <c r="BA237" s="54"/>
    </row>
    <row r="238" spans="1:77" x14ac:dyDescent="0.2">
      <c r="AT238" s="54"/>
      <c r="AU238" s="54"/>
      <c r="AV238" s="54"/>
      <c r="AW238" s="57"/>
      <c r="AX238" s="54"/>
      <c r="AY238" s="54"/>
      <c r="AZ238" s="54"/>
      <c r="BA238" s="54"/>
    </row>
    <row r="239" spans="1:77" x14ac:dyDescent="0.2">
      <c r="AT239" s="54"/>
      <c r="AU239" s="54"/>
      <c r="AV239" s="54"/>
      <c r="AW239" s="57"/>
      <c r="AX239" s="54"/>
      <c r="AY239" s="54"/>
      <c r="AZ239" s="54"/>
      <c r="BA239" s="54"/>
    </row>
    <row r="240" spans="1:77" x14ac:dyDescent="0.2">
      <c r="AT240" s="54"/>
      <c r="AU240" s="54"/>
      <c r="AV240" s="54"/>
      <c r="AW240" s="57"/>
      <c r="AX240" s="54"/>
      <c r="AY240" s="54"/>
      <c r="AZ240" s="54"/>
      <c r="BA240" s="54"/>
    </row>
    <row r="241" spans="46:53" x14ac:dyDescent="0.2">
      <c r="AT241" s="54"/>
      <c r="AU241" s="54"/>
      <c r="AV241" s="54"/>
      <c r="AW241" s="57"/>
      <c r="AX241" s="54"/>
      <c r="AY241" s="54"/>
      <c r="AZ241" s="54"/>
      <c r="BA241" s="54"/>
    </row>
    <row r="242" spans="46:53" x14ac:dyDescent="0.2">
      <c r="AT242" s="54"/>
      <c r="AU242" s="54"/>
      <c r="AV242" s="54"/>
      <c r="AW242" s="57"/>
      <c r="AX242" s="54"/>
      <c r="AY242" s="54"/>
      <c r="AZ242" s="54"/>
      <c r="BA242" s="54"/>
    </row>
    <row r="243" spans="46:53" x14ac:dyDescent="0.2">
      <c r="AT243" s="54"/>
      <c r="AU243" s="54"/>
      <c r="AV243" s="54"/>
      <c r="AW243" s="57"/>
      <c r="AX243" s="54"/>
      <c r="AY243" s="54"/>
      <c r="AZ243" s="54"/>
      <c r="BA243" s="54"/>
    </row>
    <row r="244" spans="46:53" x14ac:dyDescent="0.2">
      <c r="AT244" s="54"/>
      <c r="AU244" s="54"/>
      <c r="AV244" s="54"/>
      <c r="AW244" s="57"/>
      <c r="AX244" s="54"/>
      <c r="AY244" s="54"/>
      <c r="AZ244" s="54"/>
      <c r="BA244" s="54"/>
    </row>
    <row r="245" spans="46:53" x14ac:dyDescent="0.2">
      <c r="AT245" s="54"/>
      <c r="AU245" s="54"/>
      <c r="AV245" s="54"/>
      <c r="AW245" s="57"/>
      <c r="AX245" s="54"/>
      <c r="AY245" s="54"/>
      <c r="AZ245" s="54"/>
      <c r="BA245" s="54"/>
    </row>
    <row r="246" spans="46:53" x14ac:dyDescent="0.2">
      <c r="AT246" s="54"/>
      <c r="AU246" s="54"/>
      <c r="AV246" s="54"/>
      <c r="AW246" s="57"/>
      <c r="AX246" s="54"/>
      <c r="AY246" s="54"/>
      <c r="AZ246" s="54"/>
      <c r="BA246" s="54"/>
    </row>
    <row r="247" spans="46:53" x14ac:dyDescent="0.2">
      <c r="AT247" s="54"/>
      <c r="AU247" s="54"/>
      <c r="AV247" s="54"/>
    </row>
    <row r="248" spans="46:53" x14ac:dyDescent="0.2">
      <c r="AT248" s="54"/>
      <c r="AU248" s="54"/>
      <c r="AV248" s="54"/>
      <c r="AW248" s="65"/>
      <c r="AX248" s="62"/>
      <c r="AY248" s="62"/>
      <c r="AZ248" s="62"/>
      <c r="BA248" s="62"/>
    </row>
    <row r="249" spans="46:53" x14ac:dyDescent="0.2">
      <c r="AT249" s="54"/>
      <c r="AU249" s="54"/>
      <c r="AV249" s="54"/>
      <c r="AW249" s="65"/>
      <c r="AX249" s="62"/>
      <c r="AY249" s="62"/>
      <c r="AZ249" s="62"/>
      <c r="BA249" s="62"/>
    </row>
    <row r="250" spans="46:53" x14ac:dyDescent="0.2">
      <c r="AT250" s="54"/>
      <c r="AU250" s="54"/>
      <c r="AV250" s="54"/>
      <c r="AW250" s="65"/>
      <c r="AX250" s="62"/>
      <c r="AY250" s="62"/>
      <c r="AZ250" s="62"/>
      <c r="BA250" s="62"/>
    </row>
    <row r="251" spans="46:53" x14ac:dyDescent="0.2">
      <c r="AT251" s="54"/>
      <c r="AU251" s="54"/>
      <c r="AV251" s="54"/>
      <c r="AW251" s="65"/>
      <c r="AX251" s="62"/>
      <c r="AY251" s="62"/>
      <c r="AZ251" s="62"/>
      <c r="BA251" s="62"/>
    </row>
    <row r="252" spans="46:53" x14ac:dyDescent="0.2">
      <c r="AT252" s="54"/>
      <c r="AU252" s="54"/>
      <c r="AV252" s="54"/>
      <c r="AW252" s="65"/>
      <c r="AX252" s="62"/>
      <c r="AY252" s="62"/>
      <c r="AZ252" s="62"/>
      <c r="BA252" s="62"/>
    </row>
    <row r="253" spans="46:53" x14ac:dyDescent="0.2">
      <c r="AT253" s="54"/>
      <c r="AU253" s="54"/>
      <c r="AV253" s="54"/>
      <c r="AW253" s="65"/>
      <c r="AX253" s="62"/>
      <c r="AY253" s="62"/>
      <c r="AZ253" s="62"/>
      <c r="BA253" s="62"/>
    </row>
    <row r="254" spans="46:53" x14ac:dyDescent="0.2">
      <c r="AT254" s="54"/>
      <c r="AU254" s="54"/>
      <c r="AV254" s="54"/>
      <c r="AW254" s="65"/>
      <c r="AX254" s="62"/>
      <c r="AY254" s="62"/>
      <c r="AZ254" s="62"/>
      <c r="BA254" s="62"/>
    </row>
    <row r="255" spans="46:53" x14ac:dyDescent="0.2">
      <c r="AT255" s="54"/>
      <c r="AU255" s="54"/>
      <c r="AV255" s="54"/>
      <c r="AW255" s="65"/>
      <c r="AX255" s="62"/>
      <c r="AY255" s="62"/>
      <c r="AZ255" s="62"/>
      <c r="BA255" s="62"/>
    </row>
    <row r="256" spans="46:53" x14ac:dyDescent="0.2">
      <c r="AT256" s="54"/>
      <c r="AU256" s="54"/>
      <c r="AV256" s="54"/>
      <c r="AW256" s="72"/>
      <c r="AX256" s="71"/>
      <c r="AY256" s="71"/>
      <c r="AZ256" s="71"/>
      <c r="BA256" s="71"/>
    </row>
    <row r="257" spans="46:53" x14ac:dyDescent="0.2">
      <c r="AT257" s="54"/>
      <c r="AU257" s="54"/>
      <c r="AV257" s="54"/>
      <c r="AW257" s="78"/>
      <c r="AX257" s="77"/>
      <c r="AY257" s="77"/>
      <c r="AZ257" s="77"/>
      <c r="BA257" s="77"/>
    </row>
    <row r="258" spans="46:53" x14ac:dyDescent="0.2">
      <c r="AT258" s="54"/>
      <c r="AU258" s="54"/>
      <c r="AV258" s="54"/>
      <c r="AW258" s="78"/>
      <c r="AX258" s="77"/>
      <c r="AY258" s="77"/>
      <c r="AZ258" s="77"/>
      <c r="BA258" s="77"/>
    </row>
    <row r="259" spans="46:53" x14ac:dyDescent="0.2">
      <c r="AT259" s="54"/>
      <c r="AU259" s="54"/>
      <c r="AV259" s="54"/>
      <c r="AW259" s="65"/>
      <c r="AX259" s="62"/>
      <c r="AY259" s="62"/>
      <c r="AZ259" s="62"/>
      <c r="BA259" s="62"/>
    </row>
    <row r="260" spans="46:53" x14ac:dyDescent="0.2">
      <c r="AT260" s="62"/>
      <c r="AU260" s="62"/>
      <c r="AV260" s="62"/>
      <c r="AW260" s="65"/>
      <c r="AX260" s="62"/>
      <c r="AY260" s="62"/>
      <c r="AZ260" s="62"/>
      <c r="BA260" s="62"/>
    </row>
    <row r="261" spans="46:53" x14ac:dyDescent="0.2">
      <c r="AT261" s="62"/>
      <c r="AU261" s="62"/>
      <c r="AV261" s="62"/>
    </row>
    <row r="286" spans="46:53" x14ac:dyDescent="0.2">
      <c r="AT286" s="54"/>
      <c r="AU286" s="54"/>
      <c r="AV286" s="54"/>
      <c r="AW286" s="57"/>
      <c r="AX286" s="54"/>
      <c r="AY286" s="54"/>
      <c r="AZ286" s="54"/>
      <c r="BA286" s="54"/>
    </row>
    <row r="287" spans="46:53" x14ac:dyDescent="0.2">
      <c r="AT287" s="54"/>
      <c r="AU287" s="54"/>
      <c r="AV287" s="54"/>
      <c r="AW287" s="57"/>
      <c r="AX287" s="54"/>
      <c r="AY287" s="54"/>
      <c r="AZ287" s="54"/>
      <c r="BA287" s="54"/>
    </row>
    <row r="288" spans="46:53" x14ac:dyDescent="0.2">
      <c r="AT288" s="54"/>
      <c r="AU288" s="54"/>
      <c r="AV288" s="54"/>
      <c r="AW288" s="57"/>
      <c r="AX288" s="54"/>
      <c r="AY288" s="54"/>
      <c r="AZ288" s="54"/>
      <c r="BA288" s="54"/>
    </row>
    <row r="289" spans="46:53" x14ac:dyDescent="0.2">
      <c r="AT289" s="54"/>
      <c r="AU289" s="54"/>
      <c r="AV289" s="54"/>
      <c r="AW289" s="57"/>
      <c r="AX289" s="54"/>
      <c r="AY289" s="54"/>
      <c r="AZ289" s="54"/>
      <c r="BA289" s="54"/>
    </row>
    <row r="290" spans="46:53" x14ac:dyDescent="0.2">
      <c r="AT290" s="54"/>
      <c r="AU290" s="54"/>
      <c r="AV290" s="54"/>
      <c r="AW290" s="57"/>
      <c r="AX290" s="54"/>
      <c r="AY290" s="54"/>
      <c r="AZ290" s="54"/>
      <c r="BA290" s="54"/>
    </row>
    <row r="291" spans="46:53" x14ac:dyDescent="0.2">
      <c r="AT291" s="54"/>
      <c r="AU291" s="54"/>
      <c r="AV291" s="54"/>
      <c r="AW291" s="57"/>
      <c r="AX291" s="54"/>
      <c r="AY291" s="54"/>
      <c r="AZ291" s="54"/>
      <c r="BA291" s="54"/>
    </row>
    <row r="292" spans="46:53" x14ac:dyDescent="0.2">
      <c r="AT292" s="54"/>
      <c r="AU292" s="54"/>
      <c r="AV292" s="54"/>
      <c r="AW292" s="57"/>
      <c r="AX292" s="54"/>
      <c r="AY292" s="54"/>
      <c r="AZ292" s="54"/>
      <c r="BA292" s="54"/>
    </row>
    <row r="293" spans="46:53" x14ac:dyDescent="0.2">
      <c r="AT293" s="54"/>
      <c r="AU293" s="54"/>
      <c r="AV293" s="54"/>
      <c r="AW293" s="57"/>
      <c r="AX293" s="54"/>
      <c r="AY293" s="54"/>
      <c r="AZ293" s="54"/>
      <c r="BA293" s="54"/>
    </row>
    <row r="294" spans="46:53" x14ac:dyDescent="0.2">
      <c r="AT294" s="54"/>
      <c r="AU294" s="54"/>
      <c r="AV294" s="54"/>
      <c r="AW294" s="57"/>
      <c r="AX294" s="54"/>
      <c r="AY294" s="54"/>
      <c r="AZ294" s="54"/>
      <c r="BA294" s="54"/>
    </row>
    <row r="295" spans="46:53" x14ac:dyDescent="0.2">
      <c r="AT295" s="54"/>
      <c r="AU295" s="54"/>
      <c r="AV295" s="54"/>
      <c r="AW295" s="57"/>
      <c r="AX295" s="54"/>
      <c r="AY295" s="54"/>
      <c r="AZ295" s="54"/>
      <c r="BA295" s="54"/>
    </row>
    <row r="296" spans="46:53" x14ac:dyDescent="0.2">
      <c r="AT296" s="54"/>
      <c r="AU296" s="54"/>
      <c r="AV296" s="54"/>
      <c r="AW296" s="57"/>
      <c r="AX296" s="54"/>
      <c r="AY296" s="54"/>
      <c r="AZ296" s="54"/>
      <c r="BA296" s="54"/>
    </row>
    <row r="297" spans="46:53" x14ac:dyDescent="0.2">
      <c r="AT297" s="54"/>
      <c r="AU297" s="54"/>
      <c r="AV297" s="54"/>
      <c r="AW297" s="57"/>
      <c r="AX297" s="54"/>
      <c r="AY297" s="54"/>
      <c r="AZ297" s="54"/>
      <c r="BA297" s="54"/>
    </row>
    <row r="298" spans="46:53" x14ac:dyDescent="0.2">
      <c r="AT298" s="54"/>
      <c r="AU298" s="54"/>
      <c r="AV298" s="54"/>
      <c r="AW298" s="57"/>
      <c r="AX298" s="54"/>
      <c r="AY298" s="54"/>
      <c r="AZ298" s="54"/>
      <c r="BA298" s="54"/>
    </row>
    <row r="299" spans="46:53" x14ac:dyDescent="0.2">
      <c r="AT299" s="54"/>
      <c r="AU299" s="54"/>
      <c r="AV299" s="54"/>
      <c r="AW299" s="57"/>
      <c r="AX299" s="54"/>
      <c r="AY299" s="54"/>
      <c r="AZ299" s="54"/>
      <c r="BA299" s="54"/>
    </row>
    <row r="300" spans="46:53" x14ac:dyDescent="0.2">
      <c r="AT300" s="54"/>
      <c r="AU300" s="54"/>
      <c r="AV300" s="54"/>
      <c r="AW300" s="57"/>
      <c r="AX300" s="54"/>
      <c r="AY300" s="54"/>
      <c r="AZ300" s="54"/>
      <c r="BA300" s="54"/>
    </row>
    <row r="301" spans="46:53" x14ac:dyDescent="0.2">
      <c r="AT301" s="54"/>
      <c r="AU301" s="54"/>
      <c r="AV301" s="54"/>
      <c r="AW301" s="57"/>
      <c r="AX301" s="54"/>
      <c r="AY301" s="54"/>
      <c r="AZ301" s="54"/>
      <c r="BA301" s="54"/>
    </row>
    <row r="302" spans="46:53" x14ac:dyDescent="0.2">
      <c r="AT302" s="54"/>
      <c r="AU302" s="54"/>
      <c r="AV302" s="54"/>
      <c r="AW302" s="57"/>
      <c r="AX302" s="54"/>
      <c r="AY302" s="54"/>
      <c r="AZ302" s="54"/>
      <c r="BA302" s="54"/>
    </row>
    <row r="303" spans="46:53" x14ac:dyDescent="0.2">
      <c r="AT303" s="54"/>
      <c r="AU303" s="54"/>
      <c r="AV303" s="54"/>
      <c r="AW303" s="57"/>
      <c r="AX303" s="54"/>
      <c r="AY303" s="54"/>
      <c r="AZ303" s="54"/>
      <c r="BA303" s="54"/>
    </row>
    <row r="304" spans="46:53" x14ac:dyDescent="0.2">
      <c r="AT304" s="54"/>
      <c r="AU304" s="54"/>
      <c r="AV304" s="54"/>
      <c r="AW304" s="57"/>
      <c r="AX304" s="54"/>
      <c r="AY304" s="54"/>
      <c r="AZ304" s="54"/>
      <c r="BA304" s="54"/>
    </row>
    <row r="305" spans="46:53" x14ac:dyDescent="0.2">
      <c r="AT305" s="54"/>
      <c r="AU305" s="54"/>
      <c r="AV305" s="54"/>
      <c r="AW305" s="57"/>
      <c r="AX305" s="54"/>
      <c r="AY305" s="54"/>
      <c r="AZ305" s="54"/>
      <c r="BA305" s="54"/>
    </row>
    <row r="306" spans="46:53" x14ac:dyDescent="0.2">
      <c r="AT306" s="54"/>
      <c r="AU306" s="54"/>
      <c r="AV306" s="54"/>
      <c r="AW306" s="57"/>
      <c r="AX306" s="54"/>
      <c r="AY306" s="54"/>
      <c r="AZ306" s="54"/>
      <c r="BA306" s="54"/>
    </row>
    <row r="307" spans="46:53" x14ac:dyDescent="0.2">
      <c r="AT307" s="54"/>
      <c r="AU307" s="54"/>
      <c r="AV307" s="54"/>
      <c r="AW307" s="57"/>
      <c r="AX307" s="54"/>
      <c r="AY307" s="54"/>
      <c r="AZ307" s="54"/>
      <c r="BA307" s="54"/>
    </row>
    <row r="308" spans="46:53" x14ac:dyDescent="0.2">
      <c r="AT308" s="54"/>
      <c r="AU308" s="54"/>
      <c r="AV308" s="54"/>
      <c r="AW308" s="57"/>
      <c r="AX308" s="54"/>
      <c r="AY308" s="54"/>
      <c r="AZ308" s="54"/>
      <c r="BA308" s="54"/>
    </row>
    <row r="309" spans="46:53" x14ac:dyDescent="0.2">
      <c r="AT309" s="54"/>
      <c r="AU309" s="54"/>
      <c r="AV309" s="54"/>
      <c r="AW309" s="57"/>
      <c r="AX309" s="54"/>
      <c r="AY309" s="54"/>
      <c r="AZ309" s="54"/>
      <c r="BA309" s="54"/>
    </row>
    <row r="310" spans="46:53" x14ac:dyDescent="0.2">
      <c r="AT310" s="54"/>
      <c r="AU310" s="54"/>
      <c r="AV310" s="54"/>
      <c r="AW310" s="57"/>
      <c r="AX310" s="54"/>
      <c r="AY310" s="54"/>
      <c r="AZ310" s="54"/>
      <c r="BA310" s="54"/>
    </row>
    <row r="311" spans="46:53" x14ac:dyDescent="0.2">
      <c r="AT311" s="54"/>
      <c r="AU311" s="54"/>
      <c r="AV311" s="54"/>
      <c r="AW311" s="57"/>
      <c r="AX311" s="54"/>
      <c r="AY311" s="54"/>
      <c r="AZ311" s="54"/>
      <c r="BA311" s="54"/>
    </row>
    <row r="312" spans="46:53" x14ac:dyDescent="0.2">
      <c r="AT312" s="54"/>
      <c r="AU312" s="54"/>
      <c r="AV312" s="54"/>
      <c r="AW312" s="57"/>
      <c r="AX312" s="54"/>
      <c r="AY312" s="54"/>
      <c r="AZ312" s="54"/>
      <c r="BA312" s="54"/>
    </row>
    <row r="313" spans="46:53" x14ac:dyDescent="0.2">
      <c r="AT313" s="54"/>
      <c r="AU313" s="54"/>
      <c r="AV313" s="54"/>
      <c r="AW313" s="57"/>
      <c r="AX313" s="54"/>
      <c r="AY313" s="54"/>
      <c r="AZ313" s="54"/>
      <c r="BA313" s="54"/>
    </row>
    <row r="314" spans="46:53" x14ac:dyDescent="0.2">
      <c r="AT314" s="54"/>
      <c r="AU314" s="54"/>
      <c r="AV314" s="54"/>
      <c r="AW314" s="57"/>
      <c r="AX314" s="54"/>
      <c r="AY314" s="54"/>
      <c r="AZ314" s="54"/>
      <c r="BA314" s="54"/>
    </row>
    <row r="315" spans="46:53" x14ac:dyDescent="0.2">
      <c r="AT315" s="54"/>
      <c r="AU315" s="54"/>
      <c r="AV315" s="54"/>
      <c r="AW315" s="57"/>
      <c r="AX315" s="54"/>
      <c r="AY315" s="54"/>
      <c r="AZ315" s="54"/>
      <c r="BA315" s="54"/>
    </row>
    <row r="316" spans="46:53" x14ac:dyDescent="0.2">
      <c r="AT316" s="54"/>
      <c r="AU316" s="54"/>
      <c r="AV316" s="54"/>
      <c r="AW316" s="57"/>
      <c r="AX316" s="54"/>
      <c r="AY316" s="54"/>
      <c r="AZ316" s="54"/>
      <c r="BA316" s="54"/>
    </row>
    <row r="317" spans="46:53" x14ac:dyDescent="0.2">
      <c r="AT317" s="54"/>
      <c r="AU317" s="54"/>
      <c r="AV317" s="54"/>
      <c r="AW317" s="57"/>
      <c r="AX317" s="54"/>
      <c r="AY317" s="54"/>
      <c r="AZ317" s="54"/>
      <c r="BA317" s="54"/>
    </row>
    <row r="318" spans="46:53" x14ac:dyDescent="0.2">
      <c r="AT318" s="54"/>
      <c r="AU318" s="54"/>
      <c r="AV318" s="54"/>
      <c r="AW318" s="57"/>
      <c r="AX318" s="54"/>
      <c r="AY318" s="54"/>
      <c r="AZ318" s="54"/>
      <c r="BA318" s="54"/>
    </row>
    <row r="319" spans="46:53" x14ac:dyDescent="0.2">
      <c r="AT319" s="54"/>
      <c r="AU319" s="54"/>
      <c r="AV319" s="54"/>
      <c r="AW319" s="57"/>
      <c r="AX319" s="54"/>
      <c r="AY319" s="54"/>
      <c r="AZ319" s="54"/>
      <c r="BA319" s="54"/>
    </row>
    <row r="320" spans="46:53" x14ac:dyDescent="0.2">
      <c r="AT320" s="54"/>
      <c r="AU320" s="54"/>
      <c r="AV320" s="54"/>
      <c r="AW320" s="57"/>
      <c r="AX320" s="54"/>
      <c r="AY320" s="54"/>
      <c r="AZ320" s="54"/>
      <c r="BA320" s="54"/>
    </row>
    <row r="321" spans="46:53" x14ac:dyDescent="0.2">
      <c r="AT321" s="54"/>
      <c r="AU321" s="54"/>
      <c r="AV321" s="54"/>
      <c r="AW321" s="57"/>
      <c r="AX321" s="54"/>
      <c r="AY321" s="54"/>
      <c r="AZ321" s="54"/>
      <c r="BA321" s="54"/>
    </row>
    <row r="322" spans="46:53" x14ac:dyDescent="0.2">
      <c r="AT322" s="54"/>
      <c r="AU322" s="54"/>
      <c r="AV322" s="54"/>
      <c r="AW322" s="57"/>
      <c r="AX322" s="54"/>
      <c r="AY322" s="54"/>
      <c r="AZ322" s="54"/>
      <c r="BA322" s="54"/>
    </row>
    <row r="323" spans="46:53" x14ac:dyDescent="0.2">
      <c r="AT323" s="54"/>
      <c r="AU323" s="54"/>
      <c r="AV323" s="54"/>
      <c r="AW323" s="57"/>
      <c r="AX323" s="54"/>
      <c r="AY323" s="54"/>
      <c r="AZ323" s="54"/>
      <c r="BA323" s="54"/>
    </row>
    <row r="324" spans="46:53" x14ac:dyDescent="0.2">
      <c r="AT324" s="54"/>
      <c r="AU324" s="54"/>
      <c r="AV324" s="54"/>
      <c r="AW324" s="57"/>
      <c r="AX324" s="54"/>
      <c r="AY324" s="54"/>
      <c r="AZ324" s="54"/>
      <c r="BA324" s="54"/>
    </row>
    <row r="325" spans="46:53" x14ac:dyDescent="0.2">
      <c r="AT325" s="54"/>
      <c r="AU325" s="54"/>
      <c r="AV325" s="54"/>
      <c r="AW325" s="57"/>
      <c r="AX325" s="54"/>
      <c r="AY325" s="54"/>
      <c r="AZ325" s="54"/>
      <c r="BA325" s="54"/>
    </row>
    <row r="326" spans="46:53" x14ac:dyDescent="0.2">
      <c r="AT326" s="54"/>
      <c r="AU326" s="54"/>
      <c r="AV326" s="54"/>
      <c r="AW326" s="57"/>
      <c r="AX326" s="54"/>
      <c r="AY326" s="54"/>
      <c r="AZ326" s="54"/>
      <c r="BA326" s="54"/>
    </row>
    <row r="327" spans="46:53" x14ac:dyDescent="0.2">
      <c r="AT327" s="54"/>
      <c r="AU327" s="54"/>
      <c r="AV327" s="54"/>
      <c r="AW327" s="57"/>
      <c r="AX327" s="54"/>
      <c r="AY327" s="54"/>
      <c r="AZ327" s="54"/>
      <c r="BA327" s="54"/>
    </row>
    <row r="328" spans="46:53" x14ac:dyDescent="0.2">
      <c r="AT328" s="54"/>
      <c r="AU328" s="54"/>
      <c r="AV328" s="54"/>
      <c r="AW328" s="57"/>
      <c r="AX328" s="54"/>
      <c r="AY328" s="54"/>
      <c r="AZ328" s="54"/>
      <c r="BA328" s="54"/>
    </row>
    <row r="329" spans="46:53" x14ac:dyDescent="0.2">
      <c r="AT329" s="54"/>
      <c r="AU329" s="54"/>
      <c r="AV329" s="54"/>
      <c r="AW329" s="57"/>
      <c r="AX329" s="54"/>
      <c r="AY329" s="54"/>
      <c r="AZ329" s="54"/>
      <c r="BA329" s="54"/>
    </row>
    <row r="330" spans="46:53" x14ac:dyDescent="0.2">
      <c r="AT330" s="54"/>
      <c r="AU330" s="54"/>
      <c r="AV330" s="54"/>
      <c r="AW330" s="57"/>
      <c r="AX330" s="54"/>
      <c r="AY330" s="54"/>
      <c r="AZ330" s="54"/>
      <c r="BA330" s="54"/>
    </row>
    <row r="331" spans="46:53" x14ac:dyDescent="0.2">
      <c r="AT331" s="54"/>
      <c r="AU331" s="54"/>
      <c r="AV331" s="54"/>
      <c r="AW331" s="57"/>
      <c r="AX331" s="54"/>
      <c r="AY331" s="54"/>
      <c r="AZ331" s="54"/>
      <c r="BA331" s="54"/>
    </row>
    <row r="332" spans="46:53" x14ac:dyDescent="0.2">
      <c r="AT332" s="62"/>
      <c r="AU332" s="62"/>
      <c r="AV332" s="62"/>
    </row>
    <row r="333" spans="46:53" x14ac:dyDescent="0.2">
      <c r="AT333" s="62"/>
      <c r="AU333" s="62"/>
      <c r="AV333" s="62"/>
      <c r="AW333" s="65"/>
      <c r="AX333" s="62"/>
      <c r="AY333" s="62"/>
      <c r="AZ333" s="62"/>
      <c r="BA333" s="62"/>
    </row>
    <row r="334" spans="46:53" x14ac:dyDescent="0.2">
      <c r="AW334" s="65"/>
      <c r="AX334" s="62"/>
      <c r="AY334" s="62"/>
      <c r="AZ334" s="62"/>
      <c r="BA334" s="62"/>
    </row>
    <row r="335" spans="46:53" x14ac:dyDescent="0.2">
      <c r="AW335" s="65"/>
      <c r="AX335" s="62"/>
      <c r="AY335" s="62"/>
      <c r="AZ335" s="62"/>
      <c r="BA335" s="62"/>
    </row>
    <row r="336" spans="46:53" x14ac:dyDescent="0.2">
      <c r="AW336" s="65"/>
      <c r="AX336" s="62"/>
      <c r="AY336" s="62"/>
      <c r="AZ336" s="62"/>
      <c r="BA336" s="62"/>
    </row>
    <row r="337" spans="46:53" x14ac:dyDescent="0.2">
      <c r="AW337" s="65"/>
      <c r="AX337" s="62"/>
      <c r="AY337" s="62"/>
      <c r="AZ337" s="62"/>
      <c r="BA337" s="62"/>
    </row>
    <row r="338" spans="46:53" x14ac:dyDescent="0.2">
      <c r="AW338" s="65"/>
      <c r="AX338" s="62"/>
      <c r="AY338" s="62"/>
      <c r="AZ338" s="62"/>
      <c r="BA338" s="62"/>
    </row>
    <row r="339" spans="46:53" x14ac:dyDescent="0.2">
      <c r="AW339" s="65"/>
      <c r="AX339" s="62"/>
      <c r="AY339" s="62"/>
      <c r="AZ339" s="62"/>
      <c r="BA339" s="62"/>
    </row>
    <row r="340" spans="46:53" x14ac:dyDescent="0.2">
      <c r="AW340" s="65"/>
      <c r="AX340" s="62"/>
      <c r="AY340" s="62"/>
      <c r="AZ340" s="62"/>
      <c r="BA340" s="62"/>
    </row>
    <row r="341" spans="46:53" x14ac:dyDescent="0.2">
      <c r="AW341" s="72"/>
      <c r="AX341" s="71"/>
      <c r="AY341" s="71"/>
      <c r="AZ341" s="71"/>
      <c r="BA341" s="71"/>
    </row>
    <row r="342" spans="46:53" x14ac:dyDescent="0.2">
      <c r="AW342" s="78"/>
      <c r="AX342" s="77"/>
      <c r="AY342" s="77"/>
      <c r="AZ342" s="77"/>
      <c r="BA342" s="77"/>
    </row>
    <row r="343" spans="46:53" x14ac:dyDescent="0.2">
      <c r="AW343" s="78"/>
      <c r="AX343" s="77"/>
      <c r="AY343" s="77"/>
      <c r="AZ343" s="77"/>
      <c r="BA343" s="77"/>
    </row>
    <row r="344" spans="46:53" x14ac:dyDescent="0.2">
      <c r="AW344" s="65"/>
      <c r="AX344" s="62"/>
      <c r="AY344" s="62"/>
      <c r="AZ344" s="62"/>
      <c r="BA344" s="62"/>
    </row>
    <row r="345" spans="46:53" x14ac:dyDescent="0.2">
      <c r="AW345" s="65"/>
      <c r="AX345" s="62"/>
      <c r="AY345" s="62"/>
      <c r="AZ345" s="62"/>
      <c r="BA345" s="62"/>
    </row>
    <row r="348" spans="46:53" x14ac:dyDescent="0.2">
      <c r="AT348" s="95"/>
      <c r="AU348" s="95"/>
    </row>
    <row r="371" spans="46:53" x14ac:dyDescent="0.2">
      <c r="AW371" s="57"/>
      <c r="AX371" s="54"/>
      <c r="AY371" s="54"/>
      <c r="AZ371" s="54"/>
      <c r="BA371" s="54"/>
    </row>
    <row r="372" spans="46:53" x14ac:dyDescent="0.2">
      <c r="AW372" s="57"/>
      <c r="AX372" s="54"/>
      <c r="AY372" s="54"/>
      <c r="AZ372" s="54"/>
      <c r="BA372" s="54"/>
    </row>
    <row r="373" spans="46:53" x14ac:dyDescent="0.2">
      <c r="AW373" s="57"/>
      <c r="AX373" s="54"/>
      <c r="AY373" s="54"/>
      <c r="AZ373" s="54"/>
      <c r="BA373" s="54"/>
    </row>
    <row r="374" spans="46:53" x14ac:dyDescent="0.2">
      <c r="AW374" s="57"/>
      <c r="AX374" s="54"/>
      <c r="AY374" s="54"/>
      <c r="AZ374" s="54"/>
      <c r="BA374" s="54"/>
    </row>
    <row r="375" spans="46:53" x14ac:dyDescent="0.2">
      <c r="AW375" s="57"/>
      <c r="AX375" s="54"/>
      <c r="AY375" s="54"/>
      <c r="AZ375" s="54"/>
      <c r="BA375" s="54"/>
    </row>
    <row r="376" spans="46:53" x14ac:dyDescent="0.2">
      <c r="AW376" s="57"/>
      <c r="AX376" s="54"/>
      <c r="AY376" s="54"/>
      <c r="AZ376" s="54"/>
      <c r="BA376" s="54"/>
    </row>
    <row r="377" spans="46:53" x14ac:dyDescent="0.2">
      <c r="AW377" s="57"/>
      <c r="AX377" s="54"/>
      <c r="AY377" s="54"/>
      <c r="AZ377" s="54"/>
      <c r="BA377" s="54"/>
    </row>
    <row r="378" spans="46:53" x14ac:dyDescent="0.2">
      <c r="AW378" s="57"/>
      <c r="AX378" s="54"/>
      <c r="AY378" s="54"/>
      <c r="AZ378" s="54"/>
      <c r="BA378" s="54"/>
    </row>
    <row r="379" spans="46:53" x14ac:dyDescent="0.2">
      <c r="AW379" s="57"/>
      <c r="AX379" s="54"/>
      <c r="AY379" s="54"/>
      <c r="AZ379" s="54"/>
      <c r="BA379" s="54"/>
    </row>
    <row r="380" spans="46:53" x14ac:dyDescent="0.2">
      <c r="AW380" s="57"/>
      <c r="AX380" s="54"/>
      <c r="AY380" s="54"/>
      <c r="AZ380" s="54"/>
      <c r="BA380" s="54"/>
    </row>
    <row r="381" spans="46:53" x14ac:dyDescent="0.2">
      <c r="AW381" s="57"/>
      <c r="AX381" s="54"/>
      <c r="AY381" s="54"/>
      <c r="AZ381" s="54"/>
      <c r="BA381" s="54"/>
    </row>
    <row r="382" spans="46:53" x14ac:dyDescent="0.2">
      <c r="AW382" s="57"/>
      <c r="AX382" s="54"/>
      <c r="AY382" s="54"/>
      <c r="AZ382" s="54"/>
      <c r="BA382" s="54"/>
    </row>
    <row r="383" spans="46:53" x14ac:dyDescent="0.2">
      <c r="AW383" s="57"/>
      <c r="AX383" s="54"/>
      <c r="AY383" s="54"/>
      <c r="AZ383" s="54"/>
      <c r="BA383" s="54"/>
    </row>
    <row r="384" spans="46:53" x14ac:dyDescent="0.2">
      <c r="AT384" s="95"/>
      <c r="AU384" s="95"/>
      <c r="AW384" s="57"/>
      <c r="AX384" s="54"/>
      <c r="AY384" s="54"/>
      <c r="AZ384" s="54"/>
      <c r="BA384" s="54"/>
    </row>
    <row r="385" spans="49:53" x14ac:dyDescent="0.2">
      <c r="AW385" s="57"/>
      <c r="AX385" s="54"/>
      <c r="AY385" s="54"/>
      <c r="AZ385" s="54"/>
      <c r="BA385" s="54"/>
    </row>
    <row r="386" spans="49:53" x14ac:dyDescent="0.2">
      <c r="AW386" s="57"/>
      <c r="AX386" s="54"/>
      <c r="AY386" s="54"/>
      <c r="AZ386" s="54"/>
      <c r="BA386" s="54"/>
    </row>
    <row r="387" spans="49:53" x14ac:dyDescent="0.2">
      <c r="AW387" s="57"/>
      <c r="AX387" s="54"/>
      <c r="AY387" s="54"/>
      <c r="AZ387" s="54"/>
      <c r="BA387" s="54"/>
    </row>
    <row r="388" spans="49:53" x14ac:dyDescent="0.2">
      <c r="AW388" s="57"/>
      <c r="AX388" s="54"/>
      <c r="AY388" s="54"/>
      <c r="AZ388" s="54"/>
      <c r="BA388" s="54"/>
    </row>
    <row r="389" spans="49:53" x14ac:dyDescent="0.2">
      <c r="AW389" s="57"/>
      <c r="AX389" s="54"/>
      <c r="AY389" s="54"/>
      <c r="AZ389" s="54"/>
      <c r="BA389" s="54"/>
    </row>
    <row r="390" spans="49:53" x14ac:dyDescent="0.2">
      <c r="AW390" s="57"/>
      <c r="AX390" s="54"/>
      <c r="AY390" s="54"/>
      <c r="AZ390" s="54"/>
      <c r="BA390" s="54"/>
    </row>
    <row r="391" spans="49:53" x14ac:dyDescent="0.2">
      <c r="AW391" s="57"/>
      <c r="AX391" s="54"/>
      <c r="AY391" s="54"/>
      <c r="AZ391" s="54"/>
      <c r="BA391" s="54"/>
    </row>
    <row r="392" spans="49:53" x14ac:dyDescent="0.2">
      <c r="AW392" s="57"/>
      <c r="AX392" s="54"/>
      <c r="AY392" s="54"/>
      <c r="AZ392" s="54"/>
      <c r="BA392" s="54"/>
    </row>
    <row r="393" spans="49:53" x14ac:dyDescent="0.2">
      <c r="AW393" s="57"/>
      <c r="AX393" s="54"/>
      <c r="AY393" s="54"/>
      <c r="AZ393" s="54"/>
      <c r="BA393" s="54"/>
    </row>
    <row r="394" spans="49:53" x14ac:dyDescent="0.2">
      <c r="AW394" s="57"/>
      <c r="AX394" s="54"/>
      <c r="AY394" s="54"/>
      <c r="AZ394" s="54"/>
      <c r="BA394" s="54"/>
    </row>
    <row r="395" spans="49:53" x14ac:dyDescent="0.2">
      <c r="AW395" s="57"/>
      <c r="AX395" s="54"/>
      <c r="AY395" s="54"/>
      <c r="AZ395" s="54"/>
      <c r="BA395" s="54"/>
    </row>
    <row r="396" spans="49:53" x14ac:dyDescent="0.2">
      <c r="AW396" s="57"/>
      <c r="AX396" s="54"/>
      <c r="AY396" s="54"/>
      <c r="AZ396" s="54"/>
      <c r="BA396" s="54"/>
    </row>
    <row r="397" spans="49:53" x14ac:dyDescent="0.2">
      <c r="AW397" s="57"/>
      <c r="AX397" s="54"/>
      <c r="AY397" s="54"/>
      <c r="AZ397" s="54"/>
      <c r="BA397" s="54"/>
    </row>
    <row r="398" spans="49:53" x14ac:dyDescent="0.2">
      <c r="AW398" s="57"/>
      <c r="AX398" s="54"/>
      <c r="AY398" s="54"/>
      <c r="AZ398" s="54"/>
      <c r="BA398" s="54"/>
    </row>
    <row r="399" spans="49:53" x14ac:dyDescent="0.2">
      <c r="AW399" s="57"/>
      <c r="AX399" s="54"/>
      <c r="AY399" s="54"/>
      <c r="AZ399" s="54"/>
      <c r="BA399" s="54"/>
    </row>
    <row r="400" spans="49:53" x14ac:dyDescent="0.2">
      <c r="AW400" s="57"/>
      <c r="AX400" s="54"/>
      <c r="AY400" s="54"/>
      <c r="AZ400" s="54"/>
      <c r="BA400" s="54"/>
    </row>
    <row r="401" spans="49:53" x14ac:dyDescent="0.2">
      <c r="AW401" s="57"/>
      <c r="AX401" s="54"/>
      <c r="AY401" s="54"/>
      <c r="AZ401" s="54"/>
      <c r="BA401" s="54"/>
    </row>
    <row r="402" spans="49:53" x14ac:dyDescent="0.2">
      <c r="AW402" s="57"/>
      <c r="AX402" s="54"/>
      <c r="AY402" s="54"/>
      <c r="AZ402" s="54"/>
      <c r="BA402" s="54"/>
    </row>
    <row r="403" spans="49:53" x14ac:dyDescent="0.2">
      <c r="AW403" s="57"/>
      <c r="AX403" s="54"/>
      <c r="AY403" s="54"/>
      <c r="AZ403" s="54"/>
      <c r="BA403" s="54"/>
    </row>
    <row r="404" spans="49:53" x14ac:dyDescent="0.2">
      <c r="AW404" s="57"/>
      <c r="AX404" s="54"/>
      <c r="AY404" s="54"/>
      <c r="AZ404" s="54"/>
      <c r="BA404" s="54"/>
    </row>
    <row r="405" spans="49:53" x14ac:dyDescent="0.2">
      <c r="AW405" s="57"/>
      <c r="AX405" s="54"/>
      <c r="AY405" s="54"/>
      <c r="AZ405" s="54"/>
      <c r="BA405" s="54"/>
    </row>
    <row r="406" spans="49:53" x14ac:dyDescent="0.2">
      <c r="AW406" s="57"/>
      <c r="AX406" s="54"/>
      <c r="AY406" s="54"/>
      <c r="AZ406" s="54"/>
      <c r="BA406" s="54"/>
    </row>
    <row r="407" spans="49:53" x14ac:dyDescent="0.2">
      <c r="AW407" s="57"/>
      <c r="AX407" s="54"/>
      <c r="AY407" s="54"/>
      <c r="AZ407" s="54"/>
      <c r="BA407" s="54"/>
    </row>
    <row r="408" spans="49:53" x14ac:dyDescent="0.2">
      <c r="AW408" s="57"/>
      <c r="AX408" s="54"/>
      <c r="AY408" s="54"/>
      <c r="AZ408" s="54"/>
      <c r="BA408" s="54"/>
    </row>
    <row r="409" spans="49:53" x14ac:dyDescent="0.2">
      <c r="AW409" s="57"/>
      <c r="AX409" s="54"/>
      <c r="AY409" s="54"/>
      <c r="AZ409" s="54"/>
      <c r="BA409" s="54"/>
    </row>
    <row r="410" spans="49:53" x14ac:dyDescent="0.2">
      <c r="AW410" s="57"/>
      <c r="AX410" s="54"/>
      <c r="AY410" s="54"/>
      <c r="AZ410" s="54"/>
      <c r="BA410" s="54"/>
    </row>
    <row r="411" spans="49:53" x14ac:dyDescent="0.2">
      <c r="AW411" s="57"/>
      <c r="AX411" s="54"/>
      <c r="AY411" s="54"/>
      <c r="AZ411" s="54"/>
      <c r="BA411" s="54"/>
    </row>
    <row r="412" spans="49:53" x14ac:dyDescent="0.2">
      <c r="AW412" s="57"/>
      <c r="AX412" s="54"/>
      <c r="AY412" s="54"/>
      <c r="AZ412" s="54"/>
      <c r="BA412" s="54"/>
    </row>
    <row r="413" spans="49:53" x14ac:dyDescent="0.2">
      <c r="AW413" s="57"/>
      <c r="AX413" s="54"/>
      <c r="AY413" s="54"/>
      <c r="AZ413" s="54"/>
      <c r="BA413" s="54"/>
    </row>
    <row r="414" spans="49:53" x14ac:dyDescent="0.2">
      <c r="AW414" s="57"/>
      <c r="AX414" s="54"/>
      <c r="AY414" s="54"/>
      <c r="AZ414" s="54"/>
      <c r="BA414" s="54"/>
    </row>
    <row r="415" spans="49:53" x14ac:dyDescent="0.2">
      <c r="AW415" s="57"/>
      <c r="AX415" s="54"/>
      <c r="AY415" s="54"/>
      <c r="AZ415" s="54"/>
      <c r="BA415" s="54"/>
    </row>
    <row r="416" spans="49:53" x14ac:dyDescent="0.2">
      <c r="AW416" s="57"/>
      <c r="AX416" s="54"/>
      <c r="AY416" s="54"/>
      <c r="AZ416" s="54"/>
      <c r="BA416" s="54"/>
    </row>
    <row r="418" spans="49:53" x14ac:dyDescent="0.2">
      <c r="AW418" s="65"/>
      <c r="AX418" s="62"/>
      <c r="AY418" s="62"/>
      <c r="AZ418" s="62"/>
      <c r="BA418" s="62"/>
    </row>
    <row r="419" spans="49:53" x14ac:dyDescent="0.2">
      <c r="AW419" s="65"/>
      <c r="AX419" s="62"/>
      <c r="AY419" s="62"/>
      <c r="AZ419" s="62"/>
      <c r="BA419" s="62"/>
    </row>
    <row r="420" spans="49:53" x14ac:dyDescent="0.2">
      <c r="AW420" s="65"/>
      <c r="AX420" s="62"/>
      <c r="AY420" s="62"/>
      <c r="AZ420" s="62"/>
      <c r="BA420" s="62"/>
    </row>
    <row r="421" spans="49:53" x14ac:dyDescent="0.2">
      <c r="AW421" s="65"/>
      <c r="AX421" s="62"/>
      <c r="AY421" s="62"/>
      <c r="AZ421" s="62"/>
      <c r="BA421" s="62"/>
    </row>
    <row r="422" spans="49:53" x14ac:dyDescent="0.2">
      <c r="AW422" s="65"/>
      <c r="AX422" s="62"/>
      <c r="AY422" s="62"/>
      <c r="AZ422" s="62"/>
      <c r="BA422" s="62"/>
    </row>
    <row r="423" spans="49:53" x14ac:dyDescent="0.2">
      <c r="AW423" s="65"/>
      <c r="AX423" s="62"/>
      <c r="AY423" s="62"/>
      <c r="AZ423" s="62"/>
      <c r="BA423" s="62"/>
    </row>
    <row r="424" spans="49:53" x14ac:dyDescent="0.2">
      <c r="AW424" s="65"/>
      <c r="AX424" s="62"/>
      <c r="AY424" s="62"/>
      <c r="AZ424" s="62"/>
      <c r="BA424" s="62"/>
    </row>
    <row r="425" spans="49:53" x14ac:dyDescent="0.2">
      <c r="AW425" s="65"/>
      <c r="AX425" s="62"/>
      <c r="AY425" s="62"/>
      <c r="AZ425" s="62"/>
      <c r="BA425" s="62"/>
    </row>
    <row r="426" spans="49:53" x14ac:dyDescent="0.2">
      <c r="AW426" s="72"/>
      <c r="AX426" s="71"/>
      <c r="AY426" s="71"/>
      <c r="AZ426" s="71"/>
      <c r="BA426" s="71"/>
    </row>
    <row r="427" spans="49:53" x14ac:dyDescent="0.2">
      <c r="AW427" s="78"/>
      <c r="AX427" s="77"/>
      <c r="AY427" s="77"/>
      <c r="AZ427" s="77"/>
      <c r="BA427" s="77"/>
    </row>
    <row r="428" spans="49:53" x14ac:dyDescent="0.2">
      <c r="AW428" s="78"/>
      <c r="AX428" s="77"/>
      <c r="AY428" s="77"/>
      <c r="AZ428" s="77"/>
      <c r="BA428" s="77"/>
    </row>
    <row r="429" spans="49:53" x14ac:dyDescent="0.2">
      <c r="AW429" s="65"/>
      <c r="AX429" s="62"/>
      <c r="AY429" s="62"/>
      <c r="AZ429" s="62"/>
      <c r="BA429" s="62"/>
    </row>
    <row r="430" spans="49:53" x14ac:dyDescent="0.2">
      <c r="AW430" s="65"/>
      <c r="AX430" s="62"/>
      <c r="AY430" s="62"/>
      <c r="AZ430" s="62"/>
      <c r="BA430" s="62"/>
    </row>
    <row r="488" spans="49:49" x14ac:dyDescent="0.2">
      <c r="AW488" s="4"/>
    </row>
    <row r="489" spans="49:49" x14ac:dyDescent="0.2">
      <c r="AW489" s="4"/>
    </row>
    <row r="490" spans="49:49" x14ac:dyDescent="0.2">
      <c r="AW490" s="4"/>
    </row>
    <row r="491" spans="49:49" x14ac:dyDescent="0.2">
      <c r="AW491" s="4"/>
    </row>
    <row r="492" spans="49:49" x14ac:dyDescent="0.2">
      <c r="AW492" s="4"/>
    </row>
    <row r="493" spans="49:49" x14ac:dyDescent="0.2">
      <c r="AW493" s="4"/>
    </row>
    <row r="494" spans="49:49" x14ac:dyDescent="0.2">
      <c r="AW494" s="4"/>
    </row>
    <row r="495" spans="49:49" x14ac:dyDescent="0.2">
      <c r="AW495" s="4"/>
    </row>
    <row r="496" spans="49:49" x14ac:dyDescent="0.2">
      <c r="AW496" s="4"/>
    </row>
    <row r="542" spans="49:49" x14ac:dyDescent="0.2">
      <c r="AW542" s="4"/>
    </row>
    <row r="543" spans="49:49" x14ac:dyDescent="0.2">
      <c r="AW543" s="4"/>
    </row>
    <row r="544" spans="49:49" x14ac:dyDescent="0.2">
      <c r="AW544" s="4"/>
    </row>
    <row r="545" spans="49:49" x14ac:dyDescent="0.2">
      <c r="AW545" s="4"/>
    </row>
    <row r="546" spans="49:49" x14ac:dyDescent="0.2">
      <c r="AW546" s="4"/>
    </row>
    <row r="547" spans="49:49" x14ac:dyDescent="0.2">
      <c r="AW547" s="4"/>
    </row>
    <row r="548" spans="49:49" x14ac:dyDescent="0.2">
      <c r="AW548" s="4"/>
    </row>
    <row r="549" spans="49:49" x14ac:dyDescent="0.2">
      <c r="AW549" s="4"/>
    </row>
    <row r="550" spans="49:49" x14ac:dyDescent="0.2">
      <c r="AW550" s="4"/>
    </row>
    <row r="596" spans="49:49" x14ac:dyDescent="0.2">
      <c r="AW596" s="4"/>
    </row>
    <row r="597" spans="49:49" x14ac:dyDescent="0.2">
      <c r="AW597" s="4"/>
    </row>
    <row r="598" spans="49:49" x14ac:dyDescent="0.2">
      <c r="AW598" s="4"/>
    </row>
    <row r="599" spans="49:49" x14ac:dyDescent="0.2">
      <c r="AW599" s="4"/>
    </row>
    <row r="600" spans="49:49" x14ac:dyDescent="0.2">
      <c r="AW600" s="4"/>
    </row>
    <row r="601" spans="49:49" x14ac:dyDescent="0.2">
      <c r="AW601" s="4"/>
    </row>
    <row r="602" spans="49:49" x14ac:dyDescent="0.2">
      <c r="AW602" s="4"/>
    </row>
    <row r="603" spans="49:49" x14ac:dyDescent="0.2">
      <c r="AW603" s="4"/>
    </row>
    <row r="604" spans="49:49" x14ac:dyDescent="0.2">
      <c r="AW604" s="4"/>
    </row>
    <row r="650" spans="49:49" x14ac:dyDescent="0.2">
      <c r="AW650" s="4"/>
    </row>
    <row r="651" spans="49:49" x14ac:dyDescent="0.2">
      <c r="AW651" s="4"/>
    </row>
    <row r="652" spans="49:49" x14ac:dyDescent="0.2">
      <c r="AW652" s="4"/>
    </row>
    <row r="653" spans="49:49" x14ac:dyDescent="0.2">
      <c r="AW653" s="4"/>
    </row>
    <row r="654" spans="49:49" x14ac:dyDescent="0.2">
      <c r="AW654" s="4"/>
    </row>
    <row r="655" spans="49:49" x14ac:dyDescent="0.2">
      <c r="AW655" s="4"/>
    </row>
    <row r="656" spans="49:49" x14ac:dyDescent="0.2">
      <c r="AW656" s="4"/>
    </row>
    <row r="657" spans="49:49" x14ac:dyDescent="0.2">
      <c r="AW657" s="4"/>
    </row>
    <row r="658" spans="49:49" x14ac:dyDescent="0.2">
      <c r="AW658" s="4"/>
    </row>
  </sheetData>
  <sheetProtection sheet="1" objects="1" scenarios="1" formatCells="0" selectLockedCells="1"/>
  <mergeCells count="431">
    <mergeCell ref="T233:V233"/>
    <mergeCell ref="A234:M234"/>
    <mergeCell ref="V234:AG234"/>
    <mergeCell ref="T221:V221"/>
    <mergeCell ref="T222:V222"/>
    <mergeCell ref="K223:N225"/>
    <mergeCell ref="AF223:AG225"/>
    <mergeCell ref="T231:V231"/>
    <mergeCell ref="T232:V232"/>
    <mergeCell ref="AC217:AE217"/>
    <mergeCell ref="K218:N218"/>
    <mergeCell ref="T218:V218"/>
    <mergeCell ref="AF218:AG218"/>
    <mergeCell ref="T219:V219"/>
    <mergeCell ref="T220:V220"/>
    <mergeCell ref="B217:D217"/>
    <mergeCell ref="E217:G217"/>
    <mergeCell ref="H217:J217"/>
    <mergeCell ref="T217:V217"/>
    <mergeCell ref="W217:Y217"/>
    <mergeCell ref="Z217:AB217"/>
    <mergeCell ref="Z215:AB215"/>
    <mergeCell ref="AC215:AE215"/>
    <mergeCell ref="AF215:AJ217"/>
    <mergeCell ref="B216:D216"/>
    <mergeCell ref="E216:G216"/>
    <mergeCell ref="H216:J216"/>
    <mergeCell ref="T216:V216"/>
    <mergeCell ref="W216:Y216"/>
    <mergeCell ref="Z216:AB216"/>
    <mergeCell ref="AC216:AE216"/>
    <mergeCell ref="B213:J213"/>
    <mergeCell ref="K213:Q213"/>
    <mergeCell ref="U213:W213"/>
    <mergeCell ref="X213:AF213"/>
    <mergeCell ref="AG213:AM213"/>
    <mergeCell ref="B215:D215"/>
    <mergeCell ref="E215:G215"/>
    <mergeCell ref="H215:J215"/>
    <mergeCell ref="K215:Q217"/>
    <mergeCell ref="W215:Y215"/>
    <mergeCell ref="B211:J211"/>
    <mergeCell ref="K211:Q211"/>
    <mergeCell ref="U211:W211"/>
    <mergeCell ref="X211:AF211"/>
    <mergeCell ref="AG211:AM211"/>
    <mergeCell ref="B212:J212"/>
    <mergeCell ref="K212:Q212"/>
    <mergeCell ref="U212:W212"/>
    <mergeCell ref="X212:AF212"/>
    <mergeCell ref="AG212:AM212"/>
    <mergeCell ref="B209:J209"/>
    <mergeCell ref="K209:Q209"/>
    <mergeCell ref="U209:W209"/>
    <mergeCell ref="X209:AF209"/>
    <mergeCell ref="AG209:AM209"/>
    <mergeCell ref="B210:J210"/>
    <mergeCell ref="K210:Q210"/>
    <mergeCell ref="U210:W210"/>
    <mergeCell ref="X210:AF210"/>
    <mergeCell ref="AG210:AM210"/>
    <mergeCell ref="A204:E204"/>
    <mergeCell ref="U204:AA204"/>
    <mergeCell ref="A205:E205"/>
    <mergeCell ref="U205:AA205"/>
    <mergeCell ref="A208:J208"/>
    <mergeCell ref="U208:AF208"/>
    <mergeCell ref="AB202:AE202"/>
    <mergeCell ref="AF202:AH202"/>
    <mergeCell ref="A203:E203"/>
    <mergeCell ref="F203:M203"/>
    <mergeCell ref="T203:Z203"/>
    <mergeCell ref="AB203:AH203"/>
    <mergeCell ref="A200:E200"/>
    <mergeCell ref="J200:P200"/>
    <mergeCell ref="U200:AA200"/>
    <mergeCell ref="A202:D202"/>
    <mergeCell ref="F202:I202"/>
    <mergeCell ref="J202:M202"/>
    <mergeCell ref="T202:Z202"/>
    <mergeCell ref="J198:P198"/>
    <mergeCell ref="AF198:AJ198"/>
    <mergeCell ref="A199:E199"/>
    <mergeCell ref="F199:I199"/>
    <mergeCell ref="J199:P199"/>
    <mergeCell ref="U199:AA199"/>
    <mergeCell ref="AB199:AE199"/>
    <mergeCell ref="AF199:AJ199"/>
    <mergeCell ref="A195:E195"/>
    <mergeCell ref="U195:AA195"/>
    <mergeCell ref="A196:E196"/>
    <mergeCell ref="U196:AA196"/>
    <mergeCell ref="F197:I197"/>
    <mergeCell ref="AB197:AE197"/>
    <mergeCell ref="AB193:AH193"/>
    <mergeCell ref="A194:E194"/>
    <mergeCell ref="F194:I194"/>
    <mergeCell ref="J194:M194"/>
    <mergeCell ref="T194:Z194"/>
    <mergeCell ref="AB194:AE194"/>
    <mergeCell ref="AF194:AH194"/>
    <mergeCell ref="A190:E190"/>
    <mergeCell ref="U190:AA190"/>
    <mergeCell ref="A191:E191"/>
    <mergeCell ref="U191:AA191"/>
    <mergeCell ref="A193:E193"/>
    <mergeCell ref="F193:M193"/>
    <mergeCell ref="T193:AA193"/>
    <mergeCell ref="A182:AQ182"/>
    <mergeCell ref="A183:AQ183"/>
    <mergeCell ref="A184:AQ184"/>
    <mergeCell ref="A185:AQ185"/>
    <mergeCell ref="A186:K186"/>
    <mergeCell ref="A188:O188"/>
    <mergeCell ref="R188:AF188"/>
    <mergeCell ref="AF179:AK179"/>
    <mergeCell ref="AL179:AO179"/>
    <mergeCell ref="B180:G180"/>
    <mergeCell ref="H180:K180"/>
    <mergeCell ref="L180:Q180"/>
    <mergeCell ref="R180:U180"/>
    <mergeCell ref="V180:AA180"/>
    <mergeCell ref="AB180:AE180"/>
    <mergeCell ref="AF180:AK180"/>
    <mergeCell ref="AL180:AO180"/>
    <mergeCell ref="V178:AA178"/>
    <mergeCell ref="AB178:AE178"/>
    <mergeCell ref="AF178:AK178"/>
    <mergeCell ref="AL178:AO178"/>
    <mergeCell ref="B179:G179"/>
    <mergeCell ref="H179:K179"/>
    <mergeCell ref="L179:Q179"/>
    <mergeCell ref="R179:U179"/>
    <mergeCell ref="V179:AA179"/>
    <mergeCell ref="AB179:AE179"/>
    <mergeCell ref="A176:AQ176"/>
    <mergeCell ref="A177:A178"/>
    <mergeCell ref="B177:K177"/>
    <mergeCell ref="L177:U177"/>
    <mergeCell ref="V177:AE177"/>
    <mergeCell ref="AF177:AO177"/>
    <mergeCell ref="B178:G178"/>
    <mergeCell ref="H178:K178"/>
    <mergeCell ref="L178:Q178"/>
    <mergeCell ref="R178:U178"/>
    <mergeCell ref="Z108:AB108"/>
    <mergeCell ref="AC108:AE108"/>
    <mergeCell ref="AG142:AK142"/>
    <mergeCell ref="A174:AM174"/>
    <mergeCell ref="AN174:AQ174"/>
    <mergeCell ref="A175:AQ175"/>
    <mergeCell ref="Z107:AB107"/>
    <mergeCell ref="AC107:AE107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Z106:AB106"/>
    <mergeCell ref="AC106:AE106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Z105:AB105"/>
    <mergeCell ref="AC105:AE105"/>
    <mergeCell ref="B106:D106"/>
    <mergeCell ref="E106:G106"/>
    <mergeCell ref="H106:J106"/>
    <mergeCell ref="K106:M106"/>
    <mergeCell ref="N106:P106"/>
    <mergeCell ref="Q106:S106"/>
    <mergeCell ref="T106:V106"/>
    <mergeCell ref="W106:Y106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W104:Y104"/>
    <mergeCell ref="Z104:AB104"/>
    <mergeCell ref="Z101:AB102"/>
    <mergeCell ref="AC101:AE102"/>
    <mergeCell ref="AF101:AF102"/>
    <mergeCell ref="AG101:AG102"/>
    <mergeCell ref="AH101:AI102"/>
    <mergeCell ref="B102:D102"/>
    <mergeCell ref="E102:K102"/>
    <mergeCell ref="A101:A102"/>
    <mergeCell ref="B101:D101"/>
    <mergeCell ref="E101:K101"/>
    <mergeCell ref="L101:P102"/>
    <mergeCell ref="R101:V102"/>
    <mergeCell ref="W101:Y102"/>
    <mergeCell ref="Z99:AB100"/>
    <mergeCell ref="AC99:AE100"/>
    <mergeCell ref="AF99:AF100"/>
    <mergeCell ref="AG99:AG100"/>
    <mergeCell ref="AH99:AI100"/>
    <mergeCell ref="B100:D100"/>
    <mergeCell ref="E100:K100"/>
    <mergeCell ref="A99:A100"/>
    <mergeCell ref="B99:D99"/>
    <mergeCell ref="E99:K99"/>
    <mergeCell ref="L99:P100"/>
    <mergeCell ref="R99:V100"/>
    <mergeCell ref="W99:Y100"/>
    <mergeCell ref="Z97:AB98"/>
    <mergeCell ref="AC97:AE98"/>
    <mergeCell ref="AF97:AF98"/>
    <mergeCell ref="AG97:AG98"/>
    <mergeCell ref="AH97:AI98"/>
    <mergeCell ref="B98:D98"/>
    <mergeCell ref="E98:K98"/>
    <mergeCell ref="A97:A98"/>
    <mergeCell ref="B97:D97"/>
    <mergeCell ref="E97:K97"/>
    <mergeCell ref="L97:P98"/>
    <mergeCell ref="R97:V98"/>
    <mergeCell ref="W97:Y98"/>
    <mergeCell ref="Z95:AB96"/>
    <mergeCell ref="AC95:AE96"/>
    <mergeCell ref="AF95:AF96"/>
    <mergeCell ref="AG95:AG96"/>
    <mergeCell ref="AH95:AI96"/>
    <mergeCell ref="B96:D96"/>
    <mergeCell ref="E96:K96"/>
    <mergeCell ref="AG93:AG94"/>
    <mergeCell ref="AH93:AI94"/>
    <mergeCell ref="B94:D94"/>
    <mergeCell ref="E94:K94"/>
    <mergeCell ref="A95:A96"/>
    <mergeCell ref="B95:D95"/>
    <mergeCell ref="E95:K95"/>
    <mergeCell ref="L95:P96"/>
    <mergeCell ref="R95:V96"/>
    <mergeCell ref="W95:Y96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F93:AF94"/>
    <mergeCell ref="C91:H91"/>
    <mergeCell ref="I91:J91"/>
    <mergeCell ref="K91:AI91"/>
    <mergeCell ref="B92:K92"/>
    <mergeCell ref="L92:P92"/>
    <mergeCell ref="Q92:Q102"/>
    <mergeCell ref="R92:V92"/>
    <mergeCell ref="W92:Y92"/>
    <mergeCell ref="Z92:AB92"/>
    <mergeCell ref="AC92:AE92"/>
    <mergeCell ref="Z23:AB23"/>
    <mergeCell ref="AC23:AE23"/>
    <mergeCell ref="AG57:AK57"/>
    <mergeCell ref="A89:AM89"/>
    <mergeCell ref="AN89:AQ89"/>
    <mergeCell ref="A90:AQ90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Z16:AB17"/>
    <mergeCell ref="AC16:AE17"/>
    <mergeCell ref="AF16:AF17"/>
    <mergeCell ref="AG16:AG17"/>
    <mergeCell ref="AH16:AI17"/>
    <mergeCell ref="B17:D17"/>
    <mergeCell ref="E17:K17"/>
    <mergeCell ref="AG14:AG15"/>
    <mergeCell ref="AH14:AI15"/>
    <mergeCell ref="B15:D15"/>
    <mergeCell ref="E15:K15"/>
    <mergeCell ref="A16:A17"/>
    <mergeCell ref="B16:D16"/>
    <mergeCell ref="E16:K16"/>
    <mergeCell ref="L16:P17"/>
    <mergeCell ref="R16:V17"/>
    <mergeCell ref="W16:Y17"/>
    <mergeCell ref="AT13:AY14"/>
    <mergeCell ref="A14:A15"/>
    <mergeCell ref="B14:D14"/>
    <mergeCell ref="E14:K14"/>
    <mergeCell ref="L14:P15"/>
    <mergeCell ref="R14:V15"/>
    <mergeCell ref="W14:Y15"/>
    <mergeCell ref="Z14:AB15"/>
    <mergeCell ref="AC14:AE15"/>
    <mergeCell ref="AF14:AF15"/>
    <mergeCell ref="Z12:AB13"/>
    <mergeCell ref="AC12:AE13"/>
    <mergeCell ref="AF12:AF13"/>
    <mergeCell ref="AG12:AG13"/>
    <mergeCell ref="AH12:AI13"/>
    <mergeCell ref="B13:D13"/>
    <mergeCell ref="E13:K13"/>
    <mergeCell ref="A12:A13"/>
    <mergeCell ref="B12:D12"/>
    <mergeCell ref="E12:K12"/>
    <mergeCell ref="L12:P13"/>
    <mergeCell ref="R12:V13"/>
    <mergeCell ref="W12:Y13"/>
    <mergeCell ref="Z10:AB11"/>
    <mergeCell ref="AC10:AE11"/>
    <mergeCell ref="AF10:AF11"/>
    <mergeCell ref="AG10:AG11"/>
    <mergeCell ref="AH10:AI11"/>
    <mergeCell ref="B11:D11"/>
    <mergeCell ref="E11:K11"/>
    <mergeCell ref="A10:A11"/>
    <mergeCell ref="B10:D10"/>
    <mergeCell ref="E10:K10"/>
    <mergeCell ref="L10:P11"/>
    <mergeCell ref="R10:V11"/>
    <mergeCell ref="W10:Y11"/>
    <mergeCell ref="AC8:AE9"/>
    <mergeCell ref="AF8:AF9"/>
    <mergeCell ref="AG8:AG9"/>
    <mergeCell ref="AH8:AI9"/>
    <mergeCell ref="B9:D9"/>
    <mergeCell ref="E9:K9"/>
    <mergeCell ref="Z7:AB7"/>
    <mergeCell ref="AC7:AE7"/>
    <mergeCell ref="AH7:AI7"/>
    <mergeCell ref="A8:A9"/>
    <mergeCell ref="B8:D8"/>
    <mergeCell ref="E8:K8"/>
    <mergeCell ref="L8:P9"/>
    <mergeCell ref="R8:V9"/>
    <mergeCell ref="W8:Y9"/>
    <mergeCell ref="Z8:AB9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  <mergeCell ref="A1:AI1"/>
    <mergeCell ref="AT1:AW1"/>
    <mergeCell ref="AX1:AY1"/>
    <mergeCell ref="A2:I2"/>
    <mergeCell ref="J2:X2"/>
    <mergeCell ref="Y2:AC2"/>
    <mergeCell ref="AD2:AI2"/>
  </mergeCells>
  <conditionalFormatting sqref="A8 A93">
    <cfRule type="expression" dxfId="1932" priority="6" stopIfTrue="1">
      <formula>IF(AK9&gt;0,0,1)</formula>
    </cfRule>
  </conditionalFormatting>
  <conditionalFormatting sqref="A10:A11 A95:A96">
    <cfRule type="expression" dxfId="1931" priority="7" stopIfTrue="1">
      <formula>IF(AK9&gt;1,0,1)</formula>
    </cfRule>
  </conditionalFormatting>
  <conditionalFormatting sqref="A12:A13 A97:A98">
    <cfRule type="expression" dxfId="1930" priority="8" stopIfTrue="1">
      <formula>IF(AK9&gt;2,0,1)</formula>
    </cfRule>
  </conditionalFormatting>
  <conditionalFormatting sqref="A14:A15 A99:A100">
    <cfRule type="expression" dxfId="1929" priority="9" stopIfTrue="1">
      <formula>IF(AK9&gt;3,0,1)</formula>
    </cfRule>
  </conditionalFormatting>
  <conditionalFormatting sqref="A16:A17 A101:A102">
    <cfRule type="expression" dxfId="1928" priority="10" stopIfTrue="1">
      <formula>IF(AK9&gt;4,0,1)</formula>
    </cfRule>
  </conditionalFormatting>
  <conditionalFormatting sqref="B8 B93">
    <cfRule type="expression" dxfId="1927" priority="11" stopIfTrue="1">
      <formula>IF(AK9&gt;0,0,1)</formula>
    </cfRule>
  </conditionalFormatting>
  <conditionalFormatting sqref="B9 B94">
    <cfRule type="expression" dxfId="1926" priority="12" stopIfTrue="1">
      <formula>IF(AK9&gt;0,0,1)</formula>
    </cfRule>
  </conditionalFormatting>
  <conditionalFormatting sqref="B10 B95">
    <cfRule type="expression" dxfId="1925" priority="13" stopIfTrue="1">
      <formula>IF(AK9&gt;1,0,1)</formula>
    </cfRule>
  </conditionalFormatting>
  <conditionalFormatting sqref="B11:D11 B96:D96">
    <cfRule type="expression" dxfId="1924" priority="14" stopIfTrue="1">
      <formula>IF(AK9&gt;1,0,1)</formula>
    </cfRule>
  </conditionalFormatting>
  <conditionalFormatting sqref="B12:D12 B97:D97">
    <cfRule type="expression" dxfId="1923" priority="15" stopIfTrue="1">
      <formula>IF(AK9&gt;2,0,1)</formula>
    </cfRule>
  </conditionalFormatting>
  <conditionalFormatting sqref="B13:D13 B98:D98">
    <cfRule type="expression" dxfId="1922" priority="16" stopIfTrue="1">
      <formula>IF(AK9&gt;2,0,1)</formula>
    </cfRule>
  </conditionalFormatting>
  <conditionalFormatting sqref="B14:D14 B99:D99">
    <cfRule type="expression" dxfId="1921" priority="17" stopIfTrue="1">
      <formula>IF(AK9&gt;3,0,1)</formula>
    </cfRule>
  </conditionalFormatting>
  <conditionalFormatting sqref="B15:D15 B100:D100">
    <cfRule type="expression" dxfId="1920" priority="18" stopIfTrue="1">
      <formula>IF(AK9&gt;3,0,1)</formula>
    </cfRule>
  </conditionalFormatting>
  <conditionalFormatting sqref="B16:D16 B101:D101">
    <cfRule type="expression" dxfId="1919" priority="19" stopIfTrue="1">
      <formula>IF(AK9&gt;4,0,1)</formula>
    </cfRule>
  </conditionalFormatting>
  <conditionalFormatting sqref="B17:D17 B102:D102">
    <cfRule type="expression" dxfId="1918" priority="20" stopIfTrue="1">
      <formula>IF(AK9&gt;4,0,1)</formula>
    </cfRule>
  </conditionalFormatting>
  <conditionalFormatting sqref="E8 E93">
    <cfRule type="expression" dxfId="1917" priority="21" stopIfTrue="1">
      <formula>IF(AK9&gt;0,0,1)</formula>
    </cfRule>
  </conditionalFormatting>
  <conditionalFormatting sqref="E9 E94">
    <cfRule type="expression" dxfId="1916" priority="22" stopIfTrue="1">
      <formula>IF(AK9&gt;0,0,1)</formula>
    </cfRule>
  </conditionalFormatting>
  <conditionalFormatting sqref="E10 E95">
    <cfRule type="expression" dxfId="1915" priority="23" stopIfTrue="1">
      <formula>IF(AK9&gt;1,0,1)</formula>
    </cfRule>
  </conditionalFormatting>
  <conditionalFormatting sqref="E11 E96">
    <cfRule type="expression" dxfId="1914" priority="24" stopIfTrue="1">
      <formula>IF(AK9&gt;1,0,1)</formula>
    </cfRule>
  </conditionalFormatting>
  <conditionalFormatting sqref="E12 E97">
    <cfRule type="expression" dxfId="1913" priority="25" stopIfTrue="1">
      <formula>IF(AK9&gt;2,0,1)</formula>
    </cfRule>
  </conditionalFormatting>
  <conditionalFormatting sqref="E13 E98">
    <cfRule type="expression" dxfId="1912" priority="26" stopIfTrue="1">
      <formula>IF(AK9&gt;2,0,1)</formula>
    </cfRule>
  </conditionalFormatting>
  <conditionalFormatting sqref="E14 E99">
    <cfRule type="expression" dxfId="1911" priority="27" stopIfTrue="1">
      <formula>IF(AK9&gt;3,0,1)</formula>
    </cfRule>
  </conditionalFormatting>
  <conditionalFormatting sqref="E15 E100">
    <cfRule type="expression" dxfId="1910" priority="28" stopIfTrue="1">
      <formula>IF(AK9&gt;3,0,1)</formula>
    </cfRule>
  </conditionalFormatting>
  <conditionalFormatting sqref="E16 E101">
    <cfRule type="expression" dxfId="1909" priority="29" stopIfTrue="1">
      <formula>IF(AK9&gt;4,0,1)</formula>
    </cfRule>
  </conditionalFormatting>
  <conditionalFormatting sqref="E17 E102">
    <cfRule type="expression" dxfId="1908" priority="30" stopIfTrue="1">
      <formula>IF(AK9&gt;4,0,1)</formula>
    </cfRule>
  </conditionalFormatting>
  <conditionalFormatting sqref="AC8 AC93">
    <cfRule type="expression" dxfId="1907" priority="31" stopIfTrue="1">
      <formula>IF(AK11=1,IF(AK9&gt;0,0,1),1)</formula>
    </cfRule>
  </conditionalFormatting>
  <conditionalFormatting sqref="AC10:AE11 AC95:AE96">
    <cfRule type="expression" dxfId="1906" priority="32" stopIfTrue="1">
      <formula>IF(AK11=1,IF(AK9&gt;1,0,1),1)</formula>
    </cfRule>
  </conditionalFormatting>
  <conditionalFormatting sqref="AC12:AE13 AC97:AE98">
    <cfRule type="expression" dxfId="1905" priority="33" stopIfTrue="1">
      <formula>IF(AK11=1,IF(AK9&gt;2,0,1),1)</formula>
    </cfRule>
  </conditionalFormatting>
  <conditionalFormatting sqref="AC14:AE15 AC99:AE100">
    <cfRule type="expression" dxfId="1904" priority="34" stopIfTrue="1">
      <formula>IF(AK11=1,IF(AK9&gt;3,0,1),1)</formula>
    </cfRule>
  </conditionalFormatting>
  <conditionalFormatting sqref="AC16:AE17 AC101:AE102">
    <cfRule type="expression" dxfId="1903" priority="35" stopIfTrue="1">
      <formula>IF(AK11=1,IF(AK9&gt;4,0,1),1)</formula>
    </cfRule>
  </conditionalFormatting>
  <conditionalFormatting sqref="AH8 AH93">
    <cfRule type="expression" dxfId="1902" priority="36" stopIfTrue="1">
      <formula>IF(AK9&gt;0,0,1)</formula>
    </cfRule>
  </conditionalFormatting>
  <conditionalFormatting sqref="AH10:AI11 AH95:AI96">
    <cfRule type="expression" dxfId="1901" priority="37" stopIfTrue="1">
      <formula>IF(AK9&gt;1,0,1)</formula>
    </cfRule>
  </conditionalFormatting>
  <conditionalFormatting sqref="AH12:AI13 AH97:AI98">
    <cfRule type="expression" dxfId="1900" priority="38" stopIfTrue="1">
      <formula>IF(AK9&gt;2,0,1)</formula>
    </cfRule>
  </conditionalFormatting>
  <conditionalFormatting sqref="AH14:AI15 AH99:AI100">
    <cfRule type="expression" dxfId="1899" priority="39" stopIfTrue="1">
      <formula>IF(AK9&gt;3,0,1)</formula>
    </cfRule>
  </conditionalFormatting>
  <conditionalFormatting sqref="AH16:AI17 AH101:AI102">
    <cfRule type="expression" dxfId="1898" priority="40" stopIfTrue="1">
      <formula>IF(AK9&gt;4,0,1)</formula>
    </cfRule>
  </conditionalFormatting>
  <conditionalFormatting sqref="B19:D19 B104:D104">
    <cfRule type="expression" dxfId="1897" priority="41" stopIfTrue="1">
      <formula>IF(AK8&gt;0,0,1)</formula>
    </cfRule>
  </conditionalFormatting>
  <conditionalFormatting sqref="E19:G19 E104:G104">
    <cfRule type="expression" dxfId="1896" priority="42" stopIfTrue="1">
      <formula>IF(AK8&gt;1,0,1)</formula>
    </cfRule>
  </conditionalFormatting>
  <conditionalFormatting sqref="H19:J19 H104:J104">
    <cfRule type="expression" dxfId="1895" priority="43" stopIfTrue="1">
      <formula>IF(AK8&gt;2,0,1)</formula>
    </cfRule>
  </conditionalFormatting>
  <conditionalFormatting sqref="K19:M19 K104:M104">
    <cfRule type="expression" dxfId="1894" priority="44" stopIfTrue="1">
      <formula>IF(AK8&gt;3,0,1)</formula>
    </cfRule>
  </conditionalFormatting>
  <conditionalFormatting sqref="N19:P19 N104:P104">
    <cfRule type="expression" dxfId="1893" priority="45" stopIfTrue="1">
      <formula>IF(AK8&gt;4,0,1)</formula>
    </cfRule>
  </conditionalFormatting>
  <conditionalFormatting sqref="Q19:S19 Q104:S104">
    <cfRule type="expression" dxfId="1892" priority="46" stopIfTrue="1">
      <formula>IF(AK8&gt;5,0,1)</formula>
    </cfRule>
  </conditionalFormatting>
  <conditionalFormatting sqref="T19:V19 T104:V104">
    <cfRule type="expression" dxfId="1891" priority="47" stopIfTrue="1">
      <formula>IF(AK8&gt;6,0,1)</formula>
    </cfRule>
  </conditionalFormatting>
  <conditionalFormatting sqref="W19:Y19 W104:Y104">
    <cfRule type="expression" dxfId="1890" priority="48" stopIfTrue="1">
      <formula>IF(AK8&gt;7,0,1)</formula>
    </cfRule>
  </conditionalFormatting>
  <conditionalFormatting sqref="Z19:AB19 Z104:AB104">
    <cfRule type="expression" dxfId="1889" priority="49" stopIfTrue="1">
      <formula>IF(AK8&gt;8,0,1)</formula>
    </cfRule>
  </conditionalFormatting>
  <conditionalFormatting sqref="AC19:AE19 AC104:AE104">
    <cfRule type="expression" dxfId="1888" priority="50" stopIfTrue="1">
      <formula>IF(AK8&gt;9,0,1)</formula>
    </cfRule>
  </conditionalFormatting>
  <conditionalFormatting sqref="B20:D20 B105:D105">
    <cfRule type="expression" dxfId="1887" priority="51" stopIfTrue="1">
      <formula>IF(AK8&gt;0,0,1)</formula>
    </cfRule>
  </conditionalFormatting>
  <conditionalFormatting sqref="E20:G20 E105:G105">
    <cfRule type="expression" dxfId="1886" priority="52" stopIfTrue="1">
      <formula>IF(AK8&gt;1,0,1)</formula>
    </cfRule>
  </conditionalFormatting>
  <conditionalFormatting sqref="H20:J20 H105:J105">
    <cfRule type="expression" dxfId="1885" priority="53" stopIfTrue="1">
      <formula>IF(AK8&gt;2,0,1)</formula>
    </cfRule>
  </conditionalFormatting>
  <conditionalFormatting sqref="K20:M20 K105:M105">
    <cfRule type="expression" dxfId="1884" priority="54" stopIfTrue="1">
      <formula>IF(AK8&gt;3,0,1)</formula>
    </cfRule>
  </conditionalFormatting>
  <conditionalFormatting sqref="N20:P20 N105:P105">
    <cfRule type="expression" dxfId="1883" priority="55" stopIfTrue="1">
      <formula>IF(AK8&gt;4,0,1)</formula>
    </cfRule>
  </conditionalFormatting>
  <conditionalFormatting sqref="Q20:S20 Q105:S105">
    <cfRule type="expression" dxfId="1882" priority="56" stopIfTrue="1">
      <formula>IF(AK8&gt;5,0,1)</formula>
    </cfRule>
  </conditionalFormatting>
  <conditionalFormatting sqref="T20:V20 T105:V105">
    <cfRule type="expression" dxfId="1881" priority="57" stopIfTrue="1">
      <formula>IF(AK8&gt;6,0,1)</formula>
    </cfRule>
  </conditionalFormatting>
  <conditionalFormatting sqref="W20:Y20 W105:Y105">
    <cfRule type="expression" dxfId="1880" priority="58" stopIfTrue="1">
      <formula>IF(AK8&gt;7,0,1)</formula>
    </cfRule>
  </conditionalFormatting>
  <conditionalFormatting sqref="Z20:AB20 Z105:AB105">
    <cfRule type="expression" dxfId="1879" priority="59" stopIfTrue="1">
      <formula>IF(AK8&gt;8,0,1)</formula>
    </cfRule>
  </conditionalFormatting>
  <conditionalFormatting sqref="AC20:AE20 AC105:AE105">
    <cfRule type="expression" dxfId="1878" priority="60" stopIfTrue="1">
      <formula>IF(AK8&gt;9,0,1)</formula>
    </cfRule>
  </conditionalFormatting>
  <conditionalFormatting sqref="E22:G22 E107:G107">
    <cfRule type="expression" dxfId="1877" priority="61" stopIfTrue="1">
      <formula>IF(AK8&gt;1,0,1)</formula>
    </cfRule>
  </conditionalFormatting>
  <conditionalFormatting sqref="H22:J22 H107:J107">
    <cfRule type="expression" dxfId="1876" priority="62" stopIfTrue="1">
      <formula>IF(AK8&gt;2,0,1)</formula>
    </cfRule>
  </conditionalFormatting>
  <conditionalFormatting sqref="K22:M22 K107:M107">
    <cfRule type="expression" dxfId="1875" priority="63" stopIfTrue="1">
      <formula>IF(AK8&gt;3,0,1)</formula>
    </cfRule>
  </conditionalFormatting>
  <conditionalFormatting sqref="N22:P22 N107:P107">
    <cfRule type="expression" dxfId="1874" priority="64" stopIfTrue="1">
      <formula>IF(AK8&gt;4,0,1)</formula>
    </cfRule>
  </conditionalFormatting>
  <conditionalFormatting sqref="Q22:S22 Q107:S107">
    <cfRule type="expression" dxfId="1873" priority="65" stopIfTrue="1">
      <formula>IF(AK8&gt;5,0,1)</formula>
    </cfRule>
  </conditionalFormatting>
  <conditionalFormatting sqref="T22:V22 T107:V107">
    <cfRule type="expression" dxfId="1872" priority="66" stopIfTrue="1">
      <formula>IF(AK8&gt;6,0,1)</formula>
    </cfRule>
  </conditionalFormatting>
  <conditionalFormatting sqref="W22:Y22 W107:Y107">
    <cfRule type="expression" dxfId="1871" priority="67" stopIfTrue="1">
      <formula>IF(AK8&gt;7,0,1)</formula>
    </cfRule>
  </conditionalFormatting>
  <conditionalFormatting sqref="Z22:AB22 Z107:AB107">
    <cfRule type="expression" dxfId="1870" priority="68" stopIfTrue="1">
      <formula>IF(AK8&gt;8,0,1)</formula>
    </cfRule>
  </conditionalFormatting>
  <conditionalFormatting sqref="AC22:AE22 AC107:AE107">
    <cfRule type="expression" dxfId="1869" priority="69" stopIfTrue="1">
      <formula>IF(AK8&gt;9,0,1)</formula>
    </cfRule>
  </conditionalFormatting>
  <conditionalFormatting sqref="B24 B109">
    <cfRule type="expression" dxfId="1868" priority="70" stopIfTrue="1">
      <formula>IF(AK8&gt;0,0,1)</formula>
    </cfRule>
  </conditionalFormatting>
  <conditionalFormatting sqref="C24 C109">
    <cfRule type="expression" dxfId="1867" priority="71" stopIfTrue="1">
      <formula>IF(AK8&gt;0,0,1)</formula>
    </cfRule>
  </conditionalFormatting>
  <conditionalFormatting sqref="D24 D109">
    <cfRule type="expression" dxfId="1866" priority="72" stopIfTrue="1">
      <formula>IF(AK8&gt;0,0,1)</formula>
    </cfRule>
  </conditionalFormatting>
  <conditionalFormatting sqref="E23:G23 E108:G108">
    <cfRule type="expression" dxfId="1865" priority="73" stopIfTrue="1">
      <formula>IF(AK8&gt;1,0,1)</formula>
    </cfRule>
  </conditionalFormatting>
  <conditionalFormatting sqref="F24 F109">
    <cfRule type="expression" dxfId="1864" priority="74" stopIfTrue="1">
      <formula>IF(AK8&gt;1,0,1)</formula>
    </cfRule>
  </conditionalFormatting>
  <conditionalFormatting sqref="G24 G109">
    <cfRule type="expression" dxfId="1863" priority="75" stopIfTrue="1">
      <formula>IF(AK8&gt;1,0,1)</formula>
    </cfRule>
  </conditionalFormatting>
  <conditionalFormatting sqref="H23:J23 H108:J108">
    <cfRule type="expression" dxfId="1862" priority="76" stopIfTrue="1">
      <formula>IF(AK8&gt;2,0,1)</formula>
    </cfRule>
  </conditionalFormatting>
  <conditionalFormatting sqref="I24 I109">
    <cfRule type="expression" dxfId="1861" priority="77" stopIfTrue="1">
      <formula>IF(AK8&gt;2,0,1)</formula>
    </cfRule>
  </conditionalFormatting>
  <conditionalFormatting sqref="J24 J109">
    <cfRule type="expression" dxfId="1860" priority="78" stopIfTrue="1">
      <formula>IF(AK8&gt;2,0,1)</formula>
    </cfRule>
  </conditionalFormatting>
  <conditionalFormatting sqref="K23:M23 K108:M108">
    <cfRule type="expression" dxfId="1859" priority="79" stopIfTrue="1">
      <formula>IF(AK8&gt;3,0,1)</formula>
    </cfRule>
  </conditionalFormatting>
  <conditionalFormatting sqref="L24 L109">
    <cfRule type="expression" dxfId="1858" priority="80" stopIfTrue="1">
      <formula>IF(AK8&gt;3,0,1)</formula>
    </cfRule>
  </conditionalFormatting>
  <conditionalFormatting sqref="M24 M109">
    <cfRule type="expression" dxfId="1857" priority="81" stopIfTrue="1">
      <formula>IF(AK8&gt;3,0,1)</formula>
    </cfRule>
  </conditionalFormatting>
  <conditionalFormatting sqref="N23:P23 N108:P108">
    <cfRule type="expression" dxfId="1856" priority="82" stopIfTrue="1">
      <formula>IF(AK8&gt;4,0,1)</formula>
    </cfRule>
  </conditionalFormatting>
  <conditionalFormatting sqref="O24 O109">
    <cfRule type="expression" dxfId="1855" priority="83" stopIfTrue="1">
      <formula>IF(AK8&gt;4,0,1)</formula>
    </cfRule>
  </conditionalFormatting>
  <conditionalFormatting sqref="P24 P109">
    <cfRule type="expression" dxfId="1854" priority="84" stopIfTrue="1">
      <formula>IF(AK8&gt;4,0,1)</formula>
    </cfRule>
  </conditionalFormatting>
  <conditionalFormatting sqref="Q23:S23 Q108:S108">
    <cfRule type="expression" dxfId="1853" priority="85" stopIfTrue="1">
      <formula>IF(AK8&gt;5,0,1)</formula>
    </cfRule>
  </conditionalFormatting>
  <conditionalFormatting sqref="R24 R109">
    <cfRule type="expression" dxfId="1852" priority="86" stopIfTrue="1">
      <formula>IF(AK8&gt;5,0,1)</formula>
    </cfRule>
  </conditionalFormatting>
  <conditionalFormatting sqref="S24 S109">
    <cfRule type="expression" dxfId="1851" priority="87" stopIfTrue="1">
      <formula>IF(AK8&gt;5,0,1)</formula>
    </cfRule>
  </conditionalFormatting>
  <conditionalFormatting sqref="T23:V23 T108:V108">
    <cfRule type="expression" dxfId="1850" priority="88" stopIfTrue="1">
      <formula>IF(AK8&gt;6,0,1)</formula>
    </cfRule>
  </conditionalFormatting>
  <conditionalFormatting sqref="U24 U109">
    <cfRule type="expression" dxfId="1849" priority="89" stopIfTrue="1">
      <formula>IF(AK8&gt;6,0,1)</formula>
    </cfRule>
  </conditionalFormatting>
  <conditionalFormatting sqref="V24 V109">
    <cfRule type="expression" dxfId="1848" priority="90" stopIfTrue="1">
      <formula>IF(AK8&gt;6,0,1)</formula>
    </cfRule>
  </conditionalFormatting>
  <conditionalFormatting sqref="W23:Y23 W108:Y108">
    <cfRule type="expression" dxfId="1847" priority="91" stopIfTrue="1">
      <formula>IF(AK8&gt;7,0,1)</formula>
    </cfRule>
  </conditionalFormatting>
  <conditionalFormatting sqref="X24 X109">
    <cfRule type="expression" dxfId="1846" priority="92" stopIfTrue="1">
      <formula>IF(AK8&gt;7,0,1)</formula>
    </cfRule>
  </conditionalFormatting>
  <conditionalFormatting sqref="Y24 Y109">
    <cfRule type="expression" dxfId="1845" priority="93" stopIfTrue="1">
      <formula>IF(AK8&gt;7,0,1)</formula>
    </cfRule>
  </conditionalFormatting>
  <conditionalFormatting sqref="Z23:AB23 Z108:AB108">
    <cfRule type="expression" dxfId="1844" priority="94" stopIfTrue="1">
      <formula>IF(AK8&gt;8,0,1)</formula>
    </cfRule>
  </conditionalFormatting>
  <conditionalFormatting sqref="AA24 AA109">
    <cfRule type="expression" dxfId="1843" priority="95" stopIfTrue="1">
      <formula>IF(AK8&gt;8,0,1)</formula>
    </cfRule>
  </conditionalFormatting>
  <conditionalFormatting sqref="AB24 AB109">
    <cfRule type="expression" dxfId="1842" priority="96" stopIfTrue="1">
      <formula>IF(AK8&gt;8,0,1)</formula>
    </cfRule>
  </conditionalFormatting>
  <conditionalFormatting sqref="AC23:AE23 AC108:AE108">
    <cfRule type="expression" dxfId="1841" priority="97" stopIfTrue="1">
      <formula>IF(AK8&gt;9,0,1)</formula>
    </cfRule>
  </conditionalFormatting>
  <conditionalFormatting sqref="AD24 AD109">
    <cfRule type="expression" dxfId="1840" priority="98" stopIfTrue="1">
      <formula>IF(AK8&gt;9,0,1)</formula>
    </cfRule>
  </conditionalFormatting>
  <conditionalFormatting sqref="AE24 AE109">
    <cfRule type="expression" dxfId="1839" priority="99" stopIfTrue="1">
      <formula>IF(AK8&gt;9,0,1)</formula>
    </cfRule>
  </conditionalFormatting>
  <conditionalFormatting sqref="A26 A111">
    <cfRule type="expression" dxfId="1838" priority="100" stopIfTrue="1">
      <formula>IF(AK7&gt;1,0,1)</formula>
    </cfRule>
  </conditionalFormatting>
  <conditionalFormatting sqref="A27 A112">
    <cfRule type="expression" dxfId="1837" priority="101" stopIfTrue="1">
      <formula>IF(AK7&gt;2,0,1)</formula>
    </cfRule>
  </conditionalFormatting>
  <conditionalFormatting sqref="A28 A113">
    <cfRule type="expression" dxfId="1836" priority="102" stopIfTrue="1">
      <formula>IF(AK7&gt;3,0,1)</formula>
    </cfRule>
  </conditionalFormatting>
  <conditionalFormatting sqref="A29 A114">
    <cfRule type="expression" dxfId="1835" priority="103" stopIfTrue="1">
      <formula>IF(AK7&gt;4,0,1)</formula>
    </cfRule>
  </conditionalFormatting>
  <conditionalFormatting sqref="B25:D25 B110:D110">
    <cfRule type="expression" dxfId="1834" priority="104" stopIfTrue="1">
      <formula>IF($AK8&gt;0,0,1)</formula>
    </cfRule>
  </conditionalFormatting>
  <conditionalFormatting sqref="B26:D26 B111:D111">
    <cfRule type="expression" dxfId="1833" priority="105" stopIfTrue="1">
      <formula>IF($AK8&lt;1,1,IF($AK7&lt;2,1,0))</formula>
    </cfRule>
  </conditionalFormatting>
  <conditionalFormatting sqref="B27:D27 B112:D112">
    <cfRule type="expression" dxfId="1832" priority="106" stopIfTrue="1">
      <formula>IF($AK8&lt;1,1,IF($AK7&lt;3,1,0))</formula>
    </cfRule>
  </conditionalFormatting>
  <conditionalFormatting sqref="B28:D28 B113:D113">
    <cfRule type="expression" dxfId="1831" priority="107" stopIfTrue="1">
      <formula>IF($AK8&lt;1,1,IF($AK7&lt;4,1,0))</formula>
    </cfRule>
  </conditionalFormatting>
  <conditionalFormatting sqref="B29:D29 B114:D114">
    <cfRule type="expression" dxfId="1830" priority="108" stopIfTrue="1">
      <formula>IF($AK8&lt;1,1,IF($AK7&lt;5,1,0))</formula>
    </cfRule>
  </conditionalFormatting>
  <conditionalFormatting sqref="AF26 AF111">
    <cfRule type="expression" dxfId="1829" priority="109" stopIfTrue="1">
      <formula>IF($AK9&gt;2,0,1)</formula>
    </cfRule>
  </conditionalFormatting>
  <conditionalFormatting sqref="AF25 AF110">
    <cfRule type="expression" dxfId="1828" priority="110" stopIfTrue="1">
      <formula>IF($AK9&gt;1,0,1)</formula>
    </cfRule>
  </conditionalFormatting>
  <conditionalFormatting sqref="AF24 AF109">
    <cfRule type="expression" dxfId="1827" priority="111" stopIfTrue="1">
      <formula>IF($AK9&gt;0,0,1)</formula>
    </cfRule>
  </conditionalFormatting>
  <conditionalFormatting sqref="AF27 AF112">
    <cfRule type="expression" dxfId="1826" priority="112" stopIfTrue="1">
      <formula>IF($AK9&gt;3,0,1)</formula>
    </cfRule>
  </conditionalFormatting>
  <conditionalFormatting sqref="AF28 AF113">
    <cfRule type="expression" dxfId="1825" priority="113" stopIfTrue="1">
      <formula>IF($AK9&gt;4,0,1)</formula>
    </cfRule>
  </conditionalFormatting>
  <conditionalFormatting sqref="AG23 AG108">
    <cfRule type="expression" dxfId="1824" priority="114" stopIfTrue="1">
      <formula>IF($AK8&lt;1,1,0)</formula>
    </cfRule>
  </conditionalFormatting>
  <conditionalFormatting sqref="AH23 AH108">
    <cfRule type="expression" dxfId="1823" priority="115" stopIfTrue="1">
      <formula>IF($AK8&lt;2,1,0)</formula>
    </cfRule>
  </conditionalFormatting>
  <conditionalFormatting sqref="AI23 AI108">
    <cfRule type="expression" dxfId="1822" priority="116" stopIfTrue="1">
      <formula>IF($AK8&lt;3,1,0)</formula>
    </cfRule>
  </conditionalFormatting>
  <conditionalFormatting sqref="AJ23 AJ108">
    <cfRule type="expression" dxfId="1821" priority="117" stopIfTrue="1">
      <formula>IF($AK8&lt;4,1,0)</formula>
    </cfRule>
  </conditionalFormatting>
  <conditionalFormatting sqref="AK23 AK108">
    <cfRule type="expression" dxfId="1820" priority="118" stopIfTrue="1">
      <formula>IF($AK8&lt;5,1,0)</formula>
    </cfRule>
  </conditionalFormatting>
  <conditionalFormatting sqref="AL23 AL108">
    <cfRule type="expression" dxfId="1819" priority="119" stopIfTrue="1">
      <formula>IF($AK8&lt;6,1,0)</formula>
    </cfRule>
  </conditionalFormatting>
  <conditionalFormatting sqref="AM23 AM108">
    <cfRule type="expression" dxfId="1818" priority="120" stopIfTrue="1">
      <formula>IF($AK8&lt;7,1,0)</formula>
    </cfRule>
  </conditionalFormatting>
  <conditionalFormatting sqref="AN23 AN108">
    <cfRule type="expression" dxfId="1817" priority="121" stopIfTrue="1">
      <formula>IF($AK8&lt;8,1,0)</formula>
    </cfRule>
  </conditionalFormatting>
  <conditionalFormatting sqref="AO23 AO108">
    <cfRule type="expression" dxfId="1816" priority="122" stopIfTrue="1">
      <formula>IF($AK8&lt;9,1,0)</formula>
    </cfRule>
  </conditionalFormatting>
  <conditionalFormatting sqref="AP23 AP108">
    <cfRule type="expression" dxfId="1815" priority="123" stopIfTrue="1">
      <formula>IF($AK8&lt;10,1,0)</formula>
    </cfRule>
  </conditionalFormatting>
  <conditionalFormatting sqref="AQ24 AQ109">
    <cfRule type="expression" dxfId="1814" priority="124" stopIfTrue="1">
      <formula>IF($AK9&gt;0,0,1)</formula>
    </cfRule>
  </conditionalFormatting>
  <conditionalFormatting sqref="AQ25 AQ110">
    <cfRule type="expression" dxfId="1813" priority="125" stopIfTrue="1">
      <formula>IF($AK9&gt;1,0,1)</formula>
    </cfRule>
  </conditionalFormatting>
  <conditionalFormatting sqref="AQ26 H25:J25 AQ111 H110:J110">
    <cfRule type="expression" dxfId="1812" priority="126" stopIfTrue="1">
      <formula>IF($AK8&gt;2,0,1)</formula>
    </cfRule>
  </conditionalFormatting>
  <conditionalFormatting sqref="K25:M25 K110:M110">
    <cfRule type="expression" dxfId="1811" priority="127" stopIfTrue="1">
      <formula>IF($AK8&gt;3,0,1)</formula>
    </cfRule>
  </conditionalFormatting>
  <conditionalFormatting sqref="AQ28 AQ113">
    <cfRule type="expression" dxfId="1810" priority="128" stopIfTrue="1">
      <formula>IF($AK9&gt;4,0,1)</formula>
    </cfRule>
  </conditionalFormatting>
  <conditionalFormatting sqref="E26:G26 E111:G111">
    <cfRule type="expression" dxfId="1809" priority="129" stopIfTrue="1">
      <formula>IF($AK8&lt;2,1,IF($AK7&lt;2,1,0))</formula>
    </cfRule>
  </conditionalFormatting>
  <conditionalFormatting sqref="E27:G27 E112:G112">
    <cfRule type="expression" dxfId="1808" priority="130" stopIfTrue="1">
      <formula>IF($AK8&lt;2,1,IF($AK7&lt;3,1,0))</formula>
    </cfRule>
  </conditionalFormatting>
  <conditionalFormatting sqref="E28:G28 E113:G113">
    <cfRule type="expression" dxfId="1807" priority="131" stopIfTrue="1">
      <formula>IF($AK8&lt;2,1,IF($AK7&lt;4,1,0))</formula>
    </cfRule>
  </conditionalFormatting>
  <conditionalFormatting sqref="E29:G29 E114:G114">
    <cfRule type="expression" dxfId="1806" priority="132" stopIfTrue="1">
      <formula>IF($AK8&lt;2,1,IF($AK7&lt;5,1,0))</formula>
    </cfRule>
  </conditionalFormatting>
  <conditionalFormatting sqref="N25:P25 N110:P110">
    <cfRule type="expression" dxfId="1805" priority="133" stopIfTrue="1">
      <formula>IF($AK8&gt;4,0,1)</formula>
    </cfRule>
  </conditionalFormatting>
  <conditionalFormatting sqref="Q25:S25 Q110:S110">
    <cfRule type="expression" dxfId="1804" priority="134" stopIfTrue="1">
      <formula>IF($AK8&gt;5,0,1)</formula>
    </cfRule>
  </conditionalFormatting>
  <conditionalFormatting sqref="T25:V25 T110:V110">
    <cfRule type="expression" dxfId="1803" priority="135" stopIfTrue="1">
      <formula>IF($AK8&gt;6,0,1)</formula>
    </cfRule>
  </conditionalFormatting>
  <conditionalFormatting sqref="W25:Y25 W110:Y110">
    <cfRule type="expression" dxfId="1802" priority="136" stopIfTrue="1">
      <formula>IF($AK8&gt;7,0,1)</formula>
    </cfRule>
  </conditionalFormatting>
  <conditionalFormatting sqref="Z25:AB25 Z110:AB110">
    <cfRule type="expression" dxfId="1801" priority="137" stopIfTrue="1">
      <formula>IF($AK8&gt;8,0,1)</formula>
    </cfRule>
  </conditionalFormatting>
  <conditionalFormatting sqref="AC25:AE25 AC110:AE110">
    <cfRule type="expression" dxfId="1800" priority="138" stopIfTrue="1">
      <formula>IF($AK8&gt;9,0,1)</formula>
    </cfRule>
  </conditionalFormatting>
  <conditionalFormatting sqref="H26:J26 H111:J111">
    <cfRule type="expression" dxfId="1799" priority="139" stopIfTrue="1">
      <formula>IF($AK8&lt;3,1,IF($AK7&lt;2,1,0))</formula>
    </cfRule>
  </conditionalFormatting>
  <conditionalFormatting sqref="K26:M26 K111:M111">
    <cfRule type="expression" dxfId="1798" priority="140" stopIfTrue="1">
      <formula>IF($AK8&lt;4,1,IF($AK7&lt;2,1,0))</formula>
    </cfRule>
  </conditionalFormatting>
  <conditionalFormatting sqref="N26:P26 N111:P111">
    <cfRule type="expression" dxfId="1797" priority="141" stopIfTrue="1">
      <formula>IF($AK8&lt;5,1,IF($AK7&lt;2,1,0))</formula>
    </cfRule>
  </conditionalFormatting>
  <conditionalFormatting sqref="Q26:S26 Q111:S111">
    <cfRule type="expression" dxfId="1796" priority="142" stopIfTrue="1">
      <formula>IF($AK8&lt;6,1,IF($AK7&lt;2,1,0))</formula>
    </cfRule>
  </conditionalFormatting>
  <conditionalFormatting sqref="T26:V26 T111:V111">
    <cfRule type="expression" dxfId="1795" priority="143" stopIfTrue="1">
      <formula>IF($AK8&lt;7,1,IF($AK7&lt;2,1,0))</formula>
    </cfRule>
  </conditionalFormatting>
  <conditionalFormatting sqref="W26:Y26 W111:Y111">
    <cfRule type="expression" dxfId="1794" priority="144" stopIfTrue="1">
      <formula>IF($AK8&lt;8,1,IF($AK7&lt;2,1,0))</formula>
    </cfRule>
  </conditionalFormatting>
  <conditionalFormatting sqref="Z26:AB26 Z111:AB111">
    <cfRule type="expression" dxfId="1793" priority="145" stopIfTrue="1">
      <formula>IF($AK8&lt;9,1,IF($AK7&lt;2,1,0))</formula>
    </cfRule>
  </conditionalFormatting>
  <conditionalFormatting sqref="AC26:AE26 AC111:AE111">
    <cfRule type="expression" dxfId="1792" priority="146" stopIfTrue="1">
      <formula>IF($AK8&lt;10,1,IF($AK7&lt;2,1,0))</formula>
    </cfRule>
  </conditionalFormatting>
  <conditionalFormatting sqref="H27:J27 H112:J112">
    <cfRule type="expression" dxfId="1791" priority="147" stopIfTrue="1">
      <formula>IF($AK8&lt;3,1,IF($AK7&lt;3,1,0))</formula>
    </cfRule>
  </conditionalFormatting>
  <conditionalFormatting sqref="K27:M27 K112:M112">
    <cfRule type="expression" dxfId="1790" priority="148" stopIfTrue="1">
      <formula>IF($AK8&lt;4,1,IF($AK7&lt;3,1,0))</formula>
    </cfRule>
  </conditionalFormatting>
  <conditionalFormatting sqref="N27:P27 N112:P112">
    <cfRule type="expression" dxfId="1789" priority="149" stopIfTrue="1">
      <formula>IF($AK8&lt;5,1,IF($AK7&lt;3,1,0))</formula>
    </cfRule>
  </conditionalFormatting>
  <conditionalFormatting sqref="Q27:S27 Q112:S112">
    <cfRule type="expression" dxfId="1788" priority="150" stopIfTrue="1">
      <formula>IF($AK8&lt;6,1,IF($AK7&lt;3,1,0))</formula>
    </cfRule>
  </conditionalFormatting>
  <conditionalFormatting sqref="T27:V27 T112:V112">
    <cfRule type="expression" dxfId="1787" priority="151" stopIfTrue="1">
      <formula>IF($AK8&lt;7,1,IF($AK7&lt;3,1,0))</formula>
    </cfRule>
  </conditionalFormatting>
  <conditionalFormatting sqref="W27:Y27 W112:Y112">
    <cfRule type="expression" dxfId="1786" priority="152" stopIfTrue="1">
      <formula>IF($AK8&lt;8,1,IF($AK7&lt;3,1,0))</formula>
    </cfRule>
  </conditionalFormatting>
  <conditionalFormatting sqref="Z27:AB27 Z112:AB112">
    <cfRule type="expression" dxfId="1785" priority="153" stopIfTrue="1">
      <formula>IF($AK8&lt;9,1,IF($AK7&lt;3,1,0))</formula>
    </cfRule>
  </conditionalFormatting>
  <conditionalFormatting sqref="AC27:AE27 AC112:AE112">
    <cfRule type="expression" dxfId="1784" priority="154" stopIfTrue="1">
      <formula>IF($AK8&lt;10,1,IF($AK7&lt;3,1,0))</formula>
    </cfRule>
  </conditionalFormatting>
  <conditionalFormatting sqref="H28:J28 H113:J113">
    <cfRule type="expression" dxfId="1783" priority="155" stopIfTrue="1">
      <formula>IF($AK8&lt;3,1,IF($AK7&lt;4,1,0))</formula>
    </cfRule>
  </conditionalFormatting>
  <conditionalFormatting sqref="K28:M28 K113:M113">
    <cfRule type="expression" dxfId="1782" priority="156" stopIfTrue="1">
      <formula>IF($AK8&lt;4,1,IF($AK7&lt;4,1,0))</formula>
    </cfRule>
  </conditionalFormatting>
  <conditionalFormatting sqref="N28:P28 N113:P113">
    <cfRule type="expression" dxfId="1781" priority="157" stopIfTrue="1">
      <formula>IF($AK8&lt;5,1,IF($AK7&lt;4,1,0))</formula>
    </cfRule>
  </conditionalFormatting>
  <conditionalFormatting sqref="Q28:S28 Q113:S113">
    <cfRule type="expression" dxfId="1780" priority="158" stopIfTrue="1">
      <formula>IF($AK8&lt;6,1,IF($AK7&lt;4,1,0))</formula>
    </cfRule>
  </conditionalFormatting>
  <conditionalFormatting sqref="T28:V28 T113:V113">
    <cfRule type="expression" dxfId="1779" priority="159" stopIfTrue="1">
      <formula>IF($AK8&lt;7,1,IF($AK7&lt;4,1,0))</formula>
    </cfRule>
  </conditionalFormatting>
  <conditionalFormatting sqref="W28:Y28 W113:Y113">
    <cfRule type="expression" dxfId="1778" priority="160" stopIfTrue="1">
      <formula>IF($AK8&lt;8,1,IF($AK7&lt;4,1,0))</formula>
    </cfRule>
  </conditionalFormatting>
  <conditionalFormatting sqref="Z28:AB28 Z113:AB113">
    <cfRule type="expression" dxfId="1777" priority="161" stopIfTrue="1">
      <formula>IF($AK8&lt;9,1,IF($AK7&lt;4,1,0))</formula>
    </cfRule>
  </conditionalFormatting>
  <conditionalFormatting sqref="AC28:AE28 AC113:AE113">
    <cfRule type="expression" dxfId="1776" priority="162" stopIfTrue="1">
      <formula>IF($AK8&lt;10,1,IF($AK7&lt;4,1,0))</formula>
    </cfRule>
  </conditionalFormatting>
  <conditionalFormatting sqref="H29:J29 H114:J114">
    <cfRule type="expression" dxfId="1775" priority="163" stopIfTrue="1">
      <formula>IF($AK8&lt;3,1,IF($AK7&lt;5,1,0))</formula>
    </cfRule>
  </conditionalFormatting>
  <conditionalFormatting sqref="K29:M29 K114:M114">
    <cfRule type="expression" dxfId="1774" priority="164" stopIfTrue="1">
      <formula>IF($AK8&lt;4,1,IF($AK7&lt;5,1,0))</formula>
    </cfRule>
  </conditionalFormatting>
  <conditionalFormatting sqref="N29:P29 N114:P114">
    <cfRule type="expression" dxfId="1773" priority="165" stopIfTrue="1">
      <formula>IF($AK8&lt;5,1,IF($AK7&lt;5,1,0))</formula>
    </cfRule>
  </conditionalFormatting>
  <conditionalFormatting sqref="Q29:S29 Q114:S114">
    <cfRule type="expression" dxfId="1772" priority="166" stopIfTrue="1">
      <formula>IF($AK8&lt;6,1,IF($AK7&lt;5,1,0))</formula>
    </cfRule>
  </conditionalFormatting>
  <conditionalFormatting sqref="T29:V29 T114:V114">
    <cfRule type="expression" dxfId="1771" priority="167" stopIfTrue="1">
      <formula>IF($AK8&lt;7,1,IF($AK7&lt;5,1,0))</formula>
    </cfRule>
  </conditionalFormatting>
  <conditionalFormatting sqref="W29:Y29 W114:Y114">
    <cfRule type="expression" dxfId="1770" priority="168" stopIfTrue="1">
      <formula>IF($AK8&lt;8,1,IF($AK7&lt;5,1,0))</formula>
    </cfRule>
  </conditionalFormatting>
  <conditionalFormatting sqref="Z29:AB29 Z114:AB114">
    <cfRule type="expression" dxfId="1769" priority="169" stopIfTrue="1">
      <formula>IF($AK8&lt;9,1,IF($AK7&lt;5,1,0))</formula>
    </cfRule>
  </conditionalFormatting>
  <conditionalFormatting sqref="AC29:AE29 AC114:AE114">
    <cfRule type="expression" dxfId="1768" priority="170" stopIfTrue="1">
      <formula>IF($AK8&lt;10,1,IF($AK7&lt;5,1,0))</formula>
    </cfRule>
  </conditionalFormatting>
  <conditionalFormatting sqref="R14:AB15 AF14:AF15 L14:P15 R99:AB100 AF99:AF100 L99:P100 AG14 AG99">
    <cfRule type="expression" dxfId="1767" priority="171" stopIfTrue="1">
      <formula>IF($AK9&gt;3,0,1)</formula>
    </cfRule>
  </conditionalFormatting>
  <conditionalFormatting sqref="R16:AB17 AF16:AF17 L16:P17 R101:AB102 AF101:AF102 L101:P102 AG16 AG101">
    <cfRule type="expression" dxfId="1766" priority="172" stopIfTrue="1">
      <formula>IF($AK9&gt;4,0,1)</formula>
    </cfRule>
  </conditionalFormatting>
  <conditionalFormatting sqref="R8:AB9 AF8:AF9 L8:P9 R93:AB94 AF93:AF94 L93:P94 AG8 AG93">
    <cfRule type="expression" dxfId="1765" priority="173" stopIfTrue="1">
      <formula>IF($AK9&gt;0,0,1)</formula>
    </cfRule>
  </conditionalFormatting>
  <conditionalFormatting sqref="R10:AB11 AF10:AF11 L10:P11 R95:AB96 AF95:AF96 L95:P96 AG10 AG95">
    <cfRule type="expression" dxfId="1764" priority="174" stopIfTrue="1">
      <formula>IF($AK9&gt;1,0,1)</formula>
    </cfRule>
  </conditionalFormatting>
  <conditionalFormatting sqref="R12:AB13 AF12:AF13 L12:P13 R97:AB98 AF97:AF98 L97:P98 AG12 AG97">
    <cfRule type="expression" dxfId="1763" priority="175" stopIfTrue="1">
      <formula>IF($AK9&gt;2,0,1)</formula>
    </cfRule>
  </conditionalFormatting>
  <conditionalFormatting sqref="E24 E109">
    <cfRule type="expression" dxfId="1762" priority="176" stopIfTrue="1">
      <formula>IF(AK8&gt;1,0,1)</formula>
    </cfRule>
  </conditionalFormatting>
  <conditionalFormatting sqref="H24 H109">
    <cfRule type="expression" dxfId="1761" priority="177" stopIfTrue="1">
      <formula>IF(AK8&gt;2,0,1)</formula>
    </cfRule>
  </conditionalFormatting>
  <conditionalFormatting sqref="K24 K109">
    <cfRule type="expression" dxfId="1760" priority="178" stopIfTrue="1">
      <formula>IF(AK8&gt;3,0,1)</formula>
    </cfRule>
  </conditionalFormatting>
  <conditionalFormatting sqref="N24 N109">
    <cfRule type="expression" dxfId="1759" priority="179" stopIfTrue="1">
      <formula>IF(AK8&gt;4,0,1)</formula>
    </cfRule>
  </conditionalFormatting>
  <conditionalFormatting sqref="Q24 Q109">
    <cfRule type="expression" dxfId="1758" priority="180" stopIfTrue="1">
      <formula>IF(AK8&gt;5,0,1)</formula>
    </cfRule>
  </conditionalFormatting>
  <conditionalFormatting sqref="T24 T109">
    <cfRule type="expression" dxfId="1757" priority="181" stopIfTrue="1">
      <formula>IF(AK8&gt;6,0,1)</formula>
    </cfRule>
  </conditionalFormatting>
  <conditionalFormatting sqref="W24 W109">
    <cfRule type="expression" dxfId="1756" priority="182" stopIfTrue="1">
      <formula>IF(AK8&gt;7,0,1)</formula>
    </cfRule>
  </conditionalFormatting>
  <conditionalFormatting sqref="Z24 Z109">
    <cfRule type="expression" dxfId="1755" priority="183" stopIfTrue="1">
      <formula>IF(AK8&gt;8,0,1)</formula>
    </cfRule>
  </conditionalFormatting>
  <conditionalFormatting sqref="AC24 AC109">
    <cfRule type="expression" dxfId="1754" priority="184" stopIfTrue="1">
      <formula>IF(AK8&gt;9,0,1)</formula>
    </cfRule>
  </conditionalFormatting>
  <conditionalFormatting sqref="AQ27 AQ112">
    <cfRule type="expression" dxfId="1753" priority="185" stopIfTrue="1">
      <formula>IF($AK9&gt;3,0,1)</formula>
    </cfRule>
  </conditionalFormatting>
  <conditionalFormatting sqref="E25:G25 E110:G110">
    <cfRule type="expression" dxfId="1752" priority="186" stopIfTrue="1">
      <formula>IF($AK8&gt;1,0,1)</formula>
    </cfRule>
  </conditionalFormatting>
  <conditionalFormatting sqref="B21:D21 B106:D106">
    <cfRule type="expression" dxfId="1751" priority="187" stopIfTrue="1">
      <formula>IF(AK8&gt;0,0,1)</formula>
    </cfRule>
  </conditionalFormatting>
  <conditionalFormatting sqref="E21:G21 E106:G106">
    <cfRule type="expression" dxfId="1750" priority="188" stopIfTrue="1">
      <formula>IF(AK8&gt;1,0,1)</formula>
    </cfRule>
  </conditionalFormatting>
  <conditionalFormatting sqref="H21:J21 H106:J106">
    <cfRule type="expression" dxfId="1749" priority="189" stopIfTrue="1">
      <formula>IF(AK8&gt;2,0,1)</formula>
    </cfRule>
  </conditionalFormatting>
  <conditionalFormatting sqref="K21:M21 K106:M106">
    <cfRule type="expression" dxfId="1748" priority="190" stopIfTrue="1">
      <formula>IF(AK8&gt;3,0,1)</formula>
    </cfRule>
  </conditionalFormatting>
  <conditionalFormatting sqref="N21:P21 N106:P106">
    <cfRule type="expression" dxfId="1747" priority="191" stopIfTrue="1">
      <formula>IF(AK8&gt;4,0,1)</formula>
    </cfRule>
  </conditionalFormatting>
  <conditionalFormatting sqref="Q21:S21 Q106:S106">
    <cfRule type="expression" dxfId="1746" priority="192" stopIfTrue="1">
      <formula>IF(AK8&gt;5,0,1)</formula>
    </cfRule>
  </conditionalFormatting>
  <conditionalFormatting sqref="T21:V21 T106:V106">
    <cfRule type="expression" dxfId="1745" priority="193" stopIfTrue="1">
      <formula>IF(AK8&gt;6,0,1)</formula>
    </cfRule>
  </conditionalFormatting>
  <conditionalFormatting sqref="W21:Y21 W106:Y106">
    <cfRule type="expression" dxfId="1744" priority="194" stopIfTrue="1">
      <formula>IF(AK8&gt;7,0,1)</formula>
    </cfRule>
  </conditionalFormatting>
  <conditionalFormatting sqref="Z21:AB21 Z106:AB106">
    <cfRule type="expression" dxfId="1743" priority="195" stopIfTrue="1">
      <formula>IF(AK8&gt;8,0,1)</formula>
    </cfRule>
  </conditionalFormatting>
  <conditionalFormatting sqref="AC21:AE21 AC106:AE106">
    <cfRule type="expression" dxfId="1742" priority="196" stopIfTrue="1">
      <formula>IF(AK8&gt;9,0,1)</formula>
    </cfRule>
  </conditionalFormatting>
  <conditionalFormatting sqref="X224:X225 W215:W216 X215:Y215 W218:Y223 Z219:AE222 AA223:AA225 I223:I225 C224:C225 B215:B216 C215:D215 B218:D223 E219:J222 F223:F225 AD223:AD225">
    <cfRule type="expression" dxfId="1741" priority="197" stopIfTrue="1">
      <formula>IF(#REF!&gt;0,0,1)</formula>
    </cfRule>
  </conditionalFormatting>
  <conditionalFormatting sqref="AA215:AB215 AB223 AA218:AB218 Z223 Z215:Z218 F215:G215 G223 F218:G218 E223 E215:E218">
    <cfRule type="expression" dxfId="1740" priority="198" stopIfTrue="1">
      <formula>IF(#REF!&gt;1,0,1)</formula>
    </cfRule>
  </conditionalFormatting>
  <conditionalFormatting sqref="AC215:AC218 AD215:AE215 AE223 AD218:AE218 AC223 H223 H215:H218 I215:J215 J223 I218:J218">
    <cfRule type="expression" dxfId="1739" priority="199" stopIfTrue="1">
      <formula>IF(#REF!&gt;2,0,1)</formula>
    </cfRule>
  </conditionalFormatting>
  <conditionalFormatting sqref="W224 Y224 B224 D224">
    <cfRule type="expression" dxfId="1738" priority="200" stopIfTrue="1">
      <formula>IF(#REF!&lt;1,1,IF(#REF!&lt;2,1,0))</formula>
    </cfRule>
  </conditionalFormatting>
  <conditionalFormatting sqref="Z224 AB224 E224 G224">
    <cfRule type="expression" dxfId="1737" priority="201" stopIfTrue="1">
      <formula>IF(#REF!&lt;2,1,IF(#REF!&lt;2,1,0))</formula>
    </cfRule>
  </conditionalFormatting>
  <conditionalFormatting sqref="AC224 AE224 H224 J224">
    <cfRule type="expression" dxfId="1736" priority="202" stopIfTrue="1">
      <formula>IF(#REF!&lt;3,1,IF(#REF!&lt;2,1,0))</formula>
    </cfRule>
  </conditionalFormatting>
  <conditionalFormatting sqref="Y225 B225 D225 W225">
    <cfRule type="expression" dxfId="1735" priority="203" stopIfTrue="1">
      <formula>IF(#REF!&lt;1,1,IF(#REF!&lt;3,1,0))</formula>
    </cfRule>
  </conditionalFormatting>
  <conditionalFormatting sqref="AB225 E225 G225 Z225">
    <cfRule type="expression" dxfId="1734" priority="204" stopIfTrue="1">
      <formula>IF(#REF!&lt;2,1,IF(#REF!&lt;3,1,0))</formula>
    </cfRule>
  </conditionalFormatting>
  <conditionalFormatting sqref="AE225 H225 J225 AC225">
    <cfRule type="expression" dxfId="1733" priority="205" stopIfTrue="1">
      <formula>IF(#REF!&lt;3,1,IF(#REF!&lt;3,1,0))</formula>
    </cfRule>
  </conditionalFormatting>
  <conditionalFormatting sqref="AG24:AP28 AG109:AP113">
    <cfRule type="cellIs" dxfId="1732" priority="206" stopIfTrue="1" operator="notBetween">
      <formula>-9999</formula>
      <formula>9999</formula>
    </cfRule>
  </conditionalFormatting>
  <conditionalFormatting sqref="AC7 AC92">
    <cfRule type="expression" dxfId="1731" priority="207" stopIfTrue="1">
      <formula>IF($AK$11=0,1,0)</formula>
    </cfRule>
  </conditionalFormatting>
  <conditionalFormatting sqref="B22:D23 B107:D108">
    <cfRule type="cellIs" dxfId="1730" priority="208" stopIfTrue="1" operator="equal">
      <formula>99</formula>
    </cfRule>
  </conditionalFormatting>
  <conditionalFormatting sqref="X226 AA226 C226 F226">
    <cfRule type="expression" dxfId="1729" priority="209" stopIfTrue="1">
      <formula>IF(#REF!&gt;0,0,1)</formula>
    </cfRule>
  </conditionalFormatting>
  <conditionalFormatting sqref="K215">
    <cfRule type="expression" dxfId="1728" priority="5" stopIfTrue="1">
      <formula>IF(#REF!&gt;2,0,1)</formula>
    </cfRule>
  </conditionalFormatting>
  <conditionalFormatting sqref="K215">
    <cfRule type="expression" dxfId="1727" priority="4" stopIfTrue="1">
      <formula>IF(ISNUMBER(K223),0,1)</formula>
    </cfRule>
  </conditionalFormatting>
  <conditionalFormatting sqref="AF215">
    <cfRule type="expression" dxfId="1726" priority="3" stopIfTrue="1">
      <formula>IF(ISNUMBER(AF223),0,1)</formula>
    </cfRule>
  </conditionalFormatting>
  <conditionalFormatting sqref="B18">
    <cfRule type="expression" dxfId="1725" priority="2" stopIfTrue="1">
      <formula>IF($AK$9&gt;0,0,1)</formula>
    </cfRule>
  </conditionalFormatting>
  <conditionalFormatting sqref="B103">
    <cfRule type="expression" dxfId="1724" priority="1" stopIfTrue="1">
      <formula>IF($AK$9&gt;0,0,1)</formula>
    </cfRule>
  </conditionalFormatting>
  <pageMargins left="0.25" right="0.25" top="0.25" bottom="0.25" header="0" footer="0"/>
  <pageSetup scale="80" fitToHeight="5" orientation="landscape" r:id="rId1"/>
  <headerFooter alignWithMargins="0"/>
  <rowBreaks count="2" manualBreakCount="2">
    <brk id="90" max="42" man="1"/>
    <brk id="181" max="42" man="1"/>
  </rowBreaks>
  <drawing r:id="rId2"/>
  <legacyDrawing r:id="rId3"/>
  <controls>
    <mc:AlternateContent xmlns:mc="http://schemas.openxmlformats.org/markup-compatibility/2006">
      <mc:Choice Requires="x14">
        <control shapeId="18434" r:id="rId4" name="Pool2RecalcFinish">
          <controlPr defaultSize="0" autoLine="0" r:id="rId5">
            <anchor moveWithCells="1" sizeWithCells="1">
              <from>
                <xdr:col>36</xdr:col>
                <xdr:colOff>104775</xdr:colOff>
                <xdr:row>98</xdr:row>
                <xdr:rowOff>9525</xdr:rowOff>
              </from>
              <to>
                <xdr:col>41</xdr:col>
                <xdr:colOff>228600</xdr:colOff>
                <xdr:row>101</xdr:row>
                <xdr:rowOff>104775</xdr:rowOff>
              </to>
            </anchor>
          </controlPr>
        </control>
      </mc:Choice>
      <mc:Fallback>
        <control shapeId="18434" r:id="rId4" name="Pool2RecalcFinish"/>
      </mc:Fallback>
    </mc:AlternateContent>
    <mc:AlternateContent xmlns:mc="http://schemas.openxmlformats.org/markup-compatibility/2006">
      <mc:Choice Requires="x14">
        <control shapeId="18433" r:id="rId6" name="Pool1RecalcFinish">
          <controlPr defaultSize="0" autoLine="0" r:id="rId7">
            <anchor moveWithCells="1" sizeWithCells="1">
              <from>
                <xdr:col>36</xdr:col>
                <xdr:colOff>104775</xdr:colOff>
                <xdr:row>13</xdr:row>
                <xdr:rowOff>9525</xdr:rowOff>
              </from>
              <to>
                <xdr:col>41</xdr:col>
                <xdr:colOff>228600</xdr:colOff>
                <xdr:row>16</xdr:row>
                <xdr:rowOff>104775</xdr:rowOff>
              </to>
            </anchor>
          </controlPr>
        </control>
      </mc:Choice>
      <mc:Fallback>
        <control shapeId="18433" r:id="rId6" name="Pool1RecalcFinish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indexed="11"/>
  </sheetPr>
  <dimension ref="A1:BY658"/>
  <sheetViews>
    <sheetView zoomScale="70" zoomScaleNormal="70" workbookViewId="0">
      <selection activeCell="AV10" sqref="AU10:AV10"/>
    </sheetView>
  </sheetViews>
  <sheetFormatPr defaultColWidth="8.7109375" defaultRowHeight="12.75" x14ac:dyDescent="0.2"/>
  <cols>
    <col min="1" max="1" width="8.7109375" style="1251"/>
    <col min="2" max="2" width="3.7109375" style="1251" customWidth="1"/>
    <col min="3" max="3" width="2.28515625" style="1251" customWidth="1"/>
    <col min="4" max="5" width="3.7109375" style="1251" customWidth="1"/>
    <col min="6" max="6" width="2.28515625" style="1251" customWidth="1"/>
    <col min="7" max="8" width="3.7109375" style="1251" customWidth="1"/>
    <col min="9" max="9" width="2.28515625" style="1251" customWidth="1"/>
    <col min="10" max="11" width="3.7109375" style="1251" customWidth="1"/>
    <col min="12" max="12" width="2.28515625" style="1251" customWidth="1"/>
    <col min="13" max="14" width="3.7109375" style="1251" customWidth="1"/>
    <col min="15" max="15" width="2.28515625" style="1251" customWidth="1"/>
    <col min="16" max="17" width="3.7109375" style="1251" customWidth="1"/>
    <col min="18" max="18" width="2.28515625" style="1251" customWidth="1"/>
    <col min="19" max="20" width="3.7109375" style="1251" customWidth="1"/>
    <col min="21" max="21" width="2.28515625" style="1251" customWidth="1"/>
    <col min="22" max="23" width="3.7109375" style="1251" customWidth="1"/>
    <col min="24" max="24" width="2.28515625" style="1251" customWidth="1"/>
    <col min="25" max="26" width="3.7109375" style="1251" customWidth="1"/>
    <col min="27" max="27" width="2.28515625" style="1251" customWidth="1"/>
    <col min="28" max="29" width="3.7109375" style="1251" customWidth="1"/>
    <col min="30" max="30" width="2.28515625" style="1251" customWidth="1"/>
    <col min="31" max="31" width="3.7109375" style="1251" customWidth="1"/>
    <col min="32" max="32" width="9.7109375" style="1251" customWidth="1"/>
    <col min="33" max="42" width="3.7109375" style="1251" customWidth="1"/>
    <col min="43" max="43" width="11" style="1251" customWidth="1"/>
    <col min="44" max="46" width="8.7109375" style="1251"/>
    <col min="47" max="47" width="21" style="1251" customWidth="1"/>
    <col min="48" max="48" width="24.42578125" style="1251" customWidth="1"/>
    <col min="49" max="49" width="15.28515625" style="1442" customWidth="1"/>
    <col min="50" max="50" width="10.42578125" style="1251" customWidth="1"/>
    <col min="51" max="51" width="11.28515625" style="1251" customWidth="1"/>
    <col min="52" max="52" width="25" style="1251" customWidth="1"/>
    <col min="53" max="53" width="6" style="1251" customWidth="1"/>
    <col min="54" max="257" width="8.7109375" style="1251"/>
    <col min="258" max="258" width="3.7109375" style="1251" customWidth="1"/>
    <col min="259" max="259" width="2.28515625" style="1251" customWidth="1"/>
    <col min="260" max="261" width="3.7109375" style="1251" customWidth="1"/>
    <col min="262" max="262" width="2.28515625" style="1251" customWidth="1"/>
    <col min="263" max="264" width="3.7109375" style="1251" customWidth="1"/>
    <col min="265" max="265" width="2.28515625" style="1251" customWidth="1"/>
    <col min="266" max="267" width="3.7109375" style="1251" customWidth="1"/>
    <col min="268" max="268" width="2.28515625" style="1251" customWidth="1"/>
    <col min="269" max="270" width="3.7109375" style="1251" customWidth="1"/>
    <col min="271" max="271" width="2.28515625" style="1251" customWidth="1"/>
    <col min="272" max="273" width="3.7109375" style="1251" customWidth="1"/>
    <col min="274" max="274" width="2.28515625" style="1251" customWidth="1"/>
    <col min="275" max="276" width="3.7109375" style="1251" customWidth="1"/>
    <col min="277" max="277" width="2.28515625" style="1251" customWidth="1"/>
    <col min="278" max="279" width="3.7109375" style="1251" customWidth="1"/>
    <col min="280" max="280" width="2.28515625" style="1251" customWidth="1"/>
    <col min="281" max="282" width="3.7109375" style="1251" customWidth="1"/>
    <col min="283" max="283" width="2.28515625" style="1251" customWidth="1"/>
    <col min="284" max="285" width="3.7109375" style="1251" customWidth="1"/>
    <col min="286" max="286" width="2.28515625" style="1251" customWidth="1"/>
    <col min="287" max="287" width="3.7109375" style="1251" customWidth="1"/>
    <col min="288" max="288" width="9.7109375" style="1251" customWidth="1"/>
    <col min="289" max="298" width="3.7109375" style="1251" customWidth="1"/>
    <col min="299" max="299" width="11" style="1251" customWidth="1"/>
    <col min="300" max="302" width="8.7109375" style="1251"/>
    <col min="303" max="303" width="21" style="1251" customWidth="1"/>
    <col min="304" max="304" width="24.42578125" style="1251" customWidth="1"/>
    <col min="305" max="305" width="15.28515625" style="1251" customWidth="1"/>
    <col min="306" max="306" width="10.42578125" style="1251" customWidth="1"/>
    <col min="307" max="307" width="11.28515625" style="1251" customWidth="1"/>
    <col min="308" max="308" width="25" style="1251" customWidth="1"/>
    <col min="309" max="309" width="6" style="1251" customWidth="1"/>
    <col min="310" max="513" width="8.7109375" style="1251"/>
    <col min="514" max="514" width="3.7109375" style="1251" customWidth="1"/>
    <col min="515" max="515" width="2.28515625" style="1251" customWidth="1"/>
    <col min="516" max="517" width="3.7109375" style="1251" customWidth="1"/>
    <col min="518" max="518" width="2.28515625" style="1251" customWidth="1"/>
    <col min="519" max="520" width="3.7109375" style="1251" customWidth="1"/>
    <col min="521" max="521" width="2.28515625" style="1251" customWidth="1"/>
    <col min="522" max="523" width="3.7109375" style="1251" customWidth="1"/>
    <col min="524" max="524" width="2.28515625" style="1251" customWidth="1"/>
    <col min="525" max="526" width="3.7109375" style="1251" customWidth="1"/>
    <col min="527" max="527" width="2.28515625" style="1251" customWidth="1"/>
    <col min="528" max="529" width="3.7109375" style="1251" customWidth="1"/>
    <col min="530" max="530" width="2.28515625" style="1251" customWidth="1"/>
    <col min="531" max="532" width="3.7109375" style="1251" customWidth="1"/>
    <col min="533" max="533" width="2.28515625" style="1251" customWidth="1"/>
    <col min="534" max="535" width="3.7109375" style="1251" customWidth="1"/>
    <col min="536" max="536" width="2.28515625" style="1251" customWidth="1"/>
    <col min="537" max="538" width="3.7109375" style="1251" customWidth="1"/>
    <col min="539" max="539" width="2.28515625" style="1251" customWidth="1"/>
    <col min="540" max="541" width="3.7109375" style="1251" customWidth="1"/>
    <col min="542" max="542" width="2.28515625" style="1251" customWidth="1"/>
    <col min="543" max="543" width="3.7109375" style="1251" customWidth="1"/>
    <col min="544" max="544" width="9.7109375" style="1251" customWidth="1"/>
    <col min="545" max="554" width="3.7109375" style="1251" customWidth="1"/>
    <col min="555" max="555" width="11" style="1251" customWidth="1"/>
    <col min="556" max="558" width="8.7109375" style="1251"/>
    <col min="559" max="559" width="21" style="1251" customWidth="1"/>
    <col min="560" max="560" width="24.42578125" style="1251" customWidth="1"/>
    <col min="561" max="561" width="15.28515625" style="1251" customWidth="1"/>
    <col min="562" max="562" width="10.42578125" style="1251" customWidth="1"/>
    <col min="563" max="563" width="11.28515625" style="1251" customWidth="1"/>
    <col min="564" max="564" width="25" style="1251" customWidth="1"/>
    <col min="565" max="565" width="6" style="1251" customWidth="1"/>
    <col min="566" max="769" width="8.7109375" style="1251"/>
    <col min="770" max="770" width="3.7109375" style="1251" customWidth="1"/>
    <col min="771" max="771" width="2.28515625" style="1251" customWidth="1"/>
    <col min="772" max="773" width="3.7109375" style="1251" customWidth="1"/>
    <col min="774" max="774" width="2.28515625" style="1251" customWidth="1"/>
    <col min="775" max="776" width="3.7109375" style="1251" customWidth="1"/>
    <col min="777" max="777" width="2.28515625" style="1251" customWidth="1"/>
    <col min="778" max="779" width="3.7109375" style="1251" customWidth="1"/>
    <col min="780" max="780" width="2.28515625" style="1251" customWidth="1"/>
    <col min="781" max="782" width="3.7109375" style="1251" customWidth="1"/>
    <col min="783" max="783" width="2.28515625" style="1251" customWidth="1"/>
    <col min="784" max="785" width="3.7109375" style="1251" customWidth="1"/>
    <col min="786" max="786" width="2.28515625" style="1251" customWidth="1"/>
    <col min="787" max="788" width="3.7109375" style="1251" customWidth="1"/>
    <col min="789" max="789" width="2.28515625" style="1251" customWidth="1"/>
    <col min="790" max="791" width="3.7109375" style="1251" customWidth="1"/>
    <col min="792" max="792" width="2.28515625" style="1251" customWidth="1"/>
    <col min="793" max="794" width="3.7109375" style="1251" customWidth="1"/>
    <col min="795" max="795" width="2.28515625" style="1251" customWidth="1"/>
    <col min="796" max="797" width="3.7109375" style="1251" customWidth="1"/>
    <col min="798" max="798" width="2.28515625" style="1251" customWidth="1"/>
    <col min="799" max="799" width="3.7109375" style="1251" customWidth="1"/>
    <col min="800" max="800" width="9.7109375" style="1251" customWidth="1"/>
    <col min="801" max="810" width="3.7109375" style="1251" customWidth="1"/>
    <col min="811" max="811" width="11" style="1251" customWidth="1"/>
    <col min="812" max="814" width="8.7109375" style="1251"/>
    <col min="815" max="815" width="21" style="1251" customWidth="1"/>
    <col min="816" max="816" width="24.42578125" style="1251" customWidth="1"/>
    <col min="817" max="817" width="15.28515625" style="1251" customWidth="1"/>
    <col min="818" max="818" width="10.42578125" style="1251" customWidth="1"/>
    <col min="819" max="819" width="11.28515625" style="1251" customWidth="1"/>
    <col min="820" max="820" width="25" style="1251" customWidth="1"/>
    <col min="821" max="821" width="6" style="1251" customWidth="1"/>
    <col min="822" max="1025" width="8.7109375" style="1251"/>
    <col min="1026" max="1026" width="3.7109375" style="1251" customWidth="1"/>
    <col min="1027" max="1027" width="2.28515625" style="1251" customWidth="1"/>
    <col min="1028" max="1029" width="3.7109375" style="1251" customWidth="1"/>
    <col min="1030" max="1030" width="2.28515625" style="1251" customWidth="1"/>
    <col min="1031" max="1032" width="3.7109375" style="1251" customWidth="1"/>
    <col min="1033" max="1033" width="2.28515625" style="1251" customWidth="1"/>
    <col min="1034" max="1035" width="3.7109375" style="1251" customWidth="1"/>
    <col min="1036" max="1036" width="2.28515625" style="1251" customWidth="1"/>
    <col min="1037" max="1038" width="3.7109375" style="1251" customWidth="1"/>
    <col min="1039" max="1039" width="2.28515625" style="1251" customWidth="1"/>
    <col min="1040" max="1041" width="3.7109375" style="1251" customWidth="1"/>
    <col min="1042" max="1042" width="2.28515625" style="1251" customWidth="1"/>
    <col min="1043" max="1044" width="3.7109375" style="1251" customWidth="1"/>
    <col min="1045" max="1045" width="2.28515625" style="1251" customWidth="1"/>
    <col min="1046" max="1047" width="3.7109375" style="1251" customWidth="1"/>
    <col min="1048" max="1048" width="2.28515625" style="1251" customWidth="1"/>
    <col min="1049" max="1050" width="3.7109375" style="1251" customWidth="1"/>
    <col min="1051" max="1051" width="2.28515625" style="1251" customWidth="1"/>
    <col min="1052" max="1053" width="3.7109375" style="1251" customWidth="1"/>
    <col min="1054" max="1054" width="2.28515625" style="1251" customWidth="1"/>
    <col min="1055" max="1055" width="3.7109375" style="1251" customWidth="1"/>
    <col min="1056" max="1056" width="9.7109375" style="1251" customWidth="1"/>
    <col min="1057" max="1066" width="3.7109375" style="1251" customWidth="1"/>
    <col min="1067" max="1067" width="11" style="1251" customWidth="1"/>
    <col min="1068" max="1070" width="8.7109375" style="1251"/>
    <col min="1071" max="1071" width="21" style="1251" customWidth="1"/>
    <col min="1072" max="1072" width="24.42578125" style="1251" customWidth="1"/>
    <col min="1073" max="1073" width="15.28515625" style="1251" customWidth="1"/>
    <col min="1074" max="1074" width="10.42578125" style="1251" customWidth="1"/>
    <col min="1075" max="1075" width="11.28515625" style="1251" customWidth="1"/>
    <col min="1076" max="1076" width="25" style="1251" customWidth="1"/>
    <col min="1077" max="1077" width="6" style="1251" customWidth="1"/>
    <col min="1078" max="1281" width="8.7109375" style="1251"/>
    <col min="1282" max="1282" width="3.7109375" style="1251" customWidth="1"/>
    <col min="1283" max="1283" width="2.28515625" style="1251" customWidth="1"/>
    <col min="1284" max="1285" width="3.7109375" style="1251" customWidth="1"/>
    <col min="1286" max="1286" width="2.28515625" style="1251" customWidth="1"/>
    <col min="1287" max="1288" width="3.7109375" style="1251" customWidth="1"/>
    <col min="1289" max="1289" width="2.28515625" style="1251" customWidth="1"/>
    <col min="1290" max="1291" width="3.7109375" style="1251" customWidth="1"/>
    <col min="1292" max="1292" width="2.28515625" style="1251" customWidth="1"/>
    <col min="1293" max="1294" width="3.7109375" style="1251" customWidth="1"/>
    <col min="1295" max="1295" width="2.28515625" style="1251" customWidth="1"/>
    <col min="1296" max="1297" width="3.7109375" style="1251" customWidth="1"/>
    <col min="1298" max="1298" width="2.28515625" style="1251" customWidth="1"/>
    <col min="1299" max="1300" width="3.7109375" style="1251" customWidth="1"/>
    <col min="1301" max="1301" width="2.28515625" style="1251" customWidth="1"/>
    <col min="1302" max="1303" width="3.7109375" style="1251" customWidth="1"/>
    <col min="1304" max="1304" width="2.28515625" style="1251" customWidth="1"/>
    <col min="1305" max="1306" width="3.7109375" style="1251" customWidth="1"/>
    <col min="1307" max="1307" width="2.28515625" style="1251" customWidth="1"/>
    <col min="1308" max="1309" width="3.7109375" style="1251" customWidth="1"/>
    <col min="1310" max="1310" width="2.28515625" style="1251" customWidth="1"/>
    <col min="1311" max="1311" width="3.7109375" style="1251" customWidth="1"/>
    <col min="1312" max="1312" width="9.7109375" style="1251" customWidth="1"/>
    <col min="1313" max="1322" width="3.7109375" style="1251" customWidth="1"/>
    <col min="1323" max="1323" width="11" style="1251" customWidth="1"/>
    <col min="1324" max="1326" width="8.7109375" style="1251"/>
    <col min="1327" max="1327" width="21" style="1251" customWidth="1"/>
    <col min="1328" max="1328" width="24.42578125" style="1251" customWidth="1"/>
    <col min="1329" max="1329" width="15.28515625" style="1251" customWidth="1"/>
    <col min="1330" max="1330" width="10.42578125" style="1251" customWidth="1"/>
    <col min="1331" max="1331" width="11.28515625" style="1251" customWidth="1"/>
    <col min="1332" max="1332" width="25" style="1251" customWidth="1"/>
    <col min="1333" max="1333" width="6" style="1251" customWidth="1"/>
    <col min="1334" max="1537" width="8.7109375" style="1251"/>
    <col min="1538" max="1538" width="3.7109375" style="1251" customWidth="1"/>
    <col min="1539" max="1539" width="2.28515625" style="1251" customWidth="1"/>
    <col min="1540" max="1541" width="3.7109375" style="1251" customWidth="1"/>
    <col min="1542" max="1542" width="2.28515625" style="1251" customWidth="1"/>
    <col min="1543" max="1544" width="3.7109375" style="1251" customWidth="1"/>
    <col min="1545" max="1545" width="2.28515625" style="1251" customWidth="1"/>
    <col min="1546" max="1547" width="3.7109375" style="1251" customWidth="1"/>
    <col min="1548" max="1548" width="2.28515625" style="1251" customWidth="1"/>
    <col min="1549" max="1550" width="3.7109375" style="1251" customWidth="1"/>
    <col min="1551" max="1551" width="2.28515625" style="1251" customWidth="1"/>
    <col min="1552" max="1553" width="3.7109375" style="1251" customWidth="1"/>
    <col min="1554" max="1554" width="2.28515625" style="1251" customWidth="1"/>
    <col min="1555" max="1556" width="3.7109375" style="1251" customWidth="1"/>
    <col min="1557" max="1557" width="2.28515625" style="1251" customWidth="1"/>
    <col min="1558" max="1559" width="3.7109375" style="1251" customWidth="1"/>
    <col min="1560" max="1560" width="2.28515625" style="1251" customWidth="1"/>
    <col min="1561" max="1562" width="3.7109375" style="1251" customWidth="1"/>
    <col min="1563" max="1563" width="2.28515625" style="1251" customWidth="1"/>
    <col min="1564" max="1565" width="3.7109375" style="1251" customWidth="1"/>
    <col min="1566" max="1566" width="2.28515625" style="1251" customWidth="1"/>
    <col min="1567" max="1567" width="3.7109375" style="1251" customWidth="1"/>
    <col min="1568" max="1568" width="9.7109375" style="1251" customWidth="1"/>
    <col min="1569" max="1578" width="3.7109375" style="1251" customWidth="1"/>
    <col min="1579" max="1579" width="11" style="1251" customWidth="1"/>
    <col min="1580" max="1582" width="8.7109375" style="1251"/>
    <col min="1583" max="1583" width="21" style="1251" customWidth="1"/>
    <col min="1584" max="1584" width="24.42578125" style="1251" customWidth="1"/>
    <col min="1585" max="1585" width="15.28515625" style="1251" customWidth="1"/>
    <col min="1586" max="1586" width="10.42578125" style="1251" customWidth="1"/>
    <col min="1587" max="1587" width="11.28515625" style="1251" customWidth="1"/>
    <col min="1588" max="1588" width="25" style="1251" customWidth="1"/>
    <col min="1589" max="1589" width="6" style="1251" customWidth="1"/>
    <col min="1590" max="1793" width="8.7109375" style="1251"/>
    <col min="1794" max="1794" width="3.7109375" style="1251" customWidth="1"/>
    <col min="1795" max="1795" width="2.28515625" style="1251" customWidth="1"/>
    <col min="1796" max="1797" width="3.7109375" style="1251" customWidth="1"/>
    <col min="1798" max="1798" width="2.28515625" style="1251" customWidth="1"/>
    <col min="1799" max="1800" width="3.7109375" style="1251" customWidth="1"/>
    <col min="1801" max="1801" width="2.28515625" style="1251" customWidth="1"/>
    <col min="1802" max="1803" width="3.7109375" style="1251" customWidth="1"/>
    <col min="1804" max="1804" width="2.28515625" style="1251" customWidth="1"/>
    <col min="1805" max="1806" width="3.7109375" style="1251" customWidth="1"/>
    <col min="1807" max="1807" width="2.28515625" style="1251" customWidth="1"/>
    <col min="1808" max="1809" width="3.7109375" style="1251" customWidth="1"/>
    <col min="1810" max="1810" width="2.28515625" style="1251" customWidth="1"/>
    <col min="1811" max="1812" width="3.7109375" style="1251" customWidth="1"/>
    <col min="1813" max="1813" width="2.28515625" style="1251" customWidth="1"/>
    <col min="1814" max="1815" width="3.7109375" style="1251" customWidth="1"/>
    <col min="1816" max="1816" width="2.28515625" style="1251" customWidth="1"/>
    <col min="1817" max="1818" width="3.7109375" style="1251" customWidth="1"/>
    <col min="1819" max="1819" width="2.28515625" style="1251" customWidth="1"/>
    <col min="1820" max="1821" width="3.7109375" style="1251" customWidth="1"/>
    <col min="1822" max="1822" width="2.28515625" style="1251" customWidth="1"/>
    <col min="1823" max="1823" width="3.7109375" style="1251" customWidth="1"/>
    <col min="1824" max="1824" width="9.7109375" style="1251" customWidth="1"/>
    <col min="1825" max="1834" width="3.7109375" style="1251" customWidth="1"/>
    <col min="1835" max="1835" width="11" style="1251" customWidth="1"/>
    <col min="1836" max="1838" width="8.7109375" style="1251"/>
    <col min="1839" max="1839" width="21" style="1251" customWidth="1"/>
    <col min="1840" max="1840" width="24.42578125" style="1251" customWidth="1"/>
    <col min="1841" max="1841" width="15.28515625" style="1251" customWidth="1"/>
    <col min="1842" max="1842" width="10.42578125" style="1251" customWidth="1"/>
    <col min="1843" max="1843" width="11.28515625" style="1251" customWidth="1"/>
    <col min="1844" max="1844" width="25" style="1251" customWidth="1"/>
    <col min="1845" max="1845" width="6" style="1251" customWidth="1"/>
    <col min="1846" max="2049" width="8.7109375" style="1251"/>
    <col min="2050" max="2050" width="3.7109375" style="1251" customWidth="1"/>
    <col min="2051" max="2051" width="2.28515625" style="1251" customWidth="1"/>
    <col min="2052" max="2053" width="3.7109375" style="1251" customWidth="1"/>
    <col min="2054" max="2054" width="2.28515625" style="1251" customWidth="1"/>
    <col min="2055" max="2056" width="3.7109375" style="1251" customWidth="1"/>
    <col min="2057" max="2057" width="2.28515625" style="1251" customWidth="1"/>
    <col min="2058" max="2059" width="3.7109375" style="1251" customWidth="1"/>
    <col min="2060" max="2060" width="2.28515625" style="1251" customWidth="1"/>
    <col min="2061" max="2062" width="3.7109375" style="1251" customWidth="1"/>
    <col min="2063" max="2063" width="2.28515625" style="1251" customWidth="1"/>
    <col min="2064" max="2065" width="3.7109375" style="1251" customWidth="1"/>
    <col min="2066" max="2066" width="2.28515625" style="1251" customWidth="1"/>
    <col min="2067" max="2068" width="3.7109375" style="1251" customWidth="1"/>
    <col min="2069" max="2069" width="2.28515625" style="1251" customWidth="1"/>
    <col min="2070" max="2071" width="3.7109375" style="1251" customWidth="1"/>
    <col min="2072" max="2072" width="2.28515625" style="1251" customWidth="1"/>
    <col min="2073" max="2074" width="3.7109375" style="1251" customWidth="1"/>
    <col min="2075" max="2075" width="2.28515625" style="1251" customWidth="1"/>
    <col min="2076" max="2077" width="3.7109375" style="1251" customWidth="1"/>
    <col min="2078" max="2078" width="2.28515625" style="1251" customWidth="1"/>
    <col min="2079" max="2079" width="3.7109375" style="1251" customWidth="1"/>
    <col min="2080" max="2080" width="9.7109375" style="1251" customWidth="1"/>
    <col min="2081" max="2090" width="3.7109375" style="1251" customWidth="1"/>
    <col min="2091" max="2091" width="11" style="1251" customWidth="1"/>
    <col min="2092" max="2094" width="8.7109375" style="1251"/>
    <col min="2095" max="2095" width="21" style="1251" customWidth="1"/>
    <col min="2096" max="2096" width="24.42578125" style="1251" customWidth="1"/>
    <col min="2097" max="2097" width="15.28515625" style="1251" customWidth="1"/>
    <col min="2098" max="2098" width="10.42578125" style="1251" customWidth="1"/>
    <col min="2099" max="2099" width="11.28515625" style="1251" customWidth="1"/>
    <col min="2100" max="2100" width="25" style="1251" customWidth="1"/>
    <col min="2101" max="2101" width="6" style="1251" customWidth="1"/>
    <col min="2102" max="2305" width="8.7109375" style="1251"/>
    <col min="2306" max="2306" width="3.7109375" style="1251" customWidth="1"/>
    <col min="2307" max="2307" width="2.28515625" style="1251" customWidth="1"/>
    <col min="2308" max="2309" width="3.7109375" style="1251" customWidth="1"/>
    <col min="2310" max="2310" width="2.28515625" style="1251" customWidth="1"/>
    <col min="2311" max="2312" width="3.7109375" style="1251" customWidth="1"/>
    <col min="2313" max="2313" width="2.28515625" style="1251" customWidth="1"/>
    <col min="2314" max="2315" width="3.7109375" style="1251" customWidth="1"/>
    <col min="2316" max="2316" width="2.28515625" style="1251" customWidth="1"/>
    <col min="2317" max="2318" width="3.7109375" style="1251" customWidth="1"/>
    <col min="2319" max="2319" width="2.28515625" style="1251" customWidth="1"/>
    <col min="2320" max="2321" width="3.7109375" style="1251" customWidth="1"/>
    <col min="2322" max="2322" width="2.28515625" style="1251" customWidth="1"/>
    <col min="2323" max="2324" width="3.7109375" style="1251" customWidth="1"/>
    <col min="2325" max="2325" width="2.28515625" style="1251" customWidth="1"/>
    <col min="2326" max="2327" width="3.7109375" style="1251" customWidth="1"/>
    <col min="2328" max="2328" width="2.28515625" style="1251" customWidth="1"/>
    <col min="2329" max="2330" width="3.7109375" style="1251" customWidth="1"/>
    <col min="2331" max="2331" width="2.28515625" style="1251" customWidth="1"/>
    <col min="2332" max="2333" width="3.7109375" style="1251" customWidth="1"/>
    <col min="2334" max="2334" width="2.28515625" style="1251" customWidth="1"/>
    <col min="2335" max="2335" width="3.7109375" style="1251" customWidth="1"/>
    <col min="2336" max="2336" width="9.7109375" style="1251" customWidth="1"/>
    <col min="2337" max="2346" width="3.7109375" style="1251" customWidth="1"/>
    <col min="2347" max="2347" width="11" style="1251" customWidth="1"/>
    <col min="2348" max="2350" width="8.7109375" style="1251"/>
    <col min="2351" max="2351" width="21" style="1251" customWidth="1"/>
    <col min="2352" max="2352" width="24.42578125" style="1251" customWidth="1"/>
    <col min="2353" max="2353" width="15.28515625" style="1251" customWidth="1"/>
    <col min="2354" max="2354" width="10.42578125" style="1251" customWidth="1"/>
    <col min="2355" max="2355" width="11.28515625" style="1251" customWidth="1"/>
    <col min="2356" max="2356" width="25" style="1251" customWidth="1"/>
    <col min="2357" max="2357" width="6" style="1251" customWidth="1"/>
    <col min="2358" max="2561" width="8.7109375" style="1251"/>
    <col min="2562" max="2562" width="3.7109375" style="1251" customWidth="1"/>
    <col min="2563" max="2563" width="2.28515625" style="1251" customWidth="1"/>
    <col min="2564" max="2565" width="3.7109375" style="1251" customWidth="1"/>
    <col min="2566" max="2566" width="2.28515625" style="1251" customWidth="1"/>
    <col min="2567" max="2568" width="3.7109375" style="1251" customWidth="1"/>
    <col min="2569" max="2569" width="2.28515625" style="1251" customWidth="1"/>
    <col min="2570" max="2571" width="3.7109375" style="1251" customWidth="1"/>
    <col min="2572" max="2572" width="2.28515625" style="1251" customWidth="1"/>
    <col min="2573" max="2574" width="3.7109375" style="1251" customWidth="1"/>
    <col min="2575" max="2575" width="2.28515625" style="1251" customWidth="1"/>
    <col min="2576" max="2577" width="3.7109375" style="1251" customWidth="1"/>
    <col min="2578" max="2578" width="2.28515625" style="1251" customWidth="1"/>
    <col min="2579" max="2580" width="3.7109375" style="1251" customWidth="1"/>
    <col min="2581" max="2581" width="2.28515625" style="1251" customWidth="1"/>
    <col min="2582" max="2583" width="3.7109375" style="1251" customWidth="1"/>
    <col min="2584" max="2584" width="2.28515625" style="1251" customWidth="1"/>
    <col min="2585" max="2586" width="3.7109375" style="1251" customWidth="1"/>
    <col min="2587" max="2587" width="2.28515625" style="1251" customWidth="1"/>
    <col min="2588" max="2589" width="3.7109375" style="1251" customWidth="1"/>
    <col min="2590" max="2590" width="2.28515625" style="1251" customWidth="1"/>
    <col min="2591" max="2591" width="3.7109375" style="1251" customWidth="1"/>
    <col min="2592" max="2592" width="9.7109375" style="1251" customWidth="1"/>
    <col min="2593" max="2602" width="3.7109375" style="1251" customWidth="1"/>
    <col min="2603" max="2603" width="11" style="1251" customWidth="1"/>
    <col min="2604" max="2606" width="8.7109375" style="1251"/>
    <col min="2607" max="2607" width="21" style="1251" customWidth="1"/>
    <col min="2608" max="2608" width="24.42578125" style="1251" customWidth="1"/>
    <col min="2609" max="2609" width="15.28515625" style="1251" customWidth="1"/>
    <col min="2610" max="2610" width="10.42578125" style="1251" customWidth="1"/>
    <col min="2611" max="2611" width="11.28515625" style="1251" customWidth="1"/>
    <col min="2612" max="2612" width="25" style="1251" customWidth="1"/>
    <col min="2613" max="2613" width="6" style="1251" customWidth="1"/>
    <col min="2614" max="2817" width="8.7109375" style="1251"/>
    <col min="2818" max="2818" width="3.7109375" style="1251" customWidth="1"/>
    <col min="2819" max="2819" width="2.28515625" style="1251" customWidth="1"/>
    <col min="2820" max="2821" width="3.7109375" style="1251" customWidth="1"/>
    <col min="2822" max="2822" width="2.28515625" style="1251" customWidth="1"/>
    <col min="2823" max="2824" width="3.7109375" style="1251" customWidth="1"/>
    <col min="2825" max="2825" width="2.28515625" style="1251" customWidth="1"/>
    <col min="2826" max="2827" width="3.7109375" style="1251" customWidth="1"/>
    <col min="2828" max="2828" width="2.28515625" style="1251" customWidth="1"/>
    <col min="2829" max="2830" width="3.7109375" style="1251" customWidth="1"/>
    <col min="2831" max="2831" width="2.28515625" style="1251" customWidth="1"/>
    <col min="2832" max="2833" width="3.7109375" style="1251" customWidth="1"/>
    <col min="2834" max="2834" width="2.28515625" style="1251" customWidth="1"/>
    <col min="2835" max="2836" width="3.7109375" style="1251" customWidth="1"/>
    <col min="2837" max="2837" width="2.28515625" style="1251" customWidth="1"/>
    <col min="2838" max="2839" width="3.7109375" style="1251" customWidth="1"/>
    <col min="2840" max="2840" width="2.28515625" style="1251" customWidth="1"/>
    <col min="2841" max="2842" width="3.7109375" style="1251" customWidth="1"/>
    <col min="2843" max="2843" width="2.28515625" style="1251" customWidth="1"/>
    <col min="2844" max="2845" width="3.7109375" style="1251" customWidth="1"/>
    <col min="2846" max="2846" width="2.28515625" style="1251" customWidth="1"/>
    <col min="2847" max="2847" width="3.7109375" style="1251" customWidth="1"/>
    <col min="2848" max="2848" width="9.7109375" style="1251" customWidth="1"/>
    <col min="2849" max="2858" width="3.7109375" style="1251" customWidth="1"/>
    <col min="2859" max="2859" width="11" style="1251" customWidth="1"/>
    <col min="2860" max="2862" width="8.7109375" style="1251"/>
    <col min="2863" max="2863" width="21" style="1251" customWidth="1"/>
    <col min="2864" max="2864" width="24.42578125" style="1251" customWidth="1"/>
    <col min="2865" max="2865" width="15.28515625" style="1251" customWidth="1"/>
    <col min="2866" max="2866" width="10.42578125" style="1251" customWidth="1"/>
    <col min="2867" max="2867" width="11.28515625" style="1251" customWidth="1"/>
    <col min="2868" max="2868" width="25" style="1251" customWidth="1"/>
    <col min="2869" max="2869" width="6" style="1251" customWidth="1"/>
    <col min="2870" max="3073" width="8.7109375" style="1251"/>
    <col min="3074" max="3074" width="3.7109375" style="1251" customWidth="1"/>
    <col min="3075" max="3075" width="2.28515625" style="1251" customWidth="1"/>
    <col min="3076" max="3077" width="3.7109375" style="1251" customWidth="1"/>
    <col min="3078" max="3078" width="2.28515625" style="1251" customWidth="1"/>
    <col min="3079" max="3080" width="3.7109375" style="1251" customWidth="1"/>
    <col min="3081" max="3081" width="2.28515625" style="1251" customWidth="1"/>
    <col min="3082" max="3083" width="3.7109375" style="1251" customWidth="1"/>
    <col min="3084" max="3084" width="2.28515625" style="1251" customWidth="1"/>
    <col min="3085" max="3086" width="3.7109375" style="1251" customWidth="1"/>
    <col min="3087" max="3087" width="2.28515625" style="1251" customWidth="1"/>
    <col min="3088" max="3089" width="3.7109375" style="1251" customWidth="1"/>
    <col min="3090" max="3090" width="2.28515625" style="1251" customWidth="1"/>
    <col min="3091" max="3092" width="3.7109375" style="1251" customWidth="1"/>
    <col min="3093" max="3093" width="2.28515625" style="1251" customWidth="1"/>
    <col min="3094" max="3095" width="3.7109375" style="1251" customWidth="1"/>
    <col min="3096" max="3096" width="2.28515625" style="1251" customWidth="1"/>
    <col min="3097" max="3098" width="3.7109375" style="1251" customWidth="1"/>
    <col min="3099" max="3099" width="2.28515625" style="1251" customWidth="1"/>
    <col min="3100" max="3101" width="3.7109375" style="1251" customWidth="1"/>
    <col min="3102" max="3102" width="2.28515625" style="1251" customWidth="1"/>
    <col min="3103" max="3103" width="3.7109375" style="1251" customWidth="1"/>
    <col min="3104" max="3104" width="9.7109375" style="1251" customWidth="1"/>
    <col min="3105" max="3114" width="3.7109375" style="1251" customWidth="1"/>
    <col min="3115" max="3115" width="11" style="1251" customWidth="1"/>
    <col min="3116" max="3118" width="8.7109375" style="1251"/>
    <col min="3119" max="3119" width="21" style="1251" customWidth="1"/>
    <col min="3120" max="3120" width="24.42578125" style="1251" customWidth="1"/>
    <col min="3121" max="3121" width="15.28515625" style="1251" customWidth="1"/>
    <col min="3122" max="3122" width="10.42578125" style="1251" customWidth="1"/>
    <col min="3123" max="3123" width="11.28515625" style="1251" customWidth="1"/>
    <col min="3124" max="3124" width="25" style="1251" customWidth="1"/>
    <col min="3125" max="3125" width="6" style="1251" customWidth="1"/>
    <col min="3126" max="3329" width="8.7109375" style="1251"/>
    <col min="3330" max="3330" width="3.7109375" style="1251" customWidth="1"/>
    <col min="3331" max="3331" width="2.28515625" style="1251" customWidth="1"/>
    <col min="3332" max="3333" width="3.7109375" style="1251" customWidth="1"/>
    <col min="3334" max="3334" width="2.28515625" style="1251" customWidth="1"/>
    <col min="3335" max="3336" width="3.7109375" style="1251" customWidth="1"/>
    <col min="3337" max="3337" width="2.28515625" style="1251" customWidth="1"/>
    <col min="3338" max="3339" width="3.7109375" style="1251" customWidth="1"/>
    <col min="3340" max="3340" width="2.28515625" style="1251" customWidth="1"/>
    <col min="3341" max="3342" width="3.7109375" style="1251" customWidth="1"/>
    <col min="3343" max="3343" width="2.28515625" style="1251" customWidth="1"/>
    <col min="3344" max="3345" width="3.7109375" style="1251" customWidth="1"/>
    <col min="3346" max="3346" width="2.28515625" style="1251" customWidth="1"/>
    <col min="3347" max="3348" width="3.7109375" style="1251" customWidth="1"/>
    <col min="3349" max="3349" width="2.28515625" style="1251" customWidth="1"/>
    <col min="3350" max="3351" width="3.7109375" style="1251" customWidth="1"/>
    <col min="3352" max="3352" width="2.28515625" style="1251" customWidth="1"/>
    <col min="3353" max="3354" width="3.7109375" style="1251" customWidth="1"/>
    <col min="3355" max="3355" width="2.28515625" style="1251" customWidth="1"/>
    <col min="3356" max="3357" width="3.7109375" style="1251" customWidth="1"/>
    <col min="3358" max="3358" width="2.28515625" style="1251" customWidth="1"/>
    <col min="3359" max="3359" width="3.7109375" style="1251" customWidth="1"/>
    <col min="3360" max="3360" width="9.7109375" style="1251" customWidth="1"/>
    <col min="3361" max="3370" width="3.7109375" style="1251" customWidth="1"/>
    <col min="3371" max="3371" width="11" style="1251" customWidth="1"/>
    <col min="3372" max="3374" width="8.7109375" style="1251"/>
    <col min="3375" max="3375" width="21" style="1251" customWidth="1"/>
    <col min="3376" max="3376" width="24.42578125" style="1251" customWidth="1"/>
    <col min="3377" max="3377" width="15.28515625" style="1251" customWidth="1"/>
    <col min="3378" max="3378" width="10.42578125" style="1251" customWidth="1"/>
    <col min="3379" max="3379" width="11.28515625" style="1251" customWidth="1"/>
    <col min="3380" max="3380" width="25" style="1251" customWidth="1"/>
    <col min="3381" max="3381" width="6" style="1251" customWidth="1"/>
    <col min="3382" max="3585" width="8.7109375" style="1251"/>
    <col min="3586" max="3586" width="3.7109375" style="1251" customWidth="1"/>
    <col min="3587" max="3587" width="2.28515625" style="1251" customWidth="1"/>
    <col min="3588" max="3589" width="3.7109375" style="1251" customWidth="1"/>
    <col min="3590" max="3590" width="2.28515625" style="1251" customWidth="1"/>
    <col min="3591" max="3592" width="3.7109375" style="1251" customWidth="1"/>
    <col min="3593" max="3593" width="2.28515625" style="1251" customWidth="1"/>
    <col min="3594" max="3595" width="3.7109375" style="1251" customWidth="1"/>
    <col min="3596" max="3596" width="2.28515625" style="1251" customWidth="1"/>
    <col min="3597" max="3598" width="3.7109375" style="1251" customWidth="1"/>
    <col min="3599" max="3599" width="2.28515625" style="1251" customWidth="1"/>
    <col min="3600" max="3601" width="3.7109375" style="1251" customWidth="1"/>
    <col min="3602" max="3602" width="2.28515625" style="1251" customWidth="1"/>
    <col min="3603" max="3604" width="3.7109375" style="1251" customWidth="1"/>
    <col min="3605" max="3605" width="2.28515625" style="1251" customWidth="1"/>
    <col min="3606" max="3607" width="3.7109375" style="1251" customWidth="1"/>
    <col min="3608" max="3608" width="2.28515625" style="1251" customWidth="1"/>
    <col min="3609" max="3610" width="3.7109375" style="1251" customWidth="1"/>
    <col min="3611" max="3611" width="2.28515625" style="1251" customWidth="1"/>
    <col min="3612" max="3613" width="3.7109375" style="1251" customWidth="1"/>
    <col min="3614" max="3614" width="2.28515625" style="1251" customWidth="1"/>
    <col min="3615" max="3615" width="3.7109375" style="1251" customWidth="1"/>
    <col min="3616" max="3616" width="9.7109375" style="1251" customWidth="1"/>
    <col min="3617" max="3626" width="3.7109375" style="1251" customWidth="1"/>
    <col min="3627" max="3627" width="11" style="1251" customWidth="1"/>
    <col min="3628" max="3630" width="8.7109375" style="1251"/>
    <col min="3631" max="3631" width="21" style="1251" customWidth="1"/>
    <col min="3632" max="3632" width="24.42578125" style="1251" customWidth="1"/>
    <col min="3633" max="3633" width="15.28515625" style="1251" customWidth="1"/>
    <col min="3634" max="3634" width="10.42578125" style="1251" customWidth="1"/>
    <col min="3635" max="3635" width="11.28515625" style="1251" customWidth="1"/>
    <col min="3636" max="3636" width="25" style="1251" customWidth="1"/>
    <col min="3637" max="3637" width="6" style="1251" customWidth="1"/>
    <col min="3638" max="3841" width="8.7109375" style="1251"/>
    <col min="3842" max="3842" width="3.7109375" style="1251" customWidth="1"/>
    <col min="3843" max="3843" width="2.28515625" style="1251" customWidth="1"/>
    <col min="3844" max="3845" width="3.7109375" style="1251" customWidth="1"/>
    <col min="3846" max="3846" width="2.28515625" style="1251" customWidth="1"/>
    <col min="3847" max="3848" width="3.7109375" style="1251" customWidth="1"/>
    <col min="3849" max="3849" width="2.28515625" style="1251" customWidth="1"/>
    <col min="3850" max="3851" width="3.7109375" style="1251" customWidth="1"/>
    <col min="3852" max="3852" width="2.28515625" style="1251" customWidth="1"/>
    <col min="3853" max="3854" width="3.7109375" style="1251" customWidth="1"/>
    <col min="3855" max="3855" width="2.28515625" style="1251" customWidth="1"/>
    <col min="3856" max="3857" width="3.7109375" style="1251" customWidth="1"/>
    <col min="3858" max="3858" width="2.28515625" style="1251" customWidth="1"/>
    <col min="3859" max="3860" width="3.7109375" style="1251" customWidth="1"/>
    <col min="3861" max="3861" width="2.28515625" style="1251" customWidth="1"/>
    <col min="3862" max="3863" width="3.7109375" style="1251" customWidth="1"/>
    <col min="3864" max="3864" width="2.28515625" style="1251" customWidth="1"/>
    <col min="3865" max="3866" width="3.7109375" style="1251" customWidth="1"/>
    <col min="3867" max="3867" width="2.28515625" style="1251" customWidth="1"/>
    <col min="3868" max="3869" width="3.7109375" style="1251" customWidth="1"/>
    <col min="3870" max="3870" width="2.28515625" style="1251" customWidth="1"/>
    <col min="3871" max="3871" width="3.7109375" style="1251" customWidth="1"/>
    <col min="3872" max="3872" width="9.7109375" style="1251" customWidth="1"/>
    <col min="3873" max="3882" width="3.7109375" style="1251" customWidth="1"/>
    <col min="3883" max="3883" width="11" style="1251" customWidth="1"/>
    <col min="3884" max="3886" width="8.7109375" style="1251"/>
    <col min="3887" max="3887" width="21" style="1251" customWidth="1"/>
    <col min="3888" max="3888" width="24.42578125" style="1251" customWidth="1"/>
    <col min="3889" max="3889" width="15.28515625" style="1251" customWidth="1"/>
    <col min="3890" max="3890" width="10.42578125" style="1251" customWidth="1"/>
    <col min="3891" max="3891" width="11.28515625" style="1251" customWidth="1"/>
    <col min="3892" max="3892" width="25" style="1251" customWidth="1"/>
    <col min="3893" max="3893" width="6" style="1251" customWidth="1"/>
    <col min="3894" max="4097" width="8.7109375" style="1251"/>
    <col min="4098" max="4098" width="3.7109375" style="1251" customWidth="1"/>
    <col min="4099" max="4099" width="2.28515625" style="1251" customWidth="1"/>
    <col min="4100" max="4101" width="3.7109375" style="1251" customWidth="1"/>
    <col min="4102" max="4102" width="2.28515625" style="1251" customWidth="1"/>
    <col min="4103" max="4104" width="3.7109375" style="1251" customWidth="1"/>
    <col min="4105" max="4105" width="2.28515625" style="1251" customWidth="1"/>
    <col min="4106" max="4107" width="3.7109375" style="1251" customWidth="1"/>
    <col min="4108" max="4108" width="2.28515625" style="1251" customWidth="1"/>
    <col min="4109" max="4110" width="3.7109375" style="1251" customWidth="1"/>
    <col min="4111" max="4111" width="2.28515625" style="1251" customWidth="1"/>
    <col min="4112" max="4113" width="3.7109375" style="1251" customWidth="1"/>
    <col min="4114" max="4114" width="2.28515625" style="1251" customWidth="1"/>
    <col min="4115" max="4116" width="3.7109375" style="1251" customWidth="1"/>
    <col min="4117" max="4117" width="2.28515625" style="1251" customWidth="1"/>
    <col min="4118" max="4119" width="3.7109375" style="1251" customWidth="1"/>
    <col min="4120" max="4120" width="2.28515625" style="1251" customWidth="1"/>
    <col min="4121" max="4122" width="3.7109375" style="1251" customWidth="1"/>
    <col min="4123" max="4123" width="2.28515625" style="1251" customWidth="1"/>
    <col min="4124" max="4125" width="3.7109375" style="1251" customWidth="1"/>
    <col min="4126" max="4126" width="2.28515625" style="1251" customWidth="1"/>
    <col min="4127" max="4127" width="3.7109375" style="1251" customWidth="1"/>
    <col min="4128" max="4128" width="9.7109375" style="1251" customWidth="1"/>
    <col min="4129" max="4138" width="3.7109375" style="1251" customWidth="1"/>
    <col min="4139" max="4139" width="11" style="1251" customWidth="1"/>
    <col min="4140" max="4142" width="8.7109375" style="1251"/>
    <col min="4143" max="4143" width="21" style="1251" customWidth="1"/>
    <col min="4144" max="4144" width="24.42578125" style="1251" customWidth="1"/>
    <col min="4145" max="4145" width="15.28515625" style="1251" customWidth="1"/>
    <col min="4146" max="4146" width="10.42578125" style="1251" customWidth="1"/>
    <col min="4147" max="4147" width="11.28515625" style="1251" customWidth="1"/>
    <col min="4148" max="4148" width="25" style="1251" customWidth="1"/>
    <col min="4149" max="4149" width="6" style="1251" customWidth="1"/>
    <col min="4150" max="4353" width="8.7109375" style="1251"/>
    <col min="4354" max="4354" width="3.7109375" style="1251" customWidth="1"/>
    <col min="4355" max="4355" width="2.28515625" style="1251" customWidth="1"/>
    <col min="4356" max="4357" width="3.7109375" style="1251" customWidth="1"/>
    <col min="4358" max="4358" width="2.28515625" style="1251" customWidth="1"/>
    <col min="4359" max="4360" width="3.7109375" style="1251" customWidth="1"/>
    <col min="4361" max="4361" width="2.28515625" style="1251" customWidth="1"/>
    <col min="4362" max="4363" width="3.7109375" style="1251" customWidth="1"/>
    <col min="4364" max="4364" width="2.28515625" style="1251" customWidth="1"/>
    <col min="4365" max="4366" width="3.7109375" style="1251" customWidth="1"/>
    <col min="4367" max="4367" width="2.28515625" style="1251" customWidth="1"/>
    <col min="4368" max="4369" width="3.7109375" style="1251" customWidth="1"/>
    <col min="4370" max="4370" width="2.28515625" style="1251" customWidth="1"/>
    <col min="4371" max="4372" width="3.7109375" style="1251" customWidth="1"/>
    <col min="4373" max="4373" width="2.28515625" style="1251" customWidth="1"/>
    <col min="4374" max="4375" width="3.7109375" style="1251" customWidth="1"/>
    <col min="4376" max="4376" width="2.28515625" style="1251" customWidth="1"/>
    <col min="4377" max="4378" width="3.7109375" style="1251" customWidth="1"/>
    <col min="4379" max="4379" width="2.28515625" style="1251" customWidth="1"/>
    <col min="4380" max="4381" width="3.7109375" style="1251" customWidth="1"/>
    <col min="4382" max="4382" width="2.28515625" style="1251" customWidth="1"/>
    <col min="4383" max="4383" width="3.7109375" style="1251" customWidth="1"/>
    <col min="4384" max="4384" width="9.7109375" style="1251" customWidth="1"/>
    <col min="4385" max="4394" width="3.7109375" style="1251" customWidth="1"/>
    <col min="4395" max="4395" width="11" style="1251" customWidth="1"/>
    <col min="4396" max="4398" width="8.7109375" style="1251"/>
    <col min="4399" max="4399" width="21" style="1251" customWidth="1"/>
    <col min="4400" max="4400" width="24.42578125" style="1251" customWidth="1"/>
    <col min="4401" max="4401" width="15.28515625" style="1251" customWidth="1"/>
    <col min="4402" max="4402" width="10.42578125" style="1251" customWidth="1"/>
    <col min="4403" max="4403" width="11.28515625" style="1251" customWidth="1"/>
    <col min="4404" max="4404" width="25" style="1251" customWidth="1"/>
    <col min="4405" max="4405" width="6" style="1251" customWidth="1"/>
    <col min="4406" max="4609" width="8.7109375" style="1251"/>
    <col min="4610" max="4610" width="3.7109375" style="1251" customWidth="1"/>
    <col min="4611" max="4611" width="2.28515625" style="1251" customWidth="1"/>
    <col min="4612" max="4613" width="3.7109375" style="1251" customWidth="1"/>
    <col min="4614" max="4614" width="2.28515625" style="1251" customWidth="1"/>
    <col min="4615" max="4616" width="3.7109375" style="1251" customWidth="1"/>
    <col min="4617" max="4617" width="2.28515625" style="1251" customWidth="1"/>
    <col min="4618" max="4619" width="3.7109375" style="1251" customWidth="1"/>
    <col min="4620" max="4620" width="2.28515625" style="1251" customWidth="1"/>
    <col min="4621" max="4622" width="3.7109375" style="1251" customWidth="1"/>
    <col min="4623" max="4623" width="2.28515625" style="1251" customWidth="1"/>
    <col min="4624" max="4625" width="3.7109375" style="1251" customWidth="1"/>
    <col min="4626" max="4626" width="2.28515625" style="1251" customWidth="1"/>
    <col min="4627" max="4628" width="3.7109375" style="1251" customWidth="1"/>
    <col min="4629" max="4629" width="2.28515625" style="1251" customWidth="1"/>
    <col min="4630" max="4631" width="3.7109375" style="1251" customWidth="1"/>
    <col min="4632" max="4632" width="2.28515625" style="1251" customWidth="1"/>
    <col min="4633" max="4634" width="3.7109375" style="1251" customWidth="1"/>
    <col min="4635" max="4635" width="2.28515625" style="1251" customWidth="1"/>
    <col min="4636" max="4637" width="3.7109375" style="1251" customWidth="1"/>
    <col min="4638" max="4638" width="2.28515625" style="1251" customWidth="1"/>
    <col min="4639" max="4639" width="3.7109375" style="1251" customWidth="1"/>
    <col min="4640" max="4640" width="9.7109375" style="1251" customWidth="1"/>
    <col min="4641" max="4650" width="3.7109375" style="1251" customWidth="1"/>
    <col min="4651" max="4651" width="11" style="1251" customWidth="1"/>
    <col min="4652" max="4654" width="8.7109375" style="1251"/>
    <col min="4655" max="4655" width="21" style="1251" customWidth="1"/>
    <col min="4656" max="4656" width="24.42578125" style="1251" customWidth="1"/>
    <col min="4657" max="4657" width="15.28515625" style="1251" customWidth="1"/>
    <col min="4658" max="4658" width="10.42578125" style="1251" customWidth="1"/>
    <col min="4659" max="4659" width="11.28515625" style="1251" customWidth="1"/>
    <col min="4660" max="4660" width="25" style="1251" customWidth="1"/>
    <col min="4661" max="4661" width="6" style="1251" customWidth="1"/>
    <col min="4662" max="4865" width="8.7109375" style="1251"/>
    <col min="4866" max="4866" width="3.7109375" style="1251" customWidth="1"/>
    <col min="4867" max="4867" width="2.28515625" style="1251" customWidth="1"/>
    <col min="4868" max="4869" width="3.7109375" style="1251" customWidth="1"/>
    <col min="4870" max="4870" width="2.28515625" style="1251" customWidth="1"/>
    <col min="4871" max="4872" width="3.7109375" style="1251" customWidth="1"/>
    <col min="4873" max="4873" width="2.28515625" style="1251" customWidth="1"/>
    <col min="4874" max="4875" width="3.7109375" style="1251" customWidth="1"/>
    <col min="4876" max="4876" width="2.28515625" style="1251" customWidth="1"/>
    <col min="4877" max="4878" width="3.7109375" style="1251" customWidth="1"/>
    <col min="4879" max="4879" width="2.28515625" style="1251" customWidth="1"/>
    <col min="4880" max="4881" width="3.7109375" style="1251" customWidth="1"/>
    <col min="4882" max="4882" width="2.28515625" style="1251" customWidth="1"/>
    <col min="4883" max="4884" width="3.7109375" style="1251" customWidth="1"/>
    <col min="4885" max="4885" width="2.28515625" style="1251" customWidth="1"/>
    <col min="4886" max="4887" width="3.7109375" style="1251" customWidth="1"/>
    <col min="4888" max="4888" width="2.28515625" style="1251" customWidth="1"/>
    <col min="4889" max="4890" width="3.7109375" style="1251" customWidth="1"/>
    <col min="4891" max="4891" width="2.28515625" style="1251" customWidth="1"/>
    <col min="4892" max="4893" width="3.7109375" style="1251" customWidth="1"/>
    <col min="4894" max="4894" width="2.28515625" style="1251" customWidth="1"/>
    <col min="4895" max="4895" width="3.7109375" style="1251" customWidth="1"/>
    <col min="4896" max="4896" width="9.7109375" style="1251" customWidth="1"/>
    <col min="4897" max="4906" width="3.7109375" style="1251" customWidth="1"/>
    <col min="4907" max="4907" width="11" style="1251" customWidth="1"/>
    <col min="4908" max="4910" width="8.7109375" style="1251"/>
    <col min="4911" max="4911" width="21" style="1251" customWidth="1"/>
    <col min="4912" max="4912" width="24.42578125" style="1251" customWidth="1"/>
    <col min="4913" max="4913" width="15.28515625" style="1251" customWidth="1"/>
    <col min="4914" max="4914" width="10.42578125" style="1251" customWidth="1"/>
    <col min="4915" max="4915" width="11.28515625" style="1251" customWidth="1"/>
    <col min="4916" max="4916" width="25" style="1251" customWidth="1"/>
    <col min="4917" max="4917" width="6" style="1251" customWidth="1"/>
    <col min="4918" max="5121" width="8.7109375" style="1251"/>
    <col min="5122" max="5122" width="3.7109375" style="1251" customWidth="1"/>
    <col min="5123" max="5123" width="2.28515625" style="1251" customWidth="1"/>
    <col min="5124" max="5125" width="3.7109375" style="1251" customWidth="1"/>
    <col min="5126" max="5126" width="2.28515625" style="1251" customWidth="1"/>
    <col min="5127" max="5128" width="3.7109375" style="1251" customWidth="1"/>
    <col min="5129" max="5129" width="2.28515625" style="1251" customWidth="1"/>
    <col min="5130" max="5131" width="3.7109375" style="1251" customWidth="1"/>
    <col min="5132" max="5132" width="2.28515625" style="1251" customWidth="1"/>
    <col min="5133" max="5134" width="3.7109375" style="1251" customWidth="1"/>
    <col min="5135" max="5135" width="2.28515625" style="1251" customWidth="1"/>
    <col min="5136" max="5137" width="3.7109375" style="1251" customWidth="1"/>
    <col min="5138" max="5138" width="2.28515625" style="1251" customWidth="1"/>
    <col min="5139" max="5140" width="3.7109375" style="1251" customWidth="1"/>
    <col min="5141" max="5141" width="2.28515625" style="1251" customWidth="1"/>
    <col min="5142" max="5143" width="3.7109375" style="1251" customWidth="1"/>
    <col min="5144" max="5144" width="2.28515625" style="1251" customWidth="1"/>
    <col min="5145" max="5146" width="3.7109375" style="1251" customWidth="1"/>
    <col min="5147" max="5147" width="2.28515625" style="1251" customWidth="1"/>
    <col min="5148" max="5149" width="3.7109375" style="1251" customWidth="1"/>
    <col min="5150" max="5150" width="2.28515625" style="1251" customWidth="1"/>
    <col min="5151" max="5151" width="3.7109375" style="1251" customWidth="1"/>
    <col min="5152" max="5152" width="9.7109375" style="1251" customWidth="1"/>
    <col min="5153" max="5162" width="3.7109375" style="1251" customWidth="1"/>
    <col min="5163" max="5163" width="11" style="1251" customWidth="1"/>
    <col min="5164" max="5166" width="8.7109375" style="1251"/>
    <col min="5167" max="5167" width="21" style="1251" customWidth="1"/>
    <col min="5168" max="5168" width="24.42578125" style="1251" customWidth="1"/>
    <col min="5169" max="5169" width="15.28515625" style="1251" customWidth="1"/>
    <col min="5170" max="5170" width="10.42578125" style="1251" customWidth="1"/>
    <col min="5171" max="5171" width="11.28515625" style="1251" customWidth="1"/>
    <col min="5172" max="5172" width="25" style="1251" customWidth="1"/>
    <col min="5173" max="5173" width="6" style="1251" customWidth="1"/>
    <col min="5174" max="5377" width="8.7109375" style="1251"/>
    <col min="5378" max="5378" width="3.7109375" style="1251" customWidth="1"/>
    <col min="5379" max="5379" width="2.28515625" style="1251" customWidth="1"/>
    <col min="5380" max="5381" width="3.7109375" style="1251" customWidth="1"/>
    <col min="5382" max="5382" width="2.28515625" style="1251" customWidth="1"/>
    <col min="5383" max="5384" width="3.7109375" style="1251" customWidth="1"/>
    <col min="5385" max="5385" width="2.28515625" style="1251" customWidth="1"/>
    <col min="5386" max="5387" width="3.7109375" style="1251" customWidth="1"/>
    <col min="5388" max="5388" width="2.28515625" style="1251" customWidth="1"/>
    <col min="5389" max="5390" width="3.7109375" style="1251" customWidth="1"/>
    <col min="5391" max="5391" width="2.28515625" style="1251" customWidth="1"/>
    <col min="5392" max="5393" width="3.7109375" style="1251" customWidth="1"/>
    <col min="5394" max="5394" width="2.28515625" style="1251" customWidth="1"/>
    <col min="5395" max="5396" width="3.7109375" style="1251" customWidth="1"/>
    <col min="5397" max="5397" width="2.28515625" style="1251" customWidth="1"/>
    <col min="5398" max="5399" width="3.7109375" style="1251" customWidth="1"/>
    <col min="5400" max="5400" width="2.28515625" style="1251" customWidth="1"/>
    <col min="5401" max="5402" width="3.7109375" style="1251" customWidth="1"/>
    <col min="5403" max="5403" width="2.28515625" style="1251" customWidth="1"/>
    <col min="5404" max="5405" width="3.7109375" style="1251" customWidth="1"/>
    <col min="5406" max="5406" width="2.28515625" style="1251" customWidth="1"/>
    <col min="5407" max="5407" width="3.7109375" style="1251" customWidth="1"/>
    <col min="5408" max="5408" width="9.7109375" style="1251" customWidth="1"/>
    <col min="5409" max="5418" width="3.7109375" style="1251" customWidth="1"/>
    <col min="5419" max="5419" width="11" style="1251" customWidth="1"/>
    <col min="5420" max="5422" width="8.7109375" style="1251"/>
    <col min="5423" max="5423" width="21" style="1251" customWidth="1"/>
    <col min="5424" max="5424" width="24.42578125" style="1251" customWidth="1"/>
    <col min="5425" max="5425" width="15.28515625" style="1251" customWidth="1"/>
    <col min="5426" max="5426" width="10.42578125" style="1251" customWidth="1"/>
    <col min="5427" max="5427" width="11.28515625" style="1251" customWidth="1"/>
    <col min="5428" max="5428" width="25" style="1251" customWidth="1"/>
    <col min="5429" max="5429" width="6" style="1251" customWidth="1"/>
    <col min="5430" max="5633" width="8.7109375" style="1251"/>
    <col min="5634" max="5634" width="3.7109375" style="1251" customWidth="1"/>
    <col min="5635" max="5635" width="2.28515625" style="1251" customWidth="1"/>
    <col min="5636" max="5637" width="3.7109375" style="1251" customWidth="1"/>
    <col min="5638" max="5638" width="2.28515625" style="1251" customWidth="1"/>
    <col min="5639" max="5640" width="3.7109375" style="1251" customWidth="1"/>
    <col min="5641" max="5641" width="2.28515625" style="1251" customWidth="1"/>
    <col min="5642" max="5643" width="3.7109375" style="1251" customWidth="1"/>
    <col min="5644" max="5644" width="2.28515625" style="1251" customWidth="1"/>
    <col min="5645" max="5646" width="3.7109375" style="1251" customWidth="1"/>
    <col min="5647" max="5647" width="2.28515625" style="1251" customWidth="1"/>
    <col min="5648" max="5649" width="3.7109375" style="1251" customWidth="1"/>
    <col min="5650" max="5650" width="2.28515625" style="1251" customWidth="1"/>
    <col min="5651" max="5652" width="3.7109375" style="1251" customWidth="1"/>
    <col min="5653" max="5653" width="2.28515625" style="1251" customWidth="1"/>
    <col min="5654" max="5655" width="3.7109375" style="1251" customWidth="1"/>
    <col min="5656" max="5656" width="2.28515625" style="1251" customWidth="1"/>
    <col min="5657" max="5658" width="3.7109375" style="1251" customWidth="1"/>
    <col min="5659" max="5659" width="2.28515625" style="1251" customWidth="1"/>
    <col min="5660" max="5661" width="3.7109375" style="1251" customWidth="1"/>
    <col min="5662" max="5662" width="2.28515625" style="1251" customWidth="1"/>
    <col min="5663" max="5663" width="3.7109375" style="1251" customWidth="1"/>
    <col min="5664" max="5664" width="9.7109375" style="1251" customWidth="1"/>
    <col min="5665" max="5674" width="3.7109375" style="1251" customWidth="1"/>
    <col min="5675" max="5675" width="11" style="1251" customWidth="1"/>
    <col min="5676" max="5678" width="8.7109375" style="1251"/>
    <col min="5679" max="5679" width="21" style="1251" customWidth="1"/>
    <col min="5680" max="5680" width="24.42578125" style="1251" customWidth="1"/>
    <col min="5681" max="5681" width="15.28515625" style="1251" customWidth="1"/>
    <col min="5682" max="5682" width="10.42578125" style="1251" customWidth="1"/>
    <col min="5683" max="5683" width="11.28515625" style="1251" customWidth="1"/>
    <col min="5684" max="5684" width="25" style="1251" customWidth="1"/>
    <col min="5685" max="5685" width="6" style="1251" customWidth="1"/>
    <col min="5686" max="5889" width="8.7109375" style="1251"/>
    <col min="5890" max="5890" width="3.7109375" style="1251" customWidth="1"/>
    <col min="5891" max="5891" width="2.28515625" style="1251" customWidth="1"/>
    <col min="5892" max="5893" width="3.7109375" style="1251" customWidth="1"/>
    <col min="5894" max="5894" width="2.28515625" style="1251" customWidth="1"/>
    <col min="5895" max="5896" width="3.7109375" style="1251" customWidth="1"/>
    <col min="5897" max="5897" width="2.28515625" style="1251" customWidth="1"/>
    <col min="5898" max="5899" width="3.7109375" style="1251" customWidth="1"/>
    <col min="5900" max="5900" width="2.28515625" style="1251" customWidth="1"/>
    <col min="5901" max="5902" width="3.7109375" style="1251" customWidth="1"/>
    <col min="5903" max="5903" width="2.28515625" style="1251" customWidth="1"/>
    <col min="5904" max="5905" width="3.7109375" style="1251" customWidth="1"/>
    <col min="5906" max="5906" width="2.28515625" style="1251" customWidth="1"/>
    <col min="5907" max="5908" width="3.7109375" style="1251" customWidth="1"/>
    <col min="5909" max="5909" width="2.28515625" style="1251" customWidth="1"/>
    <col min="5910" max="5911" width="3.7109375" style="1251" customWidth="1"/>
    <col min="5912" max="5912" width="2.28515625" style="1251" customWidth="1"/>
    <col min="5913" max="5914" width="3.7109375" style="1251" customWidth="1"/>
    <col min="5915" max="5915" width="2.28515625" style="1251" customWidth="1"/>
    <col min="5916" max="5917" width="3.7109375" style="1251" customWidth="1"/>
    <col min="5918" max="5918" width="2.28515625" style="1251" customWidth="1"/>
    <col min="5919" max="5919" width="3.7109375" style="1251" customWidth="1"/>
    <col min="5920" max="5920" width="9.7109375" style="1251" customWidth="1"/>
    <col min="5921" max="5930" width="3.7109375" style="1251" customWidth="1"/>
    <col min="5931" max="5931" width="11" style="1251" customWidth="1"/>
    <col min="5932" max="5934" width="8.7109375" style="1251"/>
    <col min="5935" max="5935" width="21" style="1251" customWidth="1"/>
    <col min="5936" max="5936" width="24.42578125" style="1251" customWidth="1"/>
    <col min="5937" max="5937" width="15.28515625" style="1251" customWidth="1"/>
    <col min="5938" max="5938" width="10.42578125" style="1251" customWidth="1"/>
    <col min="5939" max="5939" width="11.28515625" style="1251" customWidth="1"/>
    <col min="5940" max="5940" width="25" style="1251" customWidth="1"/>
    <col min="5941" max="5941" width="6" style="1251" customWidth="1"/>
    <col min="5942" max="6145" width="8.7109375" style="1251"/>
    <col min="6146" max="6146" width="3.7109375" style="1251" customWidth="1"/>
    <col min="6147" max="6147" width="2.28515625" style="1251" customWidth="1"/>
    <col min="6148" max="6149" width="3.7109375" style="1251" customWidth="1"/>
    <col min="6150" max="6150" width="2.28515625" style="1251" customWidth="1"/>
    <col min="6151" max="6152" width="3.7109375" style="1251" customWidth="1"/>
    <col min="6153" max="6153" width="2.28515625" style="1251" customWidth="1"/>
    <col min="6154" max="6155" width="3.7109375" style="1251" customWidth="1"/>
    <col min="6156" max="6156" width="2.28515625" style="1251" customWidth="1"/>
    <col min="6157" max="6158" width="3.7109375" style="1251" customWidth="1"/>
    <col min="6159" max="6159" width="2.28515625" style="1251" customWidth="1"/>
    <col min="6160" max="6161" width="3.7109375" style="1251" customWidth="1"/>
    <col min="6162" max="6162" width="2.28515625" style="1251" customWidth="1"/>
    <col min="6163" max="6164" width="3.7109375" style="1251" customWidth="1"/>
    <col min="6165" max="6165" width="2.28515625" style="1251" customWidth="1"/>
    <col min="6166" max="6167" width="3.7109375" style="1251" customWidth="1"/>
    <col min="6168" max="6168" width="2.28515625" style="1251" customWidth="1"/>
    <col min="6169" max="6170" width="3.7109375" style="1251" customWidth="1"/>
    <col min="6171" max="6171" width="2.28515625" style="1251" customWidth="1"/>
    <col min="6172" max="6173" width="3.7109375" style="1251" customWidth="1"/>
    <col min="6174" max="6174" width="2.28515625" style="1251" customWidth="1"/>
    <col min="6175" max="6175" width="3.7109375" style="1251" customWidth="1"/>
    <col min="6176" max="6176" width="9.7109375" style="1251" customWidth="1"/>
    <col min="6177" max="6186" width="3.7109375" style="1251" customWidth="1"/>
    <col min="6187" max="6187" width="11" style="1251" customWidth="1"/>
    <col min="6188" max="6190" width="8.7109375" style="1251"/>
    <col min="6191" max="6191" width="21" style="1251" customWidth="1"/>
    <col min="6192" max="6192" width="24.42578125" style="1251" customWidth="1"/>
    <col min="6193" max="6193" width="15.28515625" style="1251" customWidth="1"/>
    <col min="6194" max="6194" width="10.42578125" style="1251" customWidth="1"/>
    <col min="6195" max="6195" width="11.28515625" style="1251" customWidth="1"/>
    <col min="6196" max="6196" width="25" style="1251" customWidth="1"/>
    <col min="6197" max="6197" width="6" style="1251" customWidth="1"/>
    <col min="6198" max="6401" width="8.7109375" style="1251"/>
    <col min="6402" max="6402" width="3.7109375" style="1251" customWidth="1"/>
    <col min="6403" max="6403" width="2.28515625" style="1251" customWidth="1"/>
    <col min="6404" max="6405" width="3.7109375" style="1251" customWidth="1"/>
    <col min="6406" max="6406" width="2.28515625" style="1251" customWidth="1"/>
    <col min="6407" max="6408" width="3.7109375" style="1251" customWidth="1"/>
    <col min="6409" max="6409" width="2.28515625" style="1251" customWidth="1"/>
    <col min="6410" max="6411" width="3.7109375" style="1251" customWidth="1"/>
    <col min="6412" max="6412" width="2.28515625" style="1251" customWidth="1"/>
    <col min="6413" max="6414" width="3.7109375" style="1251" customWidth="1"/>
    <col min="6415" max="6415" width="2.28515625" style="1251" customWidth="1"/>
    <col min="6416" max="6417" width="3.7109375" style="1251" customWidth="1"/>
    <col min="6418" max="6418" width="2.28515625" style="1251" customWidth="1"/>
    <col min="6419" max="6420" width="3.7109375" style="1251" customWidth="1"/>
    <col min="6421" max="6421" width="2.28515625" style="1251" customWidth="1"/>
    <col min="6422" max="6423" width="3.7109375" style="1251" customWidth="1"/>
    <col min="6424" max="6424" width="2.28515625" style="1251" customWidth="1"/>
    <col min="6425" max="6426" width="3.7109375" style="1251" customWidth="1"/>
    <col min="6427" max="6427" width="2.28515625" style="1251" customWidth="1"/>
    <col min="6428" max="6429" width="3.7109375" style="1251" customWidth="1"/>
    <col min="6430" max="6430" width="2.28515625" style="1251" customWidth="1"/>
    <col min="6431" max="6431" width="3.7109375" style="1251" customWidth="1"/>
    <col min="6432" max="6432" width="9.7109375" style="1251" customWidth="1"/>
    <col min="6433" max="6442" width="3.7109375" style="1251" customWidth="1"/>
    <col min="6443" max="6443" width="11" style="1251" customWidth="1"/>
    <col min="6444" max="6446" width="8.7109375" style="1251"/>
    <col min="6447" max="6447" width="21" style="1251" customWidth="1"/>
    <col min="6448" max="6448" width="24.42578125" style="1251" customWidth="1"/>
    <col min="6449" max="6449" width="15.28515625" style="1251" customWidth="1"/>
    <col min="6450" max="6450" width="10.42578125" style="1251" customWidth="1"/>
    <col min="6451" max="6451" width="11.28515625" style="1251" customWidth="1"/>
    <col min="6452" max="6452" width="25" style="1251" customWidth="1"/>
    <col min="6453" max="6453" width="6" style="1251" customWidth="1"/>
    <col min="6454" max="6657" width="8.7109375" style="1251"/>
    <col min="6658" max="6658" width="3.7109375" style="1251" customWidth="1"/>
    <col min="6659" max="6659" width="2.28515625" style="1251" customWidth="1"/>
    <col min="6660" max="6661" width="3.7109375" style="1251" customWidth="1"/>
    <col min="6662" max="6662" width="2.28515625" style="1251" customWidth="1"/>
    <col min="6663" max="6664" width="3.7109375" style="1251" customWidth="1"/>
    <col min="6665" max="6665" width="2.28515625" style="1251" customWidth="1"/>
    <col min="6666" max="6667" width="3.7109375" style="1251" customWidth="1"/>
    <col min="6668" max="6668" width="2.28515625" style="1251" customWidth="1"/>
    <col min="6669" max="6670" width="3.7109375" style="1251" customWidth="1"/>
    <col min="6671" max="6671" width="2.28515625" style="1251" customWidth="1"/>
    <col min="6672" max="6673" width="3.7109375" style="1251" customWidth="1"/>
    <col min="6674" max="6674" width="2.28515625" style="1251" customWidth="1"/>
    <col min="6675" max="6676" width="3.7109375" style="1251" customWidth="1"/>
    <col min="6677" max="6677" width="2.28515625" style="1251" customWidth="1"/>
    <col min="6678" max="6679" width="3.7109375" style="1251" customWidth="1"/>
    <col min="6680" max="6680" width="2.28515625" style="1251" customWidth="1"/>
    <col min="6681" max="6682" width="3.7109375" style="1251" customWidth="1"/>
    <col min="6683" max="6683" width="2.28515625" style="1251" customWidth="1"/>
    <col min="6684" max="6685" width="3.7109375" style="1251" customWidth="1"/>
    <col min="6686" max="6686" width="2.28515625" style="1251" customWidth="1"/>
    <col min="6687" max="6687" width="3.7109375" style="1251" customWidth="1"/>
    <col min="6688" max="6688" width="9.7109375" style="1251" customWidth="1"/>
    <col min="6689" max="6698" width="3.7109375" style="1251" customWidth="1"/>
    <col min="6699" max="6699" width="11" style="1251" customWidth="1"/>
    <col min="6700" max="6702" width="8.7109375" style="1251"/>
    <col min="6703" max="6703" width="21" style="1251" customWidth="1"/>
    <col min="6704" max="6704" width="24.42578125" style="1251" customWidth="1"/>
    <col min="6705" max="6705" width="15.28515625" style="1251" customWidth="1"/>
    <col min="6706" max="6706" width="10.42578125" style="1251" customWidth="1"/>
    <col min="6707" max="6707" width="11.28515625" style="1251" customWidth="1"/>
    <col min="6708" max="6708" width="25" style="1251" customWidth="1"/>
    <col min="6709" max="6709" width="6" style="1251" customWidth="1"/>
    <col min="6710" max="6913" width="8.7109375" style="1251"/>
    <col min="6914" max="6914" width="3.7109375" style="1251" customWidth="1"/>
    <col min="6915" max="6915" width="2.28515625" style="1251" customWidth="1"/>
    <col min="6916" max="6917" width="3.7109375" style="1251" customWidth="1"/>
    <col min="6918" max="6918" width="2.28515625" style="1251" customWidth="1"/>
    <col min="6919" max="6920" width="3.7109375" style="1251" customWidth="1"/>
    <col min="6921" max="6921" width="2.28515625" style="1251" customWidth="1"/>
    <col min="6922" max="6923" width="3.7109375" style="1251" customWidth="1"/>
    <col min="6924" max="6924" width="2.28515625" style="1251" customWidth="1"/>
    <col min="6925" max="6926" width="3.7109375" style="1251" customWidth="1"/>
    <col min="6927" max="6927" width="2.28515625" style="1251" customWidth="1"/>
    <col min="6928" max="6929" width="3.7109375" style="1251" customWidth="1"/>
    <col min="6930" max="6930" width="2.28515625" style="1251" customWidth="1"/>
    <col min="6931" max="6932" width="3.7109375" style="1251" customWidth="1"/>
    <col min="6933" max="6933" width="2.28515625" style="1251" customWidth="1"/>
    <col min="6934" max="6935" width="3.7109375" style="1251" customWidth="1"/>
    <col min="6936" max="6936" width="2.28515625" style="1251" customWidth="1"/>
    <col min="6937" max="6938" width="3.7109375" style="1251" customWidth="1"/>
    <col min="6939" max="6939" width="2.28515625" style="1251" customWidth="1"/>
    <col min="6940" max="6941" width="3.7109375" style="1251" customWidth="1"/>
    <col min="6942" max="6942" width="2.28515625" style="1251" customWidth="1"/>
    <col min="6943" max="6943" width="3.7109375" style="1251" customWidth="1"/>
    <col min="6944" max="6944" width="9.7109375" style="1251" customWidth="1"/>
    <col min="6945" max="6954" width="3.7109375" style="1251" customWidth="1"/>
    <col min="6955" max="6955" width="11" style="1251" customWidth="1"/>
    <col min="6956" max="6958" width="8.7109375" style="1251"/>
    <col min="6959" max="6959" width="21" style="1251" customWidth="1"/>
    <col min="6960" max="6960" width="24.42578125" style="1251" customWidth="1"/>
    <col min="6961" max="6961" width="15.28515625" style="1251" customWidth="1"/>
    <col min="6962" max="6962" width="10.42578125" style="1251" customWidth="1"/>
    <col min="6963" max="6963" width="11.28515625" style="1251" customWidth="1"/>
    <col min="6964" max="6964" width="25" style="1251" customWidth="1"/>
    <col min="6965" max="6965" width="6" style="1251" customWidth="1"/>
    <col min="6966" max="7169" width="8.7109375" style="1251"/>
    <col min="7170" max="7170" width="3.7109375" style="1251" customWidth="1"/>
    <col min="7171" max="7171" width="2.28515625" style="1251" customWidth="1"/>
    <col min="7172" max="7173" width="3.7109375" style="1251" customWidth="1"/>
    <col min="7174" max="7174" width="2.28515625" style="1251" customWidth="1"/>
    <col min="7175" max="7176" width="3.7109375" style="1251" customWidth="1"/>
    <col min="7177" max="7177" width="2.28515625" style="1251" customWidth="1"/>
    <col min="7178" max="7179" width="3.7109375" style="1251" customWidth="1"/>
    <col min="7180" max="7180" width="2.28515625" style="1251" customWidth="1"/>
    <col min="7181" max="7182" width="3.7109375" style="1251" customWidth="1"/>
    <col min="7183" max="7183" width="2.28515625" style="1251" customWidth="1"/>
    <col min="7184" max="7185" width="3.7109375" style="1251" customWidth="1"/>
    <col min="7186" max="7186" width="2.28515625" style="1251" customWidth="1"/>
    <col min="7187" max="7188" width="3.7109375" style="1251" customWidth="1"/>
    <col min="7189" max="7189" width="2.28515625" style="1251" customWidth="1"/>
    <col min="7190" max="7191" width="3.7109375" style="1251" customWidth="1"/>
    <col min="7192" max="7192" width="2.28515625" style="1251" customWidth="1"/>
    <col min="7193" max="7194" width="3.7109375" style="1251" customWidth="1"/>
    <col min="7195" max="7195" width="2.28515625" style="1251" customWidth="1"/>
    <col min="7196" max="7197" width="3.7109375" style="1251" customWidth="1"/>
    <col min="7198" max="7198" width="2.28515625" style="1251" customWidth="1"/>
    <col min="7199" max="7199" width="3.7109375" style="1251" customWidth="1"/>
    <col min="7200" max="7200" width="9.7109375" style="1251" customWidth="1"/>
    <col min="7201" max="7210" width="3.7109375" style="1251" customWidth="1"/>
    <col min="7211" max="7211" width="11" style="1251" customWidth="1"/>
    <col min="7212" max="7214" width="8.7109375" style="1251"/>
    <col min="7215" max="7215" width="21" style="1251" customWidth="1"/>
    <col min="7216" max="7216" width="24.42578125" style="1251" customWidth="1"/>
    <col min="7217" max="7217" width="15.28515625" style="1251" customWidth="1"/>
    <col min="7218" max="7218" width="10.42578125" style="1251" customWidth="1"/>
    <col min="7219" max="7219" width="11.28515625" style="1251" customWidth="1"/>
    <col min="7220" max="7220" width="25" style="1251" customWidth="1"/>
    <col min="7221" max="7221" width="6" style="1251" customWidth="1"/>
    <col min="7222" max="7425" width="8.7109375" style="1251"/>
    <col min="7426" max="7426" width="3.7109375" style="1251" customWidth="1"/>
    <col min="7427" max="7427" width="2.28515625" style="1251" customWidth="1"/>
    <col min="7428" max="7429" width="3.7109375" style="1251" customWidth="1"/>
    <col min="7430" max="7430" width="2.28515625" style="1251" customWidth="1"/>
    <col min="7431" max="7432" width="3.7109375" style="1251" customWidth="1"/>
    <col min="7433" max="7433" width="2.28515625" style="1251" customWidth="1"/>
    <col min="7434" max="7435" width="3.7109375" style="1251" customWidth="1"/>
    <col min="7436" max="7436" width="2.28515625" style="1251" customWidth="1"/>
    <col min="7437" max="7438" width="3.7109375" style="1251" customWidth="1"/>
    <col min="7439" max="7439" width="2.28515625" style="1251" customWidth="1"/>
    <col min="7440" max="7441" width="3.7109375" style="1251" customWidth="1"/>
    <col min="7442" max="7442" width="2.28515625" style="1251" customWidth="1"/>
    <col min="7443" max="7444" width="3.7109375" style="1251" customWidth="1"/>
    <col min="7445" max="7445" width="2.28515625" style="1251" customWidth="1"/>
    <col min="7446" max="7447" width="3.7109375" style="1251" customWidth="1"/>
    <col min="7448" max="7448" width="2.28515625" style="1251" customWidth="1"/>
    <col min="7449" max="7450" width="3.7109375" style="1251" customWidth="1"/>
    <col min="7451" max="7451" width="2.28515625" style="1251" customWidth="1"/>
    <col min="7452" max="7453" width="3.7109375" style="1251" customWidth="1"/>
    <col min="7454" max="7454" width="2.28515625" style="1251" customWidth="1"/>
    <col min="7455" max="7455" width="3.7109375" style="1251" customWidth="1"/>
    <col min="7456" max="7456" width="9.7109375" style="1251" customWidth="1"/>
    <col min="7457" max="7466" width="3.7109375" style="1251" customWidth="1"/>
    <col min="7467" max="7467" width="11" style="1251" customWidth="1"/>
    <col min="7468" max="7470" width="8.7109375" style="1251"/>
    <col min="7471" max="7471" width="21" style="1251" customWidth="1"/>
    <col min="7472" max="7472" width="24.42578125" style="1251" customWidth="1"/>
    <col min="7473" max="7473" width="15.28515625" style="1251" customWidth="1"/>
    <col min="7474" max="7474" width="10.42578125" style="1251" customWidth="1"/>
    <col min="7475" max="7475" width="11.28515625" style="1251" customWidth="1"/>
    <col min="7476" max="7476" width="25" style="1251" customWidth="1"/>
    <col min="7477" max="7477" width="6" style="1251" customWidth="1"/>
    <col min="7478" max="7681" width="8.7109375" style="1251"/>
    <col min="7682" max="7682" width="3.7109375" style="1251" customWidth="1"/>
    <col min="7683" max="7683" width="2.28515625" style="1251" customWidth="1"/>
    <col min="7684" max="7685" width="3.7109375" style="1251" customWidth="1"/>
    <col min="7686" max="7686" width="2.28515625" style="1251" customWidth="1"/>
    <col min="7687" max="7688" width="3.7109375" style="1251" customWidth="1"/>
    <col min="7689" max="7689" width="2.28515625" style="1251" customWidth="1"/>
    <col min="7690" max="7691" width="3.7109375" style="1251" customWidth="1"/>
    <col min="7692" max="7692" width="2.28515625" style="1251" customWidth="1"/>
    <col min="7693" max="7694" width="3.7109375" style="1251" customWidth="1"/>
    <col min="7695" max="7695" width="2.28515625" style="1251" customWidth="1"/>
    <col min="7696" max="7697" width="3.7109375" style="1251" customWidth="1"/>
    <col min="7698" max="7698" width="2.28515625" style="1251" customWidth="1"/>
    <col min="7699" max="7700" width="3.7109375" style="1251" customWidth="1"/>
    <col min="7701" max="7701" width="2.28515625" style="1251" customWidth="1"/>
    <col min="7702" max="7703" width="3.7109375" style="1251" customWidth="1"/>
    <col min="7704" max="7704" width="2.28515625" style="1251" customWidth="1"/>
    <col min="7705" max="7706" width="3.7109375" style="1251" customWidth="1"/>
    <col min="7707" max="7707" width="2.28515625" style="1251" customWidth="1"/>
    <col min="7708" max="7709" width="3.7109375" style="1251" customWidth="1"/>
    <col min="7710" max="7710" width="2.28515625" style="1251" customWidth="1"/>
    <col min="7711" max="7711" width="3.7109375" style="1251" customWidth="1"/>
    <col min="7712" max="7712" width="9.7109375" style="1251" customWidth="1"/>
    <col min="7713" max="7722" width="3.7109375" style="1251" customWidth="1"/>
    <col min="7723" max="7723" width="11" style="1251" customWidth="1"/>
    <col min="7724" max="7726" width="8.7109375" style="1251"/>
    <col min="7727" max="7727" width="21" style="1251" customWidth="1"/>
    <col min="7728" max="7728" width="24.42578125" style="1251" customWidth="1"/>
    <col min="7729" max="7729" width="15.28515625" style="1251" customWidth="1"/>
    <col min="7730" max="7730" width="10.42578125" style="1251" customWidth="1"/>
    <col min="7731" max="7731" width="11.28515625" style="1251" customWidth="1"/>
    <col min="7732" max="7732" width="25" style="1251" customWidth="1"/>
    <col min="7733" max="7733" width="6" style="1251" customWidth="1"/>
    <col min="7734" max="7937" width="8.7109375" style="1251"/>
    <col min="7938" max="7938" width="3.7109375" style="1251" customWidth="1"/>
    <col min="7939" max="7939" width="2.28515625" style="1251" customWidth="1"/>
    <col min="7940" max="7941" width="3.7109375" style="1251" customWidth="1"/>
    <col min="7942" max="7942" width="2.28515625" style="1251" customWidth="1"/>
    <col min="7943" max="7944" width="3.7109375" style="1251" customWidth="1"/>
    <col min="7945" max="7945" width="2.28515625" style="1251" customWidth="1"/>
    <col min="7946" max="7947" width="3.7109375" style="1251" customWidth="1"/>
    <col min="7948" max="7948" width="2.28515625" style="1251" customWidth="1"/>
    <col min="7949" max="7950" width="3.7109375" style="1251" customWidth="1"/>
    <col min="7951" max="7951" width="2.28515625" style="1251" customWidth="1"/>
    <col min="7952" max="7953" width="3.7109375" style="1251" customWidth="1"/>
    <col min="7954" max="7954" width="2.28515625" style="1251" customWidth="1"/>
    <col min="7955" max="7956" width="3.7109375" style="1251" customWidth="1"/>
    <col min="7957" max="7957" width="2.28515625" style="1251" customWidth="1"/>
    <col min="7958" max="7959" width="3.7109375" style="1251" customWidth="1"/>
    <col min="7960" max="7960" width="2.28515625" style="1251" customWidth="1"/>
    <col min="7961" max="7962" width="3.7109375" style="1251" customWidth="1"/>
    <col min="7963" max="7963" width="2.28515625" style="1251" customWidth="1"/>
    <col min="7964" max="7965" width="3.7109375" style="1251" customWidth="1"/>
    <col min="7966" max="7966" width="2.28515625" style="1251" customWidth="1"/>
    <col min="7967" max="7967" width="3.7109375" style="1251" customWidth="1"/>
    <col min="7968" max="7968" width="9.7109375" style="1251" customWidth="1"/>
    <col min="7969" max="7978" width="3.7109375" style="1251" customWidth="1"/>
    <col min="7979" max="7979" width="11" style="1251" customWidth="1"/>
    <col min="7980" max="7982" width="8.7109375" style="1251"/>
    <col min="7983" max="7983" width="21" style="1251" customWidth="1"/>
    <col min="7984" max="7984" width="24.42578125" style="1251" customWidth="1"/>
    <col min="7985" max="7985" width="15.28515625" style="1251" customWidth="1"/>
    <col min="7986" max="7986" width="10.42578125" style="1251" customWidth="1"/>
    <col min="7987" max="7987" width="11.28515625" style="1251" customWidth="1"/>
    <col min="7988" max="7988" width="25" style="1251" customWidth="1"/>
    <col min="7989" max="7989" width="6" style="1251" customWidth="1"/>
    <col min="7990" max="8193" width="8.7109375" style="1251"/>
    <col min="8194" max="8194" width="3.7109375" style="1251" customWidth="1"/>
    <col min="8195" max="8195" width="2.28515625" style="1251" customWidth="1"/>
    <col min="8196" max="8197" width="3.7109375" style="1251" customWidth="1"/>
    <col min="8198" max="8198" width="2.28515625" style="1251" customWidth="1"/>
    <col min="8199" max="8200" width="3.7109375" style="1251" customWidth="1"/>
    <col min="8201" max="8201" width="2.28515625" style="1251" customWidth="1"/>
    <col min="8202" max="8203" width="3.7109375" style="1251" customWidth="1"/>
    <col min="8204" max="8204" width="2.28515625" style="1251" customWidth="1"/>
    <col min="8205" max="8206" width="3.7109375" style="1251" customWidth="1"/>
    <col min="8207" max="8207" width="2.28515625" style="1251" customWidth="1"/>
    <col min="8208" max="8209" width="3.7109375" style="1251" customWidth="1"/>
    <col min="8210" max="8210" width="2.28515625" style="1251" customWidth="1"/>
    <col min="8211" max="8212" width="3.7109375" style="1251" customWidth="1"/>
    <col min="8213" max="8213" width="2.28515625" style="1251" customWidth="1"/>
    <col min="8214" max="8215" width="3.7109375" style="1251" customWidth="1"/>
    <col min="8216" max="8216" width="2.28515625" style="1251" customWidth="1"/>
    <col min="8217" max="8218" width="3.7109375" style="1251" customWidth="1"/>
    <col min="8219" max="8219" width="2.28515625" style="1251" customWidth="1"/>
    <col min="8220" max="8221" width="3.7109375" style="1251" customWidth="1"/>
    <col min="8222" max="8222" width="2.28515625" style="1251" customWidth="1"/>
    <col min="8223" max="8223" width="3.7109375" style="1251" customWidth="1"/>
    <col min="8224" max="8224" width="9.7109375" style="1251" customWidth="1"/>
    <col min="8225" max="8234" width="3.7109375" style="1251" customWidth="1"/>
    <col min="8235" max="8235" width="11" style="1251" customWidth="1"/>
    <col min="8236" max="8238" width="8.7109375" style="1251"/>
    <col min="8239" max="8239" width="21" style="1251" customWidth="1"/>
    <col min="8240" max="8240" width="24.42578125" style="1251" customWidth="1"/>
    <col min="8241" max="8241" width="15.28515625" style="1251" customWidth="1"/>
    <col min="8242" max="8242" width="10.42578125" style="1251" customWidth="1"/>
    <col min="8243" max="8243" width="11.28515625" style="1251" customWidth="1"/>
    <col min="8244" max="8244" width="25" style="1251" customWidth="1"/>
    <col min="8245" max="8245" width="6" style="1251" customWidth="1"/>
    <col min="8246" max="8449" width="8.7109375" style="1251"/>
    <col min="8450" max="8450" width="3.7109375" style="1251" customWidth="1"/>
    <col min="8451" max="8451" width="2.28515625" style="1251" customWidth="1"/>
    <col min="8452" max="8453" width="3.7109375" style="1251" customWidth="1"/>
    <col min="8454" max="8454" width="2.28515625" style="1251" customWidth="1"/>
    <col min="8455" max="8456" width="3.7109375" style="1251" customWidth="1"/>
    <col min="8457" max="8457" width="2.28515625" style="1251" customWidth="1"/>
    <col min="8458" max="8459" width="3.7109375" style="1251" customWidth="1"/>
    <col min="8460" max="8460" width="2.28515625" style="1251" customWidth="1"/>
    <col min="8461" max="8462" width="3.7109375" style="1251" customWidth="1"/>
    <col min="8463" max="8463" width="2.28515625" style="1251" customWidth="1"/>
    <col min="8464" max="8465" width="3.7109375" style="1251" customWidth="1"/>
    <col min="8466" max="8466" width="2.28515625" style="1251" customWidth="1"/>
    <col min="8467" max="8468" width="3.7109375" style="1251" customWidth="1"/>
    <col min="8469" max="8469" width="2.28515625" style="1251" customWidth="1"/>
    <col min="8470" max="8471" width="3.7109375" style="1251" customWidth="1"/>
    <col min="8472" max="8472" width="2.28515625" style="1251" customWidth="1"/>
    <col min="8473" max="8474" width="3.7109375" style="1251" customWidth="1"/>
    <col min="8475" max="8475" width="2.28515625" style="1251" customWidth="1"/>
    <col min="8476" max="8477" width="3.7109375" style="1251" customWidth="1"/>
    <col min="8478" max="8478" width="2.28515625" style="1251" customWidth="1"/>
    <col min="8479" max="8479" width="3.7109375" style="1251" customWidth="1"/>
    <col min="8480" max="8480" width="9.7109375" style="1251" customWidth="1"/>
    <col min="8481" max="8490" width="3.7109375" style="1251" customWidth="1"/>
    <col min="8491" max="8491" width="11" style="1251" customWidth="1"/>
    <col min="8492" max="8494" width="8.7109375" style="1251"/>
    <col min="8495" max="8495" width="21" style="1251" customWidth="1"/>
    <col min="8496" max="8496" width="24.42578125" style="1251" customWidth="1"/>
    <col min="8497" max="8497" width="15.28515625" style="1251" customWidth="1"/>
    <col min="8498" max="8498" width="10.42578125" style="1251" customWidth="1"/>
    <col min="8499" max="8499" width="11.28515625" style="1251" customWidth="1"/>
    <col min="8500" max="8500" width="25" style="1251" customWidth="1"/>
    <col min="8501" max="8501" width="6" style="1251" customWidth="1"/>
    <col min="8502" max="8705" width="8.7109375" style="1251"/>
    <col min="8706" max="8706" width="3.7109375" style="1251" customWidth="1"/>
    <col min="8707" max="8707" width="2.28515625" style="1251" customWidth="1"/>
    <col min="8708" max="8709" width="3.7109375" style="1251" customWidth="1"/>
    <col min="8710" max="8710" width="2.28515625" style="1251" customWidth="1"/>
    <col min="8711" max="8712" width="3.7109375" style="1251" customWidth="1"/>
    <col min="8713" max="8713" width="2.28515625" style="1251" customWidth="1"/>
    <col min="8714" max="8715" width="3.7109375" style="1251" customWidth="1"/>
    <col min="8716" max="8716" width="2.28515625" style="1251" customWidth="1"/>
    <col min="8717" max="8718" width="3.7109375" style="1251" customWidth="1"/>
    <col min="8719" max="8719" width="2.28515625" style="1251" customWidth="1"/>
    <col min="8720" max="8721" width="3.7109375" style="1251" customWidth="1"/>
    <col min="8722" max="8722" width="2.28515625" style="1251" customWidth="1"/>
    <col min="8723" max="8724" width="3.7109375" style="1251" customWidth="1"/>
    <col min="8725" max="8725" width="2.28515625" style="1251" customWidth="1"/>
    <col min="8726" max="8727" width="3.7109375" style="1251" customWidth="1"/>
    <col min="8728" max="8728" width="2.28515625" style="1251" customWidth="1"/>
    <col min="8729" max="8730" width="3.7109375" style="1251" customWidth="1"/>
    <col min="8731" max="8731" width="2.28515625" style="1251" customWidth="1"/>
    <col min="8732" max="8733" width="3.7109375" style="1251" customWidth="1"/>
    <col min="8734" max="8734" width="2.28515625" style="1251" customWidth="1"/>
    <col min="8735" max="8735" width="3.7109375" style="1251" customWidth="1"/>
    <col min="8736" max="8736" width="9.7109375" style="1251" customWidth="1"/>
    <col min="8737" max="8746" width="3.7109375" style="1251" customWidth="1"/>
    <col min="8747" max="8747" width="11" style="1251" customWidth="1"/>
    <col min="8748" max="8750" width="8.7109375" style="1251"/>
    <col min="8751" max="8751" width="21" style="1251" customWidth="1"/>
    <col min="8752" max="8752" width="24.42578125" style="1251" customWidth="1"/>
    <col min="8753" max="8753" width="15.28515625" style="1251" customWidth="1"/>
    <col min="8754" max="8754" width="10.42578125" style="1251" customWidth="1"/>
    <col min="8755" max="8755" width="11.28515625" style="1251" customWidth="1"/>
    <col min="8756" max="8756" width="25" style="1251" customWidth="1"/>
    <col min="8757" max="8757" width="6" style="1251" customWidth="1"/>
    <col min="8758" max="8961" width="8.7109375" style="1251"/>
    <col min="8962" max="8962" width="3.7109375" style="1251" customWidth="1"/>
    <col min="8963" max="8963" width="2.28515625" style="1251" customWidth="1"/>
    <col min="8964" max="8965" width="3.7109375" style="1251" customWidth="1"/>
    <col min="8966" max="8966" width="2.28515625" style="1251" customWidth="1"/>
    <col min="8967" max="8968" width="3.7109375" style="1251" customWidth="1"/>
    <col min="8969" max="8969" width="2.28515625" style="1251" customWidth="1"/>
    <col min="8970" max="8971" width="3.7109375" style="1251" customWidth="1"/>
    <col min="8972" max="8972" width="2.28515625" style="1251" customWidth="1"/>
    <col min="8973" max="8974" width="3.7109375" style="1251" customWidth="1"/>
    <col min="8975" max="8975" width="2.28515625" style="1251" customWidth="1"/>
    <col min="8976" max="8977" width="3.7109375" style="1251" customWidth="1"/>
    <col min="8978" max="8978" width="2.28515625" style="1251" customWidth="1"/>
    <col min="8979" max="8980" width="3.7109375" style="1251" customWidth="1"/>
    <col min="8981" max="8981" width="2.28515625" style="1251" customWidth="1"/>
    <col min="8982" max="8983" width="3.7109375" style="1251" customWidth="1"/>
    <col min="8984" max="8984" width="2.28515625" style="1251" customWidth="1"/>
    <col min="8985" max="8986" width="3.7109375" style="1251" customWidth="1"/>
    <col min="8987" max="8987" width="2.28515625" style="1251" customWidth="1"/>
    <col min="8988" max="8989" width="3.7109375" style="1251" customWidth="1"/>
    <col min="8990" max="8990" width="2.28515625" style="1251" customWidth="1"/>
    <col min="8991" max="8991" width="3.7109375" style="1251" customWidth="1"/>
    <col min="8992" max="8992" width="9.7109375" style="1251" customWidth="1"/>
    <col min="8993" max="9002" width="3.7109375" style="1251" customWidth="1"/>
    <col min="9003" max="9003" width="11" style="1251" customWidth="1"/>
    <col min="9004" max="9006" width="8.7109375" style="1251"/>
    <col min="9007" max="9007" width="21" style="1251" customWidth="1"/>
    <col min="9008" max="9008" width="24.42578125" style="1251" customWidth="1"/>
    <col min="9009" max="9009" width="15.28515625" style="1251" customWidth="1"/>
    <col min="9010" max="9010" width="10.42578125" style="1251" customWidth="1"/>
    <col min="9011" max="9011" width="11.28515625" style="1251" customWidth="1"/>
    <col min="9012" max="9012" width="25" style="1251" customWidth="1"/>
    <col min="9013" max="9013" width="6" style="1251" customWidth="1"/>
    <col min="9014" max="9217" width="8.7109375" style="1251"/>
    <col min="9218" max="9218" width="3.7109375" style="1251" customWidth="1"/>
    <col min="9219" max="9219" width="2.28515625" style="1251" customWidth="1"/>
    <col min="9220" max="9221" width="3.7109375" style="1251" customWidth="1"/>
    <col min="9222" max="9222" width="2.28515625" style="1251" customWidth="1"/>
    <col min="9223" max="9224" width="3.7109375" style="1251" customWidth="1"/>
    <col min="9225" max="9225" width="2.28515625" style="1251" customWidth="1"/>
    <col min="9226" max="9227" width="3.7109375" style="1251" customWidth="1"/>
    <col min="9228" max="9228" width="2.28515625" style="1251" customWidth="1"/>
    <col min="9229" max="9230" width="3.7109375" style="1251" customWidth="1"/>
    <col min="9231" max="9231" width="2.28515625" style="1251" customWidth="1"/>
    <col min="9232" max="9233" width="3.7109375" style="1251" customWidth="1"/>
    <col min="9234" max="9234" width="2.28515625" style="1251" customWidth="1"/>
    <col min="9235" max="9236" width="3.7109375" style="1251" customWidth="1"/>
    <col min="9237" max="9237" width="2.28515625" style="1251" customWidth="1"/>
    <col min="9238" max="9239" width="3.7109375" style="1251" customWidth="1"/>
    <col min="9240" max="9240" width="2.28515625" style="1251" customWidth="1"/>
    <col min="9241" max="9242" width="3.7109375" style="1251" customWidth="1"/>
    <col min="9243" max="9243" width="2.28515625" style="1251" customWidth="1"/>
    <col min="9244" max="9245" width="3.7109375" style="1251" customWidth="1"/>
    <col min="9246" max="9246" width="2.28515625" style="1251" customWidth="1"/>
    <col min="9247" max="9247" width="3.7109375" style="1251" customWidth="1"/>
    <col min="9248" max="9248" width="9.7109375" style="1251" customWidth="1"/>
    <col min="9249" max="9258" width="3.7109375" style="1251" customWidth="1"/>
    <col min="9259" max="9259" width="11" style="1251" customWidth="1"/>
    <col min="9260" max="9262" width="8.7109375" style="1251"/>
    <col min="9263" max="9263" width="21" style="1251" customWidth="1"/>
    <col min="9264" max="9264" width="24.42578125" style="1251" customWidth="1"/>
    <col min="9265" max="9265" width="15.28515625" style="1251" customWidth="1"/>
    <col min="9266" max="9266" width="10.42578125" style="1251" customWidth="1"/>
    <col min="9267" max="9267" width="11.28515625" style="1251" customWidth="1"/>
    <col min="9268" max="9268" width="25" style="1251" customWidth="1"/>
    <col min="9269" max="9269" width="6" style="1251" customWidth="1"/>
    <col min="9270" max="9473" width="8.7109375" style="1251"/>
    <col min="9474" max="9474" width="3.7109375" style="1251" customWidth="1"/>
    <col min="9475" max="9475" width="2.28515625" style="1251" customWidth="1"/>
    <col min="9476" max="9477" width="3.7109375" style="1251" customWidth="1"/>
    <col min="9478" max="9478" width="2.28515625" style="1251" customWidth="1"/>
    <col min="9479" max="9480" width="3.7109375" style="1251" customWidth="1"/>
    <col min="9481" max="9481" width="2.28515625" style="1251" customWidth="1"/>
    <col min="9482" max="9483" width="3.7109375" style="1251" customWidth="1"/>
    <col min="9484" max="9484" width="2.28515625" style="1251" customWidth="1"/>
    <col min="9485" max="9486" width="3.7109375" style="1251" customWidth="1"/>
    <col min="9487" max="9487" width="2.28515625" style="1251" customWidth="1"/>
    <col min="9488" max="9489" width="3.7109375" style="1251" customWidth="1"/>
    <col min="9490" max="9490" width="2.28515625" style="1251" customWidth="1"/>
    <col min="9491" max="9492" width="3.7109375" style="1251" customWidth="1"/>
    <col min="9493" max="9493" width="2.28515625" style="1251" customWidth="1"/>
    <col min="9494" max="9495" width="3.7109375" style="1251" customWidth="1"/>
    <col min="9496" max="9496" width="2.28515625" style="1251" customWidth="1"/>
    <col min="9497" max="9498" width="3.7109375" style="1251" customWidth="1"/>
    <col min="9499" max="9499" width="2.28515625" style="1251" customWidth="1"/>
    <col min="9500" max="9501" width="3.7109375" style="1251" customWidth="1"/>
    <col min="9502" max="9502" width="2.28515625" style="1251" customWidth="1"/>
    <col min="9503" max="9503" width="3.7109375" style="1251" customWidth="1"/>
    <col min="9504" max="9504" width="9.7109375" style="1251" customWidth="1"/>
    <col min="9505" max="9514" width="3.7109375" style="1251" customWidth="1"/>
    <col min="9515" max="9515" width="11" style="1251" customWidth="1"/>
    <col min="9516" max="9518" width="8.7109375" style="1251"/>
    <col min="9519" max="9519" width="21" style="1251" customWidth="1"/>
    <col min="9520" max="9520" width="24.42578125" style="1251" customWidth="1"/>
    <col min="9521" max="9521" width="15.28515625" style="1251" customWidth="1"/>
    <col min="9522" max="9522" width="10.42578125" style="1251" customWidth="1"/>
    <col min="9523" max="9523" width="11.28515625" style="1251" customWidth="1"/>
    <col min="9524" max="9524" width="25" style="1251" customWidth="1"/>
    <col min="9525" max="9525" width="6" style="1251" customWidth="1"/>
    <col min="9526" max="9729" width="8.7109375" style="1251"/>
    <col min="9730" max="9730" width="3.7109375" style="1251" customWidth="1"/>
    <col min="9731" max="9731" width="2.28515625" style="1251" customWidth="1"/>
    <col min="9732" max="9733" width="3.7109375" style="1251" customWidth="1"/>
    <col min="9734" max="9734" width="2.28515625" style="1251" customWidth="1"/>
    <col min="9735" max="9736" width="3.7109375" style="1251" customWidth="1"/>
    <col min="9737" max="9737" width="2.28515625" style="1251" customWidth="1"/>
    <col min="9738" max="9739" width="3.7109375" style="1251" customWidth="1"/>
    <col min="9740" max="9740" width="2.28515625" style="1251" customWidth="1"/>
    <col min="9741" max="9742" width="3.7109375" style="1251" customWidth="1"/>
    <col min="9743" max="9743" width="2.28515625" style="1251" customWidth="1"/>
    <col min="9744" max="9745" width="3.7109375" style="1251" customWidth="1"/>
    <col min="9746" max="9746" width="2.28515625" style="1251" customWidth="1"/>
    <col min="9747" max="9748" width="3.7109375" style="1251" customWidth="1"/>
    <col min="9749" max="9749" width="2.28515625" style="1251" customWidth="1"/>
    <col min="9750" max="9751" width="3.7109375" style="1251" customWidth="1"/>
    <col min="9752" max="9752" width="2.28515625" style="1251" customWidth="1"/>
    <col min="9753" max="9754" width="3.7109375" style="1251" customWidth="1"/>
    <col min="9755" max="9755" width="2.28515625" style="1251" customWidth="1"/>
    <col min="9756" max="9757" width="3.7109375" style="1251" customWidth="1"/>
    <col min="9758" max="9758" width="2.28515625" style="1251" customWidth="1"/>
    <col min="9759" max="9759" width="3.7109375" style="1251" customWidth="1"/>
    <col min="9760" max="9760" width="9.7109375" style="1251" customWidth="1"/>
    <col min="9761" max="9770" width="3.7109375" style="1251" customWidth="1"/>
    <col min="9771" max="9771" width="11" style="1251" customWidth="1"/>
    <col min="9772" max="9774" width="8.7109375" style="1251"/>
    <col min="9775" max="9775" width="21" style="1251" customWidth="1"/>
    <col min="9776" max="9776" width="24.42578125" style="1251" customWidth="1"/>
    <col min="9777" max="9777" width="15.28515625" style="1251" customWidth="1"/>
    <col min="9778" max="9778" width="10.42578125" style="1251" customWidth="1"/>
    <col min="9779" max="9779" width="11.28515625" style="1251" customWidth="1"/>
    <col min="9780" max="9780" width="25" style="1251" customWidth="1"/>
    <col min="9781" max="9781" width="6" style="1251" customWidth="1"/>
    <col min="9782" max="9985" width="8.7109375" style="1251"/>
    <col min="9986" max="9986" width="3.7109375" style="1251" customWidth="1"/>
    <col min="9987" max="9987" width="2.28515625" style="1251" customWidth="1"/>
    <col min="9988" max="9989" width="3.7109375" style="1251" customWidth="1"/>
    <col min="9990" max="9990" width="2.28515625" style="1251" customWidth="1"/>
    <col min="9991" max="9992" width="3.7109375" style="1251" customWidth="1"/>
    <col min="9993" max="9993" width="2.28515625" style="1251" customWidth="1"/>
    <col min="9994" max="9995" width="3.7109375" style="1251" customWidth="1"/>
    <col min="9996" max="9996" width="2.28515625" style="1251" customWidth="1"/>
    <col min="9997" max="9998" width="3.7109375" style="1251" customWidth="1"/>
    <col min="9999" max="9999" width="2.28515625" style="1251" customWidth="1"/>
    <col min="10000" max="10001" width="3.7109375" style="1251" customWidth="1"/>
    <col min="10002" max="10002" width="2.28515625" style="1251" customWidth="1"/>
    <col min="10003" max="10004" width="3.7109375" style="1251" customWidth="1"/>
    <col min="10005" max="10005" width="2.28515625" style="1251" customWidth="1"/>
    <col min="10006" max="10007" width="3.7109375" style="1251" customWidth="1"/>
    <col min="10008" max="10008" width="2.28515625" style="1251" customWidth="1"/>
    <col min="10009" max="10010" width="3.7109375" style="1251" customWidth="1"/>
    <col min="10011" max="10011" width="2.28515625" style="1251" customWidth="1"/>
    <col min="10012" max="10013" width="3.7109375" style="1251" customWidth="1"/>
    <col min="10014" max="10014" width="2.28515625" style="1251" customWidth="1"/>
    <col min="10015" max="10015" width="3.7109375" style="1251" customWidth="1"/>
    <col min="10016" max="10016" width="9.7109375" style="1251" customWidth="1"/>
    <col min="10017" max="10026" width="3.7109375" style="1251" customWidth="1"/>
    <col min="10027" max="10027" width="11" style="1251" customWidth="1"/>
    <col min="10028" max="10030" width="8.7109375" style="1251"/>
    <col min="10031" max="10031" width="21" style="1251" customWidth="1"/>
    <col min="10032" max="10032" width="24.42578125" style="1251" customWidth="1"/>
    <col min="10033" max="10033" width="15.28515625" style="1251" customWidth="1"/>
    <col min="10034" max="10034" width="10.42578125" style="1251" customWidth="1"/>
    <col min="10035" max="10035" width="11.28515625" style="1251" customWidth="1"/>
    <col min="10036" max="10036" width="25" style="1251" customWidth="1"/>
    <col min="10037" max="10037" width="6" style="1251" customWidth="1"/>
    <col min="10038" max="10241" width="8.7109375" style="1251"/>
    <col min="10242" max="10242" width="3.7109375" style="1251" customWidth="1"/>
    <col min="10243" max="10243" width="2.28515625" style="1251" customWidth="1"/>
    <col min="10244" max="10245" width="3.7109375" style="1251" customWidth="1"/>
    <col min="10246" max="10246" width="2.28515625" style="1251" customWidth="1"/>
    <col min="10247" max="10248" width="3.7109375" style="1251" customWidth="1"/>
    <col min="10249" max="10249" width="2.28515625" style="1251" customWidth="1"/>
    <col min="10250" max="10251" width="3.7109375" style="1251" customWidth="1"/>
    <col min="10252" max="10252" width="2.28515625" style="1251" customWidth="1"/>
    <col min="10253" max="10254" width="3.7109375" style="1251" customWidth="1"/>
    <col min="10255" max="10255" width="2.28515625" style="1251" customWidth="1"/>
    <col min="10256" max="10257" width="3.7109375" style="1251" customWidth="1"/>
    <col min="10258" max="10258" width="2.28515625" style="1251" customWidth="1"/>
    <col min="10259" max="10260" width="3.7109375" style="1251" customWidth="1"/>
    <col min="10261" max="10261" width="2.28515625" style="1251" customWidth="1"/>
    <col min="10262" max="10263" width="3.7109375" style="1251" customWidth="1"/>
    <col min="10264" max="10264" width="2.28515625" style="1251" customWidth="1"/>
    <col min="10265" max="10266" width="3.7109375" style="1251" customWidth="1"/>
    <col min="10267" max="10267" width="2.28515625" style="1251" customWidth="1"/>
    <col min="10268" max="10269" width="3.7109375" style="1251" customWidth="1"/>
    <col min="10270" max="10270" width="2.28515625" style="1251" customWidth="1"/>
    <col min="10271" max="10271" width="3.7109375" style="1251" customWidth="1"/>
    <col min="10272" max="10272" width="9.7109375" style="1251" customWidth="1"/>
    <col min="10273" max="10282" width="3.7109375" style="1251" customWidth="1"/>
    <col min="10283" max="10283" width="11" style="1251" customWidth="1"/>
    <col min="10284" max="10286" width="8.7109375" style="1251"/>
    <col min="10287" max="10287" width="21" style="1251" customWidth="1"/>
    <col min="10288" max="10288" width="24.42578125" style="1251" customWidth="1"/>
    <col min="10289" max="10289" width="15.28515625" style="1251" customWidth="1"/>
    <col min="10290" max="10290" width="10.42578125" style="1251" customWidth="1"/>
    <col min="10291" max="10291" width="11.28515625" style="1251" customWidth="1"/>
    <col min="10292" max="10292" width="25" style="1251" customWidth="1"/>
    <col min="10293" max="10293" width="6" style="1251" customWidth="1"/>
    <col min="10294" max="10497" width="8.7109375" style="1251"/>
    <col min="10498" max="10498" width="3.7109375" style="1251" customWidth="1"/>
    <col min="10499" max="10499" width="2.28515625" style="1251" customWidth="1"/>
    <col min="10500" max="10501" width="3.7109375" style="1251" customWidth="1"/>
    <col min="10502" max="10502" width="2.28515625" style="1251" customWidth="1"/>
    <col min="10503" max="10504" width="3.7109375" style="1251" customWidth="1"/>
    <col min="10505" max="10505" width="2.28515625" style="1251" customWidth="1"/>
    <col min="10506" max="10507" width="3.7109375" style="1251" customWidth="1"/>
    <col min="10508" max="10508" width="2.28515625" style="1251" customWidth="1"/>
    <col min="10509" max="10510" width="3.7109375" style="1251" customWidth="1"/>
    <col min="10511" max="10511" width="2.28515625" style="1251" customWidth="1"/>
    <col min="10512" max="10513" width="3.7109375" style="1251" customWidth="1"/>
    <col min="10514" max="10514" width="2.28515625" style="1251" customWidth="1"/>
    <col min="10515" max="10516" width="3.7109375" style="1251" customWidth="1"/>
    <col min="10517" max="10517" width="2.28515625" style="1251" customWidth="1"/>
    <col min="10518" max="10519" width="3.7109375" style="1251" customWidth="1"/>
    <col min="10520" max="10520" width="2.28515625" style="1251" customWidth="1"/>
    <col min="10521" max="10522" width="3.7109375" style="1251" customWidth="1"/>
    <col min="10523" max="10523" width="2.28515625" style="1251" customWidth="1"/>
    <col min="10524" max="10525" width="3.7109375" style="1251" customWidth="1"/>
    <col min="10526" max="10526" width="2.28515625" style="1251" customWidth="1"/>
    <col min="10527" max="10527" width="3.7109375" style="1251" customWidth="1"/>
    <col min="10528" max="10528" width="9.7109375" style="1251" customWidth="1"/>
    <col min="10529" max="10538" width="3.7109375" style="1251" customWidth="1"/>
    <col min="10539" max="10539" width="11" style="1251" customWidth="1"/>
    <col min="10540" max="10542" width="8.7109375" style="1251"/>
    <col min="10543" max="10543" width="21" style="1251" customWidth="1"/>
    <col min="10544" max="10544" width="24.42578125" style="1251" customWidth="1"/>
    <col min="10545" max="10545" width="15.28515625" style="1251" customWidth="1"/>
    <col min="10546" max="10546" width="10.42578125" style="1251" customWidth="1"/>
    <col min="10547" max="10547" width="11.28515625" style="1251" customWidth="1"/>
    <col min="10548" max="10548" width="25" style="1251" customWidth="1"/>
    <col min="10549" max="10549" width="6" style="1251" customWidth="1"/>
    <col min="10550" max="10753" width="8.7109375" style="1251"/>
    <col min="10754" max="10754" width="3.7109375" style="1251" customWidth="1"/>
    <col min="10755" max="10755" width="2.28515625" style="1251" customWidth="1"/>
    <col min="10756" max="10757" width="3.7109375" style="1251" customWidth="1"/>
    <col min="10758" max="10758" width="2.28515625" style="1251" customWidth="1"/>
    <col min="10759" max="10760" width="3.7109375" style="1251" customWidth="1"/>
    <col min="10761" max="10761" width="2.28515625" style="1251" customWidth="1"/>
    <col min="10762" max="10763" width="3.7109375" style="1251" customWidth="1"/>
    <col min="10764" max="10764" width="2.28515625" style="1251" customWidth="1"/>
    <col min="10765" max="10766" width="3.7109375" style="1251" customWidth="1"/>
    <col min="10767" max="10767" width="2.28515625" style="1251" customWidth="1"/>
    <col min="10768" max="10769" width="3.7109375" style="1251" customWidth="1"/>
    <col min="10770" max="10770" width="2.28515625" style="1251" customWidth="1"/>
    <col min="10771" max="10772" width="3.7109375" style="1251" customWidth="1"/>
    <col min="10773" max="10773" width="2.28515625" style="1251" customWidth="1"/>
    <col min="10774" max="10775" width="3.7109375" style="1251" customWidth="1"/>
    <col min="10776" max="10776" width="2.28515625" style="1251" customWidth="1"/>
    <col min="10777" max="10778" width="3.7109375" style="1251" customWidth="1"/>
    <col min="10779" max="10779" width="2.28515625" style="1251" customWidth="1"/>
    <col min="10780" max="10781" width="3.7109375" style="1251" customWidth="1"/>
    <col min="10782" max="10782" width="2.28515625" style="1251" customWidth="1"/>
    <col min="10783" max="10783" width="3.7109375" style="1251" customWidth="1"/>
    <col min="10784" max="10784" width="9.7109375" style="1251" customWidth="1"/>
    <col min="10785" max="10794" width="3.7109375" style="1251" customWidth="1"/>
    <col min="10795" max="10795" width="11" style="1251" customWidth="1"/>
    <col min="10796" max="10798" width="8.7109375" style="1251"/>
    <col min="10799" max="10799" width="21" style="1251" customWidth="1"/>
    <col min="10800" max="10800" width="24.42578125" style="1251" customWidth="1"/>
    <col min="10801" max="10801" width="15.28515625" style="1251" customWidth="1"/>
    <col min="10802" max="10802" width="10.42578125" style="1251" customWidth="1"/>
    <col min="10803" max="10803" width="11.28515625" style="1251" customWidth="1"/>
    <col min="10804" max="10804" width="25" style="1251" customWidth="1"/>
    <col min="10805" max="10805" width="6" style="1251" customWidth="1"/>
    <col min="10806" max="11009" width="8.7109375" style="1251"/>
    <col min="11010" max="11010" width="3.7109375" style="1251" customWidth="1"/>
    <col min="11011" max="11011" width="2.28515625" style="1251" customWidth="1"/>
    <col min="11012" max="11013" width="3.7109375" style="1251" customWidth="1"/>
    <col min="11014" max="11014" width="2.28515625" style="1251" customWidth="1"/>
    <col min="11015" max="11016" width="3.7109375" style="1251" customWidth="1"/>
    <col min="11017" max="11017" width="2.28515625" style="1251" customWidth="1"/>
    <col min="11018" max="11019" width="3.7109375" style="1251" customWidth="1"/>
    <col min="11020" max="11020" width="2.28515625" style="1251" customWidth="1"/>
    <col min="11021" max="11022" width="3.7109375" style="1251" customWidth="1"/>
    <col min="11023" max="11023" width="2.28515625" style="1251" customWidth="1"/>
    <col min="11024" max="11025" width="3.7109375" style="1251" customWidth="1"/>
    <col min="11026" max="11026" width="2.28515625" style="1251" customWidth="1"/>
    <col min="11027" max="11028" width="3.7109375" style="1251" customWidth="1"/>
    <col min="11029" max="11029" width="2.28515625" style="1251" customWidth="1"/>
    <col min="11030" max="11031" width="3.7109375" style="1251" customWidth="1"/>
    <col min="11032" max="11032" width="2.28515625" style="1251" customWidth="1"/>
    <col min="11033" max="11034" width="3.7109375" style="1251" customWidth="1"/>
    <col min="11035" max="11035" width="2.28515625" style="1251" customWidth="1"/>
    <col min="11036" max="11037" width="3.7109375" style="1251" customWidth="1"/>
    <col min="11038" max="11038" width="2.28515625" style="1251" customWidth="1"/>
    <col min="11039" max="11039" width="3.7109375" style="1251" customWidth="1"/>
    <col min="11040" max="11040" width="9.7109375" style="1251" customWidth="1"/>
    <col min="11041" max="11050" width="3.7109375" style="1251" customWidth="1"/>
    <col min="11051" max="11051" width="11" style="1251" customWidth="1"/>
    <col min="11052" max="11054" width="8.7109375" style="1251"/>
    <col min="11055" max="11055" width="21" style="1251" customWidth="1"/>
    <col min="11056" max="11056" width="24.42578125" style="1251" customWidth="1"/>
    <col min="11057" max="11057" width="15.28515625" style="1251" customWidth="1"/>
    <col min="11058" max="11058" width="10.42578125" style="1251" customWidth="1"/>
    <col min="11059" max="11059" width="11.28515625" style="1251" customWidth="1"/>
    <col min="11060" max="11060" width="25" style="1251" customWidth="1"/>
    <col min="11061" max="11061" width="6" style="1251" customWidth="1"/>
    <col min="11062" max="11265" width="8.7109375" style="1251"/>
    <col min="11266" max="11266" width="3.7109375" style="1251" customWidth="1"/>
    <col min="11267" max="11267" width="2.28515625" style="1251" customWidth="1"/>
    <col min="11268" max="11269" width="3.7109375" style="1251" customWidth="1"/>
    <col min="11270" max="11270" width="2.28515625" style="1251" customWidth="1"/>
    <col min="11271" max="11272" width="3.7109375" style="1251" customWidth="1"/>
    <col min="11273" max="11273" width="2.28515625" style="1251" customWidth="1"/>
    <col min="11274" max="11275" width="3.7109375" style="1251" customWidth="1"/>
    <col min="11276" max="11276" width="2.28515625" style="1251" customWidth="1"/>
    <col min="11277" max="11278" width="3.7109375" style="1251" customWidth="1"/>
    <col min="11279" max="11279" width="2.28515625" style="1251" customWidth="1"/>
    <col min="11280" max="11281" width="3.7109375" style="1251" customWidth="1"/>
    <col min="11282" max="11282" width="2.28515625" style="1251" customWidth="1"/>
    <col min="11283" max="11284" width="3.7109375" style="1251" customWidth="1"/>
    <col min="11285" max="11285" width="2.28515625" style="1251" customWidth="1"/>
    <col min="11286" max="11287" width="3.7109375" style="1251" customWidth="1"/>
    <col min="11288" max="11288" width="2.28515625" style="1251" customWidth="1"/>
    <col min="11289" max="11290" width="3.7109375" style="1251" customWidth="1"/>
    <col min="11291" max="11291" width="2.28515625" style="1251" customWidth="1"/>
    <col min="11292" max="11293" width="3.7109375" style="1251" customWidth="1"/>
    <col min="11294" max="11294" width="2.28515625" style="1251" customWidth="1"/>
    <col min="11295" max="11295" width="3.7109375" style="1251" customWidth="1"/>
    <col min="11296" max="11296" width="9.7109375" style="1251" customWidth="1"/>
    <col min="11297" max="11306" width="3.7109375" style="1251" customWidth="1"/>
    <col min="11307" max="11307" width="11" style="1251" customWidth="1"/>
    <col min="11308" max="11310" width="8.7109375" style="1251"/>
    <col min="11311" max="11311" width="21" style="1251" customWidth="1"/>
    <col min="11312" max="11312" width="24.42578125" style="1251" customWidth="1"/>
    <col min="11313" max="11313" width="15.28515625" style="1251" customWidth="1"/>
    <col min="11314" max="11314" width="10.42578125" style="1251" customWidth="1"/>
    <col min="11315" max="11315" width="11.28515625" style="1251" customWidth="1"/>
    <col min="11316" max="11316" width="25" style="1251" customWidth="1"/>
    <col min="11317" max="11317" width="6" style="1251" customWidth="1"/>
    <col min="11318" max="11521" width="8.7109375" style="1251"/>
    <col min="11522" max="11522" width="3.7109375" style="1251" customWidth="1"/>
    <col min="11523" max="11523" width="2.28515625" style="1251" customWidth="1"/>
    <col min="11524" max="11525" width="3.7109375" style="1251" customWidth="1"/>
    <col min="11526" max="11526" width="2.28515625" style="1251" customWidth="1"/>
    <col min="11527" max="11528" width="3.7109375" style="1251" customWidth="1"/>
    <col min="11529" max="11529" width="2.28515625" style="1251" customWidth="1"/>
    <col min="11530" max="11531" width="3.7109375" style="1251" customWidth="1"/>
    <col min="11532" max="11532" width="2.28515625" style="1251" customWidth="1"/>
    <col min="11533" max="11534" width="3.7109375" style="1251" customWidth="1"/>
    <col min="11535" max="11535" width="2.28515625" style="1251" customWidth="1"/>
    <col min="11536" max="11537" width="3.7109375" style="1251" customWidth="1"/>
    <col min="11538" max="11538" width="2.28515625" style="1251" customWidth="1"/>
    <col min="11539" max="11540" width="3.7109375" style="1251" customWidth="1"/>
    <col min="11541" max="11541" width="2.28515625" style="1251" customWidth="1"/>
    <col min="11542" max="11543" width="3.7109375" style="1251" customWidth="1"/>
    <col min="11544" max="11544" width="2.28515625" style="1251" customWidth="1"/>
    <col min="11545" max="11546" width="3.7109375" style="1251" customWidth="1"/>
    <col min="11547" max="11547" width="2.28515625" style="1251" customWidth="1"/>
    <col min="11548" max="11549" width="3.7109375" style="1251" customWidth="1"/>
    <col min="11550" max="11550" width="2.28515625" style="1251" customWidth="1"/>
    <col min="11551" max="11551" width="3.7109375" style="1251" customWidth="1"/>
    <col min="11552" max="11552" width="9.7109375" style="1251" customWidth="1"/>
    <col min="11553" max="11562" width="3.7109375" style="1251" customWidth="1"/>
    <col min="11563" max="11563" width="11" style="1251" customWidth="1"/>
    <col min="11564" max="11566" width="8.7109375" style="1251"/>
    <col min="11567" max="11567" width="21" style="1251" customWidth="1"/>
    <col min="11568" max="11568" width="24.42578125" style="1251" customWidth="1"/>
    <col min="11569" max="11569" width="15.28515625" style="1251" customWidth="1"/>
    <col min="11570" max="11570" width="10.42578125" style="1251" customWidth="1"/>
    <col min="11571" max="11571" width="11.28515625" style="1251" customWidth="1"/>
    <col min="11572" max="11572" width="25" style="1251" customWidth="1"/>
    <col min="11573" max="11573" width="6" style="1251" customWidth="1"/>
    <col min="11574" max="11777" width="8.7109375" style="1251"/>
    <col min="11778" max="11778" width="3.7109375" style="1251" customWidth="1"/>
    <col min="11779" max="11779" width="2.28515625" style="1251" customWidth="1"/>
    <col min="11780" max="11781" width="3.7109375" style="1251" customWidth="1"/>
    <col min="11782" max="11782" width="2.28515625" style="1251" customWidth="1"/>
    <col min="11783" max="11784" width="3.7109375" style="1251" customWidth="1"/>
    <col min="11785" max="11785" width="2.28515625" style="1251" customWidth="1"/>
    <col min="11786" max="11787" width="3.7109375" style="1251" customWidth="1"/>
    <col min="11788" max="11788" width="2.28515625" style="1251" customWidth="1"/>
    <col min="11789" max="11790" width="3.7109375" style="1251" customWidth="1"/>
    <col min="11791" max="11791" width="2.28515625" style="1251" customWidth="1"/>
    <col min="11792" max="11793" width="3.7109375" style="1251" customWidth="1"/>
    <col min="11794" max="11794" width="2.28515625" style="1251" customWidth="1"/>
    <col min="11795" max="11796" width="3.7109375" style="1251" customWidth="1"/>
    <col min="11797" max="11797" width="2.28515625" style="1251" customWidth="1"/>
    <col min="11798" max="11799" width="3.7109375" style="1251" customWidth="1"/>
    <col min="11800" max="11800" width="2.28515625" style="1251" customWidth="1"/>
    <col min="11801" max="11802" width="3.7109375" style="1251" customWidth="1"/>
    <col min="11803" max="11803" width="2.28515625" style="1251" customWidth="1"/>
    <col min="11804" max="11805" width="3.7109375" style="1251" customWidth="1"/>
    <col min="11806" max="11806" width="2.28515625" style="1251" customWidth="1"/>
    <col min="11807" max="11807" width="3.7109375" style="1251" customWidth="1"/>
    <col min="11808" max="11808" width="9.7109375" style="1251" customWidth="1"/>
    <col min="11809" max="11818" width="3.7109375" style="1251" customWidth="1"/>
    <col min="11819" max="11819" width="11" style="1251" customWidth="1"/>
    <col min="11820" max="11822" width="8.7109375" style="1251"/>
    <col min="11823" max="11823" width="21" style="1251" customWidth="1"/>
    <col min="11824" max="11824" width="24.42578125" style="1251" customWidth="1"/>
    <col min="11825" max="11825" width="15.28515625" style="1251" customWidth="1"/>
    <col min="11826" max="11826" width="10.42578125" style="1251" customWidth="1"/>
    <col min="11827" max="11827" width="11.28515625" style="1251" customWidth="1"/>
    <col min="11828" max="11828" width="25" style="1251" customWidth="1"/>
    <col min="11829" max="11829" width="6" style="1251" customWidth="1"/>
    <col min="11830" max="12033" width="8.7109375" style="1251"/>
    <col min="12034" max="12034" width="3.7109375" style="1251" customWidth="1"/>
    <col min="12035" max="12035" width="2.28515625" style="1251" customWidth="1"/>
    <col min="12036" max="12037" width="3.7109375" style="1251" customWidth="1"/>
    <col min="12038" max="12038" width="2.28515625" style="1251" customWidth="1"/>
    <col min="12039" max="12040" width="3.7109375" style="1251" customWidth="1"/>
    <col min="12041" max="12041" width="2.28515625" style="1251" customWidth="1"/>
    <col min="12042" max="12043" width="3.7109375" style="1251" customWidth="1"/>
    <col min="12044" max="12044" width="2.28515625" style="1251" customWidth="1"/>
    <col min="12045" max="12046" width="3.7109375" style="1251" customWidth="1"/>
    <col min="12047" max="12047" width="2.28515625" style="1251" customWidth="1"/>
    <col min="12048" max="12049" width="3.7109375" style="1251" customWidth="1"/>
    <col min="12050" max="12050" width="2.28515625" style="1251" customWidth="1"/>
    <col min="12051" max="12052" width="3.7109375" style="1251" customWidth="1"/>
    <col min="12053" max="12053" width="2.28515625" style="1251" customWidth="1"/>
    <col min="12054" max="12055" width="3.7109375" style="1251" customWidth="1"/>
    <col min="12056" max="12056" width="2.28515625" style="1251" customWidth="1"/>
    <col min="12057" max="12058" width="3.7109375" style="1251" customWidth="1"/>
    <col min="12059" max="12059" width="2.28515625" style="1251" customWidth="1"/>
    <col min="12060" max="12061" width="3.7109375" style="1251" customWidth="1"/>
    <col min="12062" max="12062" width="2.28515625" style="1251" customWidth="1"/>
    <col min="12063" max="12063" width="3.7109375" style="1251" customWidth="1"/>
    <col min="12064" max="12064" width="9.7109375" style="1251" customWidth="1"/>
    <col min="12065" max="12074" width="3.7109375" style="1251" customWidth="1"/>
    <col min="12075" max="12075" width="11" style="1251" customWidth="1"/>
    <col min="12076" max="12078" width="8.7109375" style="1251"/>
    <col min="12079" max="12079" width="21" style="1251" customWidth="1"/>
    <col min="12080" max="12080" width="24.42578125" style="1251" customWidth="1"/>
    <col min="12081" max="12081" width="15.28515625" style="1251" customWidth="1"/>
    <col min="12082" max="12082" width="10.42578125" style="1251" customWidth="1"/>
    <col min="12083" max="12083" width="11.28515625" style="1251" customWidth="1"/>
    <col min="12084" max="12084" width="25" style="1251" customWidth="1"/>
    <col min="12085" max="12085" width="6" style="1251" customWidth="1"/>
    <col min="12086" max="12289" width="8.7109375" style="1251"/>
    <col min="12290" max="12290" width="3.7109375" style="1251" customWidth="1"/>
    <col min="12291" max="12291" width="2.28515625" style="1251" customWidth="1"/>
    <col min="12292" max="12293" width="3.7109375" style="1251" customWidth="1"/>
    <col min="12294" max="12294" width="2.28515625" style="1251" customWidth="1"/>
    <col min="12295" max="12296" width="3.7109375" style="1251" customWidth="1"/>
    <col min="12297" max="12297" width="2.28515625" style="1251" customWidth="1"/>
    <col min="12298" max="12299" width="3.7109375" style="1251" customWidth="1"/>
    <col min="12300" max="12300" width="2.28515625" style="1251" customWidth="1"/>
    <col min="12301" max="12302" width="3.7109375" style="1251" customWidth="1"/>
    <col min="12303" max="12303" width="2.28515625" style="1251" customWidth="1"/>
    <col min="12304" max="12305" width="3.7109375" style="1251" customWidth="1"/>
    <col min="12306" max="12306" width="2.28515625" style="1251" customWidth="1"/>
    <col min="12307" max="12308" width="3.7109375" style="1251" customWidth="1"/>
    <col min="12309" max="12309" width="2.28515625" style="1251" customWidth="1"/>
    <col min="12310" max="12311" width="3.7109375" style="1251" customWidth="1"/>
    <col min="12312" max="12312" width="2.28515625" style="1251" customWidth="1"/>
    <col min="12313" max="12314" width="3.7109375" style="1251" customWidth="1"/>
    <col min="12315" max="12315" width="2.28515625" style="1251" customWidth="1"/>
    <col min="12316" max="12317" width="3.7109375" style="1251" customWidth="1"/>
    <col min="12318" max="12318" width="2.28515625" style="1251" customWidth="1"/>
    <col min="12319" max="12319" width="3.7109375" style="1251" customWidth="1"/>
    <col min="12320" max="12320" width="9.7109375" style="1251" customWidth="1"/>
    <col min="12321" max="12330" width="3.7109375" style="1251" customWidth="1"/>
    <col min="12331" max="12331" width="11" style="1251" customWidth="1"/>
    <col min="12332" max="12334" width="8.7109375" style="1251"/>
    <col min="12335" max="12335" width="21" style="1251" customWidth="1"/>
    <col min="12336" max="12336" width="24.42578125" style="1251" customWidth="1"/>
    <col min="12337" max="12337" width="15.28515625" style="1251" customWidth="1"/>
    <col min="12338" max="12338" width="10.42578125" style="1251" customWidth="1"/>
    <col min="12339" max="12339" width="11.28515625" style="1251" customWidth="1"/>
    <col min="12340" max="12340" width="25" style="1251" customWidth="1"/>
    <col min="12341" max="12341" width="6" style="1251" customWidth="1"/>
    <col min="12342" max="12545" width="8.7109375" style="1251"/>
    <col min="12546" max="12546" width="3.7109375" style="1251" customWidth="1"/>
    <col min="12547" max="12547" width="2.28515625" style="1251" customWidth="1"/>
    <col min="12548" max="12549" width="3.7109375" style="1251" customWidth="1"/>
    <col min="12550" max="12550" width="2.28515625" style="1251" customWidth="1"/>
    <col min="12551" max="12552" width="3.7109375" style="1251" customWidth="1"/>
    <col min="12553" max="12553" width="2.28515625" style="1251" customWidth="1"/>
    <col min="12554" max="12555" width="3.7109375" style="1251" customWidth="1"/>
    <col min="12556" max="12556" width="2.28515625" style="1251" customWidth="1"/>
    <col min="12557" max="12558" width="3.7109375" style="1251" customWidth="1"/>
    <col min="12559" max="12559" width="2.28515625" style="1251" customWidth="1"/>
    <col min="12560" max="12561" width="3.7109375" style="1251" customWidth="1"/>
    <col min="12562" max="12562" width="2.28515625" style="1251" customWidth="1"/>
    <col min="12563" max="12564" width="3.7109375" style="1251" customWidth="1"/>
    <col min="12565" max="12565" width="2.28515625" style="1251" customWidth="1"/>
    <col min="12566" max="12567" width="3.7109375" style="1251" customWidth="1"/>
    <col min="12568" max="12568" width="2.28515625" style="1251" customWidth="1"/>
    <col min="12569" max="12570" width="3.7109375" style="1251" customWidth="1"/>
    <col min="12571" max="12571" width="2.28515625" style="1251" customWidth="1"/>
    <col min="12572" max="12573" width="3.7109375" style="1251" customWidth="1"/>
    <col min="12574" max="12574" width="2.28515625" style="1251" customWidth="1"/>
    <col min="12575" max="12575" width="3.7109375" style="1251" customWidth="1"/>
    <col min="12576" max="12576" width="9.7109375" style="1251" customWidth="1"/>
    <col min="12577" max="12586" width="3.7109375" style="1251" customWidth="1"/>
    <col min="12587" max="12587" width="11" style="1251" customWidth="1"/>
    <col min="12588" max="12590" width="8.7109375" style="1251"/>
    <col min="12591" max="12591" width="21" style="1251" customWidth="1"/>
    <col min="12592" max="12592" width="24.42578125" style="1251" customWidth="1"/>
    <col min="12593" max="12593" width="15.28515625" style="1251" customWidth="1"/>
    <col min="12594" max="12594" width="10.42578125" style="1251" customWidth="1"/>
    <col min="12595" max="12595" width="11.28515625" style="1251" customWidth="1"/>
    <col min="12596" max="12596" width="25" style="1251" customWidth="1"/>
    <col min="12597" max="12597" width="6" style="1251" customWidth="1"/>
    <col min="12598" max="12801" width="8.7109375" style="1251"/>
    <col min="12802" max="12802" width="3.7109375" style="1251" customWidth="1"/>
    <col min="12803" max="12803" width="2.28515625" style="1251" customWidth="1"/>
    <col min="12804" max="12805" width="3.7109375" style="1251" customWidth="1"/>
    <col min="12806" max="12806" width="2.28515625" style="1251" customWidth="1"/>
    <col min="12807" max="12808" width="3.7109375" style="1251" customWidth="1"/>
    <col min="12809" max="12809" width="2.28515625" style="1251" customWidth="1"/>
    <col min="12810" max="12811" width="3.7109375" style="1251" customWidth="1"/>
    <col min="12812" max="12812" width="2.28515625" style="1251" customWidth="1"/>
    <col min="12813" max="12814" width="3.7109375" style="1251" customWidth="1"/>
    <col min="12815" max="12815" width="2.28515625" style="1251" customWidth="1"/>
    <col min="12816" max="12817" width="3.7109375" style="1251" customWidth="1"/>
    <col min="12818" max="12818" width="2.28515625" style="1251" customWidth="1"/>
    <col min="12819" max="12820" width="3.7109375" style="1251" customWidth="1"/>
    <col min="12821" max="12821" width="2.28515625" style="1251" customWidth="1"/>
    <col min="12822" max="12823" width="3.7109375" style="1251" customWidth="1"/>
    <col min="12824" max="12824" width="2.28515625" style="1251" customWidth="1"/>
    <col min="12825" max="12826" width="3.7109375" style="1251" customWidth="1"/>
    <col min="12827" max="12827" width="2.28515625" style="1251" customWidth="1"/>
    <col min="12828" max="12829" width="3.7109375" style="1251" customWidth="1"/>
    <col min="12830" max="12830" width="2.28515625" style="1251" customWidth="1"/>
    <col min="12831" max="12831" width="3.7109375" style="1251" customWidth="1"/>
    <col min="12832" max="12832" width="9.7109375" style="1251" customWidth="1"/>
    <col min="12833" max="12842" width="3.7109375" style="1251" customWidth="1"/>
    <col min="12843" max="12843" width="11" style="1251" customWidth="1"/>
    <col min="12844" max="12846" width="8.7109375" style="1251"/>
    <col min="12847" max="12847" width="21" style="1251" customWidth="1"/>
    <col min="12848" max="12848" width="24.42578125" style="1251" customWidth="1"/>
    <col min="12849" max="12849" width="15.28515625" style="1251" customWidth="1"/>
    <col min="12850" max="12850" width="10.42578125" style="1251" customWidth="1"/>
    <col min="12851" max="12851" width="11.28515625" style="1251" customWidth="1"/>
    <col min="12852" max="12852" width="25" style="1251" customWidth="1"/>
    <col min="12853" max="12853" width="6" style="1251" customWidth="1"/>
    <col min="12854" max="13057" width="8.7109375" style="1251"/>
    <col min="13058" max="13058" width="3.7109375" style="1251" customWidth="1"/>
    <col min="13059" max="13059" width="2.28515625" style="1251" customWidth="1"/>
    <col min="13060" max="13061" width="3.7109375" style="1251" customWidth="1"/>
    <col min="13062" max="13062" width="2.28515625" style="1251" customWidth="1"/>
    <col min="13063" max="13064" width="3.7109375" style="1251" customWidth="1"/>
    <col min="13065" max="13065" width="2.28515625" style="1251" customWidth="1"/>
    <col min="13066" max="13067" width="3.7109375" style="1251" customWidth="1"/>
    <col min="13068" max="13068" width="2.28515625" style="1251" customWidth="1"/>
    <col min="13069" max="13070" width="3.7109375" style="1251" customWidth="1"/>
    <col min="13071" max="13071" width="2.28515625" style="1251" customWidth="1"/>
    <col min="13072" max="13073" width="3.7109375" style="1251" customWidth="1"/>
    <col min="13074" max="13074" width="2.28515625" style="1251" customWidth="1"/>
    <col min="13075" max="13076" width="3.7109375" style="1251" customWidth="1"/>
    <col min="13077" max="13077" width="2.28515625" style="1251" customWidth="1"/>
    <col min="13078" max="13079" width="3.7109375" style="1251" customWidth="1"/>
    <col min="13080" max="13080" width="2.28515625" style="1251" customWidth="1"/>
    <col min="13081" max="13082" width="3.7109375" style="1251" customWidth="1"/>
    <col min="13083" max="13083" width="2.28515625" style="1251" customWidth="1"/>
    <col min="13084" max="13085" width="3.7109375" style="1251" customWidth="1"/>
    <col min="13086" max="13086" width="2.28515625" style="1251" customWidth="1"/>
    <col min="13087" max="13087" width="3.7109375" style="1251" customWidth="1"/>
    <col min="13088" max="13088" width="9.7109375" style="1251" customWidth="1"/>
    <col min="13089" max="13098" width="3.7109375" style="1251" customWidth="1"/>
    <col min="13099" max="13099" width="11" style="1251" customWidth="1"/>
    <col min="13100" max="13102" width="8.7109375" style="1251"/>
    <col min="13103" max="13103" width="21" style="1251" customWidth="1"/>
    <col min="13104" max="13104" width="24.42578125" style="1251" customWidth="1"/>
    <col min="13105" max="13105" width="15.28515625" style="1251" customWidth="1"/>
    <col min="13106" max="13106" width="10.42578125" style="1251" customWidth="1"/>
    <col min="13107" max="13107" width="11.28515625" style="1251" customWidth="1"/>
    <col min="13108" max="13108" width="25" style="1251" customWidth="1"/>
    <col min="13109" max="13109" width="6" style="1251" customWidth="1"/>
    <col min="13110" max="13313" width="8.7109375" style="1251"/>
    <col min="13314" max="13314" width="3.7109375" style="1251" customWidth="1"/>
    <col min="13315" max="13315" width="2.28515625" style="1251" customWidth="1"/>
    <col min="13316" max="13317" width="3.7109375" style="1251" customWidth="1"/>
    <col min="13318" max="13318" width="2.28515625" style="1251" customWidth="1"/>
    <col min="13319" max="13320" width="3.7109375" style="1251" customWidth="1"/>
    <col min="13321" max="13321" width="2.28515625" style="1251" customWidth="1"/>
    <col min="13322" max="13323" width="3.7109375" style="1251" customWidth="1"/>
    <col min="13324" max="13324" width="2.28515625" style="1251" customWidth="1"/>
    <col min="13325" max="13326" width="3.7109375" style="1251" customWidth="1"/>
    <col min="13327" max="13327" width="2.28515625" style="1251" customWidth="1"/>
    <col min="13328" max="13329" width="3.7109375" style="1251" customWidth="1"/>
    <col min="13330" max="13330" width="2.28515625" style="1251" customWidth="1"/>
    <col min="13331" max="13332" width="3.7109375" style="1251" customWidth="1"/>
    <col min="13333" max="13333" width="2.28515625" style="1251" customWidth="1"/>
    <col min="13334" max="13335" width="3.7109375" style="1251" customWidth="1"/>
    <col min="13336" max="13336" width="2.28515625" style="1251" customWidth="1"/>
    <col min="13337" max="13338" width="3.7109375" style="1251" customWidth="1"/>
    <col min="13339" max="13339" width="2.28515625" style="1251" customWidth="1"/>
    <col min="13340" max="13341" width="3.7109375" style="1251" customWidth="1"/>
    <col min="13342" max="13342" width="2.28515625" style="1251" customWidth="1"/>
    <col min="13343" max="13343" width="3.7109375" style="1251" customWidth="1"/>
    <col min="13344" max="13344" width="9.7109375" style="1251" customWidth="1"/>
    <col min="13345" max="13354" width="3.7109375" style="1251" customWidth="1"/>
    <col min="13355" max="13355" width="11" style="1251" customWidth="1"/>
    <col min="13356" max="13358" width="8.7109375" style="1251"/>
    <col min="13359" max="13359" width="21" style="1251" customWidth="1"/>
    <col min="13360" max="13360" width="24.42578125" style="1251" customWidth="1"/>
    <col min="13361" max="13361" width="15.28515625" style="1251" customWidth="1"/>
    <col min="13362" max="13362" width="10.42578125" style="1251" customWidth="1"/>
    <col min="13363" max="13363" width="11.28515625" style="1251" customWidth="1"/>
    <col min="13364" max="13364" width="25" style="1251" customWidth="1"/>
    <col min="13365" max="13365" width="6" style="1251" customWidth="1"/>
    <col min="13366" max="13569" width="8.7109375" style="1251"/>
    <col min="13570" max="13570" width="3.7109375" style="1251" customWidth="1"/>
    <col min="13571" max="13571" width="2.28515625" style="1251" customWidth="1"/>
    <col min="13572" max="13573" width="3.7109375" style="1251" customWidth="1"/>
    <col min="13574" max="13574" width="2.28515625" style="1251" customWidth="1"/>
    <col min="13575" max="13576" width="3.7109375" style="1251" customWidth="1"/>
    <col min="13577" max="13577" width="2.28515625" style="1251" customWidth="1"/>
    <col min="13578" max="13579" width="3.7109375" style="1251" customWidth="1"/>
    <col min="13580" max="13580" width="2.28515625" style="1251" customWidth="1"/>
    <col min="13581" max="13582" width="3.7109375" style="1251" customWidth="1"/>
    <col min="13583" max="13583" width="2.28515625" style="1251" customWidth="1"/>
    <col min="13584" max="13585" width="3.7109375" style="1251" customWidth="1"/>
    <col min="13586" max="13586" width="2.28515625" style="1251" customWidth="1"/>
    <col min="13587" max="13588" width="3.7109375" style="1251" customWidth="1"/>
    <col min="13589" max="13589" width="2.28515625" style="1251" customWidth="1"/>
    <col min="13590" max="13591" width="3.7109375" style="1251" customWidth="1"/>
    <col min="13592" max="13592" width="2.28515625" style="1251" customWidth="1"/>
    <col min="13593" max="13594" width="3.7109375" style="1251" customWidth="1"/>
    <col min="13595" max="13595" width="2.28515625" style="1251" customWidth="1"/>
    <col min="13596" max="13597" width="3.7109375" style="1251" customWidth="1"/>
    <col min="13598" max="13598" width="2.28515625" style="1251" customWidth="1"/>
    <col min="13599" max="13599" width="3.7109375" style="1251" customWidth="1"/>
    <col min="13600" max="13600" width="9.7109375" style="1251" customWidth="1"/>
    <col min="13601" max="13610" width="3.7109375" style="1251" customWidth="1"/>
    <col min="13611" max="13611" width="11" style="1251" customWidth="1"/>
    <col min="13612" max="13614" width="8.7109375" style="1251"/>
    <col min="13615" max="13615" width="21" style="1251" customWidth="1"/>
    <col min="13616" max="13616" width="24.42578125" style="1251" customWidth="1"/>
    <col min="13617" max="13617" width="15.28515625" style="1251" customWidth="1"/>
    <col min="13618" max="13618" width="10.42578125" style="1251" customWidth="1"/>
    <col min="13619" max="13619" width="11.28515625" style="1251" customWidth="1"/>
    <col min="13620" max="13620" width="25" style="1251" customWidth="1"/>
    <col min="13621" max="13621" width="6" style="1251" customWidth="1"/>
    <col min="13622" max="13825" width="8.7109375" style="1251"/>
    <col min="13826" max="13826" width="3.7109375" style="1251" customWidth="1"/>
    <col min="13827" max="13827" width="2.28515625" style="1251" customWidth="1"/>
    <col min="13828" max="13829" width="3.7109375" style="1251" customWidth="1"/>
    <col min="13830" max="13830" width="2.28515625" style="1251" customWidth="1"/>
    <col min="13831" max="13832" width="3.7109375" style="1251" customWidth="1"/>
    <col min="13833" max="13833" width="2.28515625" style="1251" customWidth="1"/>
    <col min="13834" max="13835" width="3.7109375" style="1251" customWidth="1"/>
    <col min="13836" max="13836" width="2.28515625" style="1251" customWidth="1"/>
    <col min="13837" max="13838" width="3.7109375" style="1251" customWidth="1"/>
    <col min="13839" max="13839" width="2.28515625" style="1251" customWidth="1"/>
    <col min="13840" max="13841" width="3.7109375" style="1251" customWidth="1"/>
    <col min="13842" max="13842" width="2.28515625" style="1251" customWidth="1"/>
    <col min="13843" max="13844" width="3.7109375" style="1251" customWidth="1"/>
    <col min="13845" max="13845" width="2.28515625" style="1251" customWidth="1"/>
    <col min="13846" max="13847" width="3.7109375" style="1251" customWidth="1"/>
    <col min="13848" max="13848" width="2.28515625" style="1251" customWidth="1"/>
    <col min="13849" max="13850" width="3.7109375" style="1251" customWidth="1"/>
    <col min="13851" max="13851" width="2.28515625" style="1251" customWidth="1"/>
    <col min="13852" max="13853" width="3.7109375" style="1251" customWidth="1"/>
    <col min="13854" max="13854" width="2.28515625" style="1251" customWidth="1"/>
    <col min="13855" max="13855" width="3.7109375" style="1251" customWidth="1"/>
    <col min="13856" max="13856" width="9.7109375" style="1251" customWidth="1"/>
    <col min="13857" max="13866" width="3.7109375" style="1251" customWidth="1"/>
    <col min="13867" max="13867" width="11" style="1251" customWidth="1"/>
    <col min="13868" max="13870" width="8.7109375" style="1251"/>
    <col min="13871" max="13871" width="21" style="1251" customWidth="1"/>
    <col min="13872" max="13872" width="24.42578125" style="1251" customWidth="1"/>
    <col min="13873" max="13873" width="15.28515625" style="1251" customWidth="1"/>
    <col min="13874" max="13874" width="10.42578125" style="1251" customWidth="1"/>
    <col min="13875" max="13875" width="11.28515625" style="1251" customWidth="1"/>
    <col min="13876" max="13876" width="25" style="1251" customWidth="1"/>
    <col min="13877" max="13877" width="6" style="1251" customWidth="1"/>
    <col min="13878" max="14081" width="8.7109375" style="1251"/>
    <col min="14082" max="14082" width="3.7109375" style="1251" customWidth="1"/>
    <col min="14083" max="14083" width="2.28515625" style="1251" customWidth="1"/>
    <col min="14084" max="14085" width="3.7109375" style="1251" customWidth="1"/>
    <col min="14086" max="14086" width="2.28515625" style="1251" customWidth="1"/>
    <col min="14087" max="14088" width="3.7109375" style="1251" customWidth="1"/>
    <col min="14089" max="14089" width="2.28515625" style="1251" customWidth="1"/>
    <col min="14090" max="14091" width="3.7109375" style="1251" customWidth="1"/>
    <col min="14092" max="14092" width="2.28515625" style="1251" customWidth="1"/>
    <col min="14093" max="14094" width="3.7109375" style="1251" customWidth="1"/>
    <col min="14095" max="14095" width="2.28515625" style="1251" customWidth="1"/>
    <col min="14096" max="14097" width="3.7109375" style="1251" customWidth="1"/>
    <col min="14098" max="14098" width="2.28515625" style="1251" customWidth="1"/>
    <col min="14099" max="14100" width="3.7109375" style="1251" customWidth="1"/>
    <col min="14101" max="14101" width="2.28515625" style="1251" customWidth="1"/>
    <col min="14102" max="14103" width="3.7109375" style="1251" customWidth="1"/>
    <col min="14104" max="14104" width="2.28515625" style="1251" customWidth="1"/>
    <col min="14105" max="14106" width="3.7109375" style="1251" customWidth="1"/>
    <col min="14107" max="14107" width="2.28515625" style="1251" customWidth="1"/>
    <col min="14108" max="14109" width="3.7109375" style="1251" customWidth="1"/>
    <col min="14110" max="14110" width="2.28515625" style="1251" customWidth="1"/>
    <col min="14111" max="14111" width="3.7109375" style="1251" customWidth="1"/>
    <col min="14112" max="14112" width="9.7109375" style="1251" customWidth="1"/>
    <col min="14113" max="14122" width="3.7109375" style="1251" customWidth="1"/>
    <col min="14123" max="14123" width="11" style="1251" customWidth="1"/>
    <col min="14124" max="14126" width="8.7109375" style="1251"/>
    <col min="14127" max="14127" width="21" style="1251" customWidth="1"/>
    <col min="14128" max="14128" width="24.42578125" style="1251" customWidth="1"/>
    <col min="14129" max="14129" width="15.28515625" style="1251" customWidth="1"/>
    <col min="14130" max="14130" width="10.42578125" style="1251" customWidth="1"/>
    <col min="14131" max="14131" width="11.28515625" style="1251" customWidth="1"/>
    <col min="14132" max="14132" width="25" style="1251" customWidth="1"/>
    <col min="14133" max="14133" width="6" style="1251" customWidth="1"/>
    <col min="14134" max="14337" width="8.7109375" style="1251"/>
    <col min="14338" max="14338" width="3.7109375" style="1251" customWidth="1"/>
    <col min="14339" max="14339" width="2.28515625" style="1251" customWidth="1"/>
    <col min="14340" max="14341" width="3.7109375" style="1251" customWidth="1"/>
    <col min="14342" max="14342" width="2.28515625" style="1251" customWidth="1"/>
    <col min="14343" max="14344" width="3.7109375" style="1251" customWidth="1"/>
    <col min="14345" max="14345" width="2.28515625" style="1251" customWidth="1"/>
    <col min="14346" max="14347" width="3.7109375" style="1251" customWidth="1"/>
    <col min="14348" max="14348" width="2.28515625" style="1251" customWidth="1"/>
    <col min="14349" max="14350" width="3.7109375" style="1251" customWidth="1"/>
    <col min="14351" max="14351" width="2.28515625" style="1251" customWidth="1"/>
    <col min="14352" max="14353" width="3.7109375" style="1251" customWidth="1"/>
    <col min="14354" max="14354" width="2.28515625" style="1251" customWidth="1"/>
    <col min="14355" max="14356" width="3.7109375" style="1251" customWidth="1"/>
    <col min="14357" max="14357" width="2.28515625" style="1251" customWidth="1"/>
    <col min="14358" max="14359" width="3.7109375" style="1251" customWidth="1"/>
    <col min="14360" max="14360" width="2.28515625" style="1251" customWidth="1"/>
    <col min="14361" max="14362" width="3.7109375" style="1251" customWidth="1"/>
    <col min="14363" max="14363" width="2.28515625" style="1251" customWidth="1"/>
    <col min="14364" max="14365" width="3.7109375" style="1251" customWidth="1"/>
    <col min="14366" max="14366" width="2.28515625" style="1251" customWidth="1"/>
    <col min="14367" max="14367" width="3.7109375" style="1251" customWidth="1"/>
    <col min="14368" max="14368" width="9.7109375" style="1251" customWidth="1"/>
    <col min="14369" max="14378" width="3.7109375" style="1251" customWidth="1"/>
    <col min="14379" max="14379" width="11" style="1251" customWidth="1"/>
    <col min="14380" max="14382" width="8.7109375" style="1251"/>
    <col min="14383" max="14383" width="21" style="1251" customWidth="1"/>
    <col min="14384" max="14384" width="24.42578125" style="1251" customWidth="1"/>
    <col min="14385" max="14385" width="15.28515625" style="1251" customWidth="1"/>
    <col min="14386" max="14386" width="10.42578125" style="1251" customWidth="1"/>
    <col min="14387" max="14387" width="11.28515625" style="1251" customWidth="1"/>
    <col min="14388" max="14388" width="25" style="1251" customWidth="1"/>
    <col min="14389" max="14389" width="6" style="1251" customWidth="1"/>
    <col min="14390" max="14593" width="8.7109375" style="1251"/>
    <col min="14594" max="14594" width="3.7109375" style="1251" customWidth="1"/>
    <col min="14595" max="14595" width="2.28515625" style="1251" customWidth="1"/>
    <col min="14596" max="14597" width="3.7109375" style="1251" customWidth="1"/>
    <col min="14598" max="14598" width="2.28515625" style="1251" customWidth="1"/>
    <col min="14599" max="14600" width="3.7109375" style="1251" customWidth="1"/>
    <col min="14601" max="14601" width="2.28515625" style="1251" customWidth="1"/>
    <col min="14602" max="14603" width="3.7109375" style="1251" customWidth="1"/>
    <col min="14604" max="14604" width="2.28515625" style="1251" customWidth="1"/>
    <col min="14605" max="14606" width="3.7109375" style="1251" customWidth="1"/>
    <col min="14607" max="14607" width="2.28515625" style="1251" customWidth="1"/>
    <col min="14608" max="14609" width="3.7109375" style="1251" customWidth="1"/>
    <col min="14610" max="14610" width="2.28515625" style="1251" customWidth="1"/>
    <col min="14611" max="14612" width="3.7109375" style="1251" customWidth="1"/>
    <col min="14613" max="14613" width="2.28515625" style="1251" customWidth="1"/>
    <col min="14614" max="14615" width="3.7109375" style="1251" customWidth="1"/>
    <col min="14616" max="14616" width="2.28515625" style="1251" customWidth="1"/>
    <col min="14617" max="14618" width="3.7109375" style="1251" customWidth="1"/>
    <col min="14619" max="14619" width="2.28515625" style="1251" customWidth="1"/>
    <col min="14620" max="14621" width="3.7109375" style="1251" customWidth="1"/>
    <col min="14622" max="14622" width="2.28515625" style="1251" customWidth="1"/>
    <col min="14623" max="14623" width="3.7109375" style="1251" customWidth="1"/>
    <col min="14624" max="14624" width="9.7109375" style="1251" customWidth="1"/>
    <col min="14625" max="14634" width="3.7109375" style="1251" customWidth="1"/>
    <col min="14635" max="14635" width="11" style="1251" customWidth="1"/>
    <col min="14636" max="14638" width="8.7109375" style="1251"/>
    <col min="14639" max="14639" width="21" style="1251" customWidth="1"/>
    <col min="14640" max="14640" width="24.42578125" style="1251" customWidth="1"/>
    <col min="14641" max="14641" width="15.28515625" style="1251" customWidth="1"/>
    <col min="14642" max="14642" width="10.42578125" style="1251" customWidth="1"/>
    <col min="14643" max="14643" width="11.28515625" style="1251" customWidth="1"/>
    <col min="14644" max="14644" width="25" style="1251" customWidth="1"/>
    <col min="14645" max="14645" width="6" style="1251" customWidth="1"/>
    <col min="14646" max="14849" width="8.7109375" style="1251"/>
    <col min="14850" max="14850" width="3.7109375" style="1251" customWidth="1"/>
    <col min="14851" max="14851" width="2.28515625" style="1251" customWidth="1"/>
    <col min="14852" max="14853" width="3.7109375" style="1251" customWidth="1"/>
    <col min="14854" max="14854" width="2.28515625" style="1251" customWidth="1"/>
    <col min="14855" max="14856" width="3.7109375" style="1251" customWidth="1"/>
    <col min="14857" max="14857" width="2.28515625" style="1251" customWidth="1"/>
    <col min="14858" max="14859" width="3.7109375" style="1251" customWidth="1"/>
    <col min="14860" max="14860" width="2.28515625" style="1251" customWidth="1"/>
    <col min="14861" max="14862" width="3.7109375" style="1251" customWidth="1"/>
    <col min="14863" max="14863" width="2.28515625" style="1251" customWidth="1"/>
    <col min="14864" max="14865" width="3.7109375" style="1251" customWidth="1"/>
    <col min="14866" max="14866" width="2.28515625" style="1251" customWidth="1"/>
    <col min="14867" max="14868" width="3.7109375" style="1251" customWidth="1"/>
    <col min="14869" max="14869" width="2.28515625" style="1251" customWidth="1"/>
    <col min="14870" max="14871" width="3.7109375" style="1251" customWidth="1"/>
    <col min="14872" max="14872" width="2.28515625" style="1251" customWidth="1"/>
    <col min="14873" max="14874" width="3.7109375" style="1251" customWidth="1"/>
    <col min="14875" max="14875" width="2.28515625" style="1251" customWidth="1"/>
    <col min="14876" max="14877" width="3.7109375" style="1251" customWidth="1"/>
    <col min="14878" max="14878" width="2.28515625" style="1251" customWidth="1"/>
    <col min="14879" max="14879" width="3.7109375" style="1251" customWidth="1"/>
    <col min="14880" max="14880" width="9.7109375" style="1251" customWidth="1"/>
    <col min="14881" max="14890" width="3.7109375" style="1251" customWidth="1"/>
    <col min="14891" max="14891" width="11" style="1251" customWidth="1"/>
    <col min="14892" max="14894" width="8.7109375" style="1251"/>
    <col min="14895" max="14895" width="21" style="1251" customWidth="1"/>
    <col min="14896" max="14896" width="24.42578125" style="1251" customWidth="1"/>
    <col min="14897" max="14897" width="15.28515625" style="1251" customWidth="1"/>
    <col min="14898" max="14898" width="10.42578125" style="1251" customWidth="1"/>
    <col min="14899" max="14899" width="11.28515625" style="1251" customWidth="1"/>
    <col min="14900" max="14900" width="25" style="1251" customWidth="1"/>
    <col min="14901" max="14901" width="6" style="1251" customWidth="1"/>
    <col min="14902" max="15105" width="8.7109375" style="1251"/>
    <col min="15106" max="15106" width="3.7109375" style="1251" customWidth="1"/>
    <col min="15107" max="15107" width="2.28515625" style="1251" customWidth="1"/>
    <col min="15108" max="15109" width="3.7109375" style="1251" customWidth="1"/>
    <col min="15110" max="15110" width="2.28515625" style="1251" customWidth="1"/>
    <col min="15111" max="15112" width="3.7109375" style="1251" customWidth="1"/>
    <col min="15113" max="15113" width="2.28515625" style="1251" customWidth="1"/>
    <col min="15114" max="15115" width="3.7109375" style="1251" customWidth="1"/>
    <col min="15116" max="15116" width="2.28515625" style="1251" customWidth="1"/>
    <col min="15117" max="15118" width="3.7109375" style="1251" customWidth="1"/>
    <col min="15119" max="15119" width="2.28515625" style="1251" customWidth="1"/>
    <col min="15120" max="15121" width="3.7109375" style="1251" customWidth="1"/>
    <col min="15122" max="15122" width="2.28515625" style="1251" customWidth="1"/>
    <col min="15123" max="15124" width="3.7109375" style="1251" customWidth="1"/>
    <col min="15125" max="15125" width="2.28515625" style="1251" customWidth="1"/>
    <col min="15126" max="15127" width="3.7109375" style="1251" customWidth="1"/>
    <col min="15128" max="15128" width="2.28515625" style="1251" customWidth="1"/>
    <col min="15129" max="15130" width="3.7109375" style="1251" customWidth="1"/>
    <col min="15131" max="15131" width="2.28515625" style="1251" customWidth="1"/>
    <col min="15132" max="15133" width="3.7109375" style="1251" customWidth="1"/>
    <col min="15134" max="15134" width="2.28515625" style="1251" customWidth="1"/>
    <col min="15135" max="15135" width="3.7109375" style="1251" customWidth="1"/>
    <col min="15136" max="15136" width="9.7109375" style="1251" customWidth="1"/>
    <col min="15137" max="15146" width="3.7109375" style="1251" customWidth="1"/>
    <col min="15147" max="15147" width="11" style="1251" customWidth="1"/>
    <col min="15148" max="15150" width="8.7109375" style="1251"/>
    <col min="15151" max="15151" width="21" style="1251" customWidth="1"/>
    <col min="15152" max="15152" width="24.42578125" style="1251" customWidth="1"/>
    <col min="15153" max="15153" width="15.28515625" style="1251" customWidth="1"/>
    <col min="15154" max="15154" width="10.42578125" style="1251" customWidth="1"/>
    <col min="15155" max="15155" width="11.28515625" style="1251" customWidth="1"/>
    <col min="15156" max="15156" width="25" style="1251" customWidth="1"/>
    <col min="15157" max="15157" width="6" style="1251" customWidth="1"/>
    <col min="15158" max="15361" width="8.7109375" style="1251"/>
    <col min="15362" max="15362" width="3.7109375" style="1251" customWidth="1"/>
    <col min="15363" max="15363" width="2.28515625" style="1251" customWidth="1"/>
    <col min="15364" max="15365" width="3.7109375" style="1251" customWidth="1"/>
    <col min="15366" max="15366" width="2.28515625" style="1251" customWidth="1"/>
    <col min="15367" max="15368" width="3.7109375" style="1251" customWidth="1"/>
    <col min="15369" max="15369" width="2.28515625" style="1251" customWidth="1"/>
    <col min="15370" max="15371" width="3.7109375" style="1251" customWidth="1"/>
    <col min="15372" max="15372" width="2.28515625" style="1251" customWidth="1"/>
    <col min="15373" max="15374" width="3.7109375" style="1251" customWidth="1"/>
    <col min="15375" max="15375" width="2.28515625" style="1251" customWidth="1"/>
    <col min="15376" max="15377" width="3.7109375" style="1251" customWidth="1"/>
    <col min="15378" max="15378" width="2.28515625" style="1251" customWidth="1"/>
    <col min="15379" max="15380" width="3.7109375" style="1251" customWidth="1"/>
    <col min="15381" max="15381" width="2.28515625" style="1251" customWidth="1"/>
    <col min="15382" max="15383" width="3.7109375" style="1251" customWidth="1"/>
    <col min="15384" max="15384" width="2.28515625" style="1251" customWidth="1"/>
    <col min="15385" max="15386" width="3.7109375" style="1251" customWidth="1"/>
    <col min="15387" max="15387" width="2.28515625" style="1251" customWidth="1"/>
    <col min="15388" max="15389" width="3.7109375" style="1251" customWidth="1"/>
    <col min="15390" max="15390" width="2.28515625" style="1251" customWidth="1"/>
    <col min="15391" max="15391" width="3.7109375" style="1251" customWidth="1"/>
    <col min="15392" max="15392" width="9.7109375" style="1251" customWidth="1"/>
    <col min="15393" max="15402" width="3.7109375" style="1251" customWidth="1"/>
    <col min="15403" max="15403" width="11" style="1251" customWidth="1"/>
    <col min="15404" max="15406" width="8.7109375" style="1251"/>
    <col min="15407" max="15407" width="21" style="1251" customWidth="1"/>
    <col min="15408" max="15408" width="24.42578125" style="1251" customWidth="1"/>
    <col min="15409" max="15409" width="15.28515625" style="1251" customWidth="1"/>
    <col min="15410" max="15410" width="10.42578125" style="1251" customWidth="1"/>
    <col min="15411" max="15411" width="11.28515625" style="1251" customWidth="1"/>
    <col min="15412" max="15412" width="25" style="1251" customWidth="1"/>
    <col min="15413" max="15413" width="6" style="1251" customWidth="1"/>
    <col min="15414" max="15617" width="8.7109375" style="1251"/>
    <col min="15618" max="15618" width="3.7109375" style="1251" customWidth="1"/>
    <col min="15619" max="15619" width="2.28515625" style="1251" customWidth="1"/>
    <col min="15620" max="15621" width="3.7109375" style="1251" customWidth="1"/>
    <col min="15622" max="15622" width="2.28515625" style="1251" customWidth="1"/>
    <col min="15623" max="15624" width="3.7109375" style="1251" customWidth="1"/>
    <col min="15625" max="15625" width="2.28515625" style="1251" customWidth="1"/>
    <col min="15626" max="15627" width="3.7109375" style="1251" customWidth="1"/>
    <col min="15628" max="15628" width="2.28515625" style="1251" customWidth="1"/>
    <col min="15629" max="15630" width="3.7109375" style="1251" customWidth="1"/>
    <col min="15631" max="15631" width="2.28515625" style="1251" customWidth="1"/>
    <col min="15632" max="15633" width="3.7109375" style="1251" customWidth="1"/>
    <col min="15634" max="15634" width="2.28515625" style="1251" customWidth="1"/>
    <col min="15635" max="15636" width="3.7109375" style="1251" customWidth="1"/>
    <col min="15637" max="15637" width="2.28515625" style="1251" customWidth="1"/>
    <col min="15638" max="15639" width="3.7109375" style="1251" customWidth="1"/>
    <col min="15640" max="15640" width="2.28515625" style="1251" customWidth="1"/>
    <col min="15641" max="15642" width="3.7109375" style="1251" customWidth="1"/>
    <col min="15643" max="15643" width="2.28515625" style="1251" customWidth="1"/>
    <col min="15644" max="15645" width="3.7109375" style="1251" customWidth="1"/>
    <col min="15646" max="15646" width="2.28515625" style="1251" customWidth="1"/>
    <col min="15647" max="15647" width="3.7109375" style="1251" customWidth="1"/>
    <col min="15648" max="15648" width="9.7109375" style="1251" customWidth="1"/>
    <col min="15649" max="15658" width="3.7109375" style="1251" customWidth="1"/>
    <col min="15659" max="15659" width="11" style="1251" customWidth="1"/>
    <col min="15660" max="15662" width="8.7109375" style="1251"/>
    <col min="15663" max="15663" width="21" style="1251" customWidth="1"/>
    <col min="15664" max="15664" width="24.42578125" style="1251" customWidth="1"/>
    <col min="15665" max="15665" width="15.28515625" style="1251" customWidth="1"/>
    <col min="15666" max="15666" width="10.42578125" style="1251" customWidth="1"/>
    <col min="15667" max="15667" width="11.28515625" style="1251" customWidth="1"/>
    <col min="15668" max="15668" width="25" style="1251" customWidth="1"/>
    <col min="15669" max="15669" width="6" style="1251" customWidth="1"/>
    <col min="15670" max="15873" width="8.7109375" style="1251"/>
    <col min="15874" max="15874" width="3.7109375" style="1251" customWidth="1"/>
    <col min="15875" max="15875" width="2.28515625" style="1251" customWidth="1"/>
    <col min="15876" max="15877" width="3.7109375" style="1251" customWidth="1"/>
    <col min="15878" max="15878" width="2.28515625" style="1251" customWidth="1"/>
    <col min="15879" max="15880" width="3.7109375" style="1251" customWidth="1"/>
    <col min="15881" max="15881" width="2.28515625" style="1251" customWidth="1"/>
    <col min="15882" max="15883" width="3.7109375" style="1251" customWidth="1"/>
    <col min="15884" max="15884" width="2.28515625" style="1251" customWidth="1"/>
    <col min="15885" max="15886" width="3.7109375" style="1251" customWidth="1"/>
    <col min="15887" max="15887" width="2.28515625" style="1251" customWidth="1"/>
    <col min="15888" max="15889" width="3.7109375" style="1251" customWidth="1"/>
    <col min="15890" max="15890" width="2.28515625" style="1251" customWidth="1"/>
    <col min="15891" max="15892" width="3.7109375" style="1251" customWidth="1"/>
    <col min="15893" max="15893" width="2.28515625" style="1251" customWidth="1"/>
    <col min="15894" max="15895" width="3.7109375" style="1251" customWidth="1"/>
    <col min="15896" max="15896" width="2.28515625" style="1251" customWidth="1"/>
    <col min="15897" max="15898" width="3.7109375" style="1251" customWidth="1"/>
    <col min="15899" max="15899" width="2.28515625" style="1251" customWidth="1"/>
    <col min="15900" max="15901" width="3.7109375" style="1251" customWidth="1"/>
    <col min="15902" max="15902" width="2.28515625" style="1251" customWidth="1"/>
    <col min="15903" max="15903" width="3.7109375" style="1251" customWidth="1"/>
    <col min="15904" max="15904" width="9.7109375" style="1251" customWidth="1"/>
    <col min="15905" max="15914" width="3.7109375" style="1251" customWidth="1"/>
    <col min="15915" max="15915" width="11" style="1251" customWidth="1"/>
    <col min="15916" max="15918" width="8.7109375" style="1251"/>
    <col min="15919" max="15919" width="21" style="1251" customWidth="1"/>
    <col min="15920" max="15920" width="24.42578125" style="1251" customWidth="1"/>
    <col min="15921" max="15921" width="15.28515625" style="1251" customWidth="1"/>
    <col min="15922" max="15922" width="10.42578125" style="1251" customWidth="1"/>
    <col min="15923" max="15923" width="11.28515625" style="1251" customWidth="1"/>
    <col min="15924" max="15924" width="25" style="1251" customWidth="1"/>
    <col min="15925" max="15925" width="6" style="1251" customWidth="1"/>
    <col min="15926" max="16129" width="8.7109375" style="1251"/>
    <col min="16130" max="16130" width="3.7109375" style="1251" customWidth="1"/>
    <col min="16131" max="16131" width="2.28515625" style="1251" customWidth="1"/>
    <col min="16132" max="16133" width="3.7109375" style="1251" customWidth="1"/>
    <col min="16134" max="16134" width="2.28515625" style="1251" customWidth="1"/>
    <col min="16135" max="16136" width="3.7109375" style="1251" customWidth="1"/>
    <col min="16137" max="16137" width="2.28515625" style="1251" customWidth="1"/>
    <col min="16138" max="16139" width="3.7109375" style="1251" customWidth="1"/>
    <col min="16140" max="16140" width="2.28515625" style="1251" customWidth="1"/>
    <col min="16141" max="16142" width="3.7109375" style="1251" customWidth="1"/>
    <col min="16143" max="16143" width="2.28515625" style="1251" customWidth="1"/>
    <col min="16144" max="16145" width="3.7109375" style="1251" customWidth="1"/>
    <col min="16146" max="16146" width="2.28515625" style="1251" customWidth="1"/>
    <col min="16147" max="16148" width="3.7109375" style="1251" customWidth="1"/>
    <col min="16149" max="16149" width="2.28515625" style="1251" customWidth="1"/>
    <col min="16150" max="16151" width="3.7109375" style="1251" customWidth="1"/>
    <col min="16152" max="16152" width="2.28515625" style="1251" customWidth="1"/>
    <col min="16153" max="16154" width="3.7109375" style="1251" customWidth="1"/>
    <col min="16155" max="16155" width="2.28515625" style="1251" customWidth="1"/>
    <col min="16156" max="16157" width="3.7109375" style="1251" customWidth="1"/>
    <col min="16158" max="16158" width="2.28515625" style="1251" customWidth="1"/>
    <col min="16159" max="16159" width="3.7109375" style="1251" customWidth="1"/>
    <col min="16160" max="16160" width="9.7109375" style="1251" customWidth="1"/>
    <col min="16161" max="16170" width="3.7109375" style="1251" customWidth="1"/>
    <col min="16171" max="16171" width="11" style="1251" customWidth="1"/>
    <col min="16172" max="16174" width="8.7109375" style="1251"/>
    <col min="16175" max="16175" width="21" style="1251" customWidth="1"/>
    <col min="16176" max="16176" width="24.42578125" style="1251" customWidth="1"/>
    <col min="16177" max="16177" width="15.28515625" style="1251" customWidth="1"/>
    <col min="16178" max="16178" width="10.42578125" style="1251" customWidth="1"/>
    <col min="16179" max="16179" width="11.28515625" style="1251" customWidth="1"/>
    <col min="16180" max="16180" width="25" style="1251" customWidth="1"/>
    <col min="16181" max="16181" width="6" style="1251" customWidth="1"/>
    <col min="16182" max="16384" width="8.7109375" style="1251"/>
  </cols>
  <sheetData>
    <row r="1" spans="1:53" ht="13.5" thickBot="1" x14ac:dyDescent="0.25">
      <c r="A1" s="1247" t="s">
        <v>0</v>
      </c>
      <c r="B1" s="1247"/>
      <c r="C1" s="1247"/>
      <c r="D1" s="1247"/>
      <c r="E1" s="1247"/>
      <c r="F1" s="1247"/>
      <c r="G1" s="1247"/>
      <c r="H1" s="1247"/>
      <c r="I1" s="1247"/>
      <c r="J1" s="1247"/>
      <c r="K1" s="1247"/>
      <c r="L1" s="1247"/>
      <c r="M1" s="1247"/>
      <c r="N1" s="1247"/>
      <c r="O1" s="1247"/>
      <c r="P1" s="1247"/>
      <c r="Q1" s="1247"/>
      <c r="R1" s="1247"/>
      <c r="S1" s="1247"/>
      <c r="T1" s="1247"/>
      <c r="U1" s="1247"/>
      <c r="V1" s="1247"/>
      <c r="W1" s="1247"/>
      <c r="X1" s="1247"/>
      <c r="Y1" s="1247"/>
      <c r="Z1" s="1247"/>
      <c r="AA1" s="1247"/>
      <c r="AB1" s="1247"/>
      <c r="AC1" s="1247"/>
      <c r="AD1" s="1247"/>
      <c r="AE1" s="1247"/>
      <c r="AF1" s="1247"/>
      <c r="AG1" s="1247"/>
      <c r="AH1" s="1247"/>
      <c r="AI1" s="1247"/>
      <c r="AJ1" s="1248"/>
      <c r="AK1" s="1248"/>
      <c r="AL1" s="1248"/>
      <c r="AM1" s="1248"/>
      <c r="AN1" s="1248"/>
      <c r="AO1" s="1248"/>
      <c r="AP1" s="1248"/>
      <c r="AQ1" s="1249" t="s">
        <v>1</v>
      </c>
      <c r="AR1" s="1250"/>
      <c r="AT1" s="1252" t="s">
        <v>2</v>
      </c>
      <c r="AU1" s="1253"/>
      <c r="AV1" s="1253"/>
      <c r="AW1" s="1254"/>
      <c r="AX1" s="1255" t="s">
        <v>3</v>
      </c>
      <c r="AY1" s="1256"/>
      <c r="AZ1" s="1257" t="s">
        <v>4</v>
      </c>
      <c r="BA1" s="1258">
        <v>32</v>
      </c>
    </row>
    <row r="2" spans="1:53" ht="18.75" customHeight="1" thickBot="1" x14ac:dyDescent="0.3">
      <c r="A2" s="1259" t="s">
        <v>5</v>
      </c>
      <c r="B2" s="1260"/>
      <c r="C2" s="1260"/>
      <c r="D2" s="1260"/>
      <c r="E2" s="1260"/>
      <c r="F2" s="1260"/>
      <c r="G2" s="1260"/>
      <c r="H2" s="1260"/>
      <c r="I2" s="1261"/>
      <c r="J2" s="1262" t="s">
        <v>6</v>
      </c>
      <c r="K2" s="1263"/>
      <c r="L2" s="1263"/>
      <c r="M2" s="1263"/>
      <c r="N2" s="1263"/>
      <c r="O2" s="1263"/>
      <c r="P2" s="1263"/>
      <c r="Q2" s="1263"/>
      <c r="R2" s="1263"/>
      <c r="S2" s="1263"/>
      <c r="T2" s="1263"/>
      <c r="U2" s="1263"/>
      <c r="V2" s="1263"/>
      <c r="W2" s="1263"/>
      <c r="X2" s="1264"/>
      <c r="Y2" s="1265" t="s">
        <v>7</v>
      </c>
      <c r="Z2" s="1266"/>
      <c r="AA2" s="1266"/>
      <c r="AB2" s="1266"/>
      <c r="AC2" s="1267"/>
      <c r="AD2" s="1268" t="s">
        <v>168</v>
      </c>
      <c r="AE2" s="1268"/>
      <c r="AF2" s="1268"/>
      <c r="AG2" s="1268"/>
      <c r="AH2" s="1268"/>
      <c r="AI2" s="1269"/>
      <c r="AJ2" s="1270"/>
      <c r="AK2" s="1270"/>
      <c r="AL2" s="1270"/>
      <c r="AM2" s="1270"/>
      <c r="AN2" s="1270"/>
      <c r="AO2" s="1270"/>
      <c r="AP2" s="1270"/>
      <c r="AQ2" s="1270"/>
      <c r="AR2" s="1250"/>
      <c r="AT2" s="1271" t="s">
        <v>9</v>
      </c>
      <c r="AU2" s="1272" t="s">
        <v>10</v>
      </c>
      <c r="AV2" s="1273" t="s">
        <v>11</v>
      </c>
      <c r="AW2" s="1274" t="s">
        <v>12</v>
      </c>
      <c r="AX2" s="1275" t="s">
        <v>13</v>
      </c>
      <c r="AY2" s="1274" t="s">
        <v>14</v>
      </c>
      <c r="AZ2" s="1257" t="s">
        <v>15</v>
      </c>
      <c r="BA2" s="1258">
        <v>16</v>
      </c>
    </row>
    <row r="3" spans="1:53" ht="18.75" customHeight="1" thickBot="1" x14ac:dyDescent="0.3">
      <c r="A3" s="1276" t="s">
        <v>16</v>
      </c>
      <c r="B3" s="1277" t="s">
        <v>1155</v>
      </c>
      <c r="C3" s="1278"/>
      <c r="D3" s="1278"/>
      <c r="E3" s="1278"/>
      <c r="F3" s="1278"/>
      <c r="G3" s="1278"/>
      <c r="H3" s="1278"/>
      <c r="I3" s="1278"/>
      <c r="J3" s="1278"/>
      <c r="K3" s="1278"/>
      <c r="L3" s="1278"/>
      <c r="M3" s="1278"/>
      <c r="N3" s="1278"/>
      <c r="O3" s="1279"/>
      <c r="P3" s="1280" t="s">
        <v>18</v>
      </c>
      <c r="Q3" s="1281"/>
      <c r="R3" s="1281"/>
      <c r="S3" s="1282" t="s">
        <v>1156</v>
      </c>
      <c r="T3" s="1283"/>
      <c r="U3" s="1283"/>
      <c r="V3" s="1283"/>
      <c r="W3" s="1283"/>
      <c r="X3" s="1284"/>
      <c r="Y3" s="1285" t="s">
        <v>19</v>
      </c>
      <c r="Z3" s="1286"/>
      <c r="AA3" s="1286"/>
      <c r="AB3" s="1286"/>
      <c r="AC3" s="1286"/>
      <c r="AD3" s="1287"/>
      <c r="AE3" s="1288" t="s">
        <v>20</v>
      </c>
      <c r="AF3" s="1289"/>
      <c r="AG3" s="1290" t="s">
        <v>21</v>
      </c>
      <c r="AH3" s="1290"/>
      <c r="AI3" s="1291"/>
      <c r="AJ3" s="1270"/>
      <c r="AK3" s="1270"/>
      <c r="AL3" s="1270"/>
      <c r="AM3" s="1270"/>
      <c r="AN3" s="1270"/>
      <c r="AO3" s="1270"/>
      <c r="AP3" s="1270"/>
      <c r="AQ3" s="1270"/>
      <c r="AR3" s="1250"/>
      <c r="AT3" s="1292">
        <v>1</v>
      </c>
      <c r="AU3" s="1293" t="s">
        <v>600</v>
      </c>
      <c r="AV3" s="1293" t="s">
        <v>599</v>
      </c>
      <c r="AW3" s="147">
        <f>VLOOKUP(AV3,Initial!G:K,5,FALSE)</f>
        <v>2224.1169108397717</v>
      </c>
      <c r="AX3" s="1294">
        <f t="shared" ref="AX3:AX12" si="0">VLOOKUP(AU3,AT$79:AU$174,2,FALSE)</f>
        <v>2258.0684760828894</v>
      </c>
      <c r="AY3" s="1295">
        <f t="shared" ref="AY3:AY12" si="1">IF(ISNA(VLOOKUP(AU3,AT$182:AU$234,2,FALSE)),AX3,VLOOKUP(AU3,AT$182:AU$234,2,FALSE))</f>
        <v>2253.0290632225715</v>
      </c>
    </row>
    <row r="4" spans="1:53" ht="24" customHeight="1" thickBot="1" x14ac:dyDescent="0.25">
      <c r="A4" s="1296" t="s">
        <v>24</v>
      </c>
      <c r="B4" s="1297"/>
      <c r="C4" s="1297"/>
      <c r="D4" s="1298"/>
      <c r="E4" s="1299" t="s">
        <v>25</v>
      </c>
      <c r="F4" s="1300"/>
      <c r="G4" s="1300"/>
      <c r="H4" s="1300"/>
      <c r="I4" s="1300"/>
      <c r="J4" s="1300"/>
      <c r="K4" s="1300"/>
      <c r="L4" s="1300"/>
      <c r="M4" s="1301"/>
      <c r="N4" s="1296" t="s">
        <v>26</v>
      </c>
      <c r="O4" s="1297"/>
      <c r="P4" s="1297"/>
      <c r="Q4" s="1298"/>
      <c r="R4" s="1302"/>
      <c r="S4" s="1268"/>
      <c r="T4" s="1268"/>
      <c r="U4" s="1268"/>
      <c r="V4" s="1268"/>
      <c r="W4" s="1268"/>
      <c r="X4" s="1268"/>
      <c r="Y4" s="1268"/>
      <c r="Z4" s="1268"/>
      <c r="AA4" s="1269"/>
      <c r="AB4" s="1296" t="s">
        <v>27</v>
      </c>
      <c r="AC4" s="1297"/>
      <c r="AD4" s="1297"/>
      <c r="AE4" s="1298"/>
      <c r="AF4" s="1302"/>
      <c r="AG4" s="1268"/>
      <c r="AH4" s="1268"/>
      <c r="AI4" s="1269"/>
      <c r="AJ4" s="1270"/>
      <c r="AK4" s="1270"/>
      <c r="AL4" s="1270"/>
      <c r="AM4" s="1270"/>
      <c r="AN4" s="1270"/>
      <c r="AO4" s="1270"/>
      <c r="AP4" s="1270"/>
      <c r="AQ4" s="1270"/>
      <c r="AR4" s="1250"/>
      <c r="AT4" s="1303">
        <v>2</v>
      </c>
      <c r="AU4" s="1293" t="s">
        <v>798</v>
      </c>
      <c r="AV4" s="1293" t="s">
        <v>797</v>
      </c>
      <c r="AW4" s="147">
        <f>VLOOKUP(AV4,Initial!G:K,5,FALSE)</f>
        <v>2212.9846052971011</v>
      </c>
      <c r="AX4" s="1304">
        <f t="shared" si="0"/>
        <v>2249.0606644054383</v>
      </c>
      <c r="AY4" s="1305">
        <f t="shared" si="1"/>
        <v>2261.5141533158635</v>
      </c>
    </row>
    <row r="5" spans="1:53" ht="15.75" thickBot="1" x14ac:dyDescent="0.25">
      <c r="A5" s="1248" t="s">
        <v>30</v>
      </c>
      <c r="B5" s="1306" t="s">
        <v>30</v>
      </c>
      <c r="C5" s="1307"/>
      <c r="D5" s="1307"/>
      <c r="E5" s="1307"/>
      <c r="F5" s="1307"/>
      <c r="G5" s="1307"/>
      <c r="H5" s="1307"/>
      <c r="I5" s="1307"/>
      <c r="J5" s="1307"/>
      <c r="K5" s="1308" t="s">
        <v>30</v>
      </c>
      <c r="L5" s="1308"/>
      <c r="M5" s="1308"/>
      <c r="N5" s="1308"/>
      <c r="O5" s="1308"/>
      <c r="P5" s="1308"/>
      <c r="Q5" s="1308"/>
      <c r="R5" s="1308"/>
      <c r="S5" s="1308"/>
      <c r="T5" s="1308"/>
      <c r="U5" s="1308"/>
      <c r="V5" s="1308"/>
      <c r="W5" s="1308"/>
      <c r="X5" s="1308"/>
      <c r="Y5" s="1308"/>
      <c r="Z5" s="1308"/>
      <c r="AA5" s="1308"/>
      <c r="AB5" s="1308"/>
      <c r="AC5" s="1308"/>
      <c r="AD5" s="1308"/>
      <c r="AE5" s="1308"/>
      <c r="AF5" s="1248"/>
      <c r="AG5" s="1248"/>
      <c r="AH5" s="1248"/>
      <c r="AI5" s="1248"/>
      <c r="AJ5" s="1248"/>
      <c r="AK5" s="1248"/>
      <c r="AL5" s="1248"/>
      <c r="AM5" s="1248"/>
      <c r="AN5" s="1248"/>
      <c r="AO5" s="1248"/>
      <c r="AP5" s="1248"/>
      <c r="AQ5" s="1248"/>
      <c r="AR5" s="1250"/>
      <c r="AT5" s="1303">
        <v>3</v>
      </c>
      <c r="AU5" s="1293" t="s">
        <v>808</v>
      </c>
      <c r="AV5" s="1293" t="s">
        <v>806</v>
      </c>
      <c r="AW5" s="147">
        <f>VLOOKUP(AV5,Initial!G:K,5,FALSE)</f>
        <v>2125.6672368874802</v>
      </c>
      <c r="AX5" s="1304">
        <f t="shared" si="0"/>
        <v>2141.596293794672</v>
      </c>
      <c r="AY5" s="1305">
        <f t="shared" si="1"/>
        <v>2151.1670311235207</v>
      </c>
    </row>
    <row r="6" spans="1:53" ht="24" customHeight="1" thickBot="1" x14ac:dyDescent="0.25">
      <c r="A6" s="1309" t="s">
        <v>33</v>
      </c>
      <c r="B6" s="1310" t="s">
        <v>34</v>
      </c>
      <c r="C6" s="1311" t="s">
        <v>35</v>
      </c>
      <c r="D6" s="1312"/>
      <c r="E6" s="1312"/>
      <c r="F6" s="1312"/>
      <c r="G6" s="1312"/>
      <c r="H6" s="1313"/>
      <c r="I6" s="1314">
        <v>1</v>
      </c>
      <c r="J6" s="1315"/>
      <c r="K6" s="1316" t="str">
        <f>"Pool "&amp;B6&amp;" - Round 1 - Court "&amp;I6</f>
        <v>Pool A - Round 1 - Court 1</v>
      </c>
      <c r="L6" s="1317"/>
      <c r="M6" s="1317"/>
      <c r="N6" s="1317"/>
      <c r="O6" s="1317"/>
      <c r="P6" s="1317"/>
      <c r="Q6" s="1317"/>
      <c r="R6" s="1317"/>
      <c r="S6" s="1317"/>
      <c r="T6" s="1317"/>
      <c r="U6" s="1317"/>
      <c r="V6" s="1317"/>
      <c r="W6" s="1317"/>
      <c r="X6" s="1317"/>
      <c r="Y6" s="1317"/>
      <c r="Z6" s="1317"/>
      <c r="AA6" s="1317"/>
      <c r="AB6" s="1317"/>
      <c r="AC6" s="1317"/>
      <c r="AD6" s="1317"/>
      <c r="AE6" s="1317"/>
      <c r="AF6" s="1317"/>
      <c r="AG6" s="1317"/>
      <c r="AH6" s="1317"/>
      <c r="AI6" s="1318"/>
      <c r="AJ6" s="1270"/>
      <c r="AK6" s="1270"/>
      <c r="AL6" s="1270"/>
      <c r="AM6" s="1270"/>
      <c r="AN6" s="1270"/>
      <c r="AO6" s="1270"/>
      <c r="AP6" s="1270"/>
      <c r="AQ6" s="1270"/>
      <c r="AT6" s="1303">
        <v>4</v>
      </c>
      <c r="AU6" s="1293" t="s">
        <v>801</v>
      </c>
      <c r="AV6" s="1293" t="s">
        <v>799</v>
      </c>
      <c r="AW6" s="147">
        <f>VLOOKUP(AV6,Initial!G:K,5,FALSE)</f>
        <v>2068.7013691027805</v>
      </c>
      <c r="AX6" s="1304">
        <f t="shared" si="0"/>
        <v>2065.2268484925753</v>
      </c>
      <c r="AY6" s="1305">
        <f t="shared" si="1"/>
        <v>2058.9575360453096</v>
      </c>
    </row>
    <row r="7" spans="1:53" ht="27" customHeight="1" thickBot="1" x14ac:dyDescent="0.25">
      <c r="A7" s="1319" t="s">
        <v>38</v>
      </c>
      <c r="B7" s="1320" t="s">
        <v>10</v>
      </c>
      <c r="C7" s="1321"/>
      <c r="D7" s="1321"/>
      <c r="E7" s="1321"/>
      <c r="F7" s="1321"/>
      <c r="G7" s="1321"/>
      <c r="H7" s="1321"/>
      <c r="I7" s="1321"/>
      <c r="J7" s="1321"/>
      <c r="K7" s="1321"/>
      <c r="L7" s="1320" t="str">
        <f>IF($AK10=0,"Games Won","Matches Won")</f>
        <v>Games Won</v>
      </c>
      <c r="M7" s="1321"/>
      <c r="N7" s="1321"/>
      <c r="O7" s="1321"/>
      <c r="P7" s="1321"/>
      <c r="Q7" s="1322"/>
      <c r="R7" s="1320" t="str">
        <f>IF($AK10=0,"Games Lost","Matches Lost")</f>
        <v>Games Lost</v>
      </c>
      <c r="S7" s="1323"/>
      <c r="T7" s="1323"/>
      <c r="U7" s="1323"/>
      <c r="V7" s="1324"/>
      <c r="W7" s="1325" t="s">
        <v>39</v>
      </c>
      <c r="X7" s="1326"/>
      <c r="Y7" s="1327"/>
      <c r="Z7" s="1325" t="s">
        <v>40</v>
      </c>
      <c r="AA7" s="1326"/>
      <c r="AB7" s="1327"/>
      <c r="AC7" s="1328" t="s">
        <v>41</v>
      </c>
      <c r="AD7" s="1329"/>
      <c r="AE7" s="1330"/>
      <c r="AF7" s="1331" t="s">
        <v>42</v>
      </c>
      <c r="AG7" s="1332" t="s">
        <v>9</v>
      </c>
      <c r="AH7" s="1333" t="s">
        <v>43</v>
      </c>
      <c r="AI7" s="1334"/>
      <c r="AJ7" s="1335"/>
      <c r="AK7" s="1336">
        <v>2</v>
      </c>
      <c r="AL7" s="1337" t="s">
        <v>44</v>
      </c>
      <c r="AM7" s="1337"/>
      <c r="AN7" s="1337"/>
      <c r="AO7" s="1337"/>
      <c r="AP7" s="1337"/>
      <c r="AQ7" s="1337"/>
      <c r="AR7" s="1338"/>
      <c r="AT7" s="1303">
        <v>5</v>
      </c>
      <c r="AU7" s="1293" t="s">
        <v>824</v>
      </c>
      <c r="AV7" s="1293" t="s">
        <v>823</v>
      </c>
      <c r="AW7" s="147">
        <f>VLOOKUP(AV7,Initial!G:K,5,FALSE)</f>
        <v>2066.7296561866906</v>
      </c>
      <c r="AX7" s="1304">
        <f t="shared" si="0"/>
        <v>2072.0804009818239</v>
      </c>
      <c r="AY7" s="1305">
        <f t="shared" si="1"/>
        <v>2075.6557959024376</v>
      </c>
    </row>
    <row r="8" spans="1:53" ht="18.75" customHeight="1" thickBot="1" x14ac:dyDescent="0.25">
      <c r="A8" s="1339" t="str">
        <f>IF($AK9&gt;0,"1","")</f>
        <v>1</v>
      </c>
      <c r="B8" s="1340" t="s">
        <v>10</v>
      </c>
      <c r="C8" s="1341"/>
      <c r="D8" s="1342"/>
      <c r="E8" s="1343" t="str">
        <f>AU3</f>
        <v>KVC 14</v>
      </c>
      <c r="F8" s="1344"/>
      <c r="G8" s="1344"/>
      <c r="H8" s="1344"/>
      <c r="I8" s="1344"/>
      <c r="J8" s="1344"/>
      <c r="K8" s="1345"/>
      <c r="L8" s="1346">
        <f>IF($AK10=0,AF64,AF46)</f>
        <v>7</v>
      </c>
      <c r="M8" s="1347"/>
      <c r="N8" s="1347"/>
      <c r="O8" s="1347"/>
      <c r="P8" s="1347"/>
      <c r="Q8" s="1322"/>
      <c r="R8" s="1346">
        <f>IF($AK10=0,AG64,AG46)</f>
        <v>1</v>
      </c>
      <c r="S8" s="1347"/>
      <c r="T8" s="1347"/>
      <c r="U8" s="1347"/>
      <c r="V8" s="1347"/>
      <c r="W8" s="1346">
        <f>AQ24</f>
        <v>49</v>
      </c>
      <c r="X8" s="1347"/>
      <c r="Y8" s="1347"/>
      <c r="Z8" s="1348">
        <f>IF(AF58&gt;0,(AQ24/AF58),0)</f>
        <v>0.24378109452736318</v>
      </c>
      <c r="AA8" s="1349"/>
      <c r="AB8" s="1349"/>
      <c r="AC8" s="1350">
        <f>IF(AF72=0,0,(AF64/AF72))</f>
        <v>0.875</v>
      </c>
      <c r="AD8" s="1351"/>
      <c r="AE8" s="1352"/>
      <c r="AF8" s="1353">
        <v>1</v>
      </c>
      <c r="AG8" s="1353">
        <v>1</v>
      </c>
      <c r="AH8" s="1354"/>
      <c r="AI8" s="1355"/>
      <c r="AJ8" s="1335"/>
      <c r="AK8" s="1336">
        <v>10</v>
      </c>
      <c r="AL8" s="1337" t="s">
        <v>47</v>
      </c>
      <c r="AM8" s="1337"/>
      <c r="AN8" s="1337"/>
      <c r="AO8" s="1337"/>
      <c r="AP8" s="1337"/>
      <c r="AQ8" s="1337"/>
      <c r="AR8" s="1338"/>
      <c r="AT8" s="1303">
        <v>6</v>
      </c>
      <c r="AU8" s="1293" t="s">
        <v>832</v>
      </c>
      <c r="AV8" s="1293" t="s">
        <v>831</v>
      </c>
      <c r="AW8" s="147">
        <f>VLOOKUP(AV8,Initial!G:K,5,FALSE)</f>
        <v>2058.6723054658987</v>
      </c>
      <c r="AX8" s="1304">
        <f t="shared" si="0"/>
        <v>1954.3026425151425</v>
      </c>
      <c r="AY8" s="1305">
        <f t="shared" si="1"/>
        <v>1954.3026425151425</v>
      </c>
    </row>
    <row r="9" spans="1:53" ht="18.75" customHeight="1" thickBot="1" x14ac:dyDescent="0.25">
      <c r="A9" s="1356"/>
      <c r="B9" s="1357" t="s">
        <v>11</v>
      </c>
      <c r="C9" s="1358"/>
      <c r="D9" s="1359"/>
      <c r="E9" s="1360" t="str">
        <f>AV3</f>
        <v>fj4kvcjr1pm</v>
      </c>
      <c r="F9" s="1361"/>
      <c r="G9" s="1361"/>
      <c r="H9" s="1361"/>
      <c r="I9" s="1361"/>
      <c r="J9" s="1361"/>
      <c r="K9" s="1361"/>
      <c r="L9" s="1362"/>
      <c r="M9" s="1363"/>
      <c r="N9" s="1363"/>
      <c r="O9" s="1363"/>
      <c r="P9" s="1363"/>
      <c r="Q9" s="1322"/>
      <c r="R9" s="1362"/>
      <c r="S9" s="1363"/>
      <c r="T9" s="1363"/>
      <c r="U9" s="1363"/>
      <c r="V9" s="1363"/>
      <c r="W9" s="1362"/>
      <c r="X9" s="1363"/>
      <c r="Y9" s="1363"/>
      <c r="Z9" s="1364"/>
      <c r="AA9" s="1365"/>
      <c r="AB9" s="1365"/>
      <c r="AC9" s="1366"/>
      <c r="AD9" s="1367"/>
      <c r="AE9" s="1368"/>
      <c r="AF9" s="1369"/>
      <c r="AG9" s="1369"/>
      <c r="AH9" s="1370"/>
      <c r="AI9" s="1371"/>
      <c r="AJ9" s="1335"/>
      <c r="AK9" s="1336">
        <v>5</v>
      </c>
      <c r="AL9" s="1337" t="s">
        <v>50</v>
      </c>
      <c r="AM9" s="1335"/>
      <c r="AN9" s="1335"/>
      <c r="AO9" s="1335"/>
      <c r="AP9" s="1335"/>
      <c r="AQ9" s="1335"/>
      <c r="AR9" s="1250"/>
      <c r="AT9" s="1303">
        <v>7</v>
      </c>
      <c r="AU9" s="1293" t="s">
        <v>814</v>
      </c>
      <c r="AV9" s="1293" t="s">
        <v>813</v>
      </c>
      <c r="AW9" s="147">
        <f>VLOOKUP(AV9,Initial!G:K,5,FALSE)</f>
        <v>2026.0099610120353</v>
      </c>
      <c r="AX9" s="1304">
        <f t="shared" si="0"/>
        <v>2022.9769575460887</v>
      </c>
      <c r="AY9" s="1305">
        <f t="shared" si="1"/>
        <v>2016.1001377438922</v>
      </c>
    </row>
    <row r="10" spans="1:53" ht="18.75" customHeight="1" thickBot="1" x14ac:dyDescent="0.25">
      <c r="A10" s="1339" t="str">
        <f>IF($AK9&gt;1,"2","")</f>
        <v>2</v>
      </c>
      <c r="B10" s="1340" t="s">
        <v>10</v>
      </c>
      <c r="C10" s="1341"/>
      <c r="D10" s="1342"/>
      <c r="E10" s="1343" t="str">
        <f>AU6</f>
        <v>V-1 Academy SAV 15 Lucas</v>
      </c>
      <c r="F10" s="1344"/>
      <c r="G10" s="1344"/>
      <c r="H10" s="1344"/>
      <c r="I10" s="1344"/>
      <c r="J10" s="1344"/>
      <c r="K10" s="1345"/>
      <c r="L10" s="1346">
        <f>IF($AK10=0,AF65,AF47)</f>
        <v>4</v>
      </c>
      <c r="M10" s="1347"/>
      <c r="N10" s="1347"/>
      <c r="O10" s="1347"/>
      <c r="P10" s="1347"/>
      <c r="Q10" s="1322"/>
      <c r="R10" s="1346">
        <f>IF($AK10=0,AG65,AG47)</f>
        <v>4</v>
      </c>
      <c r="S10" s="1347"/>
      <c r="T10" s="1347"/>
      <c r="U10" s="1347"/>
      <c r="V10" s="1347"/>
      <c r="W10" s="1346">
        <f>AQ25</f>
        <v>2</v>
      </c>
      <c r="X10" s="1347"/>
      <c r="Y10" s="1347"/>
      <c r="Z10" s="1348">
        <f>IF(AF59&gt;0,(AQ25/AF59),0)</f>
        <v>9.8039215686274508E-3</v>
      </c>
      <c r="AA10" s="1349"/>
      <c r="AB10" s="1349"/>
      <c r="AC10" s="1350">
        <f>IF(AF73=0,0,(AF65/AF73))</f>
        <v>0.5</v>
      </c>
      <c r="AD10" s="1351"/>
      <c r="AE10" s="1352"/>
      <c r="AF10" s="1353">
        <v>4</v>
      </c>
      <c r="AG10" s="1353">
        <v>3</v>
      </c>
      <c r="AH10" s="1354"/>
      <c r="AI10" s="1355"/>
      <c r="AJ10" s="1335"/>
      <c r="AK10" s="1336">
        <v>0</v>
      </c>
      <c r="AL10" s="1337" t="s">
        <v>53</v>
      </c>
      <c r="AM10" s="1337"/>
      <c r="AN10" s="1337"/>
      <c r="AO10" s="1337"/>
      <c r="AP10" s="1337"/>
      <c r="AQ10" s="1337"/>
      <c r="AR10" s="1338"/>
      <c r="AT10" s="1303">
        <v>8</v>
      </c>
      <c r="AU10" s="1293" t="s">
        <v>1157</v>
      </c>
      <c r="AV10" s="1293" t="s">
        <v>1158</v>
      </c>
      <c r="AW10" s="147">
        <f>VLOOKUP(AV10,Initial!G:K,5,FALSE)</f>
        <v>2000</v>
      </c>
      <c r="AX10" s="1304">
        <f t="shared" si="0"/>
        <v>1914.6799595739319</v>
      </c>
      <c r="AY10" s="1305">
        <f t="shared" si="1"/>
        <v>1914.6799595739319</v>
      </c>
    </row>
    <row r="11" spans="1:53" ht="18.75" customHeight="1" thickBot="1" x14ac:dyDescent="0.25">
      <c r="A11" s="1356"/>
      <c r="B11" s="1372" t="s">
        <v>11</v>
      </c>
      <c r="C11" s="1373"/>
      <c r="D11" s="1373"/>
      <c r="E11" s="1360" t="str">
        <f>AV6</f>
        <v>fj5vosav1so</v>
      </c>
      <c r="F11" s="1361"/>
      <c r="G11" s="1361"/>
      <c r="H11" s="1361"/>
      <c r="I11" s="1361"/>
      <c r="J11" s="1361"/>
      <c r="K11" s="1361"/>
      <c r="L11" s="1362"/>
      <c r="M11" s="1363"/>
      <c r="N11" s="1363"/>
      <c r="O11" s="1363"/>
      <c r="P11" s="1363"/>
      <c r="Q11" s="1322"/>
      <c r="R11" s="1362"/>
      <c r="S11" s="1363"/>
      <c r="T11" s="1363"/>
      <c r="U11" s="1363"/>
      <c r="V11" s="1363"/>
      <c r="W11" s="1362"/>
      <c r="X11" s="1363"/>
      <c r="Y11" s="1363"/>
      <c r="Z11" s="1364"/>
      <c r="AA11" s="1365"/>
      <c r="AB11" s="1365"/>
      <c r="AC11" s="1366"/>
      <c r="AD11" s="1367"/>
      <c r="AE11" s="1368"/>
      <c r="AF11" s="1369"/>
      <c r="AG11" s="1369"/>
      <c r="AH11" s="1370"/>
      <c r="AI11" s="1371"/>
      <c r="AJ11" s="1335"/>
      <c r="AK11" s="1336">
        <v>1</v>
      </c>
      <c r="AL11" s="1337" t="s">
        <v>56</v>
      </c>
      <c r="AM11" s="1335"/>
      <c r="AN11" s="1335"/>
      <c r="AO11" s="1335"/>
      <c r="AP11" s="1335"/>
      <c r="AQ11" s="1335"/>
      <c r="AR11" s="1250"/>
      <c r="AT11" s="1303">
        <v>9</v>
      </c>
      <c r="AU11" s="1293" t="s">
        <v>828</v>
      </c>
      <c r="AV11" s="1293" t="s">
        <v>827</v>
      </c>
      <c r="AW11" s="147">
        <f>VLOOKUP(AV11,Initial!G:K,5,FALSE)</f>
        <v>2000</v>
      </c>
      <c r="AX11" s="1304">
        <f t="shared" si="0"/>
        <v>2049.4922509980224</v>
      </c>
      <c r="AY11" s="1305">
        <f t="shared" si="1"/>
        <v>2045.640941405906</v>
      </c>
    </row>
    <row r="12" spans="1:53" ht="18.75" customHeight="1" thickBot="1" x14ac:dyDescent="0.25">
      <c r="A12" s="1339" t="str">
        <f>IF($AK9&gt;2,"3","")</f>
        <v>3</v>
      </c>
      <c r="B12" s="1374" t="s">
        <v>10</v>
      </c>
      <c r="C12" s="1375"/>
      <c r="D12" s="1375"/>
      <c r="E12" s="1343" t="str">
        <f>AU7</f>
        <v>Lake Murray 15 Black</v>
      </c>
      <c r="F12" s="1344"/>
      <c r="G12" s="1344"/>
      <c r="H12" s="1344"/>
      <c r="I12" s="1344"/>
      <c r="J12" s="1344"/>
      <c r="K12" s="1345"/>
      <c r="L12" s="1346">
        <f>IF($AK10=0,AF66,AF48)</f>
        <v>4</v>
      </c>
      <c r="M12" s="1347"/>
      <c r="N12" s="1347"/>
      <c r="O12" s="1347"/>
      <c r="P12" s="1347"/>
      <c r="Q12" s="1322"/>
      <c r="R12" s="1346">
        <f>IF($AK10=0,AG66,AG48)</f>
        <v>4</v>
      </c>
      <c r="S12" s="1347"/>
      <c r="T12" s="1347"/>
      <c r="U12" s="1347"/>
      <c r="V12" s="1347"/>
      <c r="W12" s="1346">
        <f>AQ26</f>
        <v>0</v>
      </c>
      <c r="X12" s="1347"/>
      <c r="Y12" s="1347"/>
      <c r="Z12" s="1348">
        <f>IF(AF60&gt;0,(AQ26/AF60),0)</f>
        <v>0</v>
      </c>
      <c r="AA12" s="1349"/>
      <c r="AB12" s="1349"/>
      <c r="AC12" s="1350">
        <f>IF(AF74=0,0,(AF66/AF74))</f>
        <v>0.5</v>
      </c>
      <c r="AD12" s="1351"/>
      <c r="AE12" s="1352"/>
      <c r="AF12" s="1353">
        <v>3</v>
      </c>
      <c r="AG12" s="1353">
        <v>3</v>
      </c>
      <c r="AH12" s="1354"/>
      <c r="AI12" s="1355"/>
      <c r="AJ12" s="1376"/>
      <c r="AK12" s="1336">
        <v>8</v>
      </c>
      <c r="AL12" s="1377" t="s">
        <v>59</v>
      </c>
      <c r="AM12" s="1337"/>
      <c r="AN12" s="1337"/>
      <c r="AO12" s="1337"/>
      <c r="AP12" s="1337"/>
      <c r="AQ12" s="1337"/>
      <c r="AR12" s="1338"/>
      <c r="AT12" s="1378">
        <v>10</v>
      </c>
      <c r="AU12" s="1293" t="s">
        <v>820</v>
      </c>
      <c r="AV12" s="1293" t="s">
        <v>819</v>
      </c>
      <c r="AW12" s="147">
        <f>VLOOKUP(AV12,Initial!G:K,5,FALSE)</f>
        <v>1985.4963518902775</v>
      </c>
      <c r="AX12" s="1379">
        <f t="shared" si="0"/>
        <v>2040.893902291451</v>
      </c>
      <c r="AY12" s="1380">
        <f t="shared" si="1"/>
        <v>2037.3311358334597</v>
      </c>
    </row>
    <row r="13" spans="1:53" ht="18.75" customHeight="1" thickBot="1" x14ac:dyDescent="0.25">
      <c r="A13" s="1356"/>
      <c r="B13" s="1372" t="s">
        <v>11</v>
      </c>
      <c r="C13" s="1373"/>
      <c r="D13" s="1373"/>
      <c r="E13" s="1360" t="str">
        <f>AV7</f>
        <v>fj5lakem2pm</v>
      </c>
      <c r="F13" s="1361"/>
      <c r="G13" s="1361"/>
      <c r="H13" s="1361"/>
      <c r="I13" s="1361"/>
      <c r="J13" s="1361"/>
      <c r="K13" s="1361"/>
      <c r="L13" s="1362"/>
      <c r="M13" s="1363"/>
      <c r="N13" s="1363"/>
      <c r="O13" s="1363"/>
      <c r="P13" s="1363"/>
      <c r="Q13" s="1322"/>
      <c r="R13" s="1362"/>
      <c r="S13" s="1363"/>
      <c r="T13" s="1363"/>
      <c r="U13" s="1363"/>
      <c r="V13" s="1363"/>
      <c r="W13" s="1362"/>
      <c r="X13" s="1363"/>
      <c r="Y13" s="1363"/>
      <c r="Z13" s="1364"/>
      <c r="AA13" s="1365"/>
      <c r="AB13" s="1365"/>
      <c r="AC13" s="1366"/>
      <c r="AD13" s="1367"/>
      <c r="AE13" s="1368"/>
      <c r="AF13" s="1369"/>
      <c r="AG13" s="1369"/>
      <c r="AH13" s="1370"/>
      <c r="AI13" s="1371"/>
      <c r="AJ13" s="1376"/>
      <c r="AK13" s="1381"/>
      <c r="AL13" s="1382"/>
      <c r="AM13" s="1382"/>
      <c r="AN13" s="1382"/>
      <c r="AO13" s="1382"/>
      <c r="AP13" s="1382"/>
      <c r="AQ13" s="1335"/>
      <c r="AR13" s="1250"/>
      <c r="AT13" s="1383" t="s">
        <v>62</v>
      </c>
      <c r="AU13" s="1384"/>
      <c r="AV13" s="1384"/>
      <c r="AW13" s="1384"/>
      <c r="AX13" s="1384"/>
      <c r="AY13" s="1385"/>
    </row>
    <row r="14" spans="1:53" ht="18.75" customHeight="1" thickBot="1" x14ac:dyDescent="0.25">
      <c r="A14" s="1339" t="str">
        <f>IF($AK9&gt;3,"4","")</f>
        <v>4</v>
      </c>
      <c r="B14" s="1374" t="s">
        <v>10</v>
      </c>
      <c r="C14" s="1375"/>
      <c r="D14" s="1375"/>
      <c r="E14" s="1343" t="str">
        <f>AU10</f>
        <v>SSCVB-15U</v>
      </c>
      <c r="F14" s="1344"/>
      <c r="G14" s="1344"/>
      <c r="H14" s="1344"/>
      <c r="I14" s="1344"/>
      <c r="J14" s="1344"/>
      <c r="K14" s="1345"/>
      <c r="L14" s="1346">
        <f>IF($AK10=0,AF67,AF49)</f>
        <v>0</v>
      </c>
      <c r="M14" s="1347"/>
      <c r="N14" s="1347"/>
      <c r="O14" s="1347"/>
      <c r="P14" s="1347"/>
      <c r="Q14" s="1322"/>
      <c r="R14" s="1346">
        <f>IF($AK10=0,AG67,AG49)</f>
        <v>8</v>
      </c>
      <c r="S14" s="1347"/>
      <c r="T14" s="1347"/>
      <c r="U14" s="1347"/>
      <c r="V14" s="1347"/>
      <c r="W14" s="1346">
        <f>AQ27</f>
        <v>-48</v>
      </c>
      <c r="X14" s="1347"/>
      <c r="Y14" s="1347"/>
      <c r="Z14" s="1348">
        <f>IF(AF61&gt;0,(AQ27/AF61),0)</f>
        <v>-0.23762376237623761</v>
      </c>
      <c r="AA14" s="1349"/>
      <c r="AB14" s="1349"/>
      <c r="AC14" s="1350">
        <f>IF(AF75=0,0,(AF67/AF75))</f>
        <v>0</v>
      </c>
      <c r="AD14" s="1351"/>
      <c r="AE14" s="1352"/>
      <c r="AF14" s="1353">
        <v>5</v>
      </c>
      <c r="AG14" s="1353">
        <v>1</v>
      </c>
      <c r="AH14" s="1354"/>
      <c r="AI14" s="1355"/>
      <c r="AJ14" s="1270"/>
      <c r="AK14" s="1382"/>
      <c r="AL14" s="1382"/>
      <c r="AM14" s="1382"/>
      <c r="AN14" s="1382"/>
      <c r="AO14" s="1382"/>
      <c r="AP14" s="1382"/>
      <c r="AQ14" s="1337"/>
      <c r="AR14" s="1338"/>
      <c r="AT14" s="1386"/>
      <c r="AU14" s="1387"/>
      <c r="AV14" s="1387"/>
      <c r="AW14" s="1387"/>
      <c r="AX14" s="1387"/>
      <c r="AY14" s="1388"/>
    </row>
    <row r="15" spans="1:53" ht="18.75" customHeight="1" thickBot="1" x14ac:dyDescent="0.25">
      <c r="A15" s="1356"/>
      <c r="B15" s="1372" t="s">
        <v>11</v>
      </c>
      <c r="C15" s="1373"/>
      <c r="D15" s="1373"/>
      <c r="E15" s="1360" t="str">
        <f>AV10</f>
        <v>fj5ssvbc1so</v>
      </c>
      <c r="F15" s="1361"/>
      <c r="G15" s="1361"/>
      <c r="H15" s="1361"/>
      <c r="I15" s="1361"/>
      <c r="J15" s="1361"/>
      <c r="K15" s="1361"/>
      <c r="L15" s="1362"/>
      <c r="M15" s="1363"/>
      <c r="N15" s="1363"/>
      <c r="O15" s="1363"/>
      <c r="P15" s="1363"/>
      <c r="Q15" s="1322"/>
      <c r="R15" s="1362"/>
      <c r="S15" s="1363"/>
      <c r="T15" s="1363"/>
      <c r="U15" s="1363"/>
      <c r="V15" s="1363"/>
      <c r="W15" s="1362"/>
      <c r="X15" s="1363"/>
      <c r="Y15" s="1363"/>
      <c r="Z15" s="1364"/>
      <c r="AA15" s="1365"/>
      <c r="AB15" s="1365"/>
      <c r="AC15" s="1366"/>
      <c r="AD15" s="1367"/>
      <c r="AE15" s="1368"/>
      <c r="AF15" s="1369"/>
      <c r="AG15" s="1369"/>
      <c r="AH15" s="1370"/>
      <c r="AI15" s="1371"/>
      <c r="AJ15" s="1270"/>
      <c r="AK15" s="1382"/>
      <c r="AL15" s="1382"/>
      <c r="AM15" s="1382"/>
      <c r="AN15" s="1382"/>
      <c r="AO15" s="1382"/>
      <c r="AP15" s="1382"/>
      <c r="AQ15" s="1270"/>
      <c r="AR15" s="1250"/>
      <c r="AW15" s="1389"/>
      <c r="AX15" s="1389"/>
      <c r="AY15" s="1389"/>
    </row>
    <row r="16" spans="1:53" ht="18.75" customHeight="1" x14ac:dyDescent="0.2">
      <c r="A16" s="1339" t="str">
        <f>IF($AK9&gt;4,"5","")</f>
        <v>5</v>
      </c>
      <c r="B16" s="1374" t="s">
        <v>10</v>
      </c>
      <c r="C16" s="1375"/>
      <c r="D16" s="1375"/>
      <c r="E16" s="1343" t="str">
        <f>AU11</f>
        <v>Magnum Aiken 15 Yellow</v>
      </c>
      <c r="F16" s="1344"/>
      <c r="G16" s="1344"/>
      <c r="H16" s="1344"/>
      <c r="I16" s="1344"/>
      <c r="J16" s="1344"/>
      <c r="K16" s="1345"/>
      <c r="L16" s="1346">
        <f>IF($AK10=0,AF68,AF50)</f>
        <v>5</v>
      </c>
      <c r="M16" s="1347"/>
      <c r="N16" s="1347"/>
      <c r="O16" s="1347"/>
      <c r="P16" s="1347"/>
      <c r="Q16" s="1322"/>
      <c r="R16" s="1346">
        <f>IF($AK10=0,AG68,AG50)</f>
        <v>3</v>
      </c>
      <c r="S16" s="1347"/>
      <c r="T16" s="1347"/>
      <c r="U16" s="1347"/>
      <c r="V16" s="1347"/>
      <c r="W16" s="1346">
        <f>AQ28</f>
        <v>-3</v>
      </c>
      <c r="X16" s="1347"/>
      <c r="Y16" s="1347"/>
      <c r="Z16" s="1348">
        <f>IF(AF62&gt;0,(AQ28/AF62),0)</f>
        <v>-1.4778325123152709E-2</v>
      </c>
      <c r="AA16" s="1349"/>
      <c r="AB16" s="1349"/>
      <c r="AC16" s="1350">
        <f>IF(AF76=0,0,(AF68/AF76))</f>
        <v>0.625</v>
      </c>
      <c r="AD16" s="1351"/>
      <c r="AE16" s="1352"/>
      <c r="AF16" s="1353">
        <v>2</v>
      </c>
      <c r="AG16" s="1353">
        <v>1</v>
      </c>
      <c r="AH16" s="1354"/>
      <c r="AI16" s="1355"/>
      <c r="AJ16" s="1270"/>
      <c r="AK16" s="1382"/>
      <c r="AL16" s="1382"/>
      <c r="AM16" s="1382"/>
      <c r="AN16" s="1382"/>
      <c r="AO16" s="1382"/>
      <c r="AP16" s="1382"/>
      <c r="AQ16" s="1270"/>
      <c r="AR16" s="1250"/>
      <c r="AT16" s="1390"/>
      <c r="AU16" s="1389"/>
      <c r="AV16" s="1389"/>
      <c r="AW16" s="1389"/>
      <c r="AX16" s="1389"/>
      <c r="AY16" s="1389"/>
    </row>
    <row r="17" spans="1:51" ht="18.75" customHeight="1" thickBot="1" x14ac:dyDescent="0.25">
      <c r="A17" s="1356"/>
      <c r="B17" s="1391" t="s">
        <v>11</v>
      </c>
      <c r="C17" s="1392"/>
      <c r="D17" s="1392"/>
      <c r="E17" s="1393" t="str">
        <f>AV11</f>
        <v>fj5magnm4pm</v>
      </c>
      <c r="F17" s="1394"/>
      <c r="G17" s="1394"/>
      <c r="H17" s="1394"/>
      <c r="I17" s="1394"/>
      <c r="J17" s="1394"/>
      <c r="K17" s="1394"/>
      <c r="L17" s="1395"/>
      <c r="M17" s="1396"/>
      <c r="N17" s="1396"/>
      <c r="O17" s="1396"/>
      <c r="P17" s="1396"/>
      <c r="Q17" s="1322"/>
      <c r="R17" s="1395"/>
      <c r="S17" s="1396"/>
      <c r="T17" s="1396"/>
      <c r="U17" s="1396"/>
      <c r="V17" s="1396"/>
      <c r="W17" s="1395"/>
      <c r="X17" s="1396"/>
      <c r="Y17" s="1396"/>
      <c r="Z17" s="1397"/>
      <c r="AA17" s="1398"/>
      <c r="AB17" s="1398"/>
      <c r="AC17" s="1399"/>
      <c r="AD17" s="1400"/>
      <c r="AE17" s="1401"/>
      <c r="AF17" s="1402"/>
      <c r="AG17" s="1402"/>
      <c r="AH17" s="1403"/>
      <c r="AI17" s="1404"/>
      <c r="AJ17" s="1270"/>
      <c r="AK17" s="1382"/>
      <c r="AL17" s="1382"/>
      <c r="AM17" s="1382"/>
      <c r="AN17" s="1382"/>
      <c r="AO17" s="1382"/>
      <c r="AP17" s="1382"/>
      <c r="AQ17" s="1270"/>
      <c r="AR17" s="1250"/>
      <c r="AT17" s="1390"/>
      <c r="AU17" s="1389"/>
      <c r="AV17" s="1389"/>
      <c r="AW17" s="1389"/>
      <c r="AX17" s="1389"/>
      <c r="AY17" s="1389"/>
    </row>
    <row r="18" spans="1:51" ht="21" customHeight="1" thickTop="1" thickBot="1" x14ac:dyDescent="0.25">
      <c r="A18" s="1405"/>
      <c r="B18" s="1406" t="s">
        <v>63</v>
      </c>
      <c r="C18" s="1407"/>
      <c r="D18" s="1407"/>
      <c r="E18" s="1407"/>
      <c r="F18" s="1407"/>
      <c r="G18" s="1407"/>
      <c r="H18" s="1407"/>
      <c r="I18" s="1407"/>
      <c r="J18" s="1407"/>
      <c r="K18" s="1407"/>
      <c r="L18" s="1407"/>
      <c r="M18" s="1407"/>
      <c r="N18" s="1407"/>
      <c r="O18" s="1407"/>
      <c r="P18" s="1407"/>
      <c r="Q18" s="1407"/>
      <c r="R18" s="1407"/>
      <c r="S18" s="1407"/>
      <c r="T18" s="1407"/>
      <c r="U18" s="1407"/>
      <c r="V18" s="1407"/>
      <c r="W18" s="1407"/>
      <c r="X18" s="1407"/>
      <c r="Y18" s="1407"/>
      <c r="Z18" s="1407"/>
      <c r="AA18" s="1407"/>
      <c r="AB18" s="1407"/>
      <c r="AC18" s="1407"/>
      <c r="AD18" s="1407"/>
      <c r="AE18" s="1407"/>
      <c r="AF18" s="1407"/>
      <c r="AG18" s="1407"/>
      <c r="AH18" s="1407"/>
      <c r="AI18" s="1408"/>
      <c r="AJ18" s="1270"/>
      <c r="AK18" s="1382"/>
      <c r="AL18" s="1382"/>
      <c r="AM18" s="1382"/>
      <c r="AN18" s="1382"/>
      <c r="AO18" s="1382"/>
      <c r="AP18" s="1382"/>
      <c r="AQ18" s="1270"/>
      <c r="AR18" s="1250"/>
      <c r="AT18" s="1390"/>
      <c r="AU18" s="1389"/>
      <c r="AV18" s="1389"/>
      <c r="AW18" s="1251"/>
    </row>
    <row r="19" spans="1:51" ht="13.5" thickTop="1" x14ac:dyDescent="0.2">
      <c r="A19" s="1251" t="s">
        <v>64</v>
      </c>
      <c r="B19" s="1409">
        <v>0.35416666666666669</v>
      </c>
      <c r="C19" s="1410"/>
      <c r="D19" s="1411"/>
      <c r="E19" s="1409">
        <v>0.38541666666666669</v>
      </c>
      <c r="F19" s="1410"/>
      <c r="G19" s="1411"/>
      <c r="H19" s="1409">
        <v>0.41666666666666669</v>
      </c>
      <c r="I19" s="1410"/>
      <c r="J19" s="1411"/>
      <c r="K19" s="1409">
        <v>0.44791666666666669</v>
      </c>
      <c r="L19" s="1410"/>
      <c r="M19" s="1411"/>
      <c r="N19" s="1409">
        <v>0.47916666666666669</v>
      </c>
      <c r="O19" s="1410"/>
      <c r="P19" s="1411"/>
      <c r="Q19" s="1409">
        <v>0.51041666666666663</v>
      </c>
      <c r="R19" s="1410"/>
      <c r="S19" s="1411"/>
      <c r="T19" s="1409">
        <v>4.1666666666666664E-2</v>
      </c>
      <c r="U19" s="1410"/>
      <c r="V19" s="1411"/>
      <c r="W19" s="1409">
        <v>7.2916666666666671E-2</v>
      </c>
      <c r="X19" s="1410"/>
      <c r="Y19" s="1411"/>
      <c r="Z19" s="1409">
        <v>0.10416666666666667</v>
      </c>
      <c r="AA19" s="1410"/>
      <c r="AB19" s="1411"/>
      <c r="AC19" s="1409">
        <v>0.13541666666666666</v>
      </c>
      <c r="AD19" s="1410"/>
      <c r="AE19" s="1411"/>
      <c r="AF19" s="1412" t="s">
        <v>65</v>
      </c>
      <c r="AG19" s="1413"/>
      <c r="AH19" s="1413"/>
      <c r="AI19" s="1413"/>
      <c r="AJ19" s="1414"/>
      <c r="AK19" s="1414"/>
      <c r="AL19" s="1414"/>
      <c r="AM19" s="1414"/>
      <c r="AN19" s="1414"/>
      <c r="AO19" s="1414"/>
      <c r="AP19" s="1414"/>
      <c r="AQ19" s="1415"/>
      <c r="AT19" s="1390"/>
      <c r="AU19" s="1389"/>
      <c r="AV19" s="1389"/>
      <c r="AW19" s="1251"/>
    </row>
    <row r="20" spans="1:51" x14ac:dyDescent="0.2">
      <c r="A20" s="1416" t="s">
        <v>66</v>
      </c>
      <c r="B20" s="1417">
        <v>0.35486111111111113</v>
      </c>
      <c r="C20" s="1418"/>
      <c r="D20" s="1419"/>
      <c r="E20" s="1417">
        <v>0.3923611111111111</v>
      </c>
      <c r="F20" s="1418"/>
      <c r="G20" s="1419"/>
      <c r="H20" s="1417">
        <v>0.4236111111111111</v>
      </c>
      <c r="I20" s="1418"/>
      <c r="J20" s="1419"/>
      <c r="K20" s="1417">
        <v>0.4597222222222222</v>
      </c>
      <c r="L20" s="1418"/>
      <c r="M20" s="1419"/>
      <c r="N20" s="1417">
        <v>0.49374999999999997</v>
      </c>
      <c r="O20" s="1418"/>
      <c r="P20" s="1419"/>
      <c r="Q20" s="1417">
        <v>0.52430555555555558</v>
      </c>
      <c r="R20" s="1418"/>
      <c r="S20" s="1419"/>
      <c r="T20" s="1417">
        <v>6.25E-2</v>
      </c>
      <c r="U20" s="1418"/>
      <c r="V20" s="1419"/>
      <c r="W20" s="1417">
        <v>9.6527777777777768E-2</v>
      </c>
      <c r="X20" s="1418"/>
      <c r="Y20" s="1419"/>
      <c r="Z20" s="1417">
        <v>0.12986111111111112</v>
      </c>
      <c r="AA20" s="1418"/>
      <c r="AB20" s="1419"/>
      <c r="AC20" s="1417">
        <v>0.15972222222222224</v>
      </c>
      <c r="AD20" s="1418"/>
      <c r="AE20" s="1419"/>
      <c r="AF20" s="1412"/>
      <c r="AG20" s="1413"/>
      <c r="AH20" s="1413"/>
      <c r="AI20" s="1413"/>
      <c r="AJ20" s="1413"/>
      <c r="AK20" s="1413"/>
      <c r="AL20" s="1413"/>
      <c r="AM20" s="1413"/>
      <c r="AN20" s="1413"/>
      <c r="AO20" s="1413"/>
      <c r="AP20" s="1413"/>
      <c r="AQ20" s="1420"/>
      <c r="AT20" s="1390"/>
      <c r="AU20" s="1389"/>
      <c r="AV20" s="1389"/>
      <c r="AW20" s="1251"/>
    </row>
    <row r="21" spans="1:51" x14ac:dyDescent="0.2">
      <c r="A21" s="1416" t="s">
        <v>67</v>
      </c>
      <c r="B21" s="1417">
        <v>0.38541666666666669</v>
      </c>
      <c r="C21" s="1418"/>
      <c r="D21" s="1419"/>
      <c r="E21" s="1417">
        <v>0.4152777777777778</v>
      </c>
      <c r="F21" s="1418"/>
      <c r="G21" s="1419"/>
      <c r="H21" s="1417">
        <v>0.45347222222222222</v>
      </c>
      <c r="I21" s="1418"/>
      <c r="J21" s="1419"/>
      <c r="K21" s="1417">
        <v>0.4861111111111111</v>
      </c>
      <c r="L21" s="1418"/>
      <c r="M21" s="1419"/>
      <c r="N21" s="1417">
        <v>0.5180555555555556</v>
      </c>
      <c r="O21" s="1418"/>
      <c r="P21" s="1419"/>
      <c r="Q21" s="1417">
        <v>5.486111111111111E-2</v>
      </c>
      <c r="R21" s="1418"/>
      <c r="S21" s="1419"/>
      <c r="T21" s="1417">
        <v>9.0277777777777776E-2</v>
      </c>
      <c r="U21" s="1418"/>
      <c r="V21" s="1419"/>
      <c r="W21" s="1417">
        <v>0.12152777777777778</v>
      </c>
      <c r="X21" s="1418"/>
      <c r="Y21" s="1419"/>
      <c r="Z21" s="1417">
        <v>0.15486111111111112</v>
      </c>
      <c r="AA21" s="1418"/>
      <c r="AB21" s="1419"/>
      <c r="AC21" s="1417"/>
      <c r="AD21" s="1418"/>
      <c r="AE21" s="1419"/>
      <c r="AF21" s="1412"/>
      <c r="AG21" s="1413"/>
      <c r="AH21" s="1413"/>
      <c r="AI21" s="1413"/>
      <c r="AJ21" s="1413"/>
      <c r="AK21" s="1413"/>
      <c r="AL21" s="1413"/>
      <c r="AM21" s="1413"/>
      <c r="AN21" s="1413"/>
      <c r="AO21" s="1413"/>
      <c r="AP21" s="1413"/>
      <c r="AQ21" s="1420"/>
      <c r="AT21" s="1258"/>
      <c r="AU21" s="1258"/>
      <c r="AV21" s="1258"/>
      <c r="AW21" s="1251"/>
    </row>
    <row r="22" spans="1:51" ht="13.5" thickBot="1" x14ac:dyDescent="0.25">
      <c r="A22" s="1270"/>
      <c r="B22" s="1421" t="s">
        <v>68</v>
      </c>
      <c r="C22" s="1422"/>
      <c r="D22" s="1423"/>
      <c r="E22" s="1421" t="str">
        <f>IF($AK8&gt;1,"Match 2","")</f>
        <v>Match 2</v>
      </c>
      <c r="F22" s="1422"/>
      <c r="G22" s="1423"/>
      <c r="H22" s="1421" t="str">
        <f>IF($AK8&gt;2,"Match 3","")</f>
        <v>Match 3</v>
      </c>
      <c r="I22" s="1422"/>
      <c r="J22" s="1423"/>
      <c r="K22" s="1421" t="str">
        <f>IF($AK8&gt;3,"Match 4","")</f>
        <v>Match 4</v>
      </c>
      <c r="L22" s="1422"/>
      <c r="M22" s="1423"/>
      <c r="N22" s="1421" t="str">
        <f>IF($AK8&gt;4,"Match 5","")</f>
        <v>Match 5</v>
      </c>
      <c r="O22" s="1422"/>
      <c r="P22" s="1423"/>
      <c r="Q22" s="1421" t="str">
        <f>IF($AK8&gt;5,"Match 6","")</f>
        <v>Match 6</v>
      </c>
      <c r="R22" s="1422"/>
      <c r="S22" s="1423"/>
      <c r="T22" s="1421" t="str">
        <f>IF($AK8&gt;6,"Match 7","")</f>
        <v>Match 7</v>
      </c>
      <c r="U22" s="1422"/>
      <c r="V22" s="1423"/>
      <c r="W22" s="1421" t="str">
        <f>IF($AK8&gt;7,"Match 8","")</f>
        <v>Match 8</v>
      </c>
      <c r="X22" s="1422"/>
      <c r="Y22" s="1423"/>
      <c r="Z22" s="1421" t="str">
        <f>IF($AK8&gt;8,"Match 9","")</f>
        <v>Match 9</v>
      </c>
      <c r="AA22" s="1422"/>
      <c r="AB22" s="1423"/>
      <c r="AC22" s="1421" t="str">
        <f>IF($AK8&gt;9,"Match 10","")</f>
        <v>Match 10</v>
      </c>
      <c r="AD22" s="1422"/>
      <c r="AE22" s="1423"/>
      <c r="AF22" s="1424"/>
      <c r="AG22" s="1425"/>
      <c r="AH22" s="1425"/>
      <c r="AI22" s="1425"/>
      <c r="AJ22" s="1425"/>
      <c r="AK22" s="1425"/>
      <c r="AL22" s="1425"/>
      <c r="AM22" s="1425"/>
      <c r="AN22" s="1425"/>
      <c r="AO22" s="1425"/>
      <c r="AP22" s="1425"/>
      <c r="AQ22" s="1426"/>
      <c r="AT22" s="1390"/>
      <c r="AU22" s="1389"/>
      <c r="AV22" s="1389"/>
      <c r="AW22" s="1251"/>
    </row>
    <row r="23" spans="1:51" ht="15.75" x14ac:dyDescent="0.25">
      <c r="A23" s="1270"/>
      <c r="B23" s="1427" t="s">
        <v>69</v>
      </c>
      <c r="C23" s="1428"/>
      <c r="D23" s="1429"/>
      <c r="E23" s="1427" t="s">
        <v>70</v>
      </c>
      <c r="F23" s="1428"/>
      <c r="G23" s="1429"/>
      <c r="H23" s="1427" t="s">
        <v>71</v>
      </c>
      <c r="I23" s="1428"/>
      <c r="J23" s="1429"/>
      <c r="K23" s="1427" t="s">
        <v>72</v>
      </c>
      <c r="L23" s="1428"/>
      <c r="M23" s="1429"/>
      <c r="N23" s="1427" t="s">
        <v>73</v>
      </c>
      <c r="O23" s="1428"/>
      <c r="P23" s="1429"/>
      <c r="Q23" s="1427" t="s">
        <v>71</v>
      </c>
      <c r="R23" s="1428"/>
      <c r="S23" s="1429"/>
      <c r="T23" s="1427" t="s">
        <v>69</v>
      </c>
      <c r="U23" s="1428"/>
      <c r="V23" s="1429"/>
      <c r="W23" s="1427" t="s">
        <v>73</v>
      </c>
      <c r="X23" s="1428"/>
      <c r="Y23" s="1429"/>
      <c r="Z23" s="1427" t="s">
        <v>72</v>
      </c>
      <c r="AA23" s="1428"/>
      <c r="AB23" s="1429"/>
      <c r="AC23" s="1427" t="s">
        <v>70</v>
      </c>
      <c r="AD23" s="1428"/>
      <c r="AE23" s="1429"/>
      <c r="AF23" s="1430" t="s">
        <v>74</v>
      </c>
      <c r="AG23" s="1431">
        <v>1</v>
      </c>
      <c r="AH23" s="1431">
        <v>2</v>
      </c>
      <c r="AI23" s="1431">
        <v>3</v>
      </c>
      <c r="AJ23" s="1431">
        <v>4</v>
      </c>
      <c r="AK23" s="1431">
        <v>5</v>
      </c>
      <c r="AL23" s="1431">
        <v>6</v>
      </c>
      <c r="AM23" s="1431">
        <v>7</v>
      </c>
      <c r="AN23" s="1431">
        <v>8</v>
      </c>
      <c r="AO23" s="1431">
        <v>9</v>
      </c>
      <c r="AP23" s="1431">
        <v>10</v>
      </c>
      <c r="AQ23" s="1432" t="s">
        <v>75</v>
      </c>
      <c r="AT23" s="1390"/>
      <c r="AU23" s="1389"/>
      <c r="AV23" s="1389"/>
      <c r="AW23" s="1389"/>
      <c r="AX23" s="1389"/>
      <c r="AY23" s="1389"/>
    </row>
    <row r="24" spans="1:51" ht="15.75" x14ac:dyDescent="0.25">
      <c r="A24" s="1270"/>
      <c r="B24" s="1433">
        <v>2</v>
      </c>
      <c r="C24" s="1434" t="s">
        <v>76</v>
      </c>
      <c r="D24" s="1435">
        <v>5</v>
      </c>
      <c r="E24" s="1433">
        <v>1</v>
      </c>
      <c r="F24" s="1434" t="str">
        <f>IF($AK8&gt;1,"v","")</f>
        <v>v</v>
      </c>
      <c r="G24" s="1435">
        <v>4</v>
      </c>
      <c r="H24" s="1433">
        <v>3</v>
      </c>
      <c r="I24" s="1434" t="str">
        <f>IF($AK8&gt;2,"v","")</f>
        <v>v</v>
      </c>
      <c r="J24" s="1435">
        <v>5</v>
      </c>
      <c r="K24" s="1433">
        <v>2</v>
      </c>
      <c r="L24" s="1434" t="str">
        <f>IF($AK8&gt;3,"v","")</f>
        <v>v</v>
      </c>
      <c r="M24" s="1435">
        <v>4</v>
      </c>
      <c r="N24" s="1433">
        <v>1</v>
      </c>
      <c r="O24" s="1434" t="str">
        <f>IF($AK8&gt;4,"v","")</f>
        <v>v</v>
      </c>
      <c r="P24" s="1435">
        <v>3</v>
      </c>
      <c r="Q24" s="1433">
        <v>4</v>
      </c>
      <c r="R24" s="1434" t="str">
        <f>IF($AK8&gt;5,"v","")</f>
        <v>v</v>
      </c>
      <c r="S24" s="1435">
        <v>5</v>
      </c>
      <c r="T24" s="1433">
        <v>2</v>
      </c>
      <c r="U24" s="1434" t="str">
        <f>IF($AK8&gt;6,"v","")</f>
        <v>v</v>
      </c>
      <c r="V24" s="1435">
        <v>3</v>
      </c>
      <c r="W24" s="1433">
        <v>1</v>
      </c>
      <c r="X24" s="1434" t="str">
        <f>IF($AK8&gt;7,"v","")</f>
        <v>v</v>
      </c>
      <c r="Y24" s="1435">
        <v>5</v>
      </c>
      <c r="Z24" s="1433">
        <v>3</v>
      </c>
      <c r="AA24" s="1434" t="str">
        <f>IF($AK8&gt;8,"v","")</f>
        <v>v</v>
      </c>
      <c r="AB24" s="1435">
        <v>4</v>
      </c>
      <c r="AC24" s="1433">
        <v>1</v>
      </c>
      <c r="AD24" s="1434" t="str">
        <f>IF($AK8&gt;9,"v","")</f>
        <v>v</v>
      </c>
      <c r="AE24" s="1435">
        <v>2</v>
      </c>
      <c r="AF24" s="1430" t="str">
        <f>IF($AK9&gt;0,"Team 1","")</f>
        <v>Team 1</v>
      </c>
      <c r="AG24" s="1436" t="str">
        <f>IF($AK9&lt;1,"",IF($AK8&lt;1,"",IF(B24=1,B30-D30,IF(D24=1,D30-B30,""))))</f>
        <v/>
      </c>
      <c r="AH24" s="1436">
        <f>IF($AK9&lt;1,"",IF($AK8&lt;2,"",IF(E24=1,E30-G30,IF(G24=1,G30-E30,""))))</f>
        <v>21</v>
      </c>
      <c r="AI24" s="1436" t="str">
        <f>IF($AK9&lt;1,"",IF($AK8&lt;3,"",IF(H24=1,H30-J30,IF(J24=1,J30-H30,""))))</f>
        <v/>
      </c>
      <c r="AJ24" s="1436" t="str">
        <f>IF($AK9&lt;1,"",IF($AK8&lt;4,"",IF(K24=1,K30-M30,IF(M24=1,M30-K30,""))))</f>
        <v/>
      </c>
      <c r="AK24" s="1436">
        <f>IF($AK9&lt;1,"",IF($AK8&lt;5,"",IF(N24=1,N30-P30,IF(P24=1,P30-N30,""))))</f>
        <v>5</v>
      </c>
      <c r="AL24" s="1436" t="str">
        <f>IF($AK9&lt;1,"",IF($AK8&lt;6,"",IF(Q24=1,Q30-S30,IF(S24=1,S30-Q30,""))))</f>
        <v/>
      </c>
      <c r="AM24" s="1436" t="str">
        <f>IF($AK9&lt;1,"",IF($AK8&lt;7,"",IF(T24=1,T30-V30,IF(V24=1,V30-T30,""))))</f>
        <v/>
      </c>
      <c r="AN24" s="1436">
        <f>IF($AK9&lt;1,"",IF($AK8&lt;8,"",IF(W24=1,W30-Y30,IF(Y24=1,Y30-W30,""))))</f>
        <v>16</v>
      </c>
      <c r="AO24" s="1436" t="str">
        <f>IF($AK9&lt;1,"",IF($AK8&lt;9,"",IF(Z24=1,Z30-AB30,IF(AB24=1,AB30-Z30,""))))</f>
        <v/>
      </c>
      <c r="AP24" s="1436">
        <f>IF($AK9&lt;1,"",IF($AK8&lt;10,"",IF(AC24=1,AC30-AE30,IF(AE24=1,AE30-AC30,""))))</f>
        <v>7</v>
      </c>
      <c r="AQ24" s="1432">
        <f>SUM(AG24:AP24)</f>
        <v>49</v>
      </c>
      <c r="AT24" s="1390"/>
      <c r="AU24" s="1389"/>
      <c r="AV24" s="1389"/>
      <c r="AW24" s="1389"/>
      <c r="AX24" s="1389"/>
      <c r="AY24" s="1389"/>
    </row>
    <row r="25" spans="1:51" ht="15" x14ac:dyDescent="0.2">
      <c r="A25" s="1251" t="s">
        <v>77</v>
      </c>
      <c r="B25" s="1437">
        <v>27</v>
      </c>
      <c r="C25" s="1438" t="s">
        <v>78</v>
      </c>
      <c r="D25" s="1439">
        <v>26</v>
      </c>
      <c r="E25" s="1437">
        <v>25</v>
      </c>
      <c r="F25" s="1438" t="str">
        <f>IF($AK8&gt;1,"/","")</f>
        <v>/</v>
      </c>
      <c r="G25" s="1439">
        <v>17</v>
      </c>
      <c r="H25" s="1437">
        <v>20</v>
      </c>
      <c r="I25" s="1438" t="str">
        <f>IF($AK8&gt;2,"/","")</f>
        <v>/</v>
      </c>
      <c r="J25" s="1439">
        <v>25</v>
      </c>
      <c r="K25" s="1437">
        <v>25</v>
      </c>
      <c r="L25" s="1438" t="str">
        <f>IF($AK8&gt;3,"/","")</f>
        <v>/</v>
      </c>
      <c r="M25" s="1439">
        <v>19</v>
      </c>
      <c r="N25" s="1437">
        <v>20</v>
      </c>
      <c r="O25" s="1438" t="str">
        <f>IF($AK8&gt;4,"/","")</f>
        <v>/</v>
      </c>
      <c r="P25" s="1439">
        <v>25</v>
      </c>
      <c r="Q25" s="1437">
        <v>23</v>
      </c>
      <c r="R25" s="1438" t="str">
        <f>IF($AK8&gt;5,"/","")</f>
        <v>/</v>
      </c>
      <c r="S25" s="1439">
        <v>25</v>
      </c>
      <c r="T25" s="1437">
        <v>21</v>
      </c>
      <c r="U25" s="1438" t="str">
        <f>IF($AK8&gt;6,"/","")</f>
        <v>/</v>
      </c>
      <c r="V25" s="1439">
        <v>25</v>
      </c>
      <c r="W25" s="1437">
        <v>25</v>
      </c>
      <c r="X25" s="1438" t="str">
        <f>IF($AK8&gt;7,"/","")</f>
        <v>/</v>
      </c>
      <c r="Y25" s="1439">
        <v>17</v>
      </c>
      <c r="Z25" s="1437">
        <v>25</v>
      </c>
      <c r="AA25" s="1438" t="str">
        <f>IF($AK8&gt;8,"/","")</f>
        <v>/</v>
      </c>
      <c r="AB25" s="1439">
        <v>17</v>
      </c>
      <c r="AC25" s="1437">
        <v>25</v>
      </c>
      <c r="AD25" s="1438" t="str">
        <f>IF($AK8&gt;9,"/","")</f>
        <v>/</v>
      </c>
      <c r="AE25" s="1439">
        <v>20</v>
      </c>
      <c r="AF25" s="1430" t="str">
        <f>IF($AK9&gt;1,"Team 2","")</f>
        <v>Team 2</v>
      </c>
      <c r="AG25" s="1436">
        <f>IF($AK9&lt;2,"",IF($AK8&lt;1,"",IF(B24=2,B30-D30,IF(D24=2,D30-B30,""))))</f>
        <v>-1</v>
      </c>
      <c r="AH25" s="1436" t="str">
        <f>IF($AK9&lt;2,"",IF($AK8&lt;2,"",IF(E24=2,E30-G30,IF(G24=2,G30-E30,""))))</f>
        <v/>
      </c>
      <c r="AI25" s="1436" t="str">
        <f>IF($AK9&lt;2,"",IF($AK8&lt;3,"",IF(H24=2,H30-J30,IF(J24=2,J30-H30,""))))</f>
        <v/>
      </c>
      <c r="AJ25" s="1436">
        <f>IF($AK9&lt;2,"",IF($AK8&lt;4,"",IF(K24=2,K30-M30,IF(M24=2,M30-K30,""))))</f>
        <v>12</v>
      </c>
      <c r="AK25" s="1436" t="str">
        <f>IF($AK9&lt;2,"",IF($AK8&lt;5,"",IF(N24=2,N30-P30,IF(P24=2,P30-N30,""))))</f>
        <v/>
      </c>
      <c r="AL25" s="1436" t="str">
        <f>IF($AK9&lt;2,"",IF($AK8&lt;6,"",IF(Q24=2,Q30-S30,IF(S24=2,S30-Q30,""))))</f>
        <v/>
      </c>
      <c r="AM25" s="1436">
        <f>IF($AK9&lt;2,"",IF($AK8&lt;7,"",IF(T24=2,T30-V30,IF(V24=2,V30-T30,""))))</f>
        <v>-2</v>
      </c>
      <c r="AN25" s="1436" t="str">
        <f>IF($AK9&lt;2,"",IF($AK8&lt;8,"",IF(W24=2,W30-Y30,IF(Y24=2,Y30-W30,""))))</f>
        <v/>
      </c>
      <c r="AO25" s="1436" t="str">
        <f>IF($AK9&lt;2,"",IF($AK8&lt;9,"",IF(Z24=2,Z30-AB30,IF(AB24=2,AB30-Z30,""))))</f>
        <v/>
      </c>
      <c r="AP25" s="1436">
        <f>IF($AK9&lt;2,"",IF($AK8&lt;10,"",IF(AC24=2,AC30-AE30,IF(AE24=2,AE30-AC30,""))))</f>
        <v>-7</v>
      </c>
      <c r="AQ25" s="1432">
        <f>SUM(AG25:AP25)</f>
        <v>2</v>
      </c>
      <c r="AW25" s="1251"/>
    </row>
    <row r="26" spans="1:51" ht="15" x14ac:dyDescent="0.2">
      <c r="A26" s="1250" t="str">
        <f>IF($AK7&gt;1,"Game 2","")</f>
        <v>Game 2</v>
      </c>
      <c r="B26" s="1437">
        <v>23</v>
      </c>
      <c r="C26" s="1438" t="s">
        <v>78</v>
      </c>
      <c r="D26" s="1439">
        <v>25</v>
      </c>
      <c r="E26" s="1437">
        <v>25</v>
      </c>
      <c r="F26" s="1438" t="str">
        <f>IF($AK8&gt;1,IF($AK7&gt;1,"/",""),"")</f>
        <v>/</v>
      </c>
      <c r="G26" s="1439">
        <v>12</v>
      </c>
      <c r="H26" s="1437">
        <v>22</v>
      </c>
      <c r="I26" s="1438" t="str">
        <f>IF($AK8&gt;2,IF($AK7&gt;1,"/",""),"")</f>
        <v>/</v>
      </c>
      <c r="J26" s="1439">
        <v>25</v>
      </c>
      <c r="K26" s="1437">
        <v>25</v>
      </c>
      <c r="L26" s="1438" t="str">
        <f>IF($AK8&gt;3,IF($AK7&gt;1,"/",""),"")</f>
        <v>/</v>
      </c>
      <c r="M26" s="1439">
        <v>19</v>
      </c>
      <c r="N26" s="1437">
        <v>25</v>
      </c>
      <c r="O26" s="1438" t="str">
        <f>IF($AK8&gt;4,IF($AK7&gt;1,"/",""),"")</f>
        <v>/</v>
      </c>
      <c r="P26" s="1439">
        <v>15</v>
      </c>
      <c r="Q26" s="1437">
        <v>24</v>
      </c>
      <c r="R26" s="1438" t="str">
        <f>IF($AK8&gt;5,IF($AK7&gt;1,"/",""),"")</f>
        <v>/</v>
      </c>
      <c r="S26" s="1439">
        <v>26</v>
      </c>
      <c r="T26" s="1437">
        <v>26</v>
      </c>
      <c r="U26" s="1438" t="str">
        <f>IF($AK8&gt;6,IF($AK7&gt;1,"/",""),"")</f>
        <v>/</v>
      </c>
      <c r="V26" s="1439">
        <v>24</v>
      </c>
      <c r="W26" s="1437">
        <v>25</v>
      </c>
      <c r="X26" s="1438" t="str">
        <f>IF($AK8&gt;7,IF($AK7&gt;1,"/",""),"")</f>
        <v>/</v>
      </c>
      <c r="Y26" s="1439">
        <v>17</v>
      </c>
      <c r="Z26" s="1437">
        <v>26</v>
      </c>
      <c r="AA26" s="1438" t="str">
        <f>IF($AK8&gt;8,IF($AK7&gt;1,"/",""),"")</f>
        <v>/</v>
      </c>
      <c r="AB26" s="1439">
        <v>23</v>
      </c>
      <c r="AC26" s="1437">
        <v>26</v>
      </c>
      <c r="AD26" s="1438" t="str">
        <f>IF($AK8&gt;9,IF($AK7&gt;1,"/",""),"")</f>
        <v>/</v>
      </c>
      <c r="AE26" s="1439">
        <v>24</v>
      </c>
      <c r="AF26" s="1430" t="str">
        <f>IF($AK9&gt;2,"Team 3","")</f>
        <v>Team 3</v>
      </c>
      <c r="AG26" s="1436" t="str">
        <f>IF($AK9&lt;3,"",IF($AK8&lt;1,"",IF(B24=3,B30-D30,IF(D24=3,D30-B30,""))))</f>
        <v/>
      </c>
      <c r="AH26" s="1436" t="str">
        <f>IF($AK9&lt;3,"",IF($AK8&lt;2,"",IF(E24=3,E30-G30,IF(G24=3,G30-E30,""))))</f>
        <v/>
      </c>
      <c r="AI26" s="1436">
        <f>IF($AK9&lt;3,"",IF($AK8&lt;3,"",IF(H24=3,H30-J30,IF(J24=3,J30-H30,""))))</f>
        <v>-8</v>
      </c>
      <c r="AJ26" s="1436" t="str">
        <f>IF($AK9&lt;3,"",IF($AK8&lt;4,"",IF(K24=3,K30-M30,IF(M24=3,M30-K30,""))))</f>
        <v/>
      </c>
      <c r="AK26" s="1436">
        <f>IF($AK9&lt;3,"",IF($AK8&lt;5,"",IF(N24=3,N30-P30,IF(P24=3,P30-N30,""))))</f>
        <v>-5</v>
      </c>
      <c r="AL26" s="1436" t="str">
        <f>IF($AK9&lt;3,"",IF($AK8&lt;6,"",IF(Q24=3,Q30-S30,IF(S24=3,S30-Q30,""))))</f>
        <v/>
      </c>
      <c r="AM26" s="1436">
        <f>IF($AK9&lt;3,"",IF($AK8&lt;7,"",IF(T24=3,T30-V30,IF(V24=3,V30-T30,""))))</f>
        <v>2</v>
      </c>
      <c r="AN26" s="1436" t="str">
        <f>IF($AK9&lt;3,"",IF($AK8&lt;8,"",IF(W24=3,W30-Y30,IF(Y24=3,Y30-W30,""))))</f>
        <v/>
      </c>
      <c r="AO26" s="1436">
        <f>IF($AK9&lt;3,"",IF($AK8&lt;9,"",IF(Z24=3,Z30-AB30,IF(AB24=3,AB30-Z30,""))))</f>
        <v>11</v>
      </c>
      <c r="AP26" s="1436" t="str">
        <f>IF($AK9&lt;3,"",IF($AK8&lt;9,"",IF(AC24=3,AC30-AE30,IF(AE24=3,AE30-AC30,""))))</f>
        <v/>
      </c>
      <c r="AQ26" s="1432">
        <f>SUM(AG26:AP26)</f>
        <v>0</v>
      </c>
      <c r="AW26" s="1251"/>
    </row>
    <row r="27" spans="1:51" ht="15" x14ac:dyDescent="0.2">
      <c r="A27" s="1250" t="str">
        <f>IF($AK7&gt;2,"Game 3","")</f>
        <v/>
      </c>
      <c r="B27" s="1437"/>
      <c r="C27" s="1438" t="s">
        <v>78</v>
      </c>
      <c r="D27" s="1439"/>
      <c r="E27" s="1437"/>
      <c r="F27" s="1438" t="str">
        <f>IF($AK8&gt;1,IF($AK7&gt;2,"/",""),"")</f>
        <v/>
      </c>
      <c r="G27" s="1439"/>
      <c r="H27" s="1437"/>
      <c r="I27" s="1438" t="str">
        <f>IF($AK8&gt;2,IF($AK7&gt;2,"/",""),"")</f>
        <v/>
      </c>
      <c r="J27" s="1439"/>
      <c r="K27" s="1437"/>
      <c r="L27" s="1438" t="str">
        <f>IF($AK8&gt;3,IF($AK7&gt;2,"/",""),"")</f>
        <v/>
      </c>
      <c r="M27" s="1439"/>
      <c r="N27" s="1437"/>
      <c r="O27" s="1438" t="str">
        <f>IF($AK8&gt;4,IF($AK7&gt;2,"/",""),"")</f>
        <v/>
      </c>
      <c r="P27" s="1439"/>
      <c r="Q27" s="1437"/>
      <c r="R27" s="1438" t="str">
        <f>IF($AK8&gt;5,IF($AK7&gt;2,"/",""),"")</f>
        <v/>
      </c>
      <c r="S27" s="1439"/>
      <c r="T27" s="1437"/>
      <c r="U27" s="1438" t="str">
        <f>IF($AK8&gt;6,IF($AK7&gt;2,"/",""),"")</f>
        <v/>
      </c>
      <c r="V27" s="1439"/>
      <c r="W27" s="1437"/>
      <c r="X27" s="1438" t="str">
        <f>IF($AK8&gt;7,IF($AK7&gt;2,"/",""),"")</f>
        <v/>
      </c>
      <c r="Y27" s="1439"/>
      <c r="Z27" s="1437"/>
      <c r="AA27" s="1438" t="str">
        <f>IF($AK8&gt;8,IF($AK7&gt;2,"/",""),"")</f>
        <v/>
      </c>
      <c r="AB27" s="1439"/>
      <c r="AC27" s="1437"/>
      <c r="AD27" s="1438" t="str">
        <f>IF($AK8&gt;9,IF($AK7&gt;2,"/",""),"")</f>
        <v/>
      </c>
      <c r="AE27" s="1439"/>
      <c r="AF27" s="1430" t="str">
        <f>IF($AK9&gt;3,"Team 4","")</f>
        <v>Team 4</v>
      </c>
      <c r="AG27" s="1436" t="str">
        <f>IF($AK9&lt;4,"",IF($AK8&lt;1,"",IF(B24=4,B30-D30,IF(D24=4,D30-B30,""))))</f>
        <v/>
      </c>
      <c r="AH27" s="1436">
        <f>IF($AK9&lt;4,"",IF($AK8&lt;2,"",IF(E24=4,E30-G30,IF(G24=4,G30-E30,""))))</f>
        <v>-21</v>
      </c>
      <c r="AI27" s="1436" t="str">
        <f>IF($AK9&lt;4,"",IF($AK8&lt;3,"",IF(H24=4,H30-J30,IF(J24=4,J30-H30,""))))</f>
        <v/>
      </c>
      <c r="AJ27" s="1436">
        <f>IF($AK9&lt;4,"",IF($AK8&lt;4,"",IF(K24=4,K30-M30,IF(M24=4,M30-K30,""))))</f>
        <v>-12</v>
      </c>
      <c r="AK27" s="1436" t="str">
        <f>IF($AK9&lt;4,"",IF($AK8&lt;5,"",IF(N24=4,N30-P30,IF(P24=4,P30-N30,""))))</f>
        <v/>
      </c>
      <c r="AL27" s="1436">
        <f>IF($AK9&lt;4,"",IF($AK8&lt;6,"",IF(Q24=4,Q30-S30,IF(S24=4,S30-Q30,""))))</f>
        <v>-4</v>
      </c>
      <c r="AM27" s="1436" t="str">
        <f>IF($AK9&lt;4,"",IF($AK8&lt;7,"",IF(T24=4,T30-V30,IF(V24=4,V30-T30,""))))</f>
        <v/>
      </c>
      <c r="AN27" s="1436" t="str">
        <f>IF($AK9&lt;4,"",IF($AK8&lt;8,"",IF(W24=4,W30-Y30,IF(Y24=4,Y30-W30,""))))</f>
        <v/>
      </c>
      <c r="AO27" s="1436">
        <f>IF($AK9&lt;4,"",IF($AK8&lt;9,"",IF(Z24=4,Z30-AB30,IF(AB24=4,AB30-Z30,""))))</f>
        <v>-11</v>
      </c>
      <c r="AP27" s="1436" t="str">
        <f>IF($AK9&lt;4,"",IF($AK8&lt;10,"",IF(AC24=4,AC30-AE30,IF(AE24=4,AE30-AC30,""))))</f>
        <v/>
      </c>
      <c r="AQ27" s="1432">
        <f>SUM(AG27:AP27)</f>
        <v>-48</v>
      </c>
      <c r="AW27" s="1251"/>
    </row>
    <row r="28" spans="1:51" ht="15" x14ac:dyDescent="0.2">
      <c r="A28" s="1250" t="str">
        <f>IF($AK7&gt;3,"Game 4","")</f>
        <v/>
      </c>
      <c r="B28" s="1437"/>
      <c r="C28" s="1438" t="s">
        <v>78</v>
      </c>
      <c r="D28" s="1439"/>
      <c r="E28" s="1437"/>
      <c r="F28" s="1438" t="str">
        <f>IF($AK8&gt;1,IF($AK7&gt;3,"/",""),"")</f>
        <v/>
      </c>
      <c r="G28" s="1439"/>
      <c r="H28" s="1437"/>
      <c r="I28" s="1438" t="str">
        <f>IF($AK8&gt;2,IF($AK7&gt;3,"/",""),"")</f>
        <v/>
      </c>
      <c r="J28" s="1439"/>
      <c r="K28" s="1437"/>
      <c r="L28" s="1438" t="str">
        <f>IF($AK8&gt;3,IF($AK7&gt;3,"/",""),"")</f>
        <v/>
      </c>
      <c r="M28" s="1439"/>
      <c r="N28" s="1437"/>
      <c r="O28" s="1438" t="str">
        <f>IF($AK8&gt;4,IF($AK7&gt;3,"/",""),"")</f>
        <v/>
      </c>
      <c r="P28" s="1439"/>
      <c r="Q28" s="1437"/>
      <c r="R28" s="1438" t="str">
        <f>IF($AK8&gt;5,IF($AK7&gt;3,"/",""),"")</f>
        <v/>
      </c>
      <c r="S28" s="1439"/>
      <c r="T28" s="1437"/>
      <c r="U28" s="1438" t="str">
        <f>IF($AK8&gt;6,IF($AK7&gt;3,"/",""),"")</f>
        <v/>
      </c>
      <c r="V28" s="1439"/>
      <c r="W28" s="1437"/>
      <c r="X28" s="1438" t="str">
        <f>IF($AK8&gt;7,IF($AK7&gt;3,"/",""),"")</f>
        <v/>
      </c>
      <c r="Y28" s="1439"/>
      <c r="Z28" s="1437"/>
      <c r="AA28" s="1438" t="str">
        <f>IF($AK8&gt;8,IF($AK7&gt;3,"/",""),"")</f>
        <v/>
      </c>
      <c r="AB28" s="1439"/>
      <c r="AC28" s="1437"/>
      <c r="AD28" s="1438" t="str">
        <f>IF($AK8&gt;9,IF($AK7&gt;3,"/",""),"")</f>
        <v/>
      </c>
      <c r="AE28" s="1439"/>
      <c r="AF28" s="1430" t="str">
        <f>IF($AK9&gt;4,"Team 5","")</f>
        <v>Team 5</v>
      </c>
      <c r="AG28" s="1440">
        <f>IF($AK9&lt;5,"",IF($AK8&lt;1,"",IF(B24=5,B30-D30,IF(D24=5,D30-B30,""))))</f>
        <v>1</v>
      </c>
      <c r="AH28" s="1436" t="str">
        <f>IF($AK9&lt;5,"",IF($AK8&lt;2,"",IF(E24=5,E30-G30,IF(G24=5,G30-E30,""))))</f>
        <v/>
      </c>
      <c r="AI28" s="1436">
        <f>IF($AK9&lt;5,"",IF($AK8&lt;3,"",IF(H24=5,H30-J30,IF(J24=5,J30-H30,""))))</f>
        <v>8</v>
      </c>
      <c r="AJ28" s="1436" t="str">
        <f>IF($AK9&lt;5,"",IF($AK8&lt;4,"",IF(K24=5,K30-M30,IF(M24=5,M30-K30,""))))</f>
        <v/>
      </c>
      <c r="AK28" s="1436" t="str">
        <f>IF($AK9&lt;5,"",IF($AK8&lt;5,"",IF(N24=5,N30-P30,IF(P24=5,P30-N30,""))))</f>
        <v/>
      </c>
      <c r="AL28" s="1436">
        <f>IF($AK9&lt;5,"",IF($AK8&lt;6,"",IF(Q24=5,Q30-S30,IF(S24=5,S30-Q30,""))))</f>
        <v>4</v>
      </c>
      <c r="AM28" s="1436" t="str">
        <f>IF($AK9&lt;5,"",IF($AK8&lt;7,"",IF(T24=5,T30-V30,IF(V24=5,V30-T30,""))))</f>
        <v/>
      </c>
      <c r="AN28" s="1436">
        <f>IF($AK9&lt;5,"",IF($AK8&lt;8,"",IF(W24=5,W30-Y30,IF(Y24=5,Y30-W30,""))))</f>
        <v>-16</v>
      </c>
      <c r="AO28" s="1436" t="str">
        <f>IF($AK9&lt;5,"",IF($AK8&lt;9,"",IF(Z24=5,Z30-AB30,IF(AB24=5,AB30-Z30,""))))</f>
        <v/>
      </c>
      <c r="AP28" s="1436" t="str">
        <f>IF($AK9&lt;5,"",IF($AK8&lt;10,"",IF(AC24=5,AC30-AE30,IF(AE24=5,AE30-AC30,""))))</f>
        <v/>
      </c>
      <c r="AQ28" s="1432">
        <f>SUM(AG28:AP28)</f>
        <v>-3</v>
      </c>
      <c r="AW28" s="1258"/>
      <c r="AX28" s="1258"/>
      <c r="AY28" s="1258"/>
    </row>
    <row r="29" spans="1:51" ht="15" x14ac:dyDescent="0.2">
      <c r="A29" s="1250" t="str">
        <f>IF($AK7&gt;4,"Game 5","")</f>
        <v/>
      </c>
      <c r="B29" s="1437"/>
      <c r="C29" s="1438" t="s">
        <v>78</v>
      </c>
      <c r="D29" s="1439"/>
      <c r="E29" s="1437"/>
      <c r="F29" s="1438" t="str">
        <f>IF($AK8&gt;1,IF($AK7&gt;4,"/",""),"")</f>
        <v/>
      </c>
      <c r="G29" s="1439"/>
      <c r="H29" s="1437"/>
      <c r="I29" s="1438" t="str">
        <f>IF($AK8&gt;2,IF($AK7&gt;4,"/",""),"")</f>
        <v/>
      </c>
      <c r="J29" s="1439"/>
      <c r="K29" s="1437"/>
      <c r="L29" s="1438" t="str">
        <f>IF($AK8&gt;3,IF($AK7&gt;4,"/",""),"")</f>
        <v/>
      </c>
      <c r="M29" s="1439"/>
      <c r="N29" s="1437"/>
      <c r="O29" s="1438" t="str">
        <f>IF($AK8&gt;4,IF($AK7&gt;4,"/",""),"")</f>
        <v/>
      </c>
      <c r="P29" s="1439"/>
      <c r="Q29" s="1437"/>
      <c r="R29" s="1438" t="str">
        <f>IF($AK8&gt;5,IF($AK7&gt;4,"/",""),"")</f>
        <v/>
      </c>
      <c r="S29" s="1439"/>
      <c r="T29" s="1437"/>
      <c r="U29" s="1438" t="str">
        <f>IF($AK8&gt;6,IF($AK7&gt;4,"/",""),"")</f>
        <v/>
      </c>
      <c r="V29" s="1439"/>
      <c r="W29" s="1437"/>
      <c r="X29" s="1438" t="str">
        <f>IF($AK8&gt;7,IF($AK7&gt;4,"/",""),"")</f>
        <v/>
      </c>
      <c r="Y29" s="1439"/>
      <c r="Z29" s="1437"/>
      <c r="AA29" s="1438" t="str">
        <f>IF($AK8&gt;8,IF($AK7&gt;4,"/",""),"")</f>
        <v/>
      </c>
      <c r="AB29" s="1439"/>
      <c r="AC29" s="1437"/>
      <c r="AD29" s="1438" t="str">
        <f>IF($AK8&gt;9,IF($AK7&gt;4,"/",""),"")</f>
        <v/>
      </c>
      <c r="AE29" s="1439"/>
      <c r="AF29" s="1270"/>
      <c r="AG29" s="1270"/>
      <c r="AH29" s="1270"/>
      <c r="AI29" s="1270"/>
      <c r="AJ29" s="1270"/>
      <c r="AK29" s="1270"/>
      <c r="AL29" s="1270"/>
      <c r="AM29" s="1270"/>
      <c r="AN29" s="1270"/>
      <c r="AO29" s="1270"/>
      <c r="AP29" s="1270"/>
      <c r="AQ29" s="1270"/>
      <c r="AW29" s="1258"/>
      <c r="AX29" s="1258"/>
      <c r="AY29" s="1258"/>
    </row>
    <row r="30" spans="1:51" hidden="1" x14ac:dyDescent="0.2">
      <c r="A30" s="1441"/>
      <c r="B30" s="1441">
        <f>IF($AK7=5,SUM(B25:B29),IF($AK7=4,SUM(B25:B28),IF($AK7=3,SUM(B25:B27),IF($AK7=2,SUM(B25:B26),B25))))</f>
        <v>50</v>
      </c>
      <c r="C30" s="1441"/>
      <c r="D30" s="1441">
        <f>IF($AK7=5,SUM(D25:D29),IF($AK7=4,SUM(D25:D28),IF($AK7=3,SUM(D25:D27),IF($AK7=2,SUM(D25:D26),D25))))</f>
        <v>51</v>
      </c>
      <c r="E30" s="1441">
        <f>IF($AK7=5,SUM(E25:E29),IF($AK7=4,SUM(E25:E28),IF($AK7=3,SUM(E25:E27),IF($AK7=2,SUM(E25:E26),E25))))</f>
        <v>50</v>
      </c>
      <c r="F30" s="1441"/>
      <c r="G30" s="1441">
        <f>IF($AK7=5,SUM(G25:G29),IF($AK7=4,SUM(G25:G28),IF($AK7=3,SUM(G25:G27),IF($AK7=2,SUM(G25:G26),G25))))</f>
        <v>29</v>
      </c>
      <c r="H30" s="1441">
        <f>IF($AK7=5,SUM(H25:H29),IF($AK7=4,SUM(H25:H28),IF($AK7=3,SUM(H25:H27),IF($AK7=2,SUM(H25:H26),H25))))</f>
        <v>42</v>
      </c>
      <c r="I30" s="1441"/>
      <c r="J30" s="1441">
        <f>IF($AK7=5,SUM(J25:J29),IF($AK7=4,SUM(J25:J28),IF($AK7=3,SUM(J25:J27),IF($AK7=2,SUM(J25:J26),J25))))</f>
        <v>50</v>
      </c>
      <c r="K30" s="1441">
        <f>IF($AK7=5,SUM(K25:K29),IF($AK7=4,SUM(K25:K28),IF($AK7=3,SUM(K25:K27),IF($AK7=2,SUM(K25:K26),K25))))</f>
        <v>50</v>
      </c>
      <c r="L30" s="1441"/>
      <c r="M30" s="1441">
        <f>IF($AK7=5,SUM(M25:M29),IF($AK7=4,SUM(M25:M28),IF($AK7=3,SUM(M25:M27),IF($AK7=2,SUM(M25:M26),M25))))</f>
        <v>38</v>
      </c>
      <c r="N30" s="1441">
        <f>IF($AK7=5,SUM(N25:N29),IF($AK7=4,SUM(N25:N28),IF($AK7=3,SUM(N25:N27),IF($AK7=2,SUM(N25:N26),N25))))</f>
        <v>45</v>
      </c>
      <c r="O30" s="1441"/>
      <c r="P30" s="1441">
        <f>IF($AK7=5,SUM(P25:P29),IF($AK7=4,SUM(P25:P28),IF($AK7=3,SUM(P25:P27),IF($AK7=2,SUM(P25:P26),P25))))</f>
        <v>40</v>
      </c>
      <c r="Q30" s="1441">
        <f>IF($AK7=5,SUM(Q25:Q29),IF($AK7=4,SUM(Q25:Q28),IF($AK7=3,SUM(Q25:Q27),IF($AK7=2,SUM(Q25:Q26),Q25))))</f>
        <v>47</v>
      </c>
      <c r="R30" s="1441"/>
      <c r="S30" s="1441">
        <f>IF($AK7=5,SUM(S25:S29),IF($AK7=4,SUM(S25:S28),IF($AK7=3,SUM(S25:S27),IF($AK7=2,SUM(S25:S26),S25))))</f>
        <v>51</v>
      </c>
      <c r="T30" s="1441">
        <f>IF($AK7=5,SUM(T25:T29),IF($AK7=4,SUM(T25:T28),IF($AK7=3,SUM(T25:T27),IF($AK7=2,SUM(T25:T26),T25))))</f>
        <v>47</v>
      </c>
      <c r="U30" s="1441"/>
      <c r="V30" s="1441">
        <f>IF($AK7=5,SUM(V25:V29),IF($AK7=4,SUM(V25:V28),IF($AK7=3,SUM(V25:V27),IF($AK7=2,SUM(V25:V26),V25))))</f>
        <v>49</v>
      </c>
      <c r="W30" s="1441">
        <f>IF($AK7=5,SUM(W25:W29),IF($AK7=4,SUM(W25:W28),IF($AK7=3,SUM(W25:W27),IF($AK7=2,SUM(W25:W26),W25))))</f>
        <v>50</v>
      </c>
      <c r="X30" s="1441"/>
      <c r="Y30" s="1441">
        <f>IF($AK7=5,SUM(Y25:Y29),IF($AK7=4,SUM(Y25:Y28),IF($AK7=3,SUM(Y25:Y27),IF($AK7=2,SUM(Y25:Y26),Y25))))</f>
        <v>34</v>
      </c>
      <c r="Z30" s="1441">
        <f>IF($AK7=5,SUM(Z25:Z29),IF($AK7=4,SUM(Z25:Z28),IF($AK7=3,SUM(Z25:Z27),IF($AK7=2,SUM(Z25:Z26),Z25))))</f>
        <v>51</v>
      </c>
      <c r="AA30" s="1441"/>
      <c r="AB30" s="1441">
        <f>IF($AK7=5,SUM(AB25:AB29),IF($AK7=4,SUM(AB25:AB28),IF($AK7=3,SUM(AB25:AB27),IF($AK7=2,SUM(AB25:AB26),AB25))))</f>
        <v>40</v>
      </c>
      <c r="AC30" s="1441">
        <f>IF($AK7=5,SUM(AC25:AC29),IF($AK7=4,SUM(AC25:AC28),IF($AK7=3,SUM(AC25:AC27),IF($AK7=2,SUM(AC25:AC26),AC25))))</f>
        <v>51</v>
      </c>
      <c r="AD30" s="1441"/>
      <c r="AE30" s="1441">
        <f>IF($AK7=5,SUM(AE25:AE29),IF($AK7=4,SUM(AE25:AE28),IF($AK7=3,SUM(AE25:AE27),IF($AK7=2,SUM(AE25:AE26),AE25))))</f>
        <v>44</v>
      </c>
      <c r="AF30" s="1270"/>
      <c r="AG30" s="1270"/>
      <c r="AH30" s="1270"/>
      <c r="AI30" s="1270"/>
      <c r="AJ30" s="1270"/>
      <c r="AK30" s="1270"/>
      <c r="AL30" s="1270"/>
      <c r="AM30" s="1270"/>
      <c r="AN30" s="1270"/>
      <c r="AO30" s="1270"/>
      <c r="AP30" s="1270"/>
      <c r="AQ30" s="1270"/>
    </row>
    <row r="31" spans="1:51" s="1443" customFormat="1" ht="12.75" hidden="1" customHeight="1" x14ac:dyDescent="0.2">
      <c r="A31" s="1443" t="s">
        <v>79</v>
      </c>
      <c r="B31" s="1444">
        <f>IF(AND(B25&gt;D25,$AK8&gt;0,ISNUMBER(B25),ISNUMBER(D25)),1,0)</f>
        <v>1</v>
      </c>
      <c r="C31" s="1444"/>
      <c r="D31" s="1445">
        <f>IF(AND(D25&gt;B25,$AK8&gt;0,ISNUMBER(B25),ISNUMBER(D25)),1,0)</f>
        <v>0</v>
      </c>
      <c r="E31" s="1444">
        <f>IF(AND(E25&gt;G25,$AK8&gt;1,ISNUMBER(E25),ISNUMBER(G25)),1,0)</f>
        <v>1</v>
      </c>
      <c r="F31" s="1444"/>
      <c r="G31" s="1445">
        <f>IF(AND(G25&gt;E25,$AK8&gt;1,ISNUMBER(E25),ISNUMBER(G25)),1,0)</f>
        <v>0</v>
      </c>
      <c r="H31" s="1444">
        <f>IF(AND(H25&gt;J25,$AK8&gt;2,ISNUMBER(H25),ISNUMBER(J25)),1,0)</f>
        <v>0</v>
      </c>
      <c r="I31" s="1444"/>
      <c r="J31" s="1445">
        <f>IF(AND(J25&gt;H25,$AK8&gt;2,ISNUMBER(H25),ISNUMBER(J25)),1,0)</f>
        <v>1</v>
      </c>
      <c r="K31" s="1444">
        <f>IF(AND(K25&gt;M25,$AK8&gt;3,ISNUMBER(K25),ISNUMBER(M25)),1,0)</f>
        <v>1</v>
      </c>
      <c r="L31" s="1444"/>
      <c r="M31" s="1445">
        <f>IF(AND(M25&gt;K25,$AK8&gt;3,ISNUMBER(K25),ISNUMBER(M25)),1,0)</f>
        <v>0</v>
      </c>
      <c r="N31" s="1444">
        <f>IF(AND(N25&gt;P25,$AK8&gt;4,ISNUMBER(N25),ISNUMBER(P25)),1,0)</f>
        <v>0</v>
      </c>
      <c r="O31" s="1444"/>
      <c r="P31" s="1445">
        <f>IF(AND(P25&gt;N25,$AK8&gt;4,ISNUMBER(N25),ISNUMBER(P25)),1,0)</f>
        <v>1</v>
      </c>
      <c r="Q31" s="1444">
        <f>IF(AND(Q25&gt;S25,$AK8&gt;5,ISNUMBER(Q25),ISNUMBER(S25)),1,0)</f>
        <v>0</v>
      </c>
      <c r="R31" s="1444"/>
      <c r="S31" s="1445">
        <f>IF(AND(S25&gt;Q25,$AK8&gt;5,ISNUMBER(Q25),ISNUMBER(S25)),1,0)</f>
        <v>1</v>
      </c>
      <c r="T31" s="1444">
        <f>IF(AND(T25&gt;V25,$AK8&gt;6,ISNUMBER(T25),ISNUMBER(V25)),1,0)</f>
        <v>0</v>
      </c>
      <c r="U31" s="1444"/>
      <c r="V31" s="1445">
        <f>IF(AND(V25&gt;T25,$AK8&gt;6,ISNUMBER(T25),ISNUMBER(V25)),1,0)</f>
        <v>1</v>
      </c>
      <c r="W31" s="1444">
        <f>IF(AND(W25&gt;Y25,$AK8&gt;7,ISNUMBER(W25),ISNUMBER(Y25)),1,0)</f>
        <v>1</v>
      </c>
      <c r="X31" s="1444"/>
      <c r="Y31" s="1445">
        <f>IF(AND(Y25&gt;W25,$AK8&gt;7,ISNUMBER(W25),ISNUMBER(Y25)),1,0)</f>
        <v>0</v>
      </c>
      <c r="Z31" s="1444">
        <f>IF(AND(Z25&gt;AB25,$AK8&gt;8,ISNUMBER(Z25),ISNUMBER(AB25)),1,0)</f>
        <v>1</v>
      </c>
      <c r="AA31" s="1444"/>
      <c r="AB31" s="1445">
        <f>IF(AND(AB25&gt;Z25,$AK8&gt;8,ISNUMBER(Z25),ISNUMBER(AB25)),1,0)</f>
        <v>0</v>
      </c>
      <c r="AC31" s="1444">
        <f>IF(AND(AC25&gt;AE25,$AK8&gt;9,ISNUMBER(AC25),ISNUMBER(AE25)),1,0)</f>
        <v>1</v>
      </c>
      <c r="AD31" s="1444"/>
      <c r="AE31" s="1445">
        <f>IF(AND(AE25&gt;AC25,$AK8&gt;9,ISNUMBER(AC25),ISNUMBER(AE25)),1,0)</f>
        <v>0</v>
      </c>
      <c r="AW31" s="1446"/>
    </row>
    <row r="32" spans="1:51" s="1443" customFormat="1" ht="12.75" hidden="1" customHeight="1" x14ac:dyDescent="0.2">
      <c r="A32" s="1443" t="s">
        <v>80</v>
      </c>
      <c r="B32" s="1444">
        <f>IF(AND(B26&gt;D26,$AK8&gt;0,$AK7&gt;1,ISNUMBER(B26),ISNUMBER(D26)),1,0)</f>
        <v>0</v>
      </c>
      <c r="C32" s="1444"/>
      <c r="D32" s="1445">
        <f>IF(AND(D26&gt;B26,$AK8&gt;0,$AK7&gt;1,ISNUMBER(B26),ISNUMBER(D26)),1,0)</f>
        <v>1</v>
      </c>
      <c r="E32" s="1444">
        <f>IF(AND(E26&gt;G26,$AK8&gt;1,$AK7&gt;1,ISNUMBER(E26),ISNUMBER(G26)),1,0)</f>
        <v>1</v>
      </c>
      <c r="F32" s="1444"/>
      <c r="G32" s="1445">
        <f>IF(AND(G26&gt;E26,$AK8&gt;1,$AK7&gt;1,ISNUMBER(E26),ISNUMBER(G26)),1,0)</f>
        <v>0</v>
      </c>
      <c r="H32" s="1444">
        <f>IF(AND(H26&gt;J26,$AK8&gt;2,$AK7&gt;1,ISNUMBER(H26),ISNUMBER(J26)),1,0)</f>
        <v>0</v>
      </c>
      <c r="I32" s="1444"/>
      <c r="J32" s="1445">
        <f>IF(AND(J26&gt;H26,$AK8&gt;2,$AK7&gt;1,ISNUMBER(H26),ISNUMBER(J26)),1,0)</f>
        <v>1</v>
      </c>
      <c r="K32" s="1444">
        <f>IF(AND(K26&gt;M26,$AK8&gt;3,$AK7&gt;1,ISNUMBER(K26),ISNUMBER(M26)),1,0)</f>
        <v>1</v>
      </c>
      <c r="L32" s="1444"/>
      <c r="M32" s="1445">
        <f>IF(AND(M26&gt;K26,$AK8&gt;3,$AK7&gt;1,ISNUMBER(K26),ISNUMBER(M26)),1,0)</f>
        <v>0</v>
      </c>
      <c r="N32" s="1444">
        <f>IF(AND(N26&gt;P26,$AK8&gt;4,$AK7&gt;1,ISNUMBER(N26),ISNUMBER(P26)),1,0)</f>
        <v>1</v>
      </c>
      <c r="O32" s="1444"/>
      <c r="P32" s="1445">
        <f>IF(AND(P26&gt;N26,$AK8&gt;4,$AK7&gt;1,ISNUMBER(N26),ISNUMBER(P26)),1,0)</f>
        <v>0</v>
      </c>
      <c r="Q32" s="1444">
        <f>IF(AND(Q26&gt;S26,$AK8&gt;5,$AK7&gt;1,ISNUMBER(Q26),ISNUMBER(S26)),1,0)</f>
        <v>0</v>
      </c>
      <c r="R32" s="1444"/>
      <c r="S32" s="1445">
        <f>IF(AND(S26&gt;Q26,$AK8&gt;5,$AK7&gt;1,ISNUMBER(Q26),ISNUMBER(S26)),1,0)</f>
        <v>1</v>
      </c>
      <c r="T32" s="1444">
        <f>IF(AND(T26&gt;V26,$AK8&gt;6,$AK7&gt;1,ISNUMBER(T26),ISNUMBER(V26)),1,0)</f>
        <v>1</v>
      </c>
      <c r="U32" s="1444"/>
      <c r="V32" s="1445">
        <f>IF(AND(V26&gt;T26,$AK8&gt;6,$AK7&gt;1,ISNUMBER(T26),ISNUMBER(V26)),1,0)</f>
        <v>0</v>
      </c>
      <c r="W32" s="1444">
        <f>IF(AND(W26&gt;Y26,$AK8&gt;7,$AK7&gt;1,ISNUMBER(W26),ISNUMBER(Y26)),1,0)</f>
        <v>1</v>
      </c>
      <c r="X32" s="1444"/>
      <c r="Y32" s="1445">
        <f>IF(AND(Y26&gt;W26,$AK8&gt;7,$AK7&gt;1,ISNUMBER(W26),ISNUMBER(Y26)),1,0)</f>
        <v>0</v>
      </c>
      <c r="Z32" s="1444">
        <f>IF(AND(Z26&gt;AB26,$AK8&gt;8,$AK7&gt;1,ISNUMBER(Z26),ISNUMBER(AB26)),1,0)</f>
        <v>1</v>
      </c>
      <c r="AA32" s="1444"/>
      <c r="AB32" s="1445">
        <f>IF(AND(AB26&gt;Z26,$AK8&gt;8,$AK7&gt;1,ISNUMBER(Z26),ISNUMBER(AB26)),1,0)</f>
        <v>0</v>
      </c>
      <c r="AC32" s="1444">
        <f>IF(AND(AC26&gt;AE26,$AK8&gt;9,$AK7&gt;1,ISNUMBER(AC26),ISNUMBER(AE26)),1,0)</f>
        <v>1</v>
      </c>
      <c r="AD32" s="1444"/>
      <c r="AE32" s="1445">
        <f>IF(AND(AE26&gt;AC26,$AK8&gt;9,$AK7&gt;1,ISNUMBER(AC26),ISNUMBER(AE26)),1,0)</f>
        <v>0</v>
      </c>
      <c r="AW32" s="1446"/>
    </row>
    <row r="33" spans="1:49" s="1443" customFormat="1" ht="12.75" hidden="1" customHeight="1" x14ac:dyDescent="0.2">
      <c r="A33" s="1443" t="s">
        <v>81</v>
      </c>
      <c r="B33" s="1444">
        <f>IF(AND(B27&gt;D27,$AK8&gt;0,$AK7&gt;2,ISNUMBER(B27),ISNUMBER(D27)),1,0)</f>
        <v>0</v>
      </c>
      <c r="C33" s="1444"/>
      <c r="D33" s="1445">
        <f>IF(AND(D27&gt;B27,$AK8&gt;0,$AK7&gt;2,ISNUMBER(B27),ISNUMBER(D27)),1,0)</f>
        <v>0</v>
      </c>
      <c r="E33" s="1444">
        <f>IF(AND(E27&gt;G27,$AK8&gt;1,$AK7&gt;2,ISNUMBER(E27),ISNUMBER(G27)),1,0)</f>
        <v>0</v>
      </c>
      <c r="F33" s="1444"/>
      <c r="G33" s="1445">
        <f>IF(AND(G27&gt;E27,$AK8&gt;1,$AK7&gt;2,ISNUMBER(E27),ISNUMBER(G27)),1,0)</f>
        <v>0</v>
      </c>
      <c r="H33" s="1444">
        <f>IF(AND(H27&gt;J27,$AK8&gt;2,$AK7&gt;2,ISNUMBER(H27),ISNUMBER(J27)),1,0)</f>
        <v>0</v>
      </c>
      <c r="I33" s="1444"/>
      <c r="J33" s="1445">
        <f>IF(AND(J27&gt;H27,$AK8&gt;2,$AK7&gt;2,ISNUMBER(H27),ISNUMBER(J27)),1,0)</f>
        <v>0</v>
      </c>
      <c r="K33" s="1444">
        <f>IF(AND(K27&gt;M27,$AK8&gt;3,$AK7&gt;2,ISNUMBER(K27),ISNUMBER(M27)),1,0)</f>
        <v>0</v>
      </c>
      <c r="L33" s="1444"/>
      <c r="M33" s="1445">
        <f>IF(AND(M27&gt;K27,$AK8&gt;3,$AK7&gt;2,ISNUMBER(K27),ISNUMBER(M27)),1,0)</f>
        <v>0</v>
      </c>
      <c r="N33" s="1444">
        <f>IF(AND(N27&gt;P27,$AK8&gt;4,$AK7&gt;2,ISNUMBER(N27),ISNUMBER(P27)),1,0)</f>
        <v>0</v>
      </c>
      <c r="O33" s="1444"/>
      <c r="P33" s="1445">
        <f>IF(AND(P27&gt;N27,$AK8&gt;4,$AK7&gt;2,ISNUMBER(N27),ISNUMBER(P27)),1,0)</f>
        <v>0</v>
      </c>
      <c r="Q33" s="1444">
        <f>IF(AND(Q27&gt;S27,$AK8&gt;5,$AK7&gt;2,ISNUMBER(Q27),ISNUMBER(S27)),1,0)</f>
        <v>0</v>
      </c>
      <c r="R33" s="1444"/>
      <c r="S33" s="1445">
        <f>IF(AND(S27&gt;Q27,$AK8&gt;5,$AK7&gt;2,ISNUMBER(Q27),ISNUMBER(S27)),1,0)</f>
        <v>0</v>
      </c>
      <c r="T33" s="1444">
        <f>IF(AND(T27&gt;V27,$AK8&gt;6,$AK7&gt;2,ISNUMBER(T27),ISNUMBER(V27)),1,0)</f>
        <v>0</v>
      </c>
      <c r="U33" s="1444"/>
      <c r="V33" s="1445">
        <f>IF(AND(V27&gt;T27,$AK8&gt;6,$AK7&gt;2,ISNUMBER(T27),ISNUMBER(V27)),1,0)</f>
        <v>0</v>
      </c>
      <c r="W33" s="1444">
        <f>IF(AND(W27&gt;Y27,$AK8&gt;7,$AK7&gt;2,ISNUMBER(W27),ISNUMBER(Y27)),1,0)</f>
        <v>0</v>
      </c>
      <c r="X33" s="1444"/>
      <c r="Y33" s="1445">
        <f>IF(AND(Y27&gt;W27,$AK8&gt;7,$AK7&gt;2,ISNUMBER(W27),ISNUMBER(Y27)),1,0)</f>
        <v>0</v>
      </c>
      <c r="Z33" s="1444">
        <f>IF(AND(Z27&gt;AB27,$AK8&gt;8,$AK7&gt;2,ISNUMBER(Z27),ISNUMBER(AB27)),1,0)</f>
        <v>0</v>
      </c>
      <c r="AA33" s="1444"/>
      <c r="AB33" s="1445">
        <f>IF(AND(AB27&gt;Z27,$AK8&gt;8,$AK7&gt;2,ISNUMBER(Z27),ISNUMBER(AB27)),1,0)</f>
        <v>0</v>
      </c>
      <c r="AC33" s="1444">
        <f>IF(AND(AC27&gt;AE27,$AK8&gt;9,$AK7&gt;2,ISNUMBER(AC27),ISNUMBER(AE27)),1,0)</f>
        <v>0</v>
      </c>
      <c r="AD33" s="1444"/>
      <c r="AE33" s="1445">
        <f>IF(AND(AE27&gt;AC27,$AK8&gt;9,$AK7&gt;2,ISNUMBER(AC27),ISNUMBER(AE27)),1,0)</f>
        <v>0</v>
      </c>
      <c r="AW33" s="1446"/>
    </row>
    <row r="34" spans="1:49" s="1443" customFormat="1" ht="12.75" hidden="1" customHeight="1" x14ac:dyDescent="0.2">
      <c r="A34" s="1443" t="s">
        <v>82</v>
      </c>
      <c r="B34" s="1444">
        <f>IF(AND(B28&gt;D28,$AK8&gt;0,$AK7&gt;3,ISNUMBER(B28),ISNUMBER(D28)),1,0)</f>
        <v>0</v>
      </c>
      <c r="C34" s="1444"/>
      <c r="D34" s="1445">
        <f>IF(AND(D28&gt;B28,$AK8&gt;0,$AK7&gt;3,ISNUMBER(B28),ISNUMBER(D28)),1,0)</f>
        <v>0</v>
      </c>
      <c r="E34" s="1444">
        <f>IF(AND(E28&gt;G28,$AK8&gt;1,$AK7&gt;3,ISNUMBER(E28),ISNUMBER(G28)),1,0)</f>
        <v>0</v>
      </c>
      <c r="F34" s="1444"/>
      <c r="G34" s="1445">
        <f>IF(AND(G28&gt;E28,$AK8&gt;1,$AK7&gt;3,ISNUMBER(E28),ISNUMBER(G28)),1,0)</f>
        <v>0</v>
      </c>
      <c r="H34" s="1444">
        <f>IF(AND(H28&gt;J28,$AK8&gt;2,$AK7&gt;3,ISNUMBER(H28),ISNUMBER(J28)),1,0)</f>
        <v>0</v>
      </c>
      <c r="I34" s="1444"/>
      <c r="J34" s="1445">
        <f>IF(AND(J28&gt;H28,$AK8&gt;2,$AK7&gt;3,ISNUMBER(H28),ISNUMBER(J28)),1,0)</f>
        <v>0</v>
      </c>
      <c r="K34" s="1444">
        <f>IF(AND(K28&gt;M28,$AK8&gt;3,$AK7&gt;3,ISNUMBER(K28),ISNUMBER(M28)),1,0)</f>
        <v>0</v>
      </c>
      <c r="L34" s="1444"/>
      <c r="M34" s="1445">
        <f>IF(AND(M28&gt;K28,$AK8&gt;3,$AK7&gt;3,ISNUMBER(K28),ISNUMBER(M28)),1,0)</f>
        <v>0</v>
      </c>
      <c r="N34" s="1444">
        <f>IF(AND(N28&gt;P28,$AK8&gt;4,$AK7&gt;3,ISNUMBER(N28),ISNUMBER(P28)),1,0)</f>
        <v>0</v>
      </c>
      <c r="O34" s="1444"/>
      <c r="P34" s="1445">
        <f>IF(AND(P28&gt;N28,$AK8&gt;4,$AK7&gt;3,ISNUMBER(N28),ISNUMBER(P28)),1,0)</f>
        <v>0</v>
      </c>
      <c r="Q34" s="1444">
        <f>IF(AND(Q28&gt;S28,$AK8&gt;5,$AK7&gt;3,ISNUMBER(Q28),ISNUMBER(S28)),1,0)</f>
        <v>0</v>
      </c>
      <c r="R34" s="1444"/>
      <c r="S34" s="1445">
        <f>IF(AND(S28&gt;Q28,$AK8&gt;5,$AK7&gt;3,ISNUMBER(Q28),ISNUMBER(S28)),1,0)</f>
        <v>0</v>
      </c>
      <c r="T34" s="1444">
        <f>IF(AND(T28&gt;V28,$AK8&gt;6,$AK7&gt;3,ISNUMBER(T28),ISNUMBER(V28)),1,0)</f>
        <v>0</v>
      </c>
      <c r="U34" s="1444"/>
      <c r="V34" s="1445">
        <f>IF(AND(V28&gt;T28,$AK8&gt;6,$AK7&gt;3,ISNUMBER(T28),ISNUMBER(V28)),1,0)</f>
        <v>0</v>
      </c>
      <c r="W34" s="1444">
        <f>IF(AND(W28&gt;Y28,$AK8&gt;7,$AK7&gt;3,ISNUMBER(W28),ISNUMBER(Y28)),1,0)</f>
        <v>0</v>
      </c>
      <c r="X34" s="1444"/>
      <c r="Y34" s="1445">
        <f>IF(AND(Y28&gt;W28,$AK8&gt;7,$AK7&gt;3,ISNUMBER(W28),ISNUMBER(Y28)),1,0)</f>
        <v>0</v>
      </c>
      <c r="Z34" s="1444">
        <f>IF(AND(Z28&gt;AB28,$AK8&gt;8,$AK7&gt;3,ISNUMBER(Z28),ISNUMBER(AB28)),1,0)</f>
        <v>0</v>
      </c>
      <c r="AA34" s="1444"/>
      <c r="AB34" s="1445">
        <f>IF(AND(AB28&gt;Z28,$AK8&gt;8,$AK7&gt;3,ISNUMBER(Z28),ISNUMBER(AB28)),1,0)</f>
        <v>0</v>
      </c>
      <c r="AC34" s="1444">
        <f>IF(AND(AC28&gt;AE28,$AK8&gt;9,$AK7&gt;3,ISNUMBER(AC28),ISNUMBER(AE28)),1,0)</f>
        <v>0</v>
      </c>
      <c r="AD34" s="1444"/>
      <c r="AE34" s="1445">
        <f>IF(AND(AE28&gt;AC28,$AK8&gt;9,$AK7&gt;3,ISNUMBER(AC28),ISNUMBER(AE28)),1,0)</f>
        <v>0</v>
      </c>
      <c r="AW34" s="1446"/>
    </row>
    <row r="35" spans="1:49" s="1443" customFormat="1" ht="12.75" hidden="1" customHeight="1" x14ac:dyDescent="0.2">
      <c r="A35" s="1443" t="s">
        <v>83</v>
      </c>
      <c r="B35" s="1444">
        <f>IF(AND(B29&gt;D29,$AK8&gt;0,$AK7&gt;4,ISNUMBER(B29),ISNUMBER(D29)),1,0)</f>
        <v>0</v>
      </c>
      <c r="C35" s="1444"/>
      <c r="D35" s="1445">
        <f>IF(AND(D29&gt;B29,$AK8&gt;0,$AK7&gt;4,ISNUMBER(B29),ISNUMBER(D29)),1,0)</f>
        <v>0</v>
      </c>
      <c r="E35" s="1444">
        <f>IF(AND(E29&gt;G29,$AK8&gt;1,$AK7&gt;4,ISNUMBER(E29),ISNUMBER(G29)),1,0)</f>
        <v>0</v>
      </c>
      <c r="F35" s="1444"/>
      <c r="G35" s="1445">
        <f>IF(AND(G29&gt;E29,$AK8&gt;1,$AK7&gt;4,ISNUMBER(E29),ISNUMBER(G29)),1,0)</f>
        <v>0</v>
      </c>
      <c r="H35" s="1444">
        <f>IF(AND(H29&gt;J29,$AK8&gt;2,$AK7&gt;4,ISNUMBER(H29),ISNUMBER(J29)),1,0)</f>
        <v>0</v>
      </c>
      <c r="I35" s="1444"/>
      <c r="J35" s="1445">
        <f>IF(AND(J29&gt;H29,$AK8&gt;2,$AK7&gt;4,ISNUMBER(H29),ISNUMBER(J29)),1,0)</f>
        <v>0</v>
      </c>
      <c r="K35" s="1444">
        <f>IF(AND(K29&gt;M29,$AK8&gt;3,$AK7&gt;4,ISNUMBER(K29),ISNUMBER(M29)),1,0)</f>
        <v>0</v>
      </c>
      <c r="L35" s="1444"/>
      <c r="M35" s="1445">
        <f>IF(AND(M29&gt;K29,$AK8&gt;3,$AK7&gt;4,ISNUMBER(K29),ISNUMBER(M29)),1,0)</f>
        <v>0</v>
      </c>
      <c r="N35" s="1444">
        <f>IF(AND(N29&gt;P29,$AK8&gt;4,$AK7&gt;4,ISNUMBER(N29),ISNUMBER(P29)),1,0)</f>
        <v>0</v>
      </c>
      <c r="O35" s="1444"/>
      <c r="P35" s="1445">
        <f>IF(AND(P29&gt;N29,$AK8&gt;4,$AK7&gt;4,ISNUMBER(N29),ISNUMBER(P29)),1,0)</f>
        <v>0</v>
      </c>
      <c r="Q35" s="1444">
        <f>IF(AND(Q29&gt;S29,$AK8&gt;5,$AK7&gt;4,ISNUMBER(Q29),ISNUMBER(S29)),1,0)</f>
        <v>0</v>
      </c>
      <c r="R35" s="1444"/>
      <c r="S35" s="1445">
        <f>IF(AND(S29&gt;Q29,$AK8&gt;5,$AK7&gt;4,ISNUMBER(Q29),ISNUMBER(S29)),1,0)</f>
        <v>0</v>
      </c>
      <c r="T35" s="1444">
        <f>IF(AND(T29&gt;V29,$AK8&gt;6,$AK7&gt;4,ISNUMBER(T29),ISNUMBER(V29)),1,0)</f>
        <v>0</v>
      </c>
      <c r="U35" s="1444"/>
      <c r="V35" s="1445">
        <f>IF(AND(V29&gt;T29,$AK8&gt;6,$AK7&gt;4,ISNUMBER(T29),ISNUMBER(V29)),1,0)</f>
        <v>0</v>
      </c>
      <c r="W35" s="1444">
        <f>IF(AND(W29&gt;Y29,$AK8&gt;7,$AK7&gt;4,ISNUMBER(W29),ISNUMBER(Y29)),1,0)</f>
        <v>0</v>
      </c>
      <c r="X35" s="1444"/>
      <c r="Y35" s="1445">
        <f>IF(AND(Y29&gt;W29,$AK8&gt;7,$AK7&gt;4,ISNUMBER(W29),ISNUMBER(Y29)),1,0)</f>
        <v>0</v>
      </c>
      <c r="Z35" s="1444">
        <f>IF(AND(Z29&gt;AB29,$AK8&gt;8,$AK7&gt;4,ISNUMBER(Z29),ISNUMBER(AB29)),1,0)</f>
        <v>0</v>
      </c>
      <c r="AA35" s="1444"/>
      <c r="AB35" s="1445">
        <f>IF(AND(AB29&gt;Z29,$AK8&gt;8,$AK7&gt;4,ISNUMBER(Z29),ISNUMBER(AB29)),1,0)</f>
        <v>0</v>
      </c>
      <c r="AC35" s="1444">
        <f>IF(AND(AC29&gt;AE29,$AK8&gt;9,$AK7&gt;4,ISNUMBER(AC29),ISNUMBER(AE29)),1,0)</f>
        <v>0</v>
      </c>
      <c r="AD35" s="1444"/>
      <c r="AE35" s="1445">
        <f>IF(AND(AE29&gt;AC29,$AK8&gt;9,$AK7&gt;4,ISNUMBER(AC29),ISNUMBER(AE29)),1,0)</f>
        <v>0</v>
      </c>
      <c r="AW35" s="1446"/>
    </row>
    <row r="36" spans="1:49" s="1443" customFormat="1" ht="38.25" hidden="1" customHeight="1" x14ac:dyDescent="0.2">
      <c r="A36" s="1447" t="s">
        <v>84</v>
      </c>
      <c r="B36" s="1443">
        <f>SUM(B31:B35)</f>
        <v>1</v>
      </c>
      <c r="D36" s="1448">
        <f>SUM(D31:D35)</f>
        <v>1</v>
      </c>
      <c r="E36" s="1443">
        <f>SUM(E31:E35)</f>
        <v>2</v>
      </c>
      <c r="G36" s="1448">
        <f>SUM(G31:G35)</f>
        <v>0</v>
      </c>
      <c r="H36" s="1443">
        <f>SUM(H31:H35)</f>
        <v>0</v>
      </c>
      <c r="J36" s="1448">
        <f>SUM(J31:J35)</f>
        <v>2</v>
      </c>
      <c r="K36" s="1443">
        <f>SUM(K31:K35)</f>
        <v>2</v>
      </c>
      <c r="M36" s="1448">
        <f>SUM(M31:M35)</f>
        <v>0</v>
      </c>
      <c r="N36" s="1443">
        <f>SUM(N31:N35)</f>
        <v>1</v>
      </c>
      <c r="P36" s="1448">
        <f>SUM(P31:P35)</f>
        <v>1</v>
      </c>
      <c r="Q36" s="1443">
        <f>SUM(Q31:Q35)</f>
        <v>0</v>
      </c>
      <c r="S36" s="1448">
        <f>SUM(S31:S35)</f>
        <v>2</v>
      </c>
      <c r="T36" s="1443">
        <f>SUM(T31:T35)</f>
        <v>1</v>
      </c>
      <c r="V36" s="1448">
        <f>SUM(V31:V35)</f>
        <v>1</v>
      </c>
      <c r="W36" s="1443">
        <f>SUM(W31:W35)</f>
        <v>2</v>
      </c>
      <c r="Y36" s="1448">
        <f>SUM(Y31:Y35)</f>
        <v>0</v>
      </c>
      <c r="Z36" s="1443">
        <f>SUM(Z31:Z35)</f>
        <v>2</v>
      </c>
      <c r="AB36" s="1448">
        <f>SUM(AB31:AB35)</f>
        <v>0</v>
      </c>
      <c r="AC36" s="1443">
        <f>SUM(AC31:AC35)</f>
        <v>2</v>
      </c>
      <c r="AE36" s="1448">
        <f>SUM(AE31:AE35)</f>
        <v>0</v>
      </c>
      <c r="AW36" s="1446"/>
    </row>
    <row r="37" spans="1:49" s="1443" customFormat="1" ht="25.5" hidden="1" customHeight="1" x14ac:dyDescent="0.2">
      <c r="A37" s="1447" t="s">
        <v>85</v>
      </c>
      <c r="B37" s="1443">
        <f>IF(B36&gt;D36,IF(C71=AK7,1,IF(C71=AK7-1,1,0)),0)</f>
        <v>0</v>
      </c>
      <c r="C37" s="1443">
        <f>B37+D37</f>
        <v>0</v>
      </c>
      <c r="D37" s="1448">
        <f>IF(D36&gt;B36,IF(C71=AK7,1,IF(C71=AK7-1,1,0)),0)</f>
        <v>0</v>
      </c>
      <c r="E37" s="1443">
        <f>IF(E36&gt;G36,IF(F71=AK7,1,IF(F71=AK7-1,1,0)),0)</f>
        <v>1</v>
      </c>
      <c r="F37" s="1443">
        <f>E37+G37</f>
        <v>1</v>
      </c>
      <c r="G37" s="1448">
        <f>IF(G36&gt;E36,IF(F71=AK7,1,IF(F71=AK7-1,1,0)),0)</f>
        <v>0</v>
      </c>
      <c r="H37" s="1443">
        <f>IF(H36&gt;J36,IF(I71=AK7,1,IF(I71=AK7-1,1,0)),0)</f>
        <v>0</v>
      </c>
      <c r="I37" s="1443">
        <f>H37+J37</f>
        <v>1</v>
      </c>
      <c r="J37" s="1448">
        <f>IF(J36&gt;H36,IF(I71=AK7,1,IF(I71=AK7-1,1,0)),0)</f>
        <v>1</v>
      </c>
      <c r="K37" s="1443">
        <f>IF(K36&gt;M36,IF(L71=AK7,1,IF(L71=AK7-1,1,0)),0)</f>
        <v>1</v>
      </c>
      <c r="L37" s="1443">
        <f>K37+M37</f>
        <v>1</v>
      </c>
      <c r="M37" s="1448">
        <f>IF(M36&gt;K36,IF(L71=AK7,1,IF(L71=AK7-1,1,0)),0)</f>
        <v>0</v>
      </c>
      <c r="N37" s="1443">
        <f>IF(N36&gt;P36,IF(O71=AK7,1,IF(O71=AK7-1,1,0)),0)</f>
        <v>0</v>
      </c>
      <c r="O37" s="1443">
        <f>N37+P37</f>
        <v>0</v>
      </c>
      <c r="P37" s="1448">
        <f>IF(P36&gt;N36,IF(O71=AK7,1,IF(O71=AK7-1,1,0)),0)</f>
        <v>0</v>
      </c>
      <c r="Q37" s="1443">
        <f>IF(Q36&gt;S36,IF(R71=AK7,1,IF(R71=AK7-1,1,0)),0)</f>
        <v>0</v>
      </c>
      <c r="R37" s="1443">
        <f>Q37+S37</f>
        <v>1</v>
      </c>
      <c r="S37" s="1448">
        <f>IF(S36&gt;Q36,IF(R71=AK7,1,IF(R71=AK7-1,1,0)),0)</f>
        <v>1</v>
      </c>
      <c r="T37" s="1443">
        <f>IF(T36&gt;V36,IF(U71=AK7,1,IF(U71=AK7-1,1,0)),0)</f>
        <v>0</v>
      </c>
      <c r="U37" s="1443">
        <f>T37+V37</f>
        <v>0</v>
      </c>
      <c r="V37" s="1448">
        <f>IF(V36&gt;T36,IF(U71=AK7,1,IF(U71=AK7-1,1,0)),0)</f>
        <v>0</v>
      </c>
      <c r="W37" s="1443">
        <f>IF(W36&gt;Y36,IF(X71=AK7,1,IF(X71=AK7-1,1,0)),0)</f>
        <v>1</v>
      </c>
      <c r="X37" s="1443">
        <f>W37+Y37</f>
        <v>1</v>
      </c>
      <c r="Y37" s="1448">
        <f>IF(Y36&gt;W36,IF(X71=AK7,1,IF(X71=AK7-1,1,0)),0)</f>
        <v>0</v>
      </c>
      <c r="Z37" s="1443">
        <f>IF(Z36&gt;AB36,IF(AA71=AK7,1,IF(AA71=AK7-1,1,0)),0)</f>
        <v>1</v>
      </c>
      <c r="AA37" s="1443">
        <f>Z37+AB37</f>
        <v>1</v>
      </c>
      <c r="AB37" s="1448">
        <f>IF(AB36&gt;Z36,IF(AA71=AK7,1,IF(AA71=AK7-1,1,0)),0)</f>
        <v>0</v>
      </c>
      <c r="AC37" s="1443">
        <f>IF(AC36&gt;AE36,IF(AD71=AK7,1,IF(AD71=AK7-1,1,0)),0)</f>
        <v>1</v>
      </c>
      <c r="AD37" s="1443">
        <f>AC37+AE37</f>
        <v>1</v>
      </c>
      <c r="AE37" s="1448">
        <f>IF(AE36&gt;AC36,IF(AD71=AK7,1,IF(AD71=AK7-1,1,0)),0)</f>
        <v>0</v>
      </c>
      <c r="AW37" s="1446"/>
    </row>
    <row r="38" spans="1:49" s="1443" customFormat="1" ht="25.5" hidden="1" customHeight="1" x14ac:dyDescent="0.2">
      <c r="A38" s="1447"/>
      <c r="D38" s="1448"/>
      <c r="G38" s="1448"/>
      <c r="J38" s="1448"/>
      <c r="M38" s="1448"/>
      <c r="P38" s="1448"/>
      <c r="S38" s="1448"/>
      <c r="V38" s="1448"/>
      <c r="Y38" s="1448"/>
      <c r="AB38" s="1448"/>
      <c r="AE38" s="1448"/>
      <c r="AW38" s="1446"/>
    </row>
    <row r="39" spans="1:49" s="1443" customFormat="1" ht="12.75" hidden="1" customHeight="1" x14ac:dyDescent="0.2">
      <c r="A39" s="1443" t="s">
        <v>86</v>
      </c>
      <c r="B39" s="1443">
        <f>IF(B31=1,B25,0)</f>
        <v>27</v>
      </c>
      <c r="D39" s="1448">
        <f t="shared" ref="D39:E43" si="2">IF(D31=1,D25,0)</f>
        <v>0</v>
      </c>
      <c r="E39" s="1443">
        <f t="shared" si="2"/>
        <v>25</v>
      </c>
      <c r="G39" s="1448">
        <f t="shared" ref="G39:H43" si="3">IF(G31=1,G25,0)</f>
        <v>0</v>
      </c>
      <c r="H39" s="1443">
        <f t="shared" si="3"/>
        <v>0</v>
      </c>
      <c r="J39" s="1448">
        <f t="shared" ref="J39:K43" si="4">IF(J31=1,J25,0)</f>
        <v>25</v>
      </c>
      <c r="K39" s="1443">
        <f t="shared" si="4"/>
        <v>25</v>
      </c>
      <c r="M39" s="1448">
        <f t="shared" ref="M39:N43" si="5">IF(M31=1,M25,0)</f>
        <v>0</v>
      </c>
      <c r="N39" s="1443">
        <f t="shared" si="5"/>
        <v>0</v>
      </c>
      <c r="P39" s="1448">
        <f t="shared" ref="P39:Q43" si="6">IF(P31=1,P25,0)</f>
        <v>25</v>
      </c>
      <c r="Q39" s="1443">
        <f t="shared" si="6"/>
        <v>0</v>
      </c>
      <c r="S39" s="1448">
        <f t="shared" ref="S39:T43" si="7">IF(S31=1,S25,0)</f>
        <v>25</v>
      </c>
      <c r="T39" s="1443">
        <f t="shared" si="7"/>
        <v>0</v>
      </c>
      <c r="V39" s="1448">
        <f t="shared" ref="V39:W43" si="8">IF(V31=1,V25,0)</f>
        <v>25</v>
      </c>
      <c r="W39" s="1443">
        <f t="shared" si="8"/>
        <v>25</v>
      </c>
      <c r="Y39" s="1448">
        <f t="shared" ref="Y39:Z43" si="9">IF(Y31=1,Y25,0)</f>
        <v>0</v>
      </c>
      <c r="Z39" s="1443">
        <f t="shared" si="9"/>
        <v>25</v>
      </c>
      <c r="AB39" s="1448">
        <f t="shared" ref="AB39:AC43" si="10">IF(AB31=1,AB25,0)</f>
        <v>0</v>
      </c>
      <c r="AC39" s="1443">
        <f t="shared" si="10"/>
        <v>25</v>
      </c>
      <c r="AE39" s="1448">
        <f>IF(AE31=1,AE25,0)</f>
        <v>0</v>
      </c>
      <c r="AW39" s="1446"/>
    </row>
    <row r="40" spans="1:49" s="1443" customFormat="1" ht="12.75" hidden="1" customHeight="1" x14ac:dyDescent="0.2">
      <c r="A40" s="1443" t="s">
        <v>87</v>
      </c>
      <c r="B40" s="1443">
        <f>IF(B32=1,B26,0)</f>
        <v>0</v>
      </c>
      <c r="D40" s="1448">
        <f t="shared" si="2"/>
        <v>25</v>
      </c>
      <c r="E40" s="1443">
        <f t="shared" si="2"/>
        <v>25</v>
      </c>
      <c r="G40" s="1448">
        <f t="shared" si="3"/>
        <v>0</v>
      </c>
      <c r="H40" s="1443">
        <f t="shared" si="3"/>
        <v>0</v>
      </c>
      <c r="J40" s="1448">
        <f t="shared" si="4"/>
        <v>25</v>
      </c>
      <c r="K40" s="1443">
        <f t="shared" si="4"/>
        <v>25</v>
      </c>
      <c r="M40" s="1448">
        <f t="shared" si="5"/>
        <v>0</v>
      </c>
      <c r="N40" s="1443">
        <f t="shared" si="5"/>
        <v>25</v>
      </c>
      <c r="P40" s="1448">
        <f t="shared" si="6"/>
        <v>0</v>
      </c>
      <c r="Q40" s="1443">
        <f t="shared" si="6"/>
        <v>0</v>
      </c>
      <c r="S40" s="1448">
        <f t="shared" si="7"/>
        <v>26</v>
      </c>
      <c r="T40" s="1443">
        <f t="shared" si="7"/>
        <v>26</v>
      </c>
      <c r="V40" s="1448">
        <f t="shared" si="8"/>
        <v>0</v>
      </c>
      <c r="W40" s="1443">
        <f t="shared" si="8"/>
        <v>25</v>
      </c>
      <c r="Y40" s="1448">
        <f t="shared" si="9"/>
        <v>0</v>
      </c>
      <c r="Z40" s="1443">
        <f t="shared" si="9"/>
        <v>26</v>
      </c>
      <c r="AB40" s="1448">
        <f t="shared" si="10"/>
        <v>0</v>
      </c>
      <c r="AC40" s="1443">
        <f t="shared" si="10"/>
        <v>26</v>
      </c>
      <c r="AE40" s="1448">
        <f>IF(AE32=1,AE26,0)</f>
        <v>0</v>
      </c>
      <c r="AW40" s="1446"/>
    </row>
    <row r="41" spans="1:49" s="1443" customFormat="1" ht="12.75" hidden="1" customHeight="1" x14ac:dyDescent="0.2">
      <c r="A41" s="1443" t="s">
        <v>88</v>
      </c>
      <c r="B41" s="1443">
        <f>IF(B33=1,B27,0)</f>
        <v>0</v>
      </c>
      <c r="D41" s="1448">
        <f t="shared" si="2"/>
        <v>0</v>
      </c>
      <c r="E41" s="1443">
        <f t="shared" si="2"/>
        <v>0</v>
      </c>
      <c r="G41" s="1448">
        <f t="shared" si="3"/>
        <v>0</v>
      </c>
      <c r="H41" s="1443">
        <f t="shared" si="3"/>
        <v>0</v>
      </c>
      <c r="J41" s="1448">
        <f t="shared" si="4"/>
        <v>0</v>
      </c>
      <c r="K41" s="1443">
        <f t="shared" si="4"/>
        <v>0</v>
      </c>
      <c r="M41" s="1448">
        <f t="shared" si="5"/>
        <v>0</v>
      </c>
      <c r="N41" s="1443">
        <f t="shared" si="5"/>
        <v>0</v>
      </c>
      <c r="P41" s="1448">
        <f t="shared" si="6"/>
        <v>0</v>
      </c>
      <c r="Q41" s="1443">
        <f t="shared" si="6"/>
        <v>0</v>
      </c>
      <c r="S41" s="1448">
        <f t="shared" si="7"/>
        <v>0</v>
      </c>
      <c r="T41" s="1443">
        <f t="shared" si="7"/>
        <v>0</v>
      </c>
      <c r="V41" s="1448">
        <f t="shared" si="8"/>
        <v>0</v>
      </c>
      <c r="W41" s="1443">
        <f t="shared" si="8"/>
        <v>0</v>
      </c>
      <c r="Y41" s="1448">
        <f t="shared" si="9"/>
        <v>0</v>
      </c>
      <c r="Z41" s="1443">
        <f t="shared" si="9"/>
        <v>0</v>
      </c>
      <c r="AB41" s="1448">
        <f t="shared" si="10"/>
        <v>0</v>
      </c>
      <c r="AC41" s="1443">
        <f t="shared" si="10"/>
        <v>0</v>
      </c>
      <c r="AE41" s="1448">
        <f>IF(AE33=1,AE27,0)</f>
        <v>0</v>
      </c>
      <c r="AW41" s="1446"/>
    </row>
    <row r="42" spans="1:49" s="1443" customFormat="1" ht="12.75" hidden="1" customHeight="1" x14ac:dyDescent="0.2">
      <c r="A42" s="1443" t="s">
        <v>89</v>
      </c>
      <c r="B42" s="1443">
        <f>IF(B34=1,B28,0)</f>
        <v>0</v>
      </c>
      <c r="D42" s="1448">
        <f t="shared" si="2"/>
        <v>0</v>
      </c>
      <c r="E42" s="1443">
        <f t="shared" si="2"/>
        <v>0</v>
      </c>
      <c r="G42" s="1448">
        <f t="shared" si="3"/>
        <v>0</v>
      </c>
      <c r="H42" s="1443">
        <f t="shared" si="3"/>
        <v>0</v>
      </c>
      <c r="J42" s="1448">
        <f t="shared" si="4"/>
        <v>0</v>
      </c>
      <c r="K42" s="1443">
        <f t="shared" si="4"/>
        <v>0</v>
      </c>
      <c r="M42" s="1448">
        <f t="shared" si="5"/>
        <v>0</v>
      </c>
      <c r="N42" s="1443">
        <f t="shared" si="5"/>
        <v>0</v>
      </c>
      <c r="P42" s="1448">
        <f t="shared" si="6"/>
        <v>0</v>
      </c>
      <c r="Q42" s="1443">
        <f t="shared" si="6"/>
        <v>0</v>
      </c>
      <c r="S42" s="1448">
        <f t="shared" si="7"/>
        <v>0</v>
      </c>
      <c r="T42" s="1443">
        <f t="shared" si="7"/>
        <v>0</v>
      </c>
      <c r="V42" s="1448">
        <f t="shared" si="8"/>
        <v>0</v>
      </c>
      <c r="W42" s="1443">
        <f t="shared" si="8"/>
        <v>0</v>
      </c>
      <c r="Y42" s="1448">
        <f t="shared" si="9"/>
        <v>0</v>
      </c>
      <c r="Z42" s="1443">
        <f t="shared" si="9"/>
        <v>0</v>
      </c>
      <c r="AB42" s="1448">
        <f t="shared" si="10"/>
        <v>0</v>
      </c>
      <c r="AC42" s="1443">
        <f t="shared" si="10"/>
        <v>0</v>
      </c>
      <c r="AE42" s="1448">
        <f>IF(AE34=1,AE28,0)</f>
        <v>0</v>
      </c>
      <c r="AW42" s="1446"/>
    </row>
    <row r="43" spans="1:49" s="1443" customFormat="1" ht="12.75" hidden="1" customHeight="1" x14ac:dyDescent="0.2">
      <c r="A43" s="1443" t="s">
        <v>90</v>
      </c>
      <c r="B43" s="1443">
        <f>IF(B35=1,B29,0)</f>
        <v>0</v>
      </c>
      <c r="D43" s="1448">
        <f t="shared" si="2"/>
        <v>0</v>
      </c>
      <c r="E43" s="1443">
        <f t="shared" si="2"/>
        <v>0</v>
      </c>
      <c r="G43" s="1448">
        <f t="shared" si="3"/>
        <v>0</v>
      </c>
      <c r="H43" s="1443">
        <f t="shared" si="3"/>
        <v>0</v>
      </c>
      <c r="J43" s="1448">
        <f t="shared" si="4"/>
        <v>0</v>
      </c>
      <c r="K43" s="1443">
        <f t="shared" si="4"/>
        <v>0</v>
      </c>
      <c r="M43" s="1448">
        <f t="shared" si="5"/>
        <v>0</v>
      </c>
      <c r="N43" s="1443">
        <f t="shared" si="5"/>
        <v>0</v>
      </c>
      <c r="P43" s="1448">
        <f t="shared" si="6"/>
        <v>0</v>
      </c>
      <c r="Q43" s="1443">
        <f t="shared" si="6"/>
        <v>0</v>
      </c>
      <c r="S43" s="1448">
        <f t="shared" si="7"/>
        <v>0</v>
      </c>
      <c r="T43" s="1443">
        <f t="shared" si="7"/>
        <v>0</v>
      </c>
      <c r="V43" s="1448">
        <f t="shared" si="8"/>
        <v>0</v>
      </c>
      <c r="W43" s="1443">
        <f t="shared" si="8"/>
        <v>0</v>
      </c>
      <c r="Y43" s="1448">
        <f t="shared" si="9"/>
        <v>0</v>
      </c>
      <c r="Z43" s="1443">
        <f t="shared" si="9"/>
        <v>0</v>
      </c>
      <c r="AB43" s="1448">
        <f t="shared" si="10"/>
        <v>0</v>
      </c>
      <c r="AC43" s="1443">
        <f t="shared" si="10"/>
        <v>0</v>
      </c>
      <c r="AE43" s="1448">
        <f>IF(AE35=1,AE29,0)</f>
        <v>0</v>
      </c>
      <c r="AW43" s="1446"/>
    </row>
    <row r="44" spans="1:49" s="1443" customFormat="1" ht="38.25" hidden="1" customHeight="1" x14ac:dyDescent="0.2">
      <c r="A44" s="1447" t="s">
        <v>91</v>
      </c>
      <c r="B44" s="1443">
        <f>SUM(B39:D43)</f>
        <v>52</v>
      </c>
      <c r="D44" s="1448"/>
      <c r="E44" s="1443">
        <f>SUM(E39:G43)</f>
        <v>50</v>
      </c>
      <c r="G44" s="1448"/>
      <c r="H44" s="1443">
        <f>SUM(H39:J43)</f>
        <v>50</v>
      </c>
      <c r="J44" s="1448"/>
      <c r="K44" s="1443">
        <f>SUM(K39:M43)</f>
        <v>50</v>
      </c>
      <c r="M44" s="1448"/>
      <c r="N44" s="1443">
        <f>SUM(N39:P43)</f>
        <v>50</v>
      </c>
      <c r="P44" s="1448"/>
      <c r="Q44" s="1443">
        <f>SUM(Q39:S43)</f>
        <v>51</v>
      </c>
      <c r="S44" s="1448"/>
      <c r="T44" s="1443">
        <f>SUM(T39:V43)</f>
        <v>51</v>
      </c>
      <c r="V44" s="1448"/>
      <c r="W44" s="1443">
        <f>SUM(W39:Y43)</f>
        <v>50</v>
      </c>
      <c r="Y44" s="1448"/>
      <c r="Z44" s="1443">
        <f>SUM(Z39:AB43)</f>
        <v>51</v>
      </c>
      <c r="AB44" s="1448"/>
      <c r="AC44" s="1443">
        <f>SUM(AC39:AE43)</f>
        <v>51</v>
      </c>
      <c r="AE44" s="1448"/>
      <c r="AW44" s="1446"/>
    </row>
    <row r="45" spans="1:49" s="1443" customFormat="1" ht="38.25" hidden="1" customHeight="1" x14ac:dyDescent="0.2">
      <c r="A45" s="1443" t="s">
        <v>92</v>
      </c>
      <c r="D45" s="1448"/>
      <c r="G45" s="1448"/>
      <c r="J45" s="1448"/>
      <c r="M45" s="1448"/>
      <c r="P45" s="1448"/>
      <c r="S45" s="1448"/>
      <c r="V45" s="1448"/>
      <c r="Y45" s="1448"/>
      <c r="AB45" s="1448"/>
      <c r="AE45" s="1448"/>
      <c r="AF45" s="1447" t="s">
        <v>93</v>
      </c>
      <c r="AG45" s="1443" t="s">
        <v>94</v>
      </c>
      <c r="AW45" s="1446"/>
    </row>
    <row r="46" spans="1:49" s="1443" customFormat="1" ht="12.75" hidden="1" customHeight="1" x14ac:dyDescent="0.2">
      <c r="A46" s="1443" t="s">
        <v>95</v>
      </c>
      <c r="B46" s="1443">
        <f>IF(B24=1,IF(B37=1,1,0),0)</f>
        <v>0</v>
      </c>
      <c r="D46" s="1448">
        <f>IF(D24=1,IF(D37=1,1,0),0)</f>
        <v>0</v>
      </c>
      <c r="E46" s="1443">
        <f>IF(E24=1,IF(E37=1,1,0),0)</f>
        <v>1</v>
      </c>
      <c r="G46" s="1448">
        <f>IF(G24=1,IF(G37=1,1,0),0)</f>
        <v>0</v>
      </c>
      <c r="H46" s="1443">
        <f>IF(H24=1,IF(H37=1,1,0),0)</f>
        <v>0</v>
      </c>
      <c r="J46" s="1448">
        <f>IF(J24=1,IF(J37=1,1,0),0)</f>
        <v>0</v>
      </c>
      <c r="K46" s="1443">
        <f>IF(K24=1,IF(K37=1,1,0),0)</f>
        <v>0</v>
      </c>
      <c r="M46" s="1448">
        <f>IF(M24=1,IF(M37=1,1,0),0)</f>
        <v>0</v>
      </c>
      <c r="N46" s="1443">
        <f>IF(N24=1,IF(N37=1,1,0),0)</f>
        <v>0</v>
      </c>
      <c r="P46" s="1448">
        <f>IF(P24=1,IF(P37=1,1,0),0)</f>
        <v>0</v>
      </c>
      <c r="Q46" s="1443">
        <f>IF(Q24=1,IF(Q37=1,1,0),0)</f>
        <v>0</v>
      </c>
      <c r="S46" s="1448">
        <f>IF(S24=1,IF(S37=1,1,0),0)</f>
        <v>0</v>
      </c>
      <c r="T46" s="1443">
        <f>IF(T24=1,IF(T37=1,1,0),0)</f>
        <v>0</v>
      </c>
      <c r="V46" s="1448">
        <f>IF(V24=1,IF(V37=1,1,0),0)</f>
        <v>0</v>
      </c>
      <c r="W46" s="1443">
        <f>IF(W24=1,IF(W37=1,1,0),0)</f>
        <v>1</v>
      </c>
      <c r="Y46" s="1448">
        <f>IF(Y24=1,IF(Y37=1,1,0),0)</f>
        <v>0</v>
      </c>
      <c r="Z46" s="1443">
        <f>IF(Z24=1,IF(Z37=1,1,0),0)</f>
        <v>0</v>
      </c>
      <c r="AB46" s="1448">
        <f>IF(AB24=1,IF(AB37=1,1,0),0)</f>
        <v>0</v>
      </c>
      <c r="AC46" s="1443">
        <f>IF(AC24=1,IF(AC37=1,1,0),0)</f>
        <v>1</v>
      </c>
      <c r="AE46" s="1448">
        <f>IF(AE24=1,IF(AE37=1,1,0),0)</f>
        <v>0</v>
      </c>
      <c r="AF46" s="1443">
        <f>SUM(B46:AE46)</f>
        <v>3</v>
      </c>
      <c r="AG46" s="1443">
        <f>AF52-AF46</f>
        <v>0</v>
      </c>
      <c r="AW46" s="1446"/>
    </row>
    <row r="47" spans="1:49" s="1443" customFormat="1" ht="12.75" hidden="1" customHeight="1" x14ac:dyDescent="0.2">
      <c r="A47" s="1443" t="s">
        <v>96</v>
      </c>
      <c r="B47" s="1443">
        <f>IF(B24=2,IF(B37=1,1,0),0)</f>
        <v>0</v>
      </c>
      <c r="D47" s="1448">
        <f>IF(D24=2,IF(D37=1,1,0),0)</f>
        <v>0</v>
      </c>
      <c r="E47" s="1443">
        <f>IF(E24=2,IF(E37=1,1,0),0)</f>
        <v>0</v>
      </c>
      <c r="G47" s="1448">
        <f>IF(G24=2,IF(G37=1,1,0),0)</f>
        <v>0</v>
      </c>
      <c r="H47" s="1443">
        <f>IF(H24=2,IF(H37=1,1,0),0)</f>
        <v>0</v>
      </c>
      <c r="J47" s="1448">
        <f>IF(J24=2,IF(J37=1,1,0),0)</f>
        <v>0</v>
      </c>
      <c r="K47" s="1443">
        <f>IF(K24=2,IF(K37=1,1,0),0)</f>
        <v>1</v>
      </c>
      <c r="M47" s="1448">
        <f>IF(M24=2,IF(M37=1,1,0),0)</f>
        <v>0</v>
      </c>
      <c r="N47" s="1443">
        <f>IF(N24=2,IF(N37=1,1,0),0)</f>
        <v>0</v>
      </c>
      <c r="P47" s="1448">
        <f>IF(P24=2,IF(P37=1,1,0),0)</f>
        <v>0</v>
      </c>
      <c r="Q47" s="1443">
        <f>IF(Q24=2,IF(Q37=1,1,0),0)</f>
        <v>0</v>
      </c>
      <c r="S47" s="1448">
        <f>IF(S24=2,IF(S37=1,1,0),0)</f>
        <v>0</v>
      </c>
      <c r="T47" s="1443">
        <f>IF(T24=2,IF(T37=1,1,0),0)</f>
        <v>0</v>
      </c>
      <c r="V47" s="1448">
        <f>IF(V24=2,IF(V37=1,1,0),0)</f>
        <v>0</v>
      </c>
      <c r="W47" s="1443">
        <f>IF(W24=2,IF(W37=1,1,0),0)</f>
        <v>0</v>
      </c>
      <c r="Y47" s="1448">
        <f>IF(Y24=2,IF(Y37=1,1,0),0)</f>
        <v>0</v>
      </c>
      <c r="Z47" s="1443">
        <f>IF(Z24=2,IF(Z37=1,1,0),0)</f>
        <v>0</v>
      </c>
      <c r="AB47" s="1448">
        <f>IF(AB24=2,IF(AB37=1,1,0),0)</f>
        <v>0</v>
      </c>
      <c r="AC47" s="1443">
        <f>IF(AC24=2,IF(AC37=1,1,0),0)</f>
        <v>0</v>
      </c>
      <c r="AE47" s="1448">
        <f>IF(AE24=2,IF(AE37=1,1,0),0)</f>
        <v>0</v>
      </c>
      <c r="AF47" s="1443">
        <f>SUM(B47:AE47)</f>
        <v>1</v>
      </c>
      <c r="AG47" s="1443">
        <f>AF53-AF47</f>
        <v>1</v>
      </c>
      <c r="AW47" s="1446"/>
    </row>
    <row r="48" spans="1:49" s="1443" customFormat="1" ht="12.75" hidden="1" customHeight="1" x14ac:dyDescent="0.2">
      <c r="A48" s="1443" t="s">
        <v>97</v>
      </c>
      <c r="B48" s="1443">
        <f>IF(B24=3,IF(B37=1,1,0),0)</f>
        <v>0</v>
      </c>
      <c r="D48" s="1448">
        <f>IF(D24=3,IF(D37=1,1,0),0)</f>
        <v>0</v>
      </c>
      <c r="E48" s="1443">
        <f>IF(E24=3,IF(E37=1,1,0),0)</f>
        <v>0</v>
      </c>
      <c r="G48" s="1448">
        <f>IF(G24=3,IF(G37=1,1,0),0)</f>
        <v>0</v>
      </c>
      <c r="H48" s="1443">
        <f>IF(H24=3,IF(H37=1,1,0),0)</f>
        <v>0</v>
      </c>
      <c r="J48" s="1448">
        <f>IF(J24=3,IF(J37=1,1,0),0)</f>
        <v>0</v>
      </c>
      <c r="K48" s="1443">
        <f>IF(K24=3,IF(K37=1,1,0),0)</f>
        <v>0</v>
      </c>
      <c r="M48" s="1448">
        <f>IF(M24=3,IF(M37=1,1,0),0)</f>
        <v>0</v>
      </c>
      <c r="N48" s="1443">
        <f>IF(N24=3,IF(N37=1,1,0),0)</f>
        <v>0</v>
      </c>
      <c r="P48" s="1448">
        <f>IF(P24=3,IF(P37=1,1,0),0)</f>
        <v>0</v>
      </c>
      <c r="Q48" s="1443">
        <f>IF(Q24=3,IF(Q37=1,1,0),0)</f>
        <v>0</v>
      </c>
      <c r="S48" s="1448">
        <f>IF(S24=3,IF(S37=1,1,0),0)</f>
        <v>0</v>
      </c>
      <c r="T48" s="1443">
        <f>IF(T24=3,IF(T37=1,1,0),0)</f>
        <v>0</v>
      </c>
      <c r="V48" s="1448">
        <f>IF(V24=3,IF(V37=1,1,0),0)</f>
        <v>0</v>
      </c>
      <c r="W48" s="1443">
        <f>IF(W24=3,IF(W37=1,1,0),0)</f>
        <v>0</v>
      </c>
      <c r="Y48" s="1448">
        <f>IF(Y24=3,IF(Y37=1,1,0),0)</f>
        <v>0</v>
      </c>
      <c r="Z48" s="1443">
        <f>IF(Z24=3,IF(Z37=1,1,0),0)</f>
        <v>1</v>
      </c>
      <c r="AB48" s="1448">
        <f>IF(AB24=3,IF(AB37=1,1,0),0)</f>
        <v>0</v>
      </c>
      <c r="AC48" s="1443">
        <f>IF(AC24=3,IF(AC37=1,1,0),0)</f>
        <v>0</v>
      </c>
      <c r="AE48" s="1448">
        <f>IF(AE24=3,IF(AE37=1,1,0),0)</f>
        <v>0</v>
      </c>
      <c r="AF48" s="1443">
        <f>SUM(B48:AE48)</f>
        <v>1</v>
      </c>
      <c r="AG48" s="1443">
        <f>AF54-AF48</f>
        <v>1</v>
      </c>
      <c r="AW48" s="1446"/>
    </row>
    <row r="49" spans="1:49" s="1443" customFormat="1" ht="12.75" hidden="1" customHeight="1" x14ac:dyDescent="0.2">
      <c r="A49" s="1443" t="s">
        <v>98</v>
      </c>
      <c r="B49" s="1443">
        <f>IF(B24=4,IF(B37=1,1,0),0)</f>
        <v>0</v>
      </c>
      <c r="D49" s="1448">
        <f>IF(D24=4,IF(D37=1,1,0),0)</f>
        <v>0</v>
      </c>
      <c r="E49" s="1443">
        <f>IF(E24=4,IF(E37=1,1,0),0)</f>
        <v>0</v>
      </c>
      <c r="G49" s="1448">
        <f>IF(G24=4,IF(G37=1,1,0),0)</f>
        <v>0</v>
      </c>
      <c r="H49" s="1443">
        <f>IF(H24=4,IF(H37=1,1,0),0)</f>
        <v>0</v>
      </c>
      <c r="J49" s="1448">
        <f>IF(J24=4,IF(J37=1,1,0),0)</f>
        <v>0</v>
      </c>
      <c r="K49" s="1443">
        <f>IF(K24=4,IF(K37=1,1,0),0)</f>
        <v>0</v>
      </c>
      <c r="M49" s="1448">
        <f>IF(M24=4,IF(M37=1,1,0),0)</f>
        <v>0</v>
      </c>
      <c r="N49" s="1443">
        <f>IF(N24=4,IF(N37=1,1,0),0)</f>
        <v>0</v>
      </c>
      <c r="P49" s="1448">
        <f>IF(P24=4,IF(P37=1,1,0),0)</f>
        <v>0</v>
      </c>
      <c r="Q49" s="1443">
        <f>IF(Q24=4,IF(Q37=1,1,0),0)</f>
        <v>0</v>
      </c>
      <c r="S49" s="1448">
        <f>IF(S24=4,IF(S37=1,1,0),0)</f>
        <v>0</v>
      </c>
      <c r="T49" s="1443">
        <f>IF(T24=4,IF(T37=1,1,0),0)</f>
        <v>0</v>
      </c>
      <c r="V49" s="1448">
        <f>IF(V24=4,IF(V37=1,1,0),0)</f>
        <v>0</v>
      </c>
      <c r="W49" s="1443">
        <f>IF(W24=4,IF(W37=1,1,0),0)</f>
        <v>0</v>
      </c>
      <c r="Y49" s="1448">
        <f>IF(Y24=4,IF(Y37=1,1,0),0)</f>
        <v>0</v>
      </c>
      <c r="Z49" s="1443">
        <f>IF(Z24=4,IF(Z37=1,1,0),0)</f>
        <v>0</v>
      </c>
      <c r="AB49" s="1448">
        <f>IF(AB24=4,IF(AB37=1,1,0),0)</f>
        <v>0</v>
      </c>
      <c r="AC49" s="1443">
        <f>IF(AC24=4,IF(AC37=1,1,0),0)</f>
        <v>0</v>
      </c>
      <c r="AE49" s="1448">
        <f>IF(AE24=4,IF(AE37=1,1,0),0)</f>
        <v>0</v>
      </c>
      <c r="AF49" s="1443">
        <f>SUM(B49:AE49)</f>
        <v>0</v>
      </c>
      <c r="AG49" s="1443">
        <f>AF55-AF49</f>
        <v>4</v>
      </c>
      <c r="AW49" s="1446"/>
    </row>
    <row r="50" spans="1:49" s="1443" customFormat="1" ht="12.75" hidden="1" customHeight="1" x14ac:dyDescent="0.2">
      <c r="A50" s="1443" t="s">
        <v>99</v>
      </c>
      <c r="B50" s="1443">
        <f>IF(B24=5,IF(B37=1,1,0),0)</f>
        <v>0</v>
      </c>
      <c r="D50" s="1448">
        <f>IF(D24=5,IF(D37=1,1,0),0)</f>
        <v>0</v>
      </c>
      <c r="E50" s="1443">
        <f>IF(E24=5,IF(E37=1,1,0),0)</f>
        <v>0</v>
      </c>
      <c r="G50" s="1448">
        <f>IF(G24=5,IF(G37=1,1,0),0)</f>
        <v>0</v>
      </c>
      <c r="H50" s="1443">
        <f>IF(H24=5,IF(H37=1,1,0),0)</f>
        <v>0</v>
      </c>
      <c r="J50" s="1448">
        <f>IF(J24=5,IF(J37=1,1,0),0)</f>
        <v>1</v>
      </c>
      <c r="K50" s="1443">
        <f>IF(K24=5,IF(K37=1,1,0),0)</f>
        <v>0</v>
      </c>
      <c r="M50" s="1448">
        <f>IF(M24=5,IF(M37=1,1,0),0)</f>
        <v>0</v>
      </c>
      <c r="N50" s="1443">
        <f>IF(N24=5,IF(N37=1,1,0),0)</f>
        <v>0</v>
      </c>
      <c r="P50" s="1448">
        <f>IF(P24=5,IF(P37=1,1,0),0)</f>
        <v>0</v>
      </c>
      <c r="Q50" s="1443">
        <f>IF(Q24=5,IF(Q37=1,1,0),0)</f>
        <v>0</v>
      </c>
      <c r="S50" s="1448">
        <f>IF(S24=5,IF(S37=1,1,0),0)</f>
        <v>1</v>
      </c>
      <c r="T50" s="1443">
        <f>IF(T24=5,IF(T37=1,1,0),0)</f>
        <v>0</v>
      </c>
      <c r="V50" s="1448">
        <f>IF(V24=5,IF(V37=1,1,0),0)</f>
        <v>0</v>
      </c>
      <c r="W50" s="1443">
        <f>IF(W24=5,IF(W37=1,1,0),0)</f>
        <v>0</v>
      </c>
      <c r="Y50" s="1448">
        <f>IF(Y24=5,IF(Y37=1,1,0),0)</f>
        <v>0</v>
      </c>
      <c r="Z50" s="1443">
        <f>IF(Z24=5,IF(Z37=1,1,0),0)</f>
        <v>0</v>
      </c>
      <c r="AB50" s="1448">
        <f>IF(AB24=5,IF(AB37=1,1,0),0)</f>
        <v>0</v>
      </c>
      <c r="AC50" s="1443">
        <f>IF(AC24=5,IF(AC37=1,1,0),0)</f>
        <v>0</v>
      </c>
      <c r="AE50" s="1448">
        <f>IF(AE24=5,IF(AE37=1,1,0),0)</f>
        <v>0</v>
      </c>
      <c r="AF50" s="1443">
        <f>SUM(B50:AE50)</f>
        <v>2</v>
      </c>
      <c r="AG50" s="1443">
        <f>AF56-AF50</f>
        <v>1</v>
      </c>
      <c r="AW50" s="1446"/>
    </row>
    <row r="51" spans="1:49" s="1443" customFormat="1" ht="38.25" hidden="1" customHeight="1" x14ac:dyDescent="0.2">
      <c r="A51" s="1447"/>
      <c r="D51" s="1448"/>
      <c r="G51" s="1448"/>
      <c r="J51" s="1448"/>
      <c r="M51" s="1448"/>
      <c r="P51" s="1448"/>
      <c r="S51" s="1448"/>
      <c r="V51" s="1448"/>
      <c r="Y51" s="1448"/>
      <c r="AB51" s="1448"/>
      <c r="AE51" s="1448"/>
      <c r="AF51" s="1447" t="s">
        <v>100</v>
      </c>
      <c r="AW51" s="1446"/>
    </row>
    <row r="52" spans="1:49" s="1443" customFormat="1" ht="12.75" hidden="1" customHeight="1" x14ac:dyDescent="0.2">
      <c r="A52" s="1443" t="s">
        <v>101</v>
      </c>
      <c r="B52" s="1443">
        <f>IF(B24=1,IF(C37=1,1,0),0)</f>
        <v>0</v>
      </c>
      <c r="D52" s="1448">
        <f>IF(D24=1,IF(C37=1,1,0),0)</f>
        <v>0</v>
      </c>
      <c r="E52" s="1443">
        <f>IF(E24=1,IF(F37=1,1,0),0)</f>
        <v>1</v>
      </c>
      <c r="G52" s="1448">
        <f>IF(G24=1,IF(F37=1,1,0),0)</f>
        <v>0</v>
      </c>
      <c r="H52" s="1443">
        <f>IF(H24=1,IF(I37=1,1,0),0)</f>
        <v>0</v>
      </c>
      <c r="J52" s="1448">
        <f>IF(J24=1,IF(I37=1,1,0),0)</f>
        <v>0</v>
      </c>
      <c r="K52" s="1443">
        <f>IF(K24=1,IF(L37=1,1,0),0)</f>
        <v>0</v>
      </c>
      <c r="M52" s="1448">
        <f>IF(M24=1,IF(L37=1,1,0),0)</f>
        <v>0</v>
      </c>
      <c r="N52" s="1443">
        <f>IF(N24=1,IF(O37=1,1,0),0)</f>
        <v>0</v>
      </c>
      <c r="P52" s="1448">
        <f>IF(P24=1,IF(O37=1,1,0),0)</f>
        <v>0</v>
      </c>
      <c r="Q52" s="1443">
        <f>IF(Q24=1,IF(R37=1,1,0),0)</f>
        <v>0</v>
      </c>
      <c r="S52" s="1448">
        <f>IF(S24=1,IF(R37=1,1,0),0)</f>
        <v>0</v>
      </c>
      <c r="T52" s="1443">
        <f>IF(T24=1,IF(U37=1,1,0),0)</f>
        <v>0</v>
      </c>
      <c r="V52" s="1448">
        <f>IF(V24=1,IF(U37=1,1,0),0)</f>
        <v>0</v>
      </c>
      <c r="W52" s="1443">
        <f>IF(W24=1,IF(X37=1,1,0),0)</f>
        <v>1</v>
      </c>
      <c r="Y52" s="1448">
        <f>IF(Y24=1,IF(X37=1,1,0),0)</f>
        <v>0</v>
      </c>
      <c r="Z52" s="1443">
        <f>IF(Z24=1,IF(AA37=1,1,0),0)</f>
        <v>0</v>
      </c>
      <c r="AB52" s="1448">
        <f>IF(AB24=1,IF(AA37=1,1,0),0)</f>
        <v>0</v>
      </c>
      <c r="AC52" s="1443">
        <f>IF(AC24=1,IF(AD37=1,1,0),0)</f>
        <v>1</v>
      </c>
      <c r="AE52" s="1448">
        <f>IF(AE24=1,IF(AD37=1,1,0),0)</f>
        <v>0</v>
      </c>
      <c r="AF52" s="1443">
        <f>SUM(B52:AE52)</f>
        <v>3</v>
      </c>
      <c r="AW52" s="1446"/>
    </row>
    <row r="53" spans="1:49" s="1443" customFormat="1" ht="12.75" hidden="1" customHeight="1" x14ac:dyDescent="0.2">
      <c r="A53" s="1443" t="s">
        <v>102</v>
      </c>
      <c r="B53" s="1443">
        <f>IF(B24=2,IF(C37=1,1,0),0)</f>
        <v>0</v>
      </c>
      <c r="D53" s="1448">
        <f>IF(D24=2,IF(C37=1,1,0),0)</f>
        <v>0</v>
      </c>
      <c r="E53" s="1443">
        <f>IF(E24=2,IF(F37=1,1,0),0)</f>
        <v>0</v>
      </c>
      <c r="G53" s="1448">
        <f>IF(G24=2,IF(F37=1,1,0),0)</f>
        <v>0</v>
      </c>
      <c r="H53" s="1443">
        <f>IF(H24=2,IF(I37=1,1,0),0)</f>
        <v>0</v>
      </c>
      <c r="J53" s="1448">
        <f>IF(J24=2,IF(I37=1,1,0),0)</f>
        <v>0</v>
      </c>
      <c r="K53" s="1443">
        <f>IF(K24=2,IF(L37=1,1,0),0)</f>
        <v>1</v>
      </c>
      <c r="M53" s="1448">
        <f>IF(M24=2,IF(L37=1,1,0),0)</f>
        <v>0</v>
      </c>
      <c r="N53" s="1443">
        <f>IF(N24=2,IF(O37=1,1,0),0)</f>
        <v>0</v>
      </c>
      <c r="P53" s="1448">
        <f>IF(P24=2,IF(O37=1,1,0),0)</f>
        <v>0</v>
      </c>
      <c r="Q53" s="1443">
        <f>IF(Q24=2,IF(R37=1,1,0),0)</f>
        <v>0</v>
      </c>
      <c r="S53" s="1448">
        <f>IF(S24=2,IF(R37=1,1,0),0)</f>
        <v>0</v>
      </c>
      <c r="T53" s="1443">
        <f>IF(T24=2,IF(U37=1,1,0),0)</f>
        <v>0</v>
      </c>
      <c r="V53" s="1448">
        <f>IF(V24=2,IF(U37=1,1,0),0)</f>
        <v>0</v>
      </c>
      <c r="W53" s="1443">
        <f>IF(W24=2,IF(X37=1,1,0),0)</f>
        <v>0</v>
      </c>
      <c r="Y53" s="1448">
        <f>IF(Y24=2,IF(X37=1,1,0),0)</f>
        <v>0</v>
      </c>
      <c r="Z53" s="1443">
        <f>IF(Z24=2,IF(AA37=1,1,0),0)</f>
        <v>0</v>
      </c>
      <c r="AB53" s="1448">
        <f>IF(AB24=2,IF(AA37=1,1,0),0)</f>
        <v>0</v>
      </c>
      <c r="AC53" s="1443">
        <f>IF(AC24=2,IF(AD37=1,1,0),0)</f>
        <v>0</v>
      </c>
      <c r="AE53" s="1448">
        <f>IF(AE24=2,IF(AD37=1,1,0),0)</f>
        <v>1</v>
      </c>
      <c r="AF53" s="1443">
        <f>SUM(B53:AE53)</f>
        <v>2</v>
      </c>
      <c r="AW53" s="1446"/>
    </row>
    <row r="54" spans="1:49" s="1443" customFormat="1" ht="12.75" hidden="1" customHeight="1" x14ac:dyDescent="0.2">
      <c r="A54" s="1443" t="s">
        <v>103</v>
      </c>
      <c r="B54" s="1443">
        <f>IF(B24=3,IF(C37=1,1,0),0)</f>
        <v>0</v>
      </c>
      <c r="D54" s="1448">
        <f>IF(D24=3,IF(C37=1,1,0),0)</f>
        <v>0</v>
      </c>
      <c r="E54" s="1443">
        <f>IF(E24=3,IF(F37=1,1,0),0)</f>
        <v>0</v>
      </c>
      <c r="G54" s="1448">
        <f>IF(G24=3,IF(F37=1,1,0),0)</f>
        <v>0</v>
      </c>
      <c r="H54" s="1443">
        <f>IF(H24=3,IF(I37=1,1,0),0)</f>
        <v>1</v>
      </c>
      <c r="J54" s="1448">
        <f>IF(J24=3,IF(I37=1,1,0),0)</f>
        <v>0</v>
      </c>
      <c r="K54" s="1443">
        <f>IF(K24=3,IF(L37=1,1,0),0)</f>
        <v>0</v>
      </c>
      <c r="M54" s="1448">
        <f>IF(M24=3,IF(L37=1,1,0),0)</f>
        <v>0</v>
      </c>
      <c r="N54" s="1443">
        <f>IF(N24=3,IF(O37=1,1,0),0)</f>
        <v>0</v>
      </c>
      <c r="P54" s="1448">
        <f>IF(P24=3,IF(O37=1,1,0),0)</f>
        <v>0</v>
      </c>
      <c r="Q54" s="1443">
        <f>IF(Q24=3,IF(R37=1,1,0),0)</f>
        <v>0</v>
      </c>
      <c r="S54" s="1448">
        <f>IF(S24=3,IF(R37=1,1,0),0)</f>
        <v>0</v>
      </c>
      <c r="T54" s="1443">
        <f>IF(T24=3,IF(U37=1,1,0),0)</f>
        <v>0</v>
      </c>
      <c r="V54" s="1448">
        <f>IF(V24=3,IF(U37=1,1,0),0)</f>
        <v>0</v>
      </c>
      <c r="W54" s="1443">
        <f>IF(W24=3,IF(X37=1,1,0),0)</f>
        <v>0</v>
      </c>
      <c r="Y54" s="1448">
        <f>IF(Y24=3,IF(X37=1,1,0),0)</f>
        <v>0</v>
      </c>
      <c r="Z54" s="1443">
        <f>IF(Z24=3,IF(AA37=1,1,0),0)</f>
        <v>1</v>
      </c>
      <c r="AB54" s="1448">
        <f>IF(AB24=3,IF(AA37=1,1,0),0)</f>
        <v>0</v>
      </c>
      <c r="AC54" s="1443">
        <f>IF(AC24=3,IF(AD37=1,1,0),0)</f>
        <v>0</v>
      </c>
      <c r="AE54" s="1448">
        <f>IF(AE24=3,IF(AD37=1,1,0),0)</f>
        <v>0</v>
      </c>
      <c r="AF54" s="1443">
        <f>SUM(B54:AE54)</f>
        <v>2</v>
      </c>
      <c r="AW54" s="1446"/>
    </row>
    <row r="55" spans="1:49" s="1443" customFormat="1" ht="12.75" hidden="1" customHeight="1" x14ac:dyDescent="0.2">
      <c r="A55" s="1443" t="s">
        <v>104</v>
      </c>
      <c r="B55" s="1443">
        <f>IF(B24=4,IF(C37=1,1,0),0)</f>
        <v>0</v>
      </c>
      <c r="D55" s="1448">
        <f>IF(D24=4,IF(C37=1,1,0),0)</f>
        <v>0</v>
      </c>
      <c r="E55" s="1443">
        <f>IF(E24=4,IF(F37=1,1,0),0)</f>
        <v>0</v>
      </c>
      <c r="G55" s="1448">
        <f>IF(G24=4,IF(F37=1,1,0),0)</f>
        <v>1</v>
      </c>
      <c r="H55" s="1443">
        <f>IF(H24=4,IF(I37=1,1,0),0)</f>
        <v>0</v>
      </c>
      <c r="J55" s="1448">
        <f>IF(J24=4,IF(I37=1,1,0),0)</f>
        <v>0</v>
      </c>
      <c r="K55" s="1443">
        <f>IF(K24=4,IF(L37=1,1,0),0)</f>
        <v>0</v>
      </c>
      <c r="M55" s="1448">
        <f>IF(M24=4,IF(L37=1,1,0),0)</f>
        <v>1</v>
      </c>
      <c r="N55" s="1443">
        <f>IF(N24=4,IF(O37=1,1,0),0)</f>
        <v>0</v>
      </c>
      <c r="P55" s="1448">
        <f>IF(P24=4,IF(O37=1,1,0),0)</f>
        <v>0</v>
      </c>
      <c r="Q55" s="1443">
        <f>IF(Q24=4,IF(R37=1,1,0),0)</f>
        <v>1</v>
      </c>
      <c r="S55" s="1448">
        <f>IF(S24=4,IF(R37=1,1,0),0)</f>
        <v>0</v>
      </c>
      <c r="T55" s="1443">
        <f>IF(T24=4,IF(U37=1,1,0),0)</f>
        <v>0</v>
      </c>
      <c r="V55" s="1448">
        <f>IF(V24=4,IF(U37=1,1,0),0)</f>
        <v>0</v>
      </c>
      <c r="W55" s="1443">
        <f>IF(W24=4,IF(X37=1,1,0),0)</f>
        <v>0</v>
      </c>
      <c r="Y55" s="1448">
        <f>IF(Y24=4,IF(X37=1,1,0),0)</f>
        <v>0</v>
      </c>
      <c r="Z55" s="1443">
        <f>IF(Z24=4,IF(AA37=1,1,0),0)</f>
        <v>0</v>
      </c>
      <c r="AB55" s="1448">
        <f>IF(AB24=4,IF(AA37=1,1,0),0)</f>
        <v>1</v>
      </c>
      <c r="AC55" s="1443">
        <f>IF(AC24=4,IF(AD37=1,1,0),0)</f>
        <v>0</v>
      </c>
      <c r="AE55" s="1448">
        <f>IF(AE24=4,IF(AD37=1,1,0),0)</f>
        <v>0</v>
      </c>
      <c r="AF55" s="1443">
        <f>SUM(B55:AE55)</f>
        <v>4</v>
      </c>
      <c r="AW55" s="1446"/>
    </row>
    <row r="56" spans="1:49" s="1443" customFormat="1" ht="12.75" hidden="1" customHeight="1" x14ac:dyDescent="0.2">
      <c r="A56" s="1443" t="s">
        <v>105</v>
      </c>
      <c r="B56" s="1443">
        <f>IF(B24=5,IF(C37=1,1,0),0)</f>
        <v>0</v>
      </c>
      <c r="D56" s="1448">
        <f>IF(D24=5,IF(C37=1,1,0),0)</f>
        <v>0</v>
      </c>
      <c r="E56" s="1443">
        <f>IF(E24=5,IF(F37=1,1,0),0)</f>
        <v>0</v>
      </c>
      <c r="G56" s="1448">
        <f>IF(G24=5,IF(F37=1,1,0),0)</f>
        <v>0</v>
      </c>
      <c r="H56" s="1443">
        <f>IF(H24=5,IF(I37=1,1,0),0)</f>
        <v>0</v>
      </c>
      <c r="J56" s="1448">
        <f>IF(J24=5,IF(I37=1,1,0),0)</f>
        <v>1</v>
      </c>
      <c r="K56" s="1443">
        <f>IF(K24=5,IF(L37=1,1,0),0)</f>
        <v>0</v>
      </c>
      <c r="M56" s="1448">
        <f>IF(M24=5,IF(L37=1,1,0),0)</f>
        <v>0</v>
      </c>
      <c r="N56" s="1443">
        <f>IF(N24=5,IF(O37=1,1,0),0)</f>
        <v>0</v>
      </c>
      <c r="P56" s="1448">
        <f>IF(P24=5,IF(O37=1,1,0),0)</f>
        <v>0</v>
      </c>
      <c r="Q56" s="1443">
        <f>IF(Q24=5,IF(R37=1,1,0),0)</f>
        <v>0</v>
      </c>
      <c r="S56" s="1448">
        <f>IF(S24=5,IF(R37=1,1,0),0)</f>
        <v>1</v>
      </c>
      <c r="T56" s="1443">
        <f>IF(T24=5,IF(U37=1,1,0),0)</f>
        <v>0</v>
      </c>
      <c r="V56" s="1448">
        <f>IF(V24=5,IF(U37=1,1,0),0)</f>
        <v>0</v>
      </c>
      <c r="W56" s="1443">
        <f>IF(W24=5,IF(X37=1,1,0),0)</f>
        <v>0</v>
      </c>
      <c r="Y56" s="1448">
        <f>IF(Y24=5,IF(X37=1,1,0),0)</f>
        <v>1</v>
      </c>
      <c r="Z56" s="1443">
        <f>IF(Z24=5,IF(AA37=1,1,0),0)</f>
        <v>0</v>
      </c>
      <c r="AB56" s="1448">
        <f>IF(AB24=5,IF(AA37=1,1,0),0)</f>
        <v>0</v>
      </c>
      <c r="AC56" s="1443">
        <f>IF(AC24=5,IF(AD37=1,1,0),0)</f>
        <v>0</v>
      </c>
      <c r="AE56" s="1448">
        <f>IF(AE24=5,IF(AD37=1,1,0),0)</f>
        <v>0</v>
      </c>
      <c r="AF56" s="1443">
        <f>SUM(B56:AE56)</f>
        <v>3</v>
      </c>
      <c r="AW56" s="1446"/>
    </row>
    <row r="57" spans="1:49" s="1443" customFormat="1" ht="38.25" hidden="1" customHeight="1" x14ac:dyDescent="0.2">
      <c r="A57" s="1447"/>
      <c r="D57" s="1448"/>
      <c r="G57" s="1448"/>
      <c r="J57" s="1448"/>
      <c r="M57" s="1448"/>
      <c r="P57" s="1448"/>
      <c r="S57" s="1448"/>
      <c r="V57" s="1448"/>
      <c r="Y57" s="1448"/>
      <c r="AB57" s="1448"/>
      <c r="AE57" s="1448"/>
      <c r="AF57" s="1447" t="s">
        <v>106</v>
      </c>
      <c r="AG57" s="1449"/>
      <c r="AH57" s="1449"/>
      <c r="AI57" s="1449"/>
      <c r="AJ57" s="1449"/>
      <c r="AK57" s="1449"/>
      <c r="AW57" s="1446"/>
    </row>
    <row r="58" spans="1:49" s="1443" customFormat="1" ht="12.75" hidden="1" customHeight="1" x14ac:dyDescent="0.2">
      <c r="A58" s="1443" t="s">
        <v>101</v>
      </c>
      <c r="B58" s="1443">
        <f>IF(B24=1,B44,0)</f>
        <v>0</v>
      </c>
      <c r="D58" s="1448">
        <f>IF(D24=1,B44,0)</f>
        <v>0</v>
      </c>
      <c r="E58" s="1443">
        <f>IF(E24=1,E44,0)</f>
        <v>50</v>
      </c>
      <c r="G58" s="1448">
        <f>IF(G24=1,E44,0)</f>
        <v>0</v>
      </c>
      <c r="H58" s="1443">
        <f>IF(H24=1,H44,0)</f>
        <v>0</v>
      </c>
      <c r="J58" s="1448">
        <f>IF(J24=1,H44,0)</f>
        <v>0</v>
      </c>
      <c r="K58" s="1443">
        <f>IF(K24=1,K44,0)</f>
        <v>0</v>
      </c>
      <c r="M58" s="1448">
        <f>IF(M24=1,K44,0)</f>
        <v>0</v>
      </c>
      <c r="N58" s="1443">
        <f>IF(N24=1,N44,0)</f>
        <v>50</v>
      </c>
      <c r="P58" s="1448">
        <f>IF(P24=1,N44,0)</f>
        <v>0</v>
      </c>
      <c r="Q58" s="1443">
        <f>IF(Q24=1,Q44,0)</f>
        <v>0</v>
      </c>
      <c r="S58" s="1448">
        <f>IF(S24=1,Q44,0)</f>
        <v>0</v>
      </c>
      <c r="T58" s="1443">
        <f>IF(T24=1,T44,0)</f>
        <v>0</v>
      </c>
      <c r="V58" s="1448">
        <f>IF(V24=1,T44,0)</f>
        <v>0</v>
      </c>
      <c r="W58" s="1443">
        <f>IF(W24=1,W44,0)</f>
        <v>50</v>
      </c>
      <c r="Y58" s="1448">
        <f>IF(Y24=1,W44,0)</f>
        <v>0</v>
      </c>
      <c r="Z58" s="1443">
        <f>IF(Z24=1,Z44,0)</f>
        <v>0</v>
      </c>
      <c r="AB58" s="1448">
        <f>IF(AB24=1,Z44,0)</f>
        <v>0</v>
      </c>
      <c r="AC58" s="1443">
        <f>IF(AC24=1,AC44,0)</f>
        <v>51</v>
      </c>
      <c r="AE58" s="1448">
        <f>IF(AE24=1,AC44,0)</f>
        <v>0</v>
      </c>
      <c r="AF58" s="1443">
        <f>SUM(B58:AE58)</f>
        <v>201</v>
      </c>
      <c r="AW58" s="1446"/>
    </row>
    <row r="59" spans="1:49" s="1443" customFormat="1" ht="12.75" hidden="1" customHeight="1" x14ac:dyDescent="0.2">
      <c r="A59" s="1443" t="s">
        <v>102</v>
      </c>
      <c r="B59" s="1443">
        <f>IF(B24=2,B44,0)</f>
        <v>52</v>
      </c>
      <c r="D59" s="1448">
        <f>IF(D24=2,B44,0)</f>
        <v>0</v>
      </c>
      <c r="E59" s="1443">
        <f>IF(E24=2,E44,0)</f>
        <v>0</v>
      </c>
      <c r="G59" s="1448">
        <f>IF(G24=2,E44,0)</f>
        <v>0</v>
      </c>
      <c r="H59" s="1443">
        <f>IF(H24=2,H44,0)</f>
        <v>0</v>
      </c>
      <c r="J59" s="1448">
        <f>IF(J24=2,H44,0)</f>
        <v>0</v>
      </c>
      <c r="K59" s="1443">
        <f>IF(K24=2,K44,0)</f>
        <v>50</v>
      </c>
      <c r="M59" s="1448">
        <f>IF(M24=2,K44,0)</f>
        <v>0</v>
      </c>
      <c r="N59" s="1443">
        <f>IF(N24=2,N44,0)</f>
        <v>0</v>
      </c>
      <c r="P59" s="1448">
        <f>IF(P24=2,N44,0)</f>
        <v>0</v>
      </c>
      <c r="Q59" s="1443">
        <f>IF(Q24=2,Q44,0)</f>
        <v>0</v>
      </c>
      <c r="S59" s="1448">
        <f>IF(S24=2,Q44,0)</f>
        <v>0</v>
      </c>
      <c r="T59" s="1443">
        <f>IF(T24=2,T44,0)</f>
        <v>51</v>
      </c>
      <c r="V59" s="1448">
        <f>IF(V24=2,T44,0)</f>
        <v>0</v>
      </c>
      <c r="W59" s="1443">
        <f>IF(W24=2,W44,0)</f>
        <v>0</v>
      </c>
      <c r="Y59" s="1448">
        <f>IF(Y24=2,W44,0)</f>
        <v>0</v>
      </c>
      <c r="Z59" s="1443">
        <f>IF(Z24=2,Z44,0)</f>
        <v>0</v>
      </c>
      <c r="AB59" s="1448">
        <f>IF(AB24=2,Z44,0)</f>
        <v>0</v>
      </c>
      <c r="AC59" s="1443">
        <f>IF(AC24=2,AC44,0)</f>
        <v>0</v>
      </c>
      <c r="AE59" s="1448">
        <f>IF(AE24=2,AC44,0)</f>
        <v>51</v>
      </c>
      <c r="AF59" s="1443">
        <f>SUM(B59:AE59)</f>
        <v>204</v>
      </c>
      <c r="AW59" s="1446"/>
    </row>
    <row r="60" spans="1:49" s="1443" customFormat="1" ht="12.75" hidden="1" customHeight="1" x14ac:dyDescent="0.2">
      <c r="A60" s="1443" t="s">
        <v>103</v>
      </c>
      <c r="B60" s="1443">
        <f>IF(B24=3,B44,0)</f>
        <v>0</v>
      </c>
      <c r="D60" s="1448">
        <f>IF(D24=3,B44,0)</f>
        <v>0</v>
      </c>
      <c r="E60" s="1443">
        <f>IF(E24=3,E44,0)</f>
        <v>0</v>
      </c>
      <c r="G60" s="1448">
        <f>IF(G24=3,E44,0)</f>
        <v>0</v>
      </c>
      <c r="H60" s="1443">
        <f>IF(H24=3,H44,0)</f>
        <v>50</v>
      </c>
      <c r="J60" s="1448">
        <f>IF(J24=3,H44,0)</f>
        <v>0</v>
      </c>
      <c r="K60" s="1443">
        <f>IF(K24=3,K44,0)</f>
        <v>0</v>
      </c>
      <c r="M60" s="1448">
        <f>IF(M24=3,K44,0)</f>
        <v>0</v>
      </c>
      <c r="N60" s="1443">
        <f>IF(N24=3,N44,0)</f>
        <v>0</v>
      </c>
      <c r="P60" s="1448">
        <f>IF(P24=3,N44,0)</f>
        <v>50</v>
      </c>
      <c r="Q60" s="1443">
        <f>IF(Q24=3,Q44,0)</f>
        <v>0</v>
      </c>
      <c r="S60" s="1448">
        <f>IF(S24=3,Q44,0)</f>
        <v>0</v>
      </c>
      <c r="T60" s="1443">
        <f>IF(T24=3,T44,0)</f>
        <v>0</v>
      </c>
      <c r="V60" s="1448">
        <f>IF(V24=3,T44,0)</f>
        <v>51</v>
      </c>
      <c r="W60" s="1443">
        <f>IF(W24=3,W44,0)</f>
        <v>0</v>
      </c>
      <c r="Y60" s="1448">
        <f>IF(Y24=3,W44,0)</f>
        <v>0</v>
      </c>
      <c r="Z60" s="1443">
        <f>IF(Z24=3,Z44,0)</f>
        <v>51</v>
      </c>
      <c r="AB60" s="1448">
        <f>IF(AB24=3,Z44,0)</f>
        <v>0</v>
      </c>
      <c r="AC60" s="1443">
        <f>IF(AC24=3,AC44,0)</f>
        <v>0</v>
      </c>
      <c r="AE60" s="1448">
        <f>IF(AE24=3,AC44,0)</f>
        <v>0</v>
      </c>
      <c r="AF60" s="1443">
        <f>SUM(B60:AE60)</f>
        <v>202</v>
      </c>
      <c r="AW60" s="1446"/>
    </row>
    <row r="61" spans="1:49" s="1443" customFormat="1" ht="12.75" hidden="1" customHeight="1" x14ac:dyDescent="0.2">
      <c r="A61" s="1443" t="s">
        <v>104</v>
      </c>
      <c r="B61" s="1443">
        <f>IF(B24=4,B44,0)</f>
        <v>0</v>
      </c>
      <c r="D61" s="1448">
        <f>IF(D24=4,B44,0)</f>
        <v>0</v>
      </c>
      <c r="E61" s="1443">
        <f>IF(E24=4,E44,0)</f>
        <v>0</v>
      </c>
      <c r="G61" s="1448">
        <f>IF(G24=4,E44,0)</f>
        <v>50</v>
      </c>
      <c r="H61" s="1443">
        <f>IF(H24=4,H44,0)</f>
        <v>0</v>
      </c>
      <c r="J61" s="1448">
        <f>IF(J24=4,H44,0)</f>
        <v>0</v>
      </c>
      <c r="K61" s="1443">
        <f>IF(K24=4,K44,0)</f>
        <v>0</v>
      </c>
      <c r="M61" s="1448">
        <f>IF(M24=4,K44,0)</f>
        <v>50</v>
      </c>
      <c r="N61" s="1443">
        <f>IF(N24=4,N44,0)</f>
        <v>0</v>
      </c>
      <c r="P61" s="1448">
        <f>IF(P24=4,N44,0)</f>
        <v>0</v>
      </c>
      <c r="Q61" s="1443">
        <f>IF(Q24=4,Q44,0)</f>
        <v>51</v>
      </c>
      <c r="S61" s="1448">
        <f>IF(S24=4,Q44,0)</f>
        <v>0</v>
      </c>
      <c r="T61" s="1443">
        <f>IF(T24=4,T44,0)</f>
        <v>0</v>
      </c>
      <c r="V61" s="1448">
        <f>IF(V24=4,T44,0)</f>
        <v>0</v>
      </c>
      <c r="W61" s="1443">
        <f>IF(W24=4,W44,0)</f>
        <v>0</v>
      </c>
      <c r="Y61" s="1448">
        <f>IF(Y24=4,W44,0)</f>
        <v>0</v>
      </c>
      <c r="Z61" s="1443">
        <f>IF(Z24=4,Z44,0)</f>
        <v>0</v>
      </c>
      <c r="AB61" s="1448">
        <f>IF(AB24=4,Z44,0)</f>
        <v>51</v>
      </c>
      <c r="AC61" s="1443">
        <f>IF(AC24=4,AC44,0)</f>
        <v>0</v>
      </c>
      <c r="AE61" s="1448">
        <f>IF(AE24=4,AC44,0)</f>
        <v>0</v>
      </c>
      <c r="AF61" s="1443">
        <f>SUM(B61:AE61)</f>
        <v>202</v>
      </c>
      <c r="AW61" s="1446"/>
    </row>
    <row r="62" spans="1:49" s="1443" customFormat="1" ht="12.75" hidden="1" customHeight="1" x14ac:dyDescent="0.2">
      <c r="A62" s="1443" t="s">
        <v>105</v>
      </c>
      <c r="B62" s="1443">
        <f>IF(B24=5,B44,0)</f>
        <v>0</v>
      </c>
      <c r="D62" s="1448">
        <f>IF(D24=5,B44,0)</f>
        <v>52</v>
      </c>
      <c r="E62" s="1443">
        <f>IF(E24=5,E44,0)</f>
        <v>0</v>
      </c>
      <c r="G62" s="1448">
        <f>IF(G24=5,E44,0)</f>
        <v>0</v>
      </c>
      <c r="H62" s="1443">
        <f>IF(H24=5,H44,0)</f>
        <v>0</v>
      </c>
      <c r="J62" s="1448">
        <f>IF(J24=5,H44,0)</f>
        <v>50</v>
      </c>
      <c r="K62" s="1443">
        <f>IF(K24=5,K44,0)</f>
        <v>0</v>
      </c>
      <c r="M62" s="1448">
        <f>IF(M24=5,K44,0)</f>
        <v>0</v>
      </c>
      <c r="N62" s="1443">
        <f>IF(N24=5,N44,0)</f>
        <v>0</v>
      </c>
      <c r="P62" s="1448">
        <f>IF(P24=5,N44,0)</f>
        <v>0</v>
      </c>
      <c r="Q62" s="1443">
        <f>IF(Q24=5,Q44,0)</f>
        <v>0</v>
      </c>
      <c r="S62" s="1448">
        <f>IF(S24=5,Q44,0)</f>
        <v>51</v>
      </c>
      <c r="T62" s="1443">
        <f>IF(T24=5,T44,0)</f>
        <v>0</v>
      </c>
      <c r="V62" s="1448">
        <f>IF(V24=5,T44,0)</f>
        <v>0</v>
      </c>
      <c r="W62" s="1443">
        <f>IF(W24=5,W44,0)</f>
        <v>0</v>
      </c>
      <c r="Y62" s="1448">
        <f>IF(Y24=5,W44,0)</f>
        <v>50</v>
      </c>
      <c r="Z62" s="1443">
        <f>IF(Z24=5,Z44,0)</f>
        <v>0</v>
      </c>
      <c r="AB62" s="1448">
        <f>IF(AB24=5,Z44,0)</f>
        <v>0</v>
      </c>
      <c r="AC62" s="1443">
        <f>IF(AC24=5,AC44,0)</f>
        <v>0</v>
      </c>
      <c r="AE62" s="1448">
        <f>IF(AE24=5,AC44,0)</f>
        <v>0</v>
      </c>
      <c r="AF62" s="1443">
        <f>SUM(B62:AE62)</f>
        <v>203</v>
      </c>
      <c r="AW62" s="1446"/>
    </row>
    <row r="63" spans="1:49" s="1443" customFormat="1" ht="38.25" hidden="1" customHeight="1" x14ac:dyDescent="0.2">
      <c r="A63" s="1443" t="s">
        <v>107</v>
      </c>
      <c r="D63" s="1448"/>
      <c r="G63" s="1448"/>
      <c r="J63" s="1448"/>
      <c r="M63" s="1448"/>
      <c r="P63" s="1448"/>
      <c r="S63" s="1448"/>
      <c r="V63" s="1448"/>
      <c r="Y63" s="1448"/>
      <c r="AB63" s="1448"/>
      <c r="AE63" s="1448"/>
      <c r="AF63" s="1447" t="s">
        <v>108</v>
      </c>
      <c r="AG63" s="1443" t="s">
        <v>109</v>
      </c>
      <c r="AW63" s="1446"/>
    </row>
    <row r="64" spans="1:49" s="1443" customFormat="1" ht="12.75" hidden="1" customHeight="1" x14ac:dyDescent="0.2">
      <c r="A64" s="1443" t="s">
        <v>95</v>
      </c>
      <c r="B64" s="1443">
        <f>IF(B24=1,SUMIF(B31:B35,"&gt;0"),0)</f>
        <v>0</v>
      </c>
      <c r="D64" s="1448">
        <f>IF(D24=1,SUMIF(D31:D35,"&gt;0"),0)</f>
        <v>0</v>
      </c>
      <c r="E64" s="1443">
        <f>IF(E24=1,SUMIF(E31:E35,"&gt;0"),0)</f>
        <v>2</v>
      </c>
      <c r="G64" s="1448">
        <f>IF(G24=1,SUMIF(G31:G35,"&gt;0"),0)</f>
        <v>0</v>
      </c>
      <c r="H64" s="1443">
        <f>IF(H24=1,SUMIF(H31:H35,"&gt;0"),0)</f>
        <v>0</v>
      </c>
      <c r="J64" s="1448">
        <f>IF(J24=1,SUMIF(J31:J35,"&gt;0"),0)</f>
        <v>0</v>
      </c>
      <c r="K64" s="1443">
        <f>IF(K24=1,SUMIF(K31:K35,"&gt;0"),0)</f>
        <v>0</v>
      </c>
      <c r="M64" s="1448">
        <f>IF(M24=1,SUMIF(M31:M35,"&gt;0"),0)</f>
        <v>0</v>
      </c>
      <c r="N64" s="1443">
        <f>IF(N24=1,SUMIF(N31:N35,"&gt;0"),0)</f>
        <v>1</v>
      </c>
      <c r="P64" s="1448">
        <f>IF(P24=1,SUMIF(P31:P35,"&gt;0"),0)</f>
        <v>0</v>
      </c>
      <c r="Q64" s="1443">
        <f>IF(Q24=1,SUMIF(Q31:Q35,"&gt;0"),0)</f>
        <v>0</v>
      </c>
      <c r="S64" s="1448">
        <f>IF(S24=1,SUMIF(S31:S35,"&gt;0"),0)</f>
        <v>0</v>
      </c>
      <c r="T64" s="1443">
        <f>IF(T24=1,SUMIF(T31:T35,"&gt;0"),0)</f>
        <v>0</v>
      </c>
      <c r="V64" s="1448">
        <f>IF(V24=1,SUMIF(V31:V35,"&gt;0"),0)</f>
        <v>0</v>
      </c>
      <c r="W64" s="1443">
        <f>IF(W24=1,SUMIF(W31:W35,"&gt;0"),0)</f>
        <v>2</v>
      </c>
      <c r="Y64" s="1448">
        <f>IF(Y24=1,SUMIF(Y31:Y35,"&gt;0"),0)</f>
        <v>0</v>
      </c>
      <c r="Z64" s="1443">
        <f>IF(Z24=1,SUMIF(Z31:Z35,"&gt;0"),0)</f>
        <v>0</v>
      </c>
      <c r="AB64" s="1448">
        <f>IF(AB24=1,SUMIF(AB31:AB35,"&gt;0"),0)</f>
        <v>0</v>
      </c>
      <c r="AC64" s="1443">
        <f>IF(AC24=1,SUMIF(AC31:AC35,"&gt;0"),0)</f>
        <v>2</v>
      </c>
      <c r="AE64" s="1448">
        <f>IF(AE24=1,SUMIF(AE31:AE35,"&gt;0"),0)</f>
        <v>0</v>
      </c>
      <c r="AF64" s="1443">
        <f>SUM(B64:AE64)</f>
        <v>7</v>
      </c>
      <c r="AG64" s="1443">
        <f>AF72-AF64</f>
        <v>1</v>
      </c>
      <c r="AW64" s="1446"/>
    </row>
    <row r="65" spans="1:54" s="1443" customFormat="1" ht="12.75" hidden="1" customHeight="1" x14ac:dyDescent="0.2">
      <c r="A65" s="1443" t="s">
        <v>96</v>
      </c>
      <c r="B65" s="1443">
        <f>IF(B24=2,SUMIF(B31:B35,"&gt;0"),0)</f>
        <v>1</v>
      </c>
      <c r="D65" s="1448">
        <f>IF(D24=2,SUMIF(D31:D35,"&gt;0"),0)</f>
        <v>0</v>
      </c>
      <c r="E65" s="1443">
        <f>IF(E24=2,SUMIF(E31:E35,"&gt;0"),0)</f>
        <v>0</v>
      </c>
      <c r="G65" s="1448">
        <f>IF(G24=2,SUMIF(G31:G35,"&gt;0"),0)</f>
        <v>0</v>
      </c>
      <c r="H65" s="1443">
        <f>IF(H24=2,SUMIF(H31:H35,"&gt;0"),0)</f>
        <v>0</v>
      </c>
      <c r="J65" s="1448">
        <f>IF(J24=2,SUMIF(J31:J35,"&gt;0"),0)</f>
        <v>0</v>
      </c>
      <c r="K65" s="1443">
        <f>IF(K24=2,SUMIF(K31:K35,"&gt;0"),0)</f>
        <v>2</v>
      </c>
      <c r="M65" s="1448">
        <f>IF(M24=2,SUMIF(M31:M35,"&gt;0"),0)</f>
        <v>0</v>
      </c>
      <c r="N65" s="1443">
        <f>IF(N24=2,SUMIF(N31:N35,"&gt;0"),0)</f>
        <v>0</v>
      </c>
      <c r="P65" s="1448">
        <f>IF(P24=2,SUMIF(P31:P35,"&gt;0"),0)</f>
        <v>0</v>
      </c>
      <c r="Q65" s="1443">
        <f>IF(Q24=2,SUMIF(Q31:Q35,"&gt;0"),0)</f>
        <v>0</v>
      </c>
      <c r="S65" s="1448">
        <f>IF(S24=2,SUMIF(S31:S35,"&gt;0"),0)</f>
        <v>0</v>
      </c>
      <c r="T65" s="1443">
        <f>IF(T24=2,SUMIF(T31:T35,"&gt;0"),0)</f>
        <v>1</v>
      </c>
      <c r="V65" s="1448">
        <f>IF(V24=2,SUMIF(V31:V35,"&gt;0"),0)</f>
        <v>0</v>
      </c>
      <c r="W65" s="1443">
        <f>IF(W24=2,SUMIF(W31:W35,"&gt;0"),0)</f>
        <v>0</v>
      </c>
      <c r="Y65" s="1448">
        <f>IF(Y24=2,SUMIF(Y31:Y35,"&gt;0"),0)</f>
        <v>0</v>
      </c>
      <c r="Z65" s="1443">
        <f>IF(Z24=2,SUMIF(Z31:Z35,"&gt;0"),0)</f>
        <v>0</v>
      </c>
      <c r="AB65" s="1448">
        <f>IF(AB24=2,SUMIF(AB31:AB35,"&gt;0"),0)</f>
        <v>0</v>
      </c>
      <c r="AC65" s="1443">
        <f>IF(AC24=2,SUMIF(AC31:AC35,"&gt;0"),0)</f>
        <v>0</v>
      </c>
      <c r="AE65" s="1448">
        <f>IF(AE24=2,SUMIF(AE31:AE35,"&gt;0"),0)</f>
        <v>0</v>
      </c>
      <c r="AF65" s="1443">
        <f>SUM(B65:AE65)</f>
        <v>4</v>
      </c>
      <c r="AG65" s="1443">
        <f>AF73-AF65</f>
        <v>4</v>
      </c>
      <c r="AW65" s="1446"/>
    </row>
    <row r="66" spans="1:54" s="1443" customFormat="1" ht="12.75" hidden="1" customHeight="1" x14ac:dyDescent="0.2">
      <c r="A66" s="1443" t="s">
        <v>97</v>
      </c>
      <c r="B66" s="1443">
        <f>IF(B24=3,SUMIF(B31:B35,"&gt;0"),0)</f>
        <v>0</v>
      </c>
      <c r="D66" s="1448">
        <f>IF(D24=3,SUMIF(D31:D35,"&gt;0"),0)</f>
        <v>0</v>
      </c>
      <c r="E66" s="1443">
        <f>IF(E24=3,SUMIF(E31:E35,"&gt;0"),0)</f>
        <v>0</v>
      </c>
      <c r="G66" s="1448">
        <f>IF(G24=3,SUMIF(G31:G35,"&gt;0"),0)</f>
        <v>0</v>
      </c>
      <c r="H66" s="1443">
        <f>IF(H24=3,SUMIF(H31:H35,"&gt;0"),0)</f>
        <v>0</v>
      </c>
      <c r="J66" s="1448">
        <f>IF(J24=3,SUMIF(J31:J35,"&gt;0"),0)</f>
        <v>0</v>
      </c>
      <c r="K66" s="1443">
        <f>IF(K24=3,SUMIF(K31:K35,"&gt;0"),0)</f>
        <v>0</v>
      </c>
      <c r="M66" s="1448">
        <f>IF(M24=3,SUMIF(M31:M35,"&gt;0"),0)</f>
        <v>0</v>
      </c>
      <c r="N66" s="1443">
        <f>IF(N24=3,SUMIF(N31:N35,"&gt;0"),0)</f>
        <v>0</v>
      </c>
      <c r="P66" s="1448">
        <f>IF(P24=3,SUMIF(P31:P35,"&gt;0"),0)</f>
        <v>1</v>
      </c>
      <c r="Q66" s="1443">
        <f>IF(Q24=3,SUMIF(Q31:Q35,"&gt;0"),0)</f>
        <v>0</v>
      </c>
      <c r="S66" s="1448">
        <f>IF(S24=3,SUMIF(S31:S35,"&gt;0"),0)</f>
        <v>0</v>
      </c>
      <c r="T66" s="1443">
        <f>IF(T24=3,SUMIF(T31:T35,"&gt;0"),0)</f>
        <v>0</v>
      </c>
      <c r="V66" s="1448">
        <f>IF(V24=3,SUMIF(V31:V35,"&gt;0"),0)</f>
        <v>1</v>
      </c>
      <c r="W66" s="1443">
        <f>IF(W24=3,SUMIF(W31:W35,"&gt;0"),0)</f>
        <v>0</v>
      </c>
      <c r="Y66" s="1448">
        <f>IF(Y24=3,SUMIF(Y31:Y35,"&gt;0"),0)</f>
        <v>0</v>
      </c>
      <c r="Z66" s="1443">
        <f>IF(Z24=3,SUMIF(Z31:Z35,"&gt;0"),0)</f>
        <v>2</v>
      </c>
      <c r="AB66" s="1448">
        <f>IF(AB24=3,SUMIF(AB31:AB35,"&gt;0"),0)</f>
        <v>0</v>
      </c>
      <c r="AC66" s="1443">
        <f>IF(AC24=3,SUMIF(AC31:AC35,"&gt;0"),0)</f>
        <v>0</v>
      </c>
      <c r="AE66" s="1448">
        <f>IF(AE24=3,SUMIF(AE31:AE35,"&gt;0"),0)</f>
        <v>0</v>
      </c>
      <c r="AF66" s="1443">
        <f>SUM(B66:AE66)</f>
        <v>4</v>
      </c>
      <c r="AG66" s="1443">
        <f>AF74-AF66</f>
        <v>4</v>
      </c>
      <c r="AW66" s="1446"/>
    </row>
    <row r="67" spans="1:54" s="1443" customFormat="1" ht="12.75" hidden="1" customHeight="1" x14ac:dyDescent="0.2">
      <c r="A67" s="1443" t="s">
        <v>98</v>
      </c>
      <c r="B67" s="1443">
        <f>IF(B24=4,SUMIF(B31:B35,"&gt;0"),0)</f>
        <v>0</v>
      </c>
      <c r="D67" s="1448">
        <f>IF(D24=4,SUMIF(D31:D35,"&gt;0"),0)</f>
        <v>0</v>
      </c>
      <c r="E67" s="1443">
        <f>IF(E24=4,SUMIF(E31:E35,"&gt;0"),0)</f>
        <v>0</v>
      </c>
      <c r="G67" s="1448">
        <f>IF(G24=4,SUMIF(G31:G35,"&gt;0"),0)</f>
        <v>0</v>
      </c>
      <c r="H67" s="1443">
        <f>IF(H24=4,SUMIF(H31:H35,"&gt;0"),0)</f>
        <v>0</v>
      </c>
      <c r="J67" s="1448">
        <f>IF(J24=4,SUMIF(J31:J35,"&gt;0"),0)</f>
        <v>0</v>
      </c>
      <c r="K67" s="1443">
        <f>IF(K24=4,SUMIF(K31:K35,"&gt;0"),0)</f>
        <v>0</v>
      </c>
      <c r="M67" s="1448">
        <f>IF(M24=4,SUMIF(M31:M35,"&gt;0"),0)</f>
        <v>0</v>
      </c>
      <c r="N67" s="1443">
        <f>IF(N24=4,SUMIF(N31:N35,"&gt;0"),0)</f>
        <v>0</v>
      </c>
      <c r="P67" s="1448">
        <f>IF(P24=4,SUMIF(P31:P35,"&gt;0"),0)</f>
        <v>0</v>
      </c>
      <c r="Q67" s="1443">
        <f>IF(Q24=4,SUMIF(Q31:Q35,"&gt;0"),0)</f>
        <v>0</v>
      </c>
      <c r="S67" s="1448">
        <f>IF(S24=4,SUMIF(S31:S35,"&gt;0"),0)</f>
        <v>0</v>
      </c>
      <c r="T67" s="1443">
        <f>IF(T24=4,SUMIF(T31:T35,"&gt;0"),0)</f>
        <v>0</v>
      </c>
      <c r="V67" s="1448">
        <f>IF(V24=4,SUMIF(V31:V35,"&gt;0"),0)</f>
        <v>0</v>
      </c>
      <c r="W67" s="1443">
        <f>IF(W24=4,SUMIF(W31:W35,"&gt;0"),0)</f>
        <v>0</v>
      </c>
      <c r="Y67" s="1448">
        <f>IF(Y24=4,SUMIF(Y31:Y35,"&gt;0"),0)</f>
        <v>0</v>
      </c>
      <c r="Z67" s="1443">
        <f>IF(Z24=4,SUMIF(Z31:Z35,"&gt;0"),0)</f>
        <v>0</v>
      </c>
      <c r="AB67" s="1448">
        <f>IF(AB24=4,SUMIF(AB31:AB35,"&gt;0"),0)</f>
        <v>0</v>
      </c>
      <c r="AC67" s="1443">
        <f>IF(AC24=4,SUMIF(AC31:AC35,"&gt;0"),0)</f>
        <v>0</v>
      </c>
      <c r="AE67" s="1448">
        <f>IF(AE24=4,SUMIF(AE31:AE35,"&gt;0"),0)</f>
        <v>0</v>
      </c>
      <c r="AF67" s="1443">
        <f>SUM(B67:AE67)</f>
        <v>0</v>
      </c>
      <c r="AG67" s="1443">
        <f>AF75-AF67</f>
        <v>8</v>
      </c>
      <c r="AW67" s="1446"/>
    </row>
    <row r="68" spans="1:54" s="1443" customFormat="1" ht="12.75" hidden="1" customHeight="1" x14ac:dyDescent="0.2">
      <c r="A68" s="1443" t="s">
        <v>99</v>
      </c>
      <c r="B68" s="1443">
        <f>IF(B24=5,SUMIF(B31:B35,"&gt;0"),0)</f>
        <v>0</v>
      </c>
      <c r="D68" s="1448">
        <f>IF(D24=5,SUMIF(D31:D35,"&gt;0"),0)</f>
        <v>1</v>
      </c>
      <c r="E68" s="1443">
        <f>IF(E24=5,SUMIF(E31:E35,"&gt;0"),0)</f>
        <v>0</v>
      </c>
      <c r="G68" s="1448">
        <f>IF(G24=5,SUMIF(G31:G35,"&gt;0"),0)</f>
        <v>0</v>
      </c>
      <c r="H68" s="1443">
        <f>IF(H24=5,SUMIF(H31:H35,"&gt;0"),0)</f>
        <v>0</v>
      </c>
      <c r="J68" s="1448">
        <f>IF(J24=5,SUMIF(J31:J35,"&gt;0"),0)</f>
        <v>2</v>
      </c>
      <c r="K68" s="1443">
        <f>IF(K24=5,SUMIF(K31:K35,"&gt;0"),0)</f>
        <v>0</v>
      </c>
      <c r="M68" s="1448">
        <f>IF(M24=5,SUMIF(M31:M35,"&gt;0"),0)</f>
        <v>0</v>
      </c>
      <c r="N68" s="1443">
        <f>IF(N24=5,SUMIF(N31:N35,"&gt;0"),0)</f>
        <v>0</v>
      </c>
      <c r="P68" s="1448">
        <f>IF(P24=5,SUMIF(P31:P35,"&gt;0"),0)</f>
        <v>0</v>
      </c>
      <c r="Q68" s="1443">
        <f>IF(Q24=5,SUMIF(Q31:Q35,"&gt;0"),0)</f>
        <v>0</v>
      </c>
      <c r="S68" s="1448">
        <f>IF(S24=5,SUMIF(S31:S35,"&gt;0"),0)</f>
        <v>2</v>
      </c>
      <c r="T68" s="1443">
        <f>IF(T24=5,SUMIF(T31:T35,"&gt;0"),0)</f>
        <v>0</v>
      </c>
      <c r="V68" s="1448">
        <f>IF(V24=5,SUMIF(V31:V35,"&gt;0"),0)</f>
        <v>0</v>
      </c>
      <c r="W68" s="1443">
        <f>IF(W24=5,SUMIF(W31:W35,"&gt;0"),0)</f>
        <v>0</v>
      </c>
      <c r="Y68" s="1448">
        <f>IF(Y24=5,SUMIF(Y31:Y35,"&gt;0"),0)</f>
        <v>0</v>
      </c>
      <c r="Z68" s="1443">
        <f>IF(Z24=5,SUMIF(Z31:Z35,"&gt;0"),0)</f>
        <v>0</v>
      </c>
      <c r="AB68" s="1448">
        <f>IF(AB24=5,SUMIF(AB31:AB35,"&gt;0"),0)</f>
        <v>0</v>
      </c>
      <c r="AC68" s="1443">
        <f>IF(AC24=5,SUMIF(AC31:AC35,"&gt;0"),0)</f>
        <v>0</v>
      </c>
      <c r="AE68" s="1448">
        <f>IF(AE24=5,SUMIF(AE31:AE35,"&gt;0"),0)</f>
        <v>0</v>
      </c>
      <c r="AF68" s="1443">
        <f>SUM(B68:AE68)</f>
        <v>5</v>
      </c>
      <c r="AG68" s="1443">
        <f>AF76-AF68</f>
        <v>3</v>
      </c>
      <c r="AW68" s="1446"/>
    </row>
    <row r="69" spans="1:54" s="1443" customFormat="1" ht="12.75" hidden="1" customHeight="1" x14ac:dyDescent="0.2">
      <c r="D69" s="1448"/>
      <c r="G69" s="1448"/>
      <c r="J69" s="1448"/>
      <c r="M69" s="1448"/>
      <c r="P69" s="1448"/>
      <c r="S69" s="1448"/>
      <c r="V69" s="1448"/>
      <c r="Y69" s="1448"/>
      <c r="AB69" s="1448"/>
      <c r="AE69" s="1448"/>
      <c r="AW69" s="1446"/>
    </row>
    <row r="70" spans="1:54" s="1443" customFormat="1" ht="12.75" hidden="1" customHeight="1" x14ac:dyDescent="0.2">
      <c r="D70" s="1448"/>
      <c r="G70" s="1448"/>
      <c r="J70" s="1448"/>
      <c r="M70" s="1448"/>
      <c r="P70" s="1448"/>
      <c r="S70" s="1448"/>
      <c r="V70" s="1448"/>
      <c r="Y70" s="1448"/>
      <c r="AB70" s="1448"/>
      <c r="AE70" s="1448"/>
      <c r="AW70" s="1446"/>
    </row>
    <row r="71" spans="1:54" s="1443" customFormat="1" ht="51" hidden="1" customHeight="1" x14ac:dyDescent="0.2">
      <c r="A71" s="1447" t="s">
        <v>110</v>
      </c>
      <c r="C71" s="1443">
        <f>SUMIF(B64:D68,"&gt;0")</f>
        <v>2</v>
      </c>
      <c r="D71" s="1448"/>
      <c r="F71" s="1443">
        <f>SUMIF(E64:G68,"&gt;0")</f>
        <v>2</v>
      </c>
      <c r="G71" s="1448"/>
      <c r="I71" s="1443">
        <f>SUMIF(H64:J68,"&gt;0")</f>
        <v>2</v>
      </c>
      <c r="J71" s="1448"/>
      <c r="L71" s="1443">
        <f>SUMIF(K64:M68,"&gt;0")</f>
        <v>2</v>
      </c>
      <c r="M71" s="1448"/>
      <c r="O71" s="1443">
        <f>SUMIF(N64:P68,"&gt;0")</f>
        <v>2</v>
      </c>
      <c r="P71" s="1448"/>
      <c r="R71" s="1443">
        <f>SUMIF(Q64:S68,"&gt;0")</f>
        <v>2</v>
      </c>
      <c r="S71" s="1448"/>
      <c r="U71" s="1443">
        <f>SUMIF(T64:V68,"&gt;0")</f>
        <v>2</v>
      </c>
      <c r="V71" s="1448"/>
      <c r="X71" s="1443">
        <f>SUMIF(W64:Y68,"&gt;0")</f>
        <v>2</v>
      </c>
      <c r="Y71" s="1448"/>
      <c r="AA71" s="1443">
        <f>SUMIF(Z64:AB68,"&gt;0")</f>
        <v>2</v>
      </c>
      <c r="AB71" s="1448"/>
      <c r="AD71" s="1443">
        <f>SUMIF(AC64:AE68,"&gt;0")</f>
        <v>2</v>
      </c>
      <c r="AE71" s="1448"/>
      <c r="AF71" s="1447" t="s">
        <v>111</v>
      </c>
      <c r="AW71" s="1446"/>
    </row>
    <row r="72" spans="1:54" s="1443" customFormat="1" ht="12.75" hidden="1" customHeight="1" x14ac:dyDescent="0.2">
      <c r="A72" s="1443" t="s">
        <v>101</v>
      </c>
      <c r="B72" s="1443">
        <f>IF(B24=1,C71,0)</f>
        <v>0</v>
      </c>
      <c r="D72" s="1448">
        <f>IF(D24=1,C71,0)</f>
        <v>0</v>
      </c>
      <c r="E72" s="1443">
        <f>IF(E24=1,F71,0)</f>
        <v>2</v>
      </c>
      <c r="G72" s="1448">
        <f>IF(G24=1,F71,0)</f>
        <v>0</v>
      </c>
      <c r="H72" s="1443">
        <f>IF(H24=1,I71,0)</f>
        <v>0</v>
      </c>
      <c r="J72" s="1448">
        <f>IF(J24=1,I71,0)</f>
        <v>0</v>
      </c>
      <c r="K72" s="1443">
        <f>IF(K24=1,L71,0)</f>
        <v>0</v>
      </c>
      <c r="M72" s="1448">
        <f>IF(M24=1,L71,0)</f>
        <v>0</v>
      </c>
      <c r="N72" s="1443">
        <f>IF(N24=1,O71,0)</f>
        <v>2</v>
      </c>
      <c r="P72" s="1448">
        <f>IF(P24=1,O71,0)</f>
        <v>0</v>
      </c>
      <c r="Q72" s="1443">
        <f>IF(Q24=1,R71,0)</f>
        <v>0</v>
      </c>
      <c r="S72" s="1448">
        <f>IF(S24=1,R71,0)</f>
        <v>0</v>
      </c>
      <c r="T72" s="1443">
        <f>IF(T24=1,U71,0)</f>
        <v>0</v>
      </c>
      <c r="V72" s="1448">
        <f>IF(V24=1,U71,0)</f>
        <v>0</v>
      </c>
      <c r="W72" s="1443">
        <f>IF(W24=1,X71,0)</f>
        <v>2</v>
      </c>
      <c r="Y72" s="1448">
        <f>IF(Y24=1,X71,0)</f>
        <v>0</v>
      </c>
      <c r="Z72" s="1443">
        <f>IF(Z24=1,AA71,0)</f>
        <v>0</v>
      </c>
      <c r="AB72" s="1448">
        <f>IF(AB24=1,AA71,0)</f>
        <v>0</v>
      </c>
      <c r="AC72" s="1443">
        <f>IF(AC24=1,AD71,0)</f>
        <v>2</v>
      </c>
      <c r="AE72" s="1448">
        <f>IF(AE24=1,AD71,0)</f>
        <v>0</v>
      </c>
      <c r="AF72" s="1443">
        <f>SUM(B72:AE72)</f>
        <v>8</v>
      </c>
      <c r="AW72" s="1446"/>
    </row>
    <row r="73" spans="1:54" s="1443" customFormat="1" ht="12.75" hidden="1" customHeight="1" x14ac:dyDescent="0.2">
      <c r="A73" s="1443" t="s">
        <v>102</v>
      </c>
      <c r="B73" s="1443">
        <f>IF(B24=2,C71,0)</f>
        <v>2</v>
      </c>
      <c r="D73" s="1448">
        <f>IF(D24=2,C71,0)</f>
        <v>0</v>
      </c>
      <c r="E73" s="1443">
        <f>IF(E24=2,F71,0)</f>
        <v>0</v>
      </c>
      <c r="G73" s="1448">
        <f>IF(G24=2,F71,0)</f>
        <v>0</v>
      </c>
      <c r="H73" s="1443">
        <f>IF(H24=2,I71,0)</f>
        <v>0</v>
      </c>
      <c r="J73" s="1448">
        <f>IF(J24=2,I71,0)</f>
        <v>0</v>
      </c>
      <c r="K73" s="1443">
        <f>IF(K24=2,L71,0)</f>
        <v>2</v>
      </c>
      <c r="M73" s="1448">
        <f>IF(M24=2,L71,0)</f>
        <v>0</v>
      </c>
      <c r="N73" s="1443">
        <f>IF(N24=2,O71,0)</f>
        <v>0</v>
      </c>
      <c r="P73" s="1448">
        <f>IF(P24=2,O71,0)</f>
        <v>0</v>
      </c>
      <c r="Q73" s="1443">
        <f>IF(Q24=2,R71,0)</f>
        <v>0</v>
      </c>
      <c r="S73" s="1448">
        <f>IF(S24=2,R71,0)</f>
        <v>0</v>
      </c>
      <c r="T73" s="1443">
        <f>IF(T24=2,U71,0)</f>
        <v>2</v>
      </c>
      <c r="V73" s="1448">
        <f>IF(V24=2,U71,0)</f>
        <v>0</v>
      </c>
      <c r="W73" s="1443">
        <f>IF(W24=2,X71,0)</f>
        <v>0</v>
      </c>
      <c r="Y73" s="1448">
        <f>IF(Y24=2,X71,0)</f>
        <v>0</v>
      </c>
      <c r="Z73" s="1443">
        <f>IF(Z24=2,AA71,0)</f>
        <v>0</v>
      </c>
      <c r="AB73" s="1448">
        <f>IF(AB24=2,AA71,0)</f>
        <v>0</v>
      </c>
      <c r="AC73" s="1443">
        <f>IF(AC24=2,AD71,0)</f>
        <v>0</v>
      </c>
      <c r="AE73" s="1448">
        <f>IF(AE24=2,AD71,0)</f>
        <v>2</v>
      </c>
      <c r="AF73" s="1443">
        <f>SUM(B73:AE73)</f>
        <v>8</v>
      </c>
      <c r="AW73" s="1446"/>
    </row>
    <row r="74" spans="1:54" s="1443" customFormat="1" ht="12.75" hidden="1" customHeight="1" x14ac:dyDescent="0.2">
      <c r="A74" s="1443" t="s">
        <v>103</v>
      </c>
      <c r="B74" s="1443">
        <f>IF(B24=3,C71,0)</f>
        <v>0</v>
      </c>
      <c r="D74" s="1448">
        <f>IF(D24=3,C71,0)</f>
        <v>0</v>
      </c>
      <c r="E74" s="1443">
        <f>IF(E24=3,F71,0)</f>
        <v>0</v>
      </c>
      <c r="G74" s="1448">
        <f>IF(G24=3,F71,0)</f>
        <v>0</v>
      </c>
      <c r="H74" s="1443">
        <f>IF(H24=3,I71,0)</f>
        <v>2</v>
      </c>
      <c r="J74" s="1448">
        <f>IF(J24=3,I71,0)</f>
        <v>0</v>
      </c>
      <c r="K74" s="1443">
        <f>IF(K24=3,L71,0)</f>
        <v>0</v>
      </c>
      <c r="M74" s="1448">
        <f>IF(M24=3,L71,0)</f>
        <v>0</v>
      </c>
      <c r="N74" s="1443">
        <f>IF(N24=3,O71,0)</f>
        <v>0</v>
      </c>
      <c r="P74" s="1448">
        <f>IF(P24=3,O71,0)</f>
        <v>2</v>
      </c>
      <c r="Q74" s="1443">
        <f>IF(Q24=3,R71,0)</f>
        <v>0</v>
      </c>
      <c r="S74" s="1448">
        <f>IF(S24=3,R71,0)</f>
        <v>0</v>
      </c>
      <c r="T74" s="1443">
        <f>IF(T24=3,U71,0)</f>
        <v>0</v>
      </c>
      <c r="V74" s="1448">
        <f>IF(V24=3,U71,0)</f>
        <v>2</v>
      </c>
      <c r="W74" s="1443">
        <f>IF(W24=3,X71,0)</f>
        <v>0</v>
      </c>
      <c r="Y74" s="1448">
        <f>IF(Y24=3,X71,0)</f>
        <v>0</v>
      </c>
      <c r="Z74" s="1443">
        <f>IF(Z24=3,AA71,0)</f>
        <v>2</v>
      </c>
      <c r="AB74" s="1448">
        <f>IF(AB24=3,AA71,0)</f>
        <v>0</v>
      </c>
      <c r="AC74" s="1443">
        <f>IF(AC24=3,AD71,0)</f>
        <v>0</v>
      </c>
      <c r="AE74" s="1448">
        <f>IF(AE24=3,AD71,0)</f>
        <v>0</v>
      </c>
      <c r="AF74" s="1443">
        <f>SUM(B74:AE74)</f>
        <v>8</v>
      </c>
      <c r="AW74" s="1446"/>
    </row>
    <row r="75" spans="1:54" s="1443" customFormat="1" ht="12.75" hidden="1" customHeight="1" x14ac:dyDescent="0.2">
      <c r="A75" s="1443" t="s">
        <v>104</v>
      </c>
      <c r="B75" s="1443">
        <f>IF(B24=4,C71,0)</f>
        <v>0</v>
      </c>
      <c r="D75" s="1448">
        <f>IF(D24=4,C71,0)</f>
        <v>0</v>
      </c>
      <c r="E75" s="1443">
        <f>IF(E24=4,F71,0)</f>
        <v>0</v>
      </c>
      <c r="G75" s="1448">
        <f>IF(G24=4,F71,0)</f>
        <v>2</v>
      </c>
      <c r="H75" s="1443">
        <f>IF(H24=4,I71,0)</f>
        <v>0</v>
      </c>
      <c r="J75" s="1448">
        <f>IF(J24=4,I71,0)</f>
        <v>0</v>
      </c>
      <c r="K75" s="1443">
        <f>IF(K24=4,L71,0)</f>
        <v>0</v>
      </c>
      <c r="M75" s="1448">
        <f>IF(M24=4,L71,0)</f>
        <v>2</v>
      </c>
      <c r="N75" s="1443">
        <f>IF(N24=4,O71,0)</f>
        <v>0</v>
      </c>
      <c r="P75" s="1448">
        <f>IF(P24=4,O71,0)</f>
        <v>0</v>
      </c>
      <c r="Q75" s="1443">
        <f>IF(Q24=4,R71,0)</f>
        <v>2</v>
      </c>
      <c r="S75" s="1448">
        <f>IF(S24=4,R71,0)</f>
        <v>0</v>
      </c>
      <c r="T75" s="1443">
        <f>IF(T24=4,U71,0)</f>
        <v>0</v>
      </c>
      <c r="V75" s="1448">
        <f>IF(V24=4,U71,0)</f>
        <v>0</v>
      </c>
      <c r="W75" s="1443">
        <f>IF(W24=4,X71,0)</f>
        <v>0</v>
      </c>
      <c r="Y75" s="1448">
        <f>IF(Y24=4,X71,0)</f>
        <v>0</v>
      </c>
      <c r="Z75" s="1443">
        <f>IF(Z24=4,AA71,0)</f>
        <v>0</v>
      </c>
      <c r="AB75" s="1448">
        <f>IF(AB24=4,AA71,0)</f>
        <v>2</v>
      </c>
      <c r="AC75" s="1443">
        <f>IF(AC24=4,AD71,0)</f>
        <v>0</v>
      </c>
      <c r="AE75" s="1448">
        <f>IF(AE24=4,AD71,0)</f>
        <v>0</v>
      </c>
      <c r="AF75" s="1443">
        <f>SUM(B75:AE75)</f>
        <v>8</v>
      </c>
      <c r="AW75" s="1446"/>
    </row>
    <row r="76" spans="1:54" s="1443" customFormat="1" ht="12.75" hidden="1" customHeight="1" x14ac:dyDescent="0.2">
      <c r="A76" s="1443" t="s">
        <v>105</v>
      </c>
      <c r="B76" s="1443">
        <f>IF(B24=5,C71,0)</f>
        <v>0</v>
      </c>
      <c r="D76" s="1448">
        <f>IF(D24=5,C71,0)</f>
        <v>2</v>
      </c>
      <c r="E76" s="1443">
        <f>IF(E24=5,F71,0)</f>
        <v>0</v>
      </c>
      <c r="G76" s="1448">
        <f>IF(G24=5,F71,0)</f>
        <v>0</v>
      </c>
      <c r="H76" s="1443">
        <f>IF(H24=5,I71,0)</f>
        <v>0</v>
      </c>
      <c r="J76" s="1448">
        <f>IF(J24=5,I71,0)</f>
        <v>2</v>
      </c>
      <c r="K76" s="1443">
        <f>IF(K24=5,L71,0)</f>
        <v>0</v>
      </c>
      <c r="M76" s="1448">
        <f>IF(M24=5,L71,0)</f>
        <v>0</v>
      </c>
      <c r="N76" s="1443">
        <f>IF(N24=5,O71,0)</f>
        <v>0</v>
      </c>
      <c r="P76" s="1448">
        <f>IF(P24=5,O71,0)</f>
        <v>0</v>
      </c>
      <c r="Q76" s="1443">
        <f>IF(Q24=5,R71,0)</f>
        <v>0</v>
      </c>
      <c r="S76" s="1448">
        <f>IF(S24=5,R71,0)</f>
        <v>2</v>
      </c>
      <c r="T76" s="1443">
        <f>IF(T24=5,U71,0)</f>
        <v>0</v>
      </c>
      <c r="V76" s="1448">
        <f>IF(V24=5,U71,0)</f>
        <v>0</v>
      </c>
      <c r="W76" s="1443">
        <f>IF(W24=5,X71,0)</f>
        <v>0</v>
      </c>
      <c r="Y76" s="1448">
        <f>IF(Y24=5,X71,0)</f>
        <v>2</v>
      </c>
      <c r="Z76" s="1443">
        <f>IF(Z24=5,AA71,0)</f>
        <v>0</v>
      </c>
      <c r="AB76" s="1448">
        <f>IF(AB24=5,AA71,0)</f>
        <v>0</v>
      </c>
      <c r="AC76" s="1443">
        <f>IF(AC24=5,AD71,0)</f>
        <v>0</v>
      </c>
      <c r="AE76" s="1448">
        <f>IF(AE24=5,AD71,0)</f>
        <v>0</v>
      </c>
      <c r="AF76" s="1443">
        <f>SUM(B76:AE76)</f>
        <v>8</v>
      </c>
      <c r="AW76" s="1446"/>
    </row>
    <row r="77" spans="1:54" hidden="1" x14ac:dyDescent="0.2">
      <c r="A77" s="1450"/>
      <c r="B77" s="1450"/>
      <c r="C77" s="1450"/>
      <c r="D77" s="1450"/>
      <c r="E77" s="1450"/>
      <c r="F77" s="1450"/>
      <c r="G77" s="1450"/>
      <c r="H77" s="1450"/>
      <c r="I77" s="1450"/>
      <c r="J77" s="1450"/>
      <c r="K77" s="1450"/>
      <c r="L77" s="1450"/>
      <c r="M77" s="1450"/>
      <c r="N77" s="1450"/>
      <c r="O77" s="1450"/>
      <c r="P77" s="1450"/>
      <c r="Q77" s="1450"/>
      <c r="R77" s="1450"/>
      <c r="S77" s="1450"/>
      <c r="T77" s="1450"/>
      <c r="U77" s="1450"/>
      <c r="V77" s="1450"/>
      <c r="W77" s="1450"/>
      <c r="X77" s="1450"/>
      <c r="Y77" s="1450"/>
      <c r="Z77" s="1450"/>
      <c r="AA77" s="1450"/>
      <c r="AB77" s="1450"/>
      <c r="AC77" s="1450"/>
      <c r="AD77" s="1450"/>
      <c r="AE77" s="1450"/>
      <c r="AF77" s="1450"/>
      <c r="AG77" s="1450"/>
      <c r="AH77" s="1450"/>
      <c r="AI77" s="1450"/>
      <c r="AJ77" s="1450"/>
      <c r="AK77" s="1450"/>
      <c r="AL77" s="1450"/>
      <c r="AM77" s="1450"/>
      <c r="AN77" s="1451"/>
      <c r="AO77" s="1451"/>
      <c r="AP77" s="1451"/>
      <c r="AQ77" s="1451"/>
      <c r="AR77" s="1452"/>
      <c r="AS77" s="1452"/>
      <c r="AT77" s="1452"/>
      <c r="AU77" s="1452"/>
      <c r="AV77" s="1452"/>
      <c r="BB77" s="1442"/>
    </row>
    <row r="78" spans="1:54" s="1452" customFormat="1" hidden="1" x14ac:dyDescent="0.2">
      <c r="A78" s="1453"/>
      <c r="B78" s="1453"/>
      <c r="C78" s="1453" t="s">
        <v>112</v>
      </c>
      <c r="D78" s="1453">
        <v>1</v>
      </c>
      <c r="E78" s="1453"/>
      <c r="F78" s="1453"/>
      <c r="G78" s="1453">
        <v>2</v>
      </c>
      <c r="H78" s="1453"/>
      <c r="I78" s="1453"/>
      <c r="J78" s="1453">
        <v>3</v>
      </c>
      <c r="K78" s="1453"/>
      <c r="L78" s="1453"/>
      <c r="M78" s="1453">
        <v>4</v>
      </c>
      <c r="N78" s="1453"/>
      <c r="O78" s="1453"/>
      <c r="P78" s="1453">
        <v>5</v>
      </c>
      <c r="Q78" s="1453"/>
      <c r="R78" s="1453"/>
      <c r="S78" s="1453">
        <v>6</v>
      </c>
      <c r="T78" s="1453"/>
      <c r="U78" s="1453"/>
      <c r="V78" s="1453">
        <v>7</v>
      </c>
      <c r="W78" s="1453"/>
      <c r="X78" s="1453"/>
      <c r="Y78" s="1453">
        <v>8</v>
      </c>
      <c r="Z78" s="1453"/>
      <c r="AA78" s="1453"/>
      <c r="AB78" s="1453">
        <v>9</v>
      </c>
      <c r="AC78" s="1453"/>
      <c r="AD78" s="1453"/>
      <c r="AE78" s="1453">
        <v>10</v>
      </c>
      <c r="AF78" s="1251"/>
      <c r="AG78" s="1453"/>
      <c r="AI78" s="1454"/>
      <c r="AJ78" s="1251"/>
      <c r="AK78" s="1251"/>
      <c r="AL78" s="1251"/>
      <c r="AM78" s="1251"/>
      <c r="AN78" s="1251"/>
      <c r="AO78" s="1251"/>
      <c r="AT78" s="1454" t="s">
        <v>113</v>
      </c>
      <c r="AW78" s="1455"/>
      <c r="BB78" s="1455"/>
    </row>
    <row r="79" spans="1:54" s="1452" customFormat="1" hidden="1" x14ac:dyDescent="0.2">
      <c r="A79" s="1456">
        <v>1</v>
      </c>
      <c r="B79" s="1456" t="str">
        <f>E8</f>
        <v>KVC 14</v>
      </c>
      <c r="C79" s="1456">
        <f>VLOOKUP(B79,AU$3:AY$12,3,FALSE)</f>
        <v>2224.1169108397717</v>
      </c>
      <c r="D79" s="1456">
        <f>IF(B72,B87,IF(D72,D87,C79))</f>
        <v>2224.1169108397717</v>
      </c>
      <c r="E79" s="1456"/>
      <c r="F79" s="1456"/>
      <c r="G79" s="1456">
        <f>IF(E72,E87,IF(G72,G87,D79))</f>
        <v>2237.9301838708047</v>
      </c>
      <c r="H79" s="1456"/>
      <c r="I79" s="1456"/>
      <c r="J79" s="1456">
        <f>IF(H72,H87,IF(J72,J87,G79))</f>
        <v>2237.9301838708047</v>
      </c>
      <c r="K79" s="1456"/>
      <c r="L79" s="1456"/>
      <c r="M79" s="1456">
        <f>IF(K72,K87,IF(M72,M87,J79))</f>
        <v>2237.9301838708047</v>
      </c>
      <c r="N79" s="1456"/>
      <c r="O79" s="1456"/>
      <c r="P79" s="1456">
        <f>IF(N72,N87,IF(P72,P87,M79))</f>
        <v>2220.7279386281266</v>
      </c>
      <c r="Q79" s="1456"/>
      <c r="R79" s="1456"/>
      <c r="S79" s="1456">
        <f>IF(Q72,Q87,IF(S72,S87,P79))</f>
        <v>2220.7279386281266</v>
      </c>
      <c r="T79" s="1456"/>
      <c r="U79" s="1456"/>
      <c r="V79" s="1456">
        <f>IF(T72,T87,IF(V72,V87,S79))</f>
        <v>2220.7279386281266</v>
      </c>
      <c r="W79" s="1456"/>
      <c r="X79" s="1456"/>
      <c r="Y79" s="1456">
        <f>IF(W72,W87,IF(Y72,Y87,V79))</f>
        <v>2239.5243427872228</v>
      </c>
      <c r="Z79" s="1456"/>
      <c r="AA79" s="1456"/>
      <c r="AB79" s="1456">
        <f>IF(Z72,Z87,IF(AB72,AB87,Y79))</f>
        <v>2239.5243427872228</v>
      </c>
      <c r="AC79" s="1456"/>
      <c r="AD79" s="1456"/>
      <c r="AE79" s="1456">
        <f>IF(AC72,AC87,IF(AE72,AE87,AB79))</f>
        <v>2258.0684760828894</v>
      </c>
      <c r="AF79" s="1251"/>
      <c r="AG79" s="1251"/>
      <c r="AJ79" s="1251"/>
      <c r="AK79" s="1251"/>
      <c r="AL79" s="1251"/>
      <c r="AM79" s="1251"/>
      <c r="AN79" s="1251"/>
      <c r="AO79" s="1251"/>
      <c r="AT79" s="1452" t="str">
        <f>B79</f>
        <v>KVC 14</v>
      </c>
      <c r="AU79" s="1452">
        <f>AE79</f>
        <v>2258.0684760828894</v>
      </c>
      <c r="AW79" s="1455"/>
      <c r="BB79" s="1455"/>
    </row>
    <row r="80" spans="1:54" s="1452" customFormat="1" hidden="1" x14ac:dyDescent="0.2">
      <c r="A80" s="1456">
        <v>2</v>
      </c>
      <c r="B80" s="1456" t="str">
        <f>E10</f>
        <v>V-1 Academy SAV 15 Lucas</v>
      </c>
      <c r="C80" s="1456">
        <f>VLOOKUP(B80,AU$3:AY$12,3,FALSE)</f>
        <v>2068.7013691027805</v>
      </c>
      <c r="D80" s="1456">
        <f>IF(B73,B87,IF(D73,D87,C80))</f>
        <v>2062.4549405401744</v>
      </c>
      <c r="E80" s="1456"/>
      <c r="F80" s="1456"/>
      <c r="G80" s="1456">
        <f>IF(E73,E87,IF(G73,G87,D80))</f>
        <v>2062.4549405401744</v>
      </c>
      <c r="H80" s="1456"/>
      <c r="I80" s="1456"/>
      <c r="J80" s="1456">
        <f>IF(H73,H87,IF(J73,J87,G80))</f>
        <v>2062.4549405401744</v>
      </c>
      <c r="K80" s="1456"/>
      <c r="L80" s="1456"/>
      <c r="M80" s="1456">
        <f>IF(K73,K87,IF(M73,M87,J80))</f>
        <v>2087.5410783114057</v>
      </c>
      <c r="N80" s="1456"/>
      <c r="O80" s="1456"/>
      <c r="P80" s="1456">
        <f>IF(N73,N87,IF(P73,P87,M80))</f>
        <v>2087.5410783114057</v>
      </c>
      <c r="Q80" s="1456"/>
      <c r="R80" s="1456"/>
      <c r="S80" s="1456">
        <f>IF(Q73,Q87,IF(S73,S87,P80))</f>
        <v>2087.5410783114057</v>
      </c>
      <c r="T80" s="1456"/>
      <c r="U80" s="1456"/>
      <c r="V80" s="1456">
        <f>IF(T73,T87,IF(V73,V87,S80))</f>
        <v>2083.7709817882419</v>
      </c>
      <c r="W80" s="1456"/>
      <c r="X80" s="1456"/>
      <c r="Y80" s="1456">
        <f>IF(W73,W87,IF(Y73,Y87,V80))</f>
        <v>2083.7709817882419</v>
      </c>
      <c r="Z80" s="1456"/>
      <c r="AA80" s="1456"/>
      <c r="AB80" s="1456">
        <f>IF(Z73,Z87,IF(AB73,AB87,Y80))</f>
        <v>2083.7709817882419</v>
      </c>
      <c r="AC80" s="1456"/>
      <c r="AD80" s="1456"/>
      <c r="AE80" s="1456">
        <f>IF(AC73,AC87,IF(AE73,AE87,AB80))</f>
        <v>2065.2268484925753</v>
      </c>
      <c r="AF80" s="1251"/>
      <c r="AG80" s="1251"/>
      <c r="AJ80" s="1251"/>
      <c r="AL80" s="1251"/>
      <c r="AM80" s="1251"/>
      <c r="AN80" s="1251"/>
      <c r="AO80" s="1251"/>
      <c r="AT80" s="1452" t="str">
        <f>B80</f>
        <v>V-1 Academy SAV 15 Lucas</v>
      </c>
      <c r="AU80" s="1452">
        <f>AE80</f>
        <v>2065.2268484925753</v>
      </c>
      <c r="AW80" s="1455"/>
      <c r="BB80" s="1455"/>
    </row>
    <row r="81" spans="1:54" s="1452" customFormat="1" hidden="1" x14ac:dyDescent="0.2">
      <c r="A81" s="1456">
        <v>3</v>
      </c>
      <c r="B81" s="1456" t="str">
        <f>E12</f>
        <v>Lake Murray 15 Black</v>
      </c>
      <c r="C81" s="1456">
        <f>VLOOKUP(B81,AU$3:AY$12,3,FALSE)</f>
        <v>2066.7296561866906</v>
      </c>
      <c r="D81" s="1456">
        <f>IF(B74,B87,IF(D74,D87,C81))</f>
        <v>2066.7296561866906</v>
      </c>
      <c r="E81" s="1456"/>
      <c r="F81" s="1456"/>
      <c r="G81" s="1456">
        <f>IF(E74,E87,IF(G74,G87,D81))</f>
        <v>2066.7296561866906</v>
      </c>
      <c r="H81" s="1456"/>
      <c r="I81" s="1456"/>
      <c r="J81" s="1456">
        <f>IF(H74,H87,IF(J74,J87,G81))</f>
        <v>2029.2145455300229</v>
      </c>
      <c r="K81" s="1456"/>
      <c r="L81" s="1456"/>
      <c r="M81" s="1456">
        <f>IF(K74,K87,IF(M74,M87,J81))</f>
        <v>2029.2145455300229</v>
      </c>
      <c r="N81" s="1456"/>
      <c r="O81" s="1456"/>
      <c r="P81" s="1456">
        <f>IF(N74,N87,IF(P74,P87,M81))</f>
        <v>2046.416790772701</v>
      </c>
      <c r="Q81" s="1456"/>
      <c r="R81" s="1456"/>
      <c r="S81" s="1456">
        <f>IF(Q74,Q87,IF(S74,S87,P81))</f>
        <v>2046.416790772701</v>
      </c>
      <c r="T81" s="1456"/>
      <c r="U81" s="1456"/>
      <c r="V81" s="1456">
        <f>IF(T74,T87,IF(V74,V87,S81))</f>
        <v>2050.1868872958648</v>
      </c>
      <c r="W81" s="1456"/>
      <c r="X81" s="1456"/>
      <c r="Y81" s="1456">
        <f>IF(W74,W87,IF(Y74,Y87,V81))</f>
        <v>2050.1868872958648</v>
      </c>
      <c r="Z81" s="1456"/>
      <c r="AA81" s="1456"/>
      <c r="AB81" s="1456">
        <f>IF(Z74,Z87,IF(AB74,AB87,Y81))</f>
        <v>2072.0804009818239</v>
      </c>
      <c r="AC81" s="1456"/>
      <c r="AD81" s="1456"/>
      <c r="AE81" s="1456">
        <f>IF(AC74,AC87,IF(AE74,AE87,AB81))</f>
        <v>2072.0804009818239</v>
      </c>
      <c r="AF81" s="1251"/>
      <c r="AG81" s="1251"/>
      <c r="AJ81" s="1251"/>
      <c r="AL81" s="1251"/>
      <c r="AM81" s="1251"/>
      <c r="AN81" s="1251"/>
      <c r="AO81" s="1251"/>
      <c r="AT81" s="1452" t="str">
        <f>B81</f>
        <v>Lake Murray 15 Black</v>
      </c>
      <c r="AU81" s="1452">
        <f>AE81</f>
        <v>2072.0804009818239</v>
      </c>
      <c r="AW81" s="1455"/>
      <c r="BB81" s="1455"/>
    </row>
    <row r="82" spans="1:54" s="1452" customFormat="1" hidden="1" x14ac:dyDescent="0.2">
      <c r="A82" s="1456">
        <v>4</v>
      </c>
      <c r="B82" s="1456" t="str">
        <f>E14</f>
        <v>SSCVB-15U</v>
      </c>
      <c r="C82" s="1456">
        <f>VLOOKUP(B82,AU$3:AY$12,3,FALSE)</f>
        <v>2000</v>
      </c>
      <c r="D82" s="1456">
        <f>IF(B75,B87,IF(D75,D87,C82))</f>
        <v>2000</v>
      </c>
      <c r="E82" s="1456"/>
      <c r="F82" s="1456"/>
      <c r="G82" s="1456">
        <f>IF(E75,E87,IF(G75,G87,D82))</f>
        <v>1986.1867269689669</v>
      </c>
      <c r="H82" s="1456"/>
      <c r="I82" s="1456"/>
      <c r="J82" s="1456">
        <f>IF(H75,H87,IF(J75,J87,G82))</f>
        <v>1986.1867269689669</v>
      </c>
      <c r="K82" s="1456"/>
      <c r="L82" s="1456"/>
      <c r="M82" s="1456">
        <f>IF(K75,K87,IF(M75,M87,J82))</f>
        <v>1961.1005891977354</v>
      </c>
      <c r="N82" s="1456"/>
      <c r="O82" s="1456"/>
      <c r="P82" s="1456">
        <f>IF(N75,N87,IF(P75,P87,M82))</f>
        <v>1961.1005891977354</v>
      </c>
      <c r="Q82" s="1456"/>
      <c r="R82" s="1456"/>
      <c r="S82" s="1456">
        <f>IF(Q75,Q87,IF(S75,S87,P82))</f>
        <v>1936.5734732598908</v>
      </c>
      <c r="T82" s="1456"/>
      <c r="U82" s="1456"/>
      <c r="V82" s="1456">
        <f>IF(T75,T87,IF(V75,V87,S82))</f>
        <v>1936.5734732598908</v>
      </c>
      <c r="W82" s="1456"/>
      <c r="X82" s="1456"/>
      <c r="Y82" s="1456">
        <f>IF(W75,W87,IF(Y75,Y87,V82))</f>
        <v>1936.5734732598908</v>
      </c>
      <c r="Z82" s="1456"/>
      <c r="AA82" s="1456"/>
      <c r="AB82" s="1456">
        <f>IF(Z75,Z87,IF(AB75,AB87,Y82))</f>
        <v>1914.6799595739319</v>
      </c>
      <c r="AC82" s="1456"/>
      <c r="AD82" s="1456"/>
      <c r="AE82" s="1456">
        <f>IF(AC75,AC87,IF(AE75,AE87,AB82))</f>
        <v>1914.6799595739319</v>
      </c>
      <c r="AF82" s="1251"/>
      <c r="AG82" s="1251"/>
      <c r="AJ82" s="1251"/>
      <c r="AL82" s="1251"/>
      <c r="AM82" s="1251"/>
      <c r="AN82" s="1251"/>
      <c r="AO82" s="1251"/>
      <c r="AT82" s="1452" t="str">
        <f>B82</f>
        <v>SSCVB-15U</v>
      </c>
      <c r="AU82" s="1452">
        <f>AE82</f>
        <v>1914.6799595739319</v>
      </c>
      <c r="AW82" s="1455"/>
      <c r="BB82" s="1455"/>
    </row>
    <row r="83" spans="1:54" s="1452" customFormat="1" hidden="1" x14ac:dyDescent="0.2">
      <c r="A83" s="1456">
        <v>5</v>
      </c>
      <c r="B83" s="1456" t="str">
        <f>E16</f>
        <v>Magnum Aiken 15 Yellow</v>
      </c>
      <c r="C83" s="1456">
        <f>VLOOKUP(B83,AU$3:AY$12,3,FALSE)</f>
        <v>2000</v>
      </c>
      <c r="D83" s="1456">
        <f>IF(B76,B87,IF(D76,D87,C83))</f>
        <v>2006.2464285626061</v>
      </c>
      <c r="E83" s="1456"/>
      <c r="F83" s="1456"/>
      <c r="G83" s="1456">
        <f>IF(E76,E87,IF(G76,G87,D83))</f>
        <v>2006.2464285626061</v>
      </c>
      <c r="H83" s="1456"/>
      <c r="I83" s="1456"/>
      <c r="J83" s="1456">
        <f>IF(H76,H87,IF(J76,J87,G83))</f>
        <v>2043.7615392192738</v>
      </c>
      <c r="K83" s="1456"/>
      <c r="L83" s="1456"/>
      <c r="M83" s="1456">
        <f>IF(K76,K87,IF(M76,M87,J83))</f>
        <v>2043.7615392192738</v>
      </c>
      <c r="N83" s="1456"/>
      <c r="O83" s="1456"/>
      <c r="P83" s="1456">
        <f>IF(N76,N87,IF(P76,P87,M83))</f>
        <v>2043.7615392192738</v>
      </c>
      <c r="Q83" s="1456"/>
      <c r="R83" s="1456"/>
      <c r="S83" s="1456">
        <f>IF(Q76,Q87,IF(S76,S87,P83))</f>
        <v>2068.2886551571187</v>
      </c>
      <c r="T83" s="1456"/>
      <c r="U83" s="1456"/>
      <c r="V83" s="1456">
        <f>IF(T76,T87,IF(V76,V87,S83))</f>
        <v>2068.2886551571187</v>
      </c>
      <c r="W83" s="1456"/>
      <c r="X83" s="1456"/>
      <c r="Y83" s="1456">
        <f>IF(W76,W87,IF(Y76,Y87,V83))</f>
        <v>2049.4922509980224</v>
      </c>
      <c r="Z83" s="1456"/>
      <c r="AA83" s="1456"/>
      <c r="AB83" s="1456">
        <f>IF(Z76,Z87,IF(AB76,AB87,Y83))</f>
        <v>2049.4922509980224</v>
      </c>
      <c r="AC83" s="1456"/>
      <c r="AD83" s="1456"/>
      <c r="AE83" s="1456">
        <f>IF(AC76,AC87,IF(AE76,AE87,AB83))</f>
        <v>2049.4922509980224</v>
      </c>
      <c r="AF83" s="1251"/>
      <c r="AG83" s="1251"/>
      <c r="AJ83" s="1251"/>
      <c r="AL83" s="1251"/>
      <c r="AM83" s="1251"/>
      <c r="AN83" s="1251"/>
      <c r="AO83" s="1251"/>
      <c r="AT83" s="1452" t="str">
        <f>B83</f>
        <v>Magnum Aiken 15 Yellow</v>
      </c>
      <c r="AU83" s="1452">
        <f>AE83</f>
        <v>2049.4922509980224</v>
      </c>
      <c r="AW83" s="1455"/>
      <c r="BB83" s="1455"/>
    </row>
    <row r="84" spans="1:54" s="1452" customFormat="1" hidden="1" x14ac:dyDescent="0.2">
      <c r="A84" s="1456"/>
      <c r="B84" s="1456"/>
      <c r="C84" s="1456"/>
      <c r="D84" s="1456"/>
      <c r="E84" s="1456"/>
      <c r="F84" s="1456"/>
      <c r="G84" s="1456"/>
      <c r="H84" s="1456"/>
      <c r="I84" s="1456"/>
      <c r="J84" s="1456"/>
      <c r="K84" s="1456"/>
      <c r="L84" s="1456"/>
      <c r="M84" s="1456"/>
      <c r="N84" s="1456"/>
      <c r="O84" s="1456"/>
      <c r="P84" s="1456"/>
      <c r="Q84" s="1456"/>
      <c r="R84" s="1456"/>
      <c r="S84" s="1456"/>
      <c r="T84" s="1456"/>
      <c r="U84" s="1456"/>
      <c r="V84" s="1456"/>
      <c r="W84" s="1456"/>
      <c r="X84" s="1456"/>
      <c r="Y84" s="1456"/>
      <c r="Z84" s="1456"/>
      <c r="AA84" s="1456"/>
      <c r="AB84" s="1456"/>
      <c r="AC84" s="1456"/>
      <c r="AD84" s="1456"/>
      <c r="AE84" s="1456"/>
      <c r="AF84" s="1251"/>
      <c r="AG84" s="1251"/>
      <c r="AJ84" s="1251"/>
      <c r="AL84" s="1251"/>
      <c r="AM84" s="1251"/>
      <c r="AN84" s="1251"/>
      <c r="AO84" s="1251"/>
      <c r="AW84" s="1455"/>
      <c r="BB84" s="1455"/>
    </row>
    <row r="85" spans="1:54" s="1452" customFormat="1" hidden="1" x14ac:dyDescent="0.2">
      <c r="A85" s="1456" t="s">
        <v>114</v>
      </c>
      <c r="B85" s="1456">
        <f>VLOOKUP(B24,$A79:$AE83,3,FALSE)</f>
        <v>2068.7013691027805</v>
      </c>
      <c r="C85" s="1456">
        <v>1</v>
      </c>
      <c r="D85" s="1456">
        <f>VLOOKUP(D24,$A79:$AE83,3,FALSE)</f>
        <v>2000</v>
      </c>
      <c r="E85" s="1456">
        <f>VLOOKUP(E24,$A79:$AE83,4,FALSE)</f>
        <v>2224.1169108397717</v>
      </c>
      <c r="F85" s="1456">
        <v>2</v>
      </c>
      <c r="G85" s="1456">
        <f>VLOOKUP(G24,$A79:$AE83,4,FALSE)</f>
        <v>2000</v>
      </c>
      <c r="H85" s="1456">
        <f>VLOOKUP(H24,$A79:$AE83,7,FALSE)</f>
        <v>2066.7296561866906</v>
      </c>
      <c r="I85" s="1456">
        <v>3</v>
      </c>
      <c r="J85" s="1456">
        <f>VLOOKUP(J24,$A79:$AE83,7,FALSE)</f>
        <v>2006.2464285626061</v>
      </c>
      <c r="K85" s="1456">
        <f>VLOOKUP(K24,$A79:$AE83,10,FALSE)</f>
        <v>2062.4549405401744</v>
      </c>
      <c r="L85" s="1456">
        <v>4</v>
      </c>
      <c r="M85" s="1456">
        <f>VLOOKUP(M24,$A79:$AE83,10,FALSE)</f>
        <v>1986.1867269689669</v>
      </c>
      <c r="N85" s="1456">
        <f>VLOOKUP(N24,$A79:$AE83,13,FALSE)</f>
        <v>2237.9301838708047</v>
      </c>
      <c r="O85" s="1456">
        <v>5</v>
      </c>
      <c r="P85" s="1456">
        <f>VLOOKUP(P24,$A79:$AE83,13,FALSE)</f>
        <v>2029.2145455300229</v>
      </c>
      <c r="Q85" s="1456">
        <f>VLOOKUP(Q24,$A79:$AE83,16,FALSE)</f>
        <v>1961.1005891977354</v>
      </c>
      <c r="R85" s="1456">
        <v>6</v>
      </c>
      <c r="S85" s="1456">
        <f>VLOOKUP(S24,$A79:$AE83,16,FALSE)</f>
        <v>2043.7615392192738</v>
      </c>
      <c r="T85" s="1456">
        <f>VLOOKUP(T24,$A79:$AE83,19,FALSE)</f>
        <v>2087.5410783114057</v>
      </c>
      <c r="U85" s="1456">
        <v>7</v>
      </c>
      <c r="V85" s="1456">
        <f>VLOOKUP(V24,$A79:$AE83,19,FALSE)</f>
        <v>2046.416790772701</v>
      </c>
      <c r="W85" s="1456">
        <f>VLOOKUP(W24,$A79:$AE83,22,FALSE)</f>
        <v>2220.7279386281266</v>
      </c>
      <c r="X85" s="1456">
        <v>8</v>
      </c>
      <c r="Y85" s="1456">
        <f>VLOOKUP(Y24,$A79:$AE83,22,FALSE)</f>
        <v>2068.2886551571187</v>
      </c>
      <c r="Z85" s="1456">
        <f>VLOOKUP(Z24,$A79:$AE83,25,FALSE)</f>
        <v>2050.1868872958648</v>
      </c>
      <c r="AA85" s="1456">
        <v>9</v>
      </c>
      <c r="AB85" s="1456">
        <f>VLOOKUP(AB24,$A79:$AE83,25,FALSE)</f>
        <v>1936.5734732598908</v>
      </c>
      <c r="AC85" s="1456">
        <f>VLOOKUP(AC24,$A79:$AE83,28,FALSE)</f>
        <v>2239.5243427872228</v>
      </c>
      <c r="AD85" s="1456">
        <v>10</v>
      </c>
      <c r="AE85" s="1456">
        <f>VLOOKUP(AE24,$A79:$AE83,28,FALSE)</f>
        <v>2083.7709817882419</v>
      </c>
      <c r="AF85" s="1251"/>
      <c r="AG85" s="1450"/>
      <c r="AH85" s="1450"/>
      <c r="AI85" s="1450"/>
      <c r="AJ85" s="1450"/>
      <c r="AK85" s="1450"/>
      <c r="AL85" s="1450"/>
      <c r="AM85" s="1450"/>
      <c r="AN85" s="1451"/>
      <c r="AO85" s="1451"/>
      <c r="AP85" s="1451"/>
      <c r="AQ85" s="1451"/>
      <c r="AW85" s="1455"/>
      <c r="BB85" s="1455"/>
    </row>
    <row r="86" spans="1:54" s="1461" customFormat="1" hidden="1" x14ac:dyDescent="0.2">
      <c r="A86" s="1457" t="s">
        <v>115</v>
      </c>
      <c r="B86" s="1457">
        <f>1/(1+(10^-((B85-D85)/400)))*(B36+D36)</f>
        <v>1.1952008925814368</v>
      </c>
      <c r="C86" s="1457"/>
      <c r="D86" s="1457">
        <f>1/(1+(10^-((D85-B85)/400)))*(B36+D36)</f>
        <v>0.80479910741856331</v>
      </c>
      <c r="E86" s="1457">
        <f>1/(1+(10^-((E85-G85)/400)))*(E36+G36)</f>
        <v>1.5683352177802132</v>
      </c>
      <c r="F86" s="1457"/>
      <c r="G86" s="1457">
        <f>1/(1+(10^-((G85-E85)/400)))*(E36+G36)</f>
        <v>0.43166478221978666</v>
      </c>
      <c r="H86" s="1457">
        <f>1/(1+(10^-((H85-J85)/400)))*(H36+J36)</f>
        <v>1.1723472080208683</v>
      </c>
      <c r="I86" s="1457"/>
      <c r="J86" s="1457">
        <f>1/(1+(10^-((J85-H85)/400)))*(H36+J36)</f>
        <v>0.82765279197913177</v>
      </c>
      <c r="K86" s="1457">
        <f>1/(1+(10^-((K85-M85)/400)))*(K36+M36)</f>
        <v>1.2160581946490185</v>
      </c>
      <c r="L86" s="1457"/>
      <c r="M86" s="1457">
        <f>1/(1+(10^-((M85-K85)/400)))*(K36+M36)</f>
        <v>0.78394180535098135</v>
      </c>
      <c r="N86" s="1457">
        <f>1/(1+(10^-((N85-P85)/400)))*(N36+P36)</f>
        <v>1.5375701638336934</v>
      </c>
      <c r="O86" s="1457"/>
      <c r="P86" s="1457">
        <f>1/(1+(10^-((P85-N85)/400)))*(N36+P36)</f>
        <v>0.46242983616630662</v>
      </c>
      <c r="Q86" s="1457">
        <f>1/(1+(10^-((Q85-S85)/400)))*(Q36+S36)</f>
        <v>0.76647237305764848</v>
      </c>
      <c r="R86" s="1457"/>
      <c r="S86" s="1457">
        <f>1/(1+(10^-((S85-Q85)/400)))*(Q36+S36)</f>
        <v>1.2335276269423514</v>
      </c>
      <c r="T86" s="1457">
        <f>1/(1+(10^-((T85-V85)/400)))*(T36+V36)</f>
        <v>1.1178155163488632</v>
      </c>
      <c r="U86" s="1457"/>
      <c r="V86" s="1457">
        <f>1/(1+(10^-((V85-T85)/400)))*(T36+V36)</f>
        <v>0.88218448365113677</v>
      </c>
      <c r="W86" s="1457">
        <f>1/(1+(10^-((W85-Y85)/400)))*(W36+Y36)</f>
        <v>1.4126123700282445</v>
      </c>
      <c r="X86" s="1457"/>
      <c r="Y86" s="1457">
        <f>1/(1+(10^-((Y85-W85)/400)))*(W36+Y36)</f>
        <v>0.58738762997175564</v>
      </c>
      <c r="Z86" s="1457">
        <f>1/(1+(10^-((Z85-AB85)/400)))*(Z36+AB36)</f>
        <v>1.3158276973137852</v>
      </c>
      <c r="AA86" s="1457"/>
      <c r="AB86" s="1457">
        <f>1/(1+(10^-((AB85-Z85)/400)))*(Z36+AB36)</f>
        <v>0.68417230268621487</v>
      </c>
      <c r="AC86" s="1457">
        <f>1/(1+(10^-((AC85-AE85)/400)))*(AC36+AE36)</f>
        <v>1.4204958345104175</v>
      </c>
      <c r="AD86" s="1457"/>
      <c r="AE86" s="1457">
        <f>1/(1+(10^-((AE85-AC85)/400)))*(AC36+AE36)</f>
        <v>0.57950416548958261</v>
      </c>
      <c r="AF86" s="1458"/>
      <c r="AG86" s="1459"/>
      <c r="AH86" s="1459"/>
      <c r="AI86" s="1459"/>
      <c r="AJ86" s="1459"/>
      <c r="AK86" s="1459"/>
      <c r="AL86" s="1459"/>
      <c r="AM86" s="1459"/>
      <c r="AN86" s="1460"/>
      <c r="AO86" s="1460"/>
      <c r="AP86" s="1460"/>
      <c r="AQ86" s="1460"/>
      <c r="AW86" s="1462"/>
      <c r="BB86" s="1462"/>
    </row>
    <row r="87" spans="1:54" s="1467" customFormat="1" hidden="1" x14ac:dyDescent="0.2">
      <c r="A87" s="1463" t="s">
        <v>116</v>
      </c>
      <c r="B87" s="1463">
        <f>B85+(B36-B86)*$BA$1</f>
        <v>2062.4549405401744</v>
      </c>
      <c r="C87" s="1463"/>
      <c r="D87" s="1463">
        <f>D85+(D36-D86)*$BA$1</f>
        <v>2006.2464285626061</v>
      </c>
      <c r="E87" s="1463">
        <f>E85+(E36-E86)*$BA$1</f>
        <v>2237.9301838708047</v>
      </c>
      <c r="F87" s="1463"/>
      <c r="G87" s="1463">
        <f>G85+(G36-G86)*$BA$1</f>
        <v>1986.1867269689669</v>
      </c>
      <c r="H87" s="1463">
        <f>H85+(H36-H86)*$BA$1</f>
        <v>2029.2145455300229</v>
      </c>
      <c r="I87" s="1463"/>
      <c r="J87" s="1463">
        <f>J85+(J36-J86)*$BA$1</f>
        <v>2043.7615392192738</v>
      </c>
      <c r="K87" s="1463">
        <f>K85+(K36-K86)*$BA$1</f>
        <v>2087.5410783114057</v>
      </c>
      <c r="L87" s="1463"/>
      <c r="M87" s="1463">
        <f>M85+(M36-M86)*$BA$1</f>
        <v>1961.1005891977354</v>
      </c>
      <c r="N87" s="1463">
        <f>N85+(N36-N86)*$BA$1</f>
        <v>2220.7279386281266</v>
      </c>
      <c r="O87" s="1463"/>
      <c r="P87" s="1463">
        <f>P85+(P36-P86)*$BA$1</f>
        <v>2046.416790772701</v>
      </c>
      <c r="Q87" s="1463">
        <f>Q85+(Q36-Q86)*$BA$1</f>
        <v>1936.5734732598908</v>
      </c>
      <c r="R87" s="1463"/>
      <c r="S87" s="1463">
        <f>S85+(S36-S86)*$BA$1</f>
        <v>2068.2886551571187</v>
      </c>
      <c r="T87" s="1463">
        <f>T85+(T36-T86)*$BA$1</f>
        <v>2083.7709817882419</v>
      </c>
      <c r="U87" s="1463"/>
      <c r="V87" s="1463">
        <f>V85+(V36-V86)*$BA$1</f>
        <v>2050.1868872958648</v>
      </c>
      <c r="W87" s="1463">
        <f>W85+(W36-W86)*$BA$1</f>
        <v>2239.5243427872228</v>
      </c>
      <c r="X87" s="1463"/>
      <c r="Y87" s="1463">
        <f>Y85+(Y36-Y86)*$BA$1</f>
        <v>2049.4922509980224</v>
      </c>
      <c r="Z87" s="1463">
        <f>Z85+(Z36-Z86)*$BA$1</f>
        <v>2072.0804009818239</v>
      </c>
      <c r="AA87" s="1463"/>
      <c r="AB87" s="1463">
        <f>AB85+(AB36-AB86)*$BA$1</f>
        <v>1914.6799595739319</v>
      </c>
      <c r="AC87" s="1463">
        <f>AC85+(AC36-AC86)*$BA$1</f>
        <v>2258.0684760828894</v>
      </c>
      <c r="AD87" s="1463"/>
      <c r="AE87" s="1463">
        <f>AE85+(AE36-AE86)*$BA$1</f>
        <v>2065.2268484925753</v>
      </c>
      <c r="AF87" s="1464"/>
      <c r="AG87" s="1465"/>
      <c r="AH87" s="1465"/>
      <c r="AI87" s="1465"/>
      <c r="AJ87" s="1465"/>
      <c r="AK87" s="1465"/>
      <c r="AL87" s="1465"/>
      <c r="AM87" s="1465"/>
      <c r="AN87" s="1466"/>
      <c r="AO87" s="1466"/>
      <c r="AP87" s="1466"/>
      <c r="AQ87" s="1466"/>
      <c r="AW87" s="1468"/>
      <c r="BB87" s="1468"/>
    </row>
    <row r="88" spans="1:54" s="1467" customFormat="1" hidden="1" x14ac:dyDescent="0.2">
      <c r="A88" s="1463"/>
      <c r="B88" s="1463"/>
      <c r="C88" s="1463"/>
      <c r="D88" s="1463"/>
      <c r="E88" s="1463"/>
      <c r="F88" s="1463"/>
      <c r="G88" s="1463"/>
      <c r="H88" s="1463"/>
      <c r="I88" s="1463"/>
      <c r="J88" s="1463"/>
      <c r="K88" s="1463"/>
      <c r="L88" s="1463"/>
      <c r="M88" s="1463"/>
      <c r="N88" s="1463"/>
      <c r="O88" s="1463"/>
      <c r="P88" s="1463"/>
      <c r="Q88" s="1463"/>
      <c r="R88" s="1463"/>
      <c r="S88" s="1463"/>
      <c r="T88" s="1463"/>
      <c r="U88" s="1463"/>
      <c r="V88" s="1463"/>
      <c r="W88" s="1463"/>
      <c r="X88" s="1463"/>
      <c r="Y88" s="1463"/>
      <c r="Z88" s="1463"/>
      <c r="AA88" s="1463"/>
      <c r="AB88" s="1463"/>
      <c r="AC88" s="1463"/>
      <c r="AD88" s="1463"/>
      <c r="AE88" s="1463"/>
      <c r="AF88" s="1464"/>
      <c r="AG88" s="1465"/>
      <c r="AH88" s="1465"/>
      <c r="AI88" s="1465"/>
      <c r="AJ88" s="1465"/>
      <c r="AK88" s="1465"/>
      <c r="AL88" s="1465"/>
      <c r="AM88" s="1465"/>
      <c r="AN88" s="1466"/>
      <c r="AO88" s="1466"/>
      <c r="AP88" s="1466"/>
      <c r="AQ88" s="1466"/>
      <c r="AW88" s="1468"/>
      <c r="BB88" s="1468"/>
    </row>
    <row r="89" spans="1:54" s="1452" customFormat="1" x14ac:dyDescent="0.2">
      <c r="A89" s="1469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1469"/>
      <c r="C89" s="1469"/>
      <c r="D89" s="1469"/>
      <c r="E89" s="1469"/>
      <c r="F89" s="1469"/>
      <c r="G89" s="1469"/>
      <c r="H89" s="1469"/>
      <c r="I89" s="1469"/>
      <c r="J89" s="1469"/>
      <c r="K89" s="1469"/>
      <c r="L89" s="1469"/>
      <c r="M89" s="1469"/>
      <c r="N89" s="1469"/>
      <c r="O89" s="1469"/>
      <c r="P89" s="1469"/>
      <c r="Q89" s="1469"/>
      <c r="R89" s="1469"/>
      <c r="S89" s="1469"/>
      <c r="T89" s="1469"/>
      <c r="U89" s="1469"/>
      <c r="V89" s="1469"/>
      <c r="W89" s="1469"/>
      <c r="X89" s="1469"/>
      <c r="Y89" s="1469"/>
      <c r="Z89" s="1469"/>
      <c r="AA89" s="1469"/>
      <c r="AB89" s="1469"/>
      <c r="AC89" s="1469"/>
      <c r="AD89" s="1469"/>
      <c r="AE89" s="1469"/>
      <c r="AF89" s="1469"/>
      <c r="AG89" s="1469"/>
      <c r="AH89" s="1469"/>
      <c r="AI89" s="1469"/>
      <c r="AJ89" s="1469"/>
      <c r="AK89" s="1469"/>
      <c r="AL89" s="1469"/>
      <c r="AM89" s="1469"/>
      <c r="AN89" s="1470"/>
      <c r="AO89" s="1470"/>
      <c r="AP89" s="1470"/>
      <c r="AQ89" s="1470"/>
      <c r="AW89" s="1455"/>
    </row>
    <row r="90" spans="1:54" s="1452" customFormat="1" ht="13.5" thickBot="1" x14ac:dyDescent="0.25">
      <c r="A90" s="1471"/>
      <c r="B90" s="1471"/>
      <c r="C90" s="1471"/>
      <c r="D90" s="1471"/>
      <c r="E90" s="1471"/>
      <c r="F90" s="1471"/>
      <c r="G90" s="1471"/>
      <c r="H90" s="1471"/>
      <c r="I90" s="1471"/>
      <c r="J90" s="1471"/>
      <c r="K90" s="1471"/>
      <c r="L90" s="1471"/>
      <c r="M90" s="1471"/>
      <c r="N90" s="1471"/>
      <c r="O90" s="1471"/>
      <c r="P90" s="1471"/>
      <c r="Q90" s="1471"/>
      <c r="R90" s="1471"/>
      <c r="S90" s="1471"/>
      <c r="T90" s="1471"/>
      <c r="U90" s="1471"/>
      <c r="V90" s="1471"/>
      <c r="W90" s="1471"/>
      <c r="X90" s="1471"/>
      <c r="Y90" s="1471"/>
      <c r="Z90" s="1471"/>
      <c r="AA90" s="1471"/>
      <c r="AB90" s="1471"/>
      <c r="AC90" s="1471"/>
      <c r="AD90" s="1471"/>
      <c r="AE90" s="1471"/>
      <c r="AF90" s="1471"/>
      <c r="AG90" s="1471"/>
      <c r="AH90" s="1471"/>
      <c r="AI90" s="1471"/>
      <c r="AJ90" s="1471"/>
      <c r="AK90" s="1471"/>
      <c r="AL90" s="1471"/>
      <c r="AM90" s="1471"/>
      <c r="AN90" s="1471"/>
      <c r="AO90" s="1471"/>
      <c r="AP90" s="1471"/>
      <c r="AQ90" s="1471"/>
      <c r="AW90" s="1455"/>
    </row>
    <row r="91" spans="1:54" ht="24" customHeight="1" thickBot="1" x14ac:dyDescent="0.25">
      <c r="A91" s="1309" t="s">
        <v>33</v>
      </c>
      <c r="B91" s="1310" t="s">
        <v>117</v>
      </c>
      <c r="C91" s="1311" t="s">
        <v>35</v>
      </c>
      <c r="D91" s="1312"/>
      <c r="E91" s="1312"/>
      <c r="F91" s="1312"/>
      <c r="G91" s="1312"/>
      <c r="H91" s="1313"/>
      <c r="I91" s="1314">
        <v>2</v>
      </c>
      <c r="J91" s="1315"/>
      <c r="K91" s="1316" t="str">
        <f>"Pool "&amp;B91&amp;" - Round 1 - Court "&amp;I91</f>
        <v>Pool B - Round 1 - Court 2</v>
      </c>
      <c r="L91" s="1317"/>
      <c r="M91" s="1317"/>
      <c r="N91" s="1317"/>
      <c r="O91" s="1317"/>
      <c r="P91" s="1317"/>
      <c r="Q91" s="1317"/>
      <c r="R91" s="1317"/>
      <c r="S91" s="1317"/>
      <c r="T91" s="1317"/>
      <c r="U91" s="1317"/>
      <c r="V91" s="1317"/>
      <c r="W91" s="1317"/>
      <c r="X91" s="1317"/>
      <c r="Y91" s="1317"/>
      <c r="Z91" s="1317"/>
      <c r="AA91" s="1317"/>
      <c r="AB91" s="1317"/>
      <c r="AC91" s="1317"/>
      <c r="AD91" s="1317"/>
      <c r="AE91" s="1317"/>
      <c r="AF91" s="1317"/>
      <c r="AG91" s="1317"/>
      <c r="AH91" s="1317"/>
      <c r="AI91" s="1318"/>
      <c r="AJ91" s="1270"/>
      <c r="AK91" s="1270"/>
      <c r="AL91" s="1270"/>
      <c r="AM91" s="1270"/>
      <c r="AN91" s="1270"/>
      <c r="AO91" s="1270"/>
      <c r="AP91" s="1270"/>
      <c r="AQ91" s="1270"/>
    </row>
    <row r="92" spans="1:54" ht="27" customHeight="1" thickBot="1" x14ac:dyDescent="0.25">
      <c r="A92" s="1319" t="s">
        <v>38</v>
      </c>
      <c r="B92" s="1320" t="s">
        <v>10</v>
      </c>
      <c r="C92" s="1321"/>
      <c r="D92" s="1321"/>
      <c r="E92" s="1321"/>
      <c r="F92" s="1321"/>
      <c r="G92" s="1321"/>
      <c r="H92" s="1321"/>
      <c r="I92" s="1321"/>
      <c r="J92" s="1321"/>
      <c r="K92" s="1321"/>
      <c r="L92" s="1320" t="str">
        <f>IF($AK95=0,"Games Won","Matches Won")</f>
        <v>Games Won</v>
      </c>
      <c r="M92" s="1321"/>
      <c r="N92" s="1321"/>
      <c r="O92" s="1321"/>
      <c r="P92" s="1321"/>
      <c r="Q92" s="1322"/>
      <c r="R92" s="1320" t="str">
        <f>IF($AK95=0,"Games Lost","Matches Lost")</f>
        <v>Games Lost</v>
      </c>
      <c r="S92" s="1323"/>
      <c r="T92" s="1323"/>
      <c r="U92" s="1323"/>
      <c r="V92" s="1324"/>
      <c r="W92" s="1325" t="s">
        <v>39</v>
      </c>
      <c r="X92" s="1326"/>
      <c r="Y92" s="1327"/>
      <c r="Z92" s="1325" t="s">
        <v>40</v>
      </c>
      <c r="AA92" s="1326"/>
      <c r="AB92" s="1327"/>
      <c r="AC92" s="1328" t="s">
        <v>41</v>
      </c>
      <c r="AD92" s="1329"/>
      <c r="AE92" s="1330"/>
      <c r="AF92" s="1331" t="s">
        <v>42</v>
      </c>
      <c r="AG92" s="1332" t="s">
        <v>9</v>
      </c>
      <c r="AH92" s="1333" t="s">
        <v>43</v>
      </c>
      <c r="AI92" s="1334"/>
      <c r="AJ92" s="1335"/>
      <c r="AK92" s="1336">
        <v>2</v>
      </c>
      <c r="AL92" s="1337" t="s">
        <v>44</v>
      </c>
      <c r="AM92" s="1337"/>
      <c r="AN92" s="1337"/>
      <c r="AO92" s="1337"/>
      <c r="AP92" s="1337"/>
      <c r="AQ92" s="1337"/>
      <c r="AR92" s="1338"/>
    </row>
    <row r="93" spans="1:54" ht="18.75" customHeight="1" x14ac:dyDescent="0.2">
      <c r="A93" s="1339" t="str">
        <f>IF($AK94&gt;0,"1","")</f>
        <v>1</v>
      </c>
      <c r="B93" s="1340" t="s">
        <v>10</v>
      </c>
      <c r="C93" s="1341"/>
      <c r="D93" s="1342"/>
      <c r="E93" s="1343" t="str">
        <f>AU4</f>
        <v>Beaufort 15 U</v>
      </c>
      <c r="F93" s="1344"/>
      <c r="G93" s="1344"/>
      <c r="H93" s="1344"/>
      <c r="I93" s="1344"/>
      <c r="J93" s="1344"/>
      <c r="K93" s="1345"/>
      <c r="L93" s="1346">
        <f>IF($AK95=0,AF149,AF131)</f>
        <v>7</v>
      </c>
      <c r="M93" s="1347"/>
      <c r="N93" s="1347"/>
      <c r="O93" s="1347"/>
      <c r="P93" s="1347"/>
      <c r="Q93" s="1322"/>
      <c r="R93" s="1346">
        <f>IF($AK95=0,AG149,AG131)</f>
        <v>1</v>
      </c>
      <c r="S93" s="1347"/>
      <c r="T93" s="1347"/>
      <c r="U93" s="1347"/>
      <c r="V93" s="1347"/>
      <c r="W93" s="1346">
        <f>AQ109</f>
        <v>33</v>
      </c>
      <c r="X93" s="1347"/>
      <c r="Y93" s="1347"/>
      <c r="Z93" s="1348">
        <f>IF(AF143&gt;0,(AQ109/AF143),0)</f>
        <v>0.16336633663366337</v>
      </c>
      <c r="AA93" s="1349"/>
      <c r="AB93" s="1349"/>
      <c r="AC93" s="1350">
        <f>IF(AF157=0,0,(AF149/AF157))</f>
        <v>0.875</v>
      </c>
      <c r="AD93" s="1351"/>
      <c r="AE93" s="1352"/>
      <c r="AF93" s="1353">
        <v>1</v>
      </c>
      <c r="AG93" s="1353">
        <v>1</v>
      </c>
      <c r="AH93" s="1354"/>
      <c r="AI93" s="1355"/>
      <c r="AJ93" s="1335"/>
      <c r="AK93" s="1336">
        <v>10</v>
      </c>
      <c r="AL93" s="1337" t="s">
        <v>47</v>
      </c>
      <c r="AM93" s="1337"/>
      <c r="AN93" s="1337"/>
      <c r="AO93" s="1337"/>
      <c r="AP93" s="1337"/>
      <c r="AQ93" s="1337"/>
      <c r="AR93" s="1338"/>
    </row>
    <row r="94" spans="1:54" ht="18.75" customHeight="1" thickBot="1" x14ac:dyDescent="0.25">
      <c r="A94" s="1356"/>
      <c r="B94" s="1357" t="s">
        <v>11</v>
      </c>
      <c r="C94" s="1358"/>
      <c r="D94" s="1359"/>
      <c r="E94" s="1360" t="str">
        <f>AV4</f>
        <v>fj5beauf1pm</v>
      </c>
      <c r="F94" s="1361"/>
      <c r="G94" s="1361"/>
      <c r="H94" s="1361"/>
      <c r="I94" s="1361"/>
      <c r="J94" s="1361"/>
      <c r="K94" s="1361"/>
      <c r="L94" s="1362"/>
      <c r="M94" s="1363"/>
      <c r="N94" s="1363"/>
      <c r="O94" s="1363"/>
      <c r="P94" s="1363"/>
      <c r="Q94" s="1322"/>
      <c r="R94" s="1362"/>
      <c r="S94" s="1363"/>
      <c r="T94" s="1363"/>
      <c r="U94" s="1363"/>
      <c r="V94" s="1363"/>
      <c r="W94" s="1362"/>
      <c r="X94" s="1363"/>
      <c r="Y94" s="1363"/>
      <c r="Z94" s="1364"/>
      <c r="AA94" s="1365"/>
      <c r="AB94" s="1365"/>
      <c r="AC94" s="1366"/>
      <c r="AD94" s="1367"/>
      <c r="AE94" s="1368"/>
      <c r="AF94" s="1369"/>
      <c r="AG94" s="1369"/>
      <c r="AH94" s="1370"/>
      <c r="AI94" s="1371"/>
      <c r="AJ94" s="1335"/>
      <c r="AK94" s="1336">
        <v>5</v>
      </c>
      <c r="AL94" s="1337" t="s">
        <v>50</v>
      </c>
      <c r="AM94" s="1335"/>
      <c r="AN94" s="1335"/>
      <c r="AO94" s="1335"/>
      <c r="AP94" s="1335"/>
      <c r="AQ94" s="1335"/>
      <c r="AR94" s="1250"/>
    </row>
    <row r="95" spans="1:54" ht="18.75" customHeight="1" x14ac:dyDescent="0.2">
      <c r="A95" s="1339" t="str">
        <f>IF($AK94&gt;1,"2","")</f>
        <v>2</v>
      </c>
      <c r="B95" s="1340" t="s">
        <v>10</v>
      </c>
      <c r="C95" s="1341"/>
      <c r="D95" s="1342"/>
      <c r="E95" s="1343" t="str">
        <f>AU5</f>
        <v>ATown 15 Black</v>
      </c>
      <c r="F95" s="1344"/>
      <c r="G95" s="1344"/>
      <c r="H95" s="1344"/>
      <c r="I95" s="1344"/>
      <c r="J95" s="1344"/>
      <c r="K95" s="1345"/>
      <c r="L95" s="1346">
        <f>IF($AK95=0,AF150,AF132)</f>
        <v>5</v>
      </c>
      <c r="M95" s="1347"/>
      <c r="N95" s="1347"/>
      <c r="O95" s="1347"/>
      <c r="P95" s="1347"/>
      <c r="Q95" s="1322"/>
      <c r="R95" s="1346">
        <f>IF($AK95=0,AG150,AG132)</f>
        <v>3</v>
      </c>
      <c r="S95" s="1347"/>
      <c r="T95" s="1347"/>
      <c r="U95" s="1347"/>
      <c r="V95" s="1347"/>
      <c r="W95" s="1346">
        <f>AQ110</f>
        <v>15</v>
      </c>
      <c r="X95" s="1347"/>
      <c r="Y95" s="1347"/>
      <c r="Z95" s="1348">
        <f>IF(AF144&gt;0,(AQ110/AF144),0)</f>
        <v>7.4999999999999997E-2</v>
      </c>
      <c r="AA95" s="1349"/>
      <c r="AB95" s="1349"/>
      <c r="AC95" s="1350">
        <f>IF(AF158=0,0,(AF150/AF158))</f>
        <v>0.625</v>
      </c>
      <c r="AD95" s="1351"/>
      <c r="AE95" s="1352"/>
      <c r="AF95" s="1353">
        <v>3</v>
      </c>
      <c r="AG95" s="1353">
        <v>2</v>
      </c>
      <c r="AH95" s="1354"/>
      <c r="AI95" s="1355"/>
      <c r="AJ95" s="1335"/>
      <c r="AK95" s="1336">
        <v>0</v>
      </c>
      <c r="AL95" s="1337" t="s">
        <v>53</v>
      </c>
      <c r="AM95" s="1337"/>
      <c r="AN95" s="1337"/>
      <c r="AO95" s="1337"/>
      <c r="AP95" s="1337"/>
      <c r="AQ95" s="1337"/>
      <c r="AR95" s="1338"/>
    </row>
    <row r="96" spans="1:54" ht="18.75" customHeight="1" thickBot="1" x14ac:dyDescent="0.25">
      <c r="A96" s="1356"/>
      <c r="B96" s="1372" t="s">
        <v>11</v>
      </c>
      <c r="C96" s="1373"/>
      <c r="D96" s="1373"/>
      <c r="E96" s="1360" t="str">
        <f>AV5</f>
        <v>fj5atown1pm</v>
      </c>
      <c r="F96" s="1361"/>
      <c r="G96" s="1361"/>
      <c r="H96" s="1361"/>
      <c r="I96" s="1361"/>
      <c r="J96" s="1361"/>
      <c r="K96" s="1361"/>
      <c r="L96" s="1362"/>
      <c r="M96" s="1363"/>
      <c r="N96" s="1363"/>
      <c r="O96" s="1363"/>
      <c r="P96" s="1363"/>
      <c r="Q96" s="1322"/>
      <c r="R96" s="1362"/>
      <c r="S96" s="1363"/>
      <c r="T96" s="1363"/>
      <c r="U96" s="1363"/>
      <c r="V96" s="1363"/>
      <c r="W96" s="1362"/>
      <c r="X96" s="1363"/>
      <c r="Y96" s="1363"/>
      <c r="Z96" s="1364"/>
      <c r="AA96" s="1365"/>
      <c r="AB96" s="1365"/>
      <c r="AC96" s="1366"/>
      <c r="AD96" s="1367"/>
      <c r="AE96" s="1368"/>
      <c r="AF96" s="1369"/>
      <c r="AG96" s="1369"/>
      <c r="AH96" s="1370"/>
      <c r="AI96" s="1371"/>
      <c r="AJ96" s="1335"/>
      <c r="AK96" s="1336">
        <v>1</v>
      </c>
      <c r="AL96" s="1337" t="s">
        <v>56</v>
      </c>
      <c r="AM96" s="1335"/>
      <c r="AN96" s="1335"/>
      <c r="AO96" s="1335"/>
      <c r="AP96" s="1335"/>
      <c r="AQ96" s="1335"/>
      <c r="AR96" s="1250"/>
    </row>
    <row r="97" spans="1:44" ht="18.75" customHeight="1" x14ac:dyDescent="0.2">
      <c r="A97" s="1339" t="str">
        <f>IF($AK94&gt;2,"3","")</f>
        <v>3</v>
      </c>
      <c r="B97" s="1374" t="s">
        <v>10</v>
      </c>
      <c r="C97" s="1375"/>
      <c r="D97" s="1375"/>
      <c r="E97" s="1343" t="str">
        <f>AU8</f>
        <v>SC Midlands 15 Black</v>
      </c>
      <c r="F97" s="1344"/>
      <c r="G97" s="1344"/>
      <c r="H97" s="1344"/>
      <c r="I97" s="1344"/>
      <c r="J97" s="1344"/>
      <c r="K97" s="1345"/>
      <c r="L97" s="1346">
        <f>IF($AK95=0,AF151,AF133)</f>
        <v>0</v>
      </c>
      <c r="M97" s="1347"/>
      <c r="N97" s="1347"/>
      <c r="O97" s="1347"/>
      <c r="P97" s="1347"/>
      <c r="Q97" s="1322"/>
      <c r="R97" s="1346">
        <f>IF($AK95=0,AG151,AG133)</f>
        <v>8</v>
      </c>
      <c r="S97" s="1347"/>
      <c r="T97" s="1347"/>
      <c r="U97" s="1347"/>
      <c r="V97" s="1347"/>
      <c r="W97" s="1346">
        <f>AQ111</f>
        <v>-60</v>
      </c>
      <c r="X97" s="1347"/>
      <c r="Y97" s="1347"/>
      <c r="Z97" s="1348">
        <f>IF(AF145&gt;0,(AQ111/AF145),0)</f>
        <v>-0.3</v>
      </c>
      <c r="AA97" s="1349"/>
      <c r="AB97" s="1349"/>
      <c r="AC97" s="1350">
        <f>IF(AF159=0,0,(AF151/AF159))</f>
        <v>0</v>
      </c>
      <c r="AD97" s="1351"/>
      <c r="AE97" s="1352"/>
      <c r="AF97" s="1353">
        <v>5</v>
      </c>
      <c r="AG97" s="1353">
        <v>1</v>
      </c>
      <c r="AH97" s="1354"/>
      <c r="AI97" s="1355"/>
      <c r="AJ97" s="1376"/>
      <c r="AK97" s="1336">
        <v>8</v>
      </c>
      <c r="AL97" s="1377" t="s">
        <v>59</v>
      </c>
      <c r="AM97" s="1337"/>
      <c r="AN97" s="1337"/>
      <c r="AO97" s="1337"/>
      <c r="AP97" s="1337"/>
      <c r="AQ97" s="1337"/>
      <c r="AR97" s="1338"/>
    </row>
    <row r="98" spans="1:44" ht="18.75" customHeight="1" thickBot="1" x14ac:dyDescent="0.25">
      <c r="A98" s="1356"/>
      <c r="B98" s="1372" t="s">
        <v>11</v>
      </c>
      <c r="C98" s="1373"/>
      <c r="D98" s="1373"/>
      <c r="E98" s="1360" t="str">
        <f>AV8</f>
        <v>fj5scmid3pm</v>
      </c>
      <c r="F98" s="1361"/>
      <c r="G98" s="1361"/>
      <c r="H98" s="1361"/>
      <c r="I98" s="1361"/>
      <c r="J98" s="1361"/>
      <c r="K98" s="1361"/>
      <c r="L98" s="1362"/>
      <c r="M98" s="1363"/>
      <c r="N98" s="1363"/>
      <c r="O98" s="1363"/>
      <c r="P98" s="1363"/>
      <c r="Q98" s="1322"/>
      <c r="R98" s="1362"/>
      <c r="S98" s="1363"/>
      <c r="T98" s="1363"/>
      <c r="U98" s="1363"/>
      <c r="V98" s="1363"/>
      <c r="W98" s="1362"/>
      <c r="X98" s="1363"/>
      <c r="Y98" s="1363"/>
      <c r="Z98" s="1364"/>
      <c r="AA98" s="1365"/>
      <c r="AB98" s="1365"/>
      <c r="AC98" s="1366"/>
      <c r="AD98" s="1367"/>
      <c r="AE98" s="1368"/>
      <c r="AF98" s="1369"/>
      <c r="AG98" s="1369"/>
      <c r="AH98" s="1370"/>
      <c r="AI98" s="1371"/>
      <c r="AJ98" s="1376"/>
      <c r="AK98" s="1381"/>
      <c r="AL98" s="1382"/>
      <c r="AM98" s="1382"/>
      <c r="AN98" s="1382"/>
      <c r="AO98" s="1382"/>
      <c r="AP98" s="1382"/>
      <c r="AQ98" s="1335"/>
      <c r="AR98" s="1250"/>
    </row>
    <row r="99" spans="1:44" ht="18.75" customHeight="1" x14ac:dyDescent="0.2">
      <c r="A99" s="1339" t="str">
        <f>IF($AK94&gt;3,"4","")</f>
        <v>4</v>
      </c>
      <c r="B99" s="1374" t="s">
        <v>10</v>
      </c>
      <c r="C99" s="1375"/>
      <c r="D99" s="1375"/>
      <c r="E99" s="1343" t="str">
        <f>AU9</f>
        <v>Chas Jrs 15 Blue</v>
      </c>
      <c r="F99" s="1344"/>
      <c r="G99" s="1344"/>
      <c r="H99" s="1344"/>
      <c r="I99" s="1344"/>
      <c r="J99" s="1344"/>
      <c r="K99" s="1345"/>
      <c r="L99" s="1346">
        <f>IF($AK95=0,AF152,AF134)</f>
        <v>3</v>
      </c>
      <c r="M99" s="1347"/>
      <c r="N99" s="1347"/>
      <c r="O99" s="1347"/>
      <c r="P99" s="1347"/>
      <c r="Q99" s="1322"/>
      <c r="R99" s="1346">
        <f>IF($AK95=0,AG152,AG134)</f>
        <v>5</v>
      </c>
      <c r="S99" s="1347"/>
      <c r="T99" s="1347"/>
      <c r="U99" s="1347"/>
      <c r="V99" s="1347"/>
      <c r="W99" s="1346">
        <f>AQ112</f>
        <v>-3</v>
      </c>
      <c r="X99" s="1347"/>
      <c r="Y99" s="1347"/>
      <c r="Z99" s="1348">
        <f>IF(AF146&gt;0,(AQ112/AF146),0)</f>
        <v>-1.4851485148514851E-2</v>
      </c>
      <c r="AA99" s="1349"/>
      <c r="AB99" s="1349"/>
      <c r="AC99" s="1350">
        <f>IF(AF160=0,0,(AF152/AF160))</f>
        <v>0.375</v>
      </c>
      <c r="AD99" s="1351"/>
      <c r="AE99" s="1352"/>
      <c r="AF99" s="1353">
        <v>4</v>
      </c>
      <c r="AG99" s="1353">
        <v>1</v>
      </c>
      <c r="AH99" s="1354"/>
      <c r="AI99" s="1355"/>
      <c r="AJ99" s="1270"/>
      <c r="AK99" s="1382"/>
      <c r="AL99" s="1382"/>
      <c r="AM99" s="1382"/>
      <c r="AN99" s="1382"/>
      <c r="AO99" s="1382"/>
      <c r="AP99" s="1382"/>
      <c r="AQ99" s="1337"/>
      <c r="AR99" s="1338"/>
    </row>
    <row r="100" spans="1:44" ht="18.75" customHeight="1" thickBot="1" x14ac:dyDescent="0.25">
      <c r="A100" s="1356"/>
      <c r="B100" s="1372" t="s">
        <v>11</v>
      </c>
      <c r="C100" s="1373"/>
      <c r="D100" s="1373"/>
      <c r="E100" s="1360" t="str">
        <f>AV9</f>
        <v>fj5charl2pm</v>
      </c>
      <c r="F100" s="1361"/>
      <c r="G100" s="1361"/>
      <c r="H100" s="1361"/>
      <c r="I100" s="1361"/>
      <c r="J100" s="1361"/>
      <c r="K100" s="1361"/>
      <c r="L100" s="1362"/>
      <c r="M100" s="1363"/>
      <c r="N100" s="1363"/>
      <c r="O100" s="1363"/>
      <c r="P100" s="1363"/>
      <c r="Q100" s="1322"/>
      <c r="R100" s="1362"/>
      <c r="S100" s="1363"/>
      <c r="T100" s="1363"/>
      <c r="U100" s="1363"/>
      <c r="V100" s="1363"/>
      <c r="W100" s="1362"/>
      <c r="X100" s="1363"/>
      <c r="Y100" s="1363"/>
      <c r="Z100" s="1364"/>
      <c r="AA100" s="1365"/>
      <c r="AB100" s="1365"/>
      <c r="AC100" s="1366"/>
      <c r="AD100" s="1367"/>
      <c r="AE100" s="1368"/>
      <c r="AF100" s="1369"/>
      <c r="AG100" s="1369"/>
      <c r="AH100" s="1370"/>
      <c r="AI100" s="1371"/>
      <c r="AJ100" s="1270"/>
      <c r="AK100" s="1382"/>
      <c r="AL100" s="1382"/>
      <c r="AM100" s="1382"/>
      <c r="AN100" s="1382"/>
      <c r="AO100" s="1382"/>
      <c r="AP100" s="1382"/>
      <c r="AQ100" s="1270"/>
      <c r="AR100" s="1250"/>
    </row>
    <row r="101" spans="1:44" ht="18.75" customHeight="1" x14ac:dyDescent="0.2">
      <c r="A101" s="1339" t="str">
        <f>IF($AK94&gt;4,"5","")</f>
        <v>5</v>
      </c>
      <c r="B101" s="1374" t="s">
        <v>10</v>
      </c>
      <c r="C101" s="1375"/>
      <c r="D101" s="1375"/>
      <c r="E101" s="1343" t="str">
        <f>AU12</f>
        <v>Foothills 15 CJ</v>
      </c>
      <c r="F101" s="1344"/>
      <c r="G101" s="1344"/>
      <c r="H101" s="1344"/>
      <c r="I101" s="1344"/>
      <c r="J101" s="1344"/>
      <c r="K101" s="1345"/>
      <c r="L101" s="1346">
        <f>IF($AK95=0,AF153,AF135)</f>
        <v>5</v>
      </c>
      <c r="M101" s="1347"/>
      <c r="N101" s="1347"/>
      <c r="O101" s="1347"/>
      <c r="P101" s="1347"/>
      <c r="Q101" s="1322"/>
      <c r="R101" s="1346">
        <f>IF($AK95=0,AG153,AG135)</f>
        <v>3</v>
      </c>
      <c r="S101" s="1347"/>
      <c r="T101" s="1347"/>
      <c r="U101" s="1347"/>
      <c r="V101" s="1347"/>
      <c r="W101" s="1346">
        <f>AQ113</f>
        <v>15</v>
      </c>
      <c r="X101" s="1347"/>
      <c r="Y101" s="1347"/>
      <c r="Z101" s="1348">
        <f>IF(AF147&gt;0,(AQ113/AF147),0)</f>
        <v>7.4999999999999997E-2</v>
      </c>
      <c r="AA101" s="1349"/>
      <c r="AB101" s="1349"/>
      <c r="AC101" s="1350">
        <f>IF(AF161=0,0,(AF153/AF161))</f>
        <v>0.625</v>
      </c>
      <c r="AD101" s="1351"/>
      <c r="AE101" s="1352"/>
      <c r="AF101" s="1353">
        <v>2</v>
      </c>
      <c r="AG101" s="1353">
        <v>2</v>
      </c>
      <c r="AH101" s="1354"/>
      <c r="AI101" s="1355"/>
      <c r="AJ101" s="1270"/>
      <c r="AK101" s="1382"/>
      <c r="AL101" s="1382"/>
      <c r="AM101" s="1382"/>
      <c r="AN101" s="1382"/>
      <c r="AO101" s="1382"/>
      <c r="AP101" s="1382"/>
      <c r="AQ101" s="1270"/>
      <c r="AR101" s="1250"/>
    </row>
    <row r="102" spans="1:44" ht="18.75" customHeight="1" thickBot="1" x14ac:dyDescent="0.25">
      <c r="A102" s="1356"/>
      <c r="B102" s="1391" t="s">
        <v>11</v>
      </c>
      <c r="C102" s="1392"/>
      <c r="D102" s="1392"/>
      <c r="E102" s="1393" t="str">
        <f>AV12</f>
        <v>fj5footh1pm</v>
      </c>
      <c r="F102" s="1394"/>
      <c r="G102" s="1394"/>
      <c r="H102" s="1394"/>
      <c r="I102" s="1394"/>
      <c r="J102" s="1394"/>
      <c r="K102" s="1394"/>
      <c r="L102" s="1395"/>
      <c r="M102" s="1396"/>
      <c r="N102" s="1396"/>
      <c r="O102" s="1396"/>
      <c r="P102" s="1396"/>
      <c r="Q102" s="1322"/>
      <c r="R102" s="1395"/>
      <c r="S102" s="1396"/>
      <c r="T102" s="1396"/>
      <c r="U102" s="1396"/>
      <c r="V102" s="1396"/>
      <c r="W102" s="1395"/>
      <c r="X102" s="1396"/>
      <c r="Y102" s="1396"/>
      <c r="Z102" s="1397"/>
      <c r="AA102" s="1398"/>
      <c r="AB102" s="1398"/>
      <c r="AC102" s="1399"/>
      <c r="AD102" s="1400"/>
      <c r="AE102" s="1401"/>
      <c r="AF102" s="1402"/>
      <c r="AG102" s="1402"/>
      <c r="AH102" s="1403"/>
      <c r="AI102" s="1404"/>
      <c r="AJ102" s="1270"/>
      <c r="AK102" s="1382"/>
      <c r="AL102" s="1382"/>
      <c r="AM102" s="1382"/>
      <c r="AN102" s="1382"/>
      <c r="AO102" s="1382"/>
      <c r="AP102" s="1382"/>
      <c r="AQ102" s="1270"/>
      <c r="AR102" s="1250"/>
    </row>
    <row r="103" spans="1:44" ht="21" customHeight="1" thickTop="1" thickBot="1" x14ac:dyDescent="0.25">
      <c r="A103" s="1405"/>
      <c r="B103" s="1406" t="s">
        <v>63</v>
      </c>
      <c r="C103" s="1407"/>
      <c r="D103" s="1407"/>
      <c r="E103" s="1407"/>
      <c r="F103" s="1407"/>
      <c r="G103" s="1407"/>
      <c r="H103" s="1407"/>
      <c r="I103" s="1407"/>
      <c r="J103" s="1407"/>
      <c r="K103" s="1407"/>
      <c r="L103" s="1407"/>
      <c r="M103" s="1407"/>
      <c r="N103" s="1407"/>
      <c r="O103" s="1407"/>
      <c r="P103" s="1407"/>
      <c r="Q103" s="1407"/>
      <c r="R103" s="1407"/>
      <c r="S103" s="1407"/>
      <c r="T103" s="1407"/>
      <c r="U103" s="1407"/>
      <c r="V103" s="1407"/>
      <c r="W103" s="1407"/>
      <c r="X103" s="1407"/>
      <c r="Y103" s="1407"/>
      <c r="Z103" s="1407"/>
      <c r="AA103" s="1407"/>
      <c r="AB103" s="1407"/>
      <c r="AC103" s="1407"/>
      <c r="AD103" s="1407"/>
      <c r="AE103" s="1407"/>
      <c r="AF103" s="1407"/>
      <c r="AG103" s="1407"/>
      <c r="AH103" s="1407"/>
      <c r="AI103" s="1408"/>
      <c r="AJ103" s="1270"/>
      <c r="AK103" s="1382"/>
      <c r="AL103" s="1382"/>
      <c r="AM103" s="1382"/>
      <c r="AN103" s="1382"/>
      <c r="AO103" s="1382"/>
      <c r="AP103" s="1382"/>
      <c r="AQ103" s="1270"/>
      <c r="AR103" s="1250"/>
    </row>
    <row r="104" spans="1:44" ht="13.5" thickTop="1" x14ac:dyDescent="0.2">
      <c r="A104" s="1251" t="s">
        <v>64</v>
      </c>
      <c r="B104" s="1409">
        <v>0.35416666666666669</v>
      </c>
      <c r="C104" s="1410"/>
      <c r="D104" s="1411"/>
      <c r="E104" s="1409">
        <v>0.38541666666666669</v>
      </c>
      <c r="F104" s="1410"/>
      <c r="G104" s="1411"/>
      <c r="H104" s="1409">
        <v>0.41666666666666669</v>
      </c>
      <c r="I104" s="1410"/>
      <c r="J104" s="1411"/>
      <c r="K104" s="1409">
        <v>0.44791666666666669</v>
      </c>
      <c r="L104" s="1410"/>
      <c r="M104" s="1411"/>
      <c r="N104" s="1409">
        <v>0.47916666666666669</v>
      </c>
      <c r="O104" s="1410"/>
      <c r="P104" s="1411"/>
      <c r="Q104" s="1409">
        <v>0.51041666666666663</v>
      </c>
      <c r="R104" s="1410"/>
      <c r="S104" s="1411"/>
      <c r="T104" s="1409">
        <v>4.1666666666666664E-2</v>
      </c>
      <c r="U104" s="1410"/>
      <c r="V104" s="1411"/>
      <c r="W104" s="1409">
        <v>7.2916666666666671E-2</v>
      </c>
      <c r="X104" s="1410"/>
      <c r="Y104" s="1411"/>
      <c r="Z104" s="1409">
        <v>0.10416666666666667</v>
      </c>
      <c r="AA104" s="1410"/>
      <c r="AB104" s="1411"/>
      <c r="AC104" s="1409">
        <v>0.13541666666666666</v>
      </c>
      <c r="AD104" s="1410"/>
      <c r="AE104" s="1411"/>
      <c r="AF104" s="1412" t="s">
        <v>65</v>
      </c>
      <c r="AG104" s="1413"/>
      <c r="AH104" s="1413"/>
      <c r="AI104" s="1413"/>
      <c r="AJ104" s="1414"/>
      <c r="AK104" s="1414"/>
      <c r="AL104" s="1414"/>
      <c r="AM104" s="1414"/>
      <c r="AN104" s="1414"/>
      <c r="AO104" s="1414"/>
      <c r="AP104" s="1414"/>
      <c r="AQ104" s="1415"/>
    </row>
    <row r="105" spans="1:44" x14ac:dyDescent="0.2">
      <c r="A105" s="1416" t="s">
        <v>66</v>
      </c>
      <c r="B105" s="1417">
        <v>0.35486111111111113</v>
      </c>
      <c r="C105" s="1418"/>
      <c r="D105" s="1419"/>
      <c r="E105" s="1417">
        <v>0.39305555555555555</v>
      </c>
      <c r="F105" s="1418"/>
      <c r="G105" s="1419"/>
      <c r="H105" s="1417">
        <v>0.4236111111111111</v>
      </c>
      <c r="I105" s="1418"/>
      <c r="J105" s="1419"/>
      <c r="K105" s="1417">
        <v>0.4604166666666667</v>
      </c>
      <c r="L105" s="1418"/>
      <c r="M105" s="1419"/>
      <c r="N105" s="1417">
        <v>0.49652777777777773</v>
      </c>
      <c r="O105" s="1418"/>
      <c r="P105" s="1419"/>
      <c r="Q105" s="1417">
        <v>0.52847222222222223</v>
      </c>
      <c r="R105" s="1418"/>
      <c r="S105" s="1419"/>
      <c r="T105" s="1417">
        <v>6.25E-2</v>
      </c>
      <c r="U105" s="1418"/>
      <c r="V105" s="1419"/>
      <c r="W105" s="1417">
        <v>9.6527777777777768E-2</v>
      </c>
      <c r="X105" s="1418"/>
      <c r="Y105" s="1419"/>
      <c r="Z105" s="1417">
        <v>0.13472222222222222</v>
      </c>
      <c r="AA105" s="1418"/>
      <c r="AB105" s="1419"/>
      <c r="AC105" s="1417">
        <v>0.16666666666666666</v>
      </c>
      <c r="AD105" s="1418"/>
      <c r="AE105" s="1419"/>
      <c r="AF105" s="1412"/>
      <c r="AG105" s="1413"/>
      <c r="AH105" s="1413"/>
      <c r="AI105" s="1413"/>
      <c r="AJ105" s="1413"/>
      <c r="AK105" s="1413"/>
      <c r="AL105" s="1413"/>
      <c r="AM105" s="1413"/>
      <c r="AN105" s="1413"/>
      <c r="AO105" s="1413"/>
      <c r="AP105" s="1413"/>
      <c r="AQ105" s="1420"/>
    </row>
    <row r="106" spans="1:44" ht="15" x14ac:dyDescent="0.25">
      <c r="A106" s="1416" t="s">
        <v>67</v>
      </c>
      <c r="B106" s="1472" t="s">
        <v>1159</v>
      </c>
      <c r="C106" s="1418"/>
      <c r="D106" s="1419"/>
      <c r="E106" s="1417">
        <v>0.41666666666666669</v>
      </c>
      <c r="F106" s="1418"/>
      <c r="G106" s="1419"/>
      <c r="H106" s="1417">
        <v>0.45069444444444445</v>
      </c>
      <c r="I106" s="1418"/>
      <c r="J106" s="1419"/>
      <c r="K106" s="1417">
        <v>0.49027777777777781</v>
      </c>
      <c r="L106" s="1418"/>
      <c r="M106" s="1419"/>
      <c r="N106" s="1417">
        <v>0.52083333333333337</v>
      </c>
      <c r="O106" s="1418"/>
      <c r="P106" s="1419"/>
      <c r="Q106" s="1417">
        <v>5.486111111111111E-2</v>
      </c>
      <c r="R106" s="1418"/>
      <c r="S106" s="1419"/>
      <c r="T106" s="1417">
        <v>9.0277777777777776E-2</v>
      </c>
      <c r="U106" s="1418"/>
      <c r="V106" s="1419"/>
      <c r="W106" s="1417">
        <v>0.125</v>
      </c>
      <c r="X106" s="1418"/>
      <c r="Y106" s="1419"/>
      <c r="Z106" s="1417">
        <v>0.15972222222222224</v>
      </c>
      <c r="AA106" s="1418"/>
      <c r="AB106" s="1419"/>
      <c r="AC106" s="1417"/>
      <c r="AD106" s="1418"/>
      <c r="AE106" s="1419"/>
      <c r="AF106" s="1412"/>
      <c r="AG106" s="1413"/>
      <c r="AH106" s="1413"/>
      <c r="AI106" s="1413"/>
      <c r="AJ106" s="1413"/>
      <c r="AK106" s="1413"/>
      <c r="AL106" s="1413"/>
      <c r="AM106" s="1413"/>
      <c r="AN106" s="1413"/>
      <c r="AO106" s="1413"/>
      <c r="AP106" s="1413"/>
      <c r="AQ106" s="1420"/>
    </row>
    <row r="107" spans="1:44" ht="13.5" thickBot="1" x14ac:dyDescent="0.25">
      <c r="A107" s="1270"/>
      <c r="B107" s="1421" t="s">
        <v>68</v>
      </c>
      <c r="C107" s="1422"/>
      <c r="D107" s="1423"/>
      <c r="E107" s="1421" t="str">
        <f>IF(AK93&gt;1,"Match 2","")</f>
        <v>Match 2</v>
      </c>
      <c r="F107" s="1422"/>
      <c r="G107" s="1423"/>
      <c r="H107" s="1421" t="str">
        <f>IF(AK93&gt;2,"Match 3","")</f>
        <v>Match 3</v>
      </c>
      <c r="I107" s="1422"/>
      <c r="J107" s="1423"/>
      <c r="K107" s="1421" t="str">
        <f>IF(AK93&gt;3,"Match 4","")</f>
        <v>Match 4</v>
      </c>
      <c r="L107" s="1422"/>
      <c r="M107" s="1423"/>
      <c r="N107" s="1421" t="str">
        <f>IF(AK93&gt;4,"Match 5","")</f>
        <v>Match 5</v>
      </c>
      <c r="O107" s="1422"/>
      <c r="P107" s="1423"/>
      <c r="Q107" s="1421" t="str">
        <f>IF(AK93&gt;5,"Match 6","")</f>
        <v>Match 6</v>
      </c>
      <c r="R107" s="1422"/>
      <c r="S107" s="1423"/>
      <c r="T107" s="1421" t="str">
        <f>IF(AK93&gt;6,"Match 7","")</f>
        <v>Match 7</v>
      </c>
      <c r="U107" s="1422"/>
      <c r="V107" s="1423"/>
      <c r="W107" s="1421" t="str">
        <f>IF(AK93&gt;7,"Match 8","")</f>
        <v>Match 8</v>
      </c>
      <c r="X107" s="1422"/>
      <c r="Y107" s="1423"/>
      <c r="Z107" s="1421" t="str">
        <f>IF(AK93&gt;8,"Match 9","")</f>
        <v>Match 9</v>
      </c>
      <c r="AA107" s="1422"/>
      <c r="AB107" s="1423"/>
      <c r="AC107" s="1421" t="str">
        <f>IF(AK93&gt;9,"Match 10","")</f>
        <v>Match 10</v>
      </c>
      <c r="AD107" s="1422"/>
      <c r="AE107" s="1423"/>
      <c r="AF107" s="1424"/>
      <c r="AG107" s="1425"/>
      <c r="AH107" s="1425"/>
      <c r="AI107" s="1425"/>
      <c r="AJ107" s="1425"/>
      <c r="AK107" s="1425"/>
      <c r="AL107" s="1425"/>
      <c r="AM107" s="1425"/>
      <c r="AN107" s="1425"/>
      <c r="AO107" s="1425"/>
      <c r="AP107" s="1425"/>
      <c r="AQ107" s="1426"/>
    </row>
    <row r="108" spans="1:44" ht="15.75" x14ac:dyDescent="0.25">
      <c r="A108" s="1270"/>
      <c r="B108" s="1427" t="s">
        <v>69</v>
      </c>
      <c r="C108" s="1428"/>
      <c r="D108" s="1429"/>
      <c r="E108" s="1427" t="s">
        <v>70</v>
      </c>
      <c r="F108" s="1428"/>
      <c r="G108" s="1429"/>
      <c r="H108" s="1427" t="s">
        <v>71</v>
      </c>
      <c r="I108" s="1428"/>
      <c r="J108" s="1429"/>
      <c r="K108" s="1427" t="s">
        <v>72</v>
      </c>
      <c r="L108" s="1428"/>
      <c r="M108" s="1429"/>
      <c r="N108" s="1427" t="s">
        <v>73</v>
      </c>
      <c r="O108" s="1428"/>
      <c r="P108" s="1429"/>
      <c r="Q108" s="1427" t="s">
        <v>71</v>
      </c>
      <c r="R108" s="1428"/>
      <c r="S108" s="1429"/>
      <c r="T108" s="1427" t="s">
        <v>69</v>
      </c>
      <c r="U108" s="1428"/>
      <c r="V108" s="1429"/>
      <c r="W108" s="1427" t="s">
        <v>73</v>
      </c>
      <c r="X108" s="1428"/>
      <c r="Y108" s="1429"/>
      <c r="Z108" s="1427" t="s">
        <v>72</v>
      </c>
      <c r="AA108" s="1428"/>
      <c r="AB108" s="1429"/>
      <c r="AC108" s="1427" t="s">
        <v>70</v>
      </c>
      <c r="AD108" s="1428"/>
      <c r="AE108" s="1429"/>
      <c r="AF108" s="1430" t="s">
        <v>74</v>
      </c>
      <c r="AG108" s="1431">
        <v>1</v>
      </c>
      <c r="AH108" s="1431">
        <v>2</v>
      </c>
      <c r="AI108" s="1431">
        <v>3</v>
      </c>
      <c r="AJ108" s="1431">
        <v>4</v>
      </c>
      <c r="AK108" s="1431">
        <v>5</v>
      </c>
      <c r="AL108" s="1431">
        <v>6</v>
      </c>
      <c r="AM108" s="1431">
        <v>7</v>
      </c>
      <c r="AN108" s="1431">
        <v>8</v>
      </c>
      <c r="AO108" s="1431">
        <v>9</v>
      </c>
      <c r="AP108" s="1431">
        <v>10</v>
      </c>
      <c r="AQ108" s="1432" t="s">
        <v>75</v>
      </c>
    </row>
    <row r="109" spans="1:44" ht="15.75" x14ac:dyDescent="0.25">
      <c r="A109" s="1270"/>
      <c r="B109" s="1433">
        <v>2</v>
      </c>
      <c r="C109" s="1434" t="s">
        <v>76</v>
      </c>
      <c r="D109" s="1435">
        <v>5</v>
      </c>
      <c r="E109" s="1433">
        <v>1</v>
      </c>
      <c r="F109" s="1434" t="str">
        <f>IF(AK93&gt;1,"v","")</f>
        <v>v</v>
      </c>
      <c r="G109" s="1435">
        <v>4</v>
      </c>
      <c r="H109" s="1433">
        <v>3</v>
      </c>
      <c r="I109" s="1434" t="str">
        <f>IF(AK93&gt;2,"v","")</f>
        <v>v</v>
      </c>
      <c r="J109" s="1435">
        <v>5</v>
      </c>
      <c r="K109" s="1433">
        <v>2</v>
      </c>
      <c r="L109" s="1434" t="str">
        <f>IF(AK93&gt;3,"v","")</f>
        <v>v</v>
      </c>
      <c r="M109" s="1435">
        <v>4</v>
      </c>
      <c r="N109" s="1433">
        <v>1</v>
      </c>
      <c r="O109" s="1434" t="str">
        <f>IF(AK93&gt;4,"v","")</f>
        <v>v</v>
      </c>
      <c r="P109" s="1435">
        <v>3</v>
      </c>
      <c r="Q109" s="1433">
        <v>4</v>
      </c>
      <c r="R109" s="1434" t="str">
        <f>IF(AK93&gt;5,"v","")</f>
        <v>v</v>
      </c>
      <c r="S109" s="1435">
        <v>5</v>
      </c>
      <c r="T109" s="1433">
        <v>2</v>
      </c>
      <c r="U109" s="1434" t="str">
        <f>IF(AK93&gt;6,"v","")</f>
        <v>v</v>
      </c>
      <c r="V109" s="1435">
        <v>3</v>
      </c>
      <c r="W109" s="1433">
        <v>1</v>
      </c>
      <c r="X109" s="1434" t="str">
        <f>IF(AK93&gt;7,"v","")</f>
        <v>v</v>
      </c>
      <c r="Y109" s="1435">
        <v>5</v>
      </c>
      <c r="Z109" s="1433">
        <v>3</v>
      </c>
      <c r="AA109" s="1434" t="str">
        <f>IF(AK93&gt;8,"v","")</f>
        <v>v</v>
      </c>
      <c r="AB109" s="1435">
        <v>4</v>
      </c>
      <c r="AC109" s="1433">
        <v>1</v>
      </c>
      <c r="AD109" s="1434" t="str">
        <f>IF(AK93&gt;9,"v","")</f>
        <v>v</v>
      </c>
      <c r="AE109" s="1435">
        <v>2</v>
      </c>
      <c r="AF109" s="1430" t="str">
        <f>IF(AK94&gt;0,"Team 1","")</f>
        <v>Team 1</v>
      </c>
      <c r="AG109" s="1436" t="str">
        <f>IF(AK94&lt;1,"",IF(AK93&lt;1,"",IF(B109=1,B115-D115,IF(D109=1,D115-B115,""))))</f>
        <v/>
      </c>
      <c r="AH109" s="1436">
        <f>IF(AK94&lt;1,"",IF(AK93&lt;2,"",IF(E109=1,E115-G115,IF(G109=1,G115-E115,""))))</f>
        <v>8</v>
      </c>
      <c r="AI109" s="1436" t="str">
        <f>IF(AK94&lt;1,"",IF(AK93&lt;3,"",IF(H109=1,H115-J115,IF(J109=1,J115-H115,""))))</f>
        <v/>
      </c>
      <c r="AJ109" s="1436" t="str">
        <f>IF(AK94&lt;1,"",IF(AK93&lt;4,"",IF(K109=1,K115-M115,IF(M109=1,M115-K115,""))))</f>
        <v/>
      </c>
      <c r="AK109" s="1436">
        <f>IF(AK94&lt;1,"",IF(AK93&lt;5,"",IF(N109=1,N115-P115,IF(P109=1,P115-N115,""))))</f>
        <v>14</v>
      </c>
      <c r="AL109" s="1436" t="str">
        <f>IF(AK94&lt;1,"",IF(AK93&lt;6,"",IF(Q109=1,Q115-S115,IF(S109=1,S115-Q115,""))))</f>
        <v/>
      </c>
      <c r="AM109" s="1436" t="str">
        <f>IF(AK94&lt;1,"",IF(AK93&lt;7,"",IF(T109=1,T115-V115,IF(V109=1,V115-T115,""))))</f>
        <v/>
      </c>
      <c r="AN109" s="1436">
        <f>IF(AK94&lt;1,"",IF(AK93&lt;8,"",IF(W109=1,W115-Y115,IF(Y109=1,Y115-W115,""))))</f>
        <v>7</v>
      </c>
      <c r="AO109" s="1436" t="str">
        <f>IF(AK94&lt;1,"",IF(AK93&lt;9,"",IF(Z109=1,Z115-AB115,IF(AB109=1,AB115-Z115,""))))</f>
        <v/>
      </c>
      <c r="AP109" s="1436">
        <f>IF(AK94&lt;1,"",IF(AK93&lt;10,"",IF(AC109=1,AC115-AE115,IF(AE109=1,AE115-AC115,""))))</f>
        <v>4</v>
      </c>
      <c r="AQ109" s="1432">
        <f>SUM(AG109:AP109)</f>
        <v>33</v>
      </c>
    </row>
    <row r="110" spans="1:44" ht="15" x14ac:dyDescent="0.2">
      <c r="A110" s="1251" t="s">
        <v>77</v>
      </c>
      <c r="B110" s="1437">
        <v>22</v>
      </c>
      <c r="C110" s="1438" t="s">
        <v>78</v>
      </c>
      <c r="D110" s="1439">
        <v>25</v>
      </c>
      <c r="E110" s="1437">
        <v>25</v>
      </c>
      <c r="F110" s="1438" t="str">
        <f>IF(AK93&gt;1,"/","")</f>
        <v>/</v>
      </c>
      <c r="G110" s="1439">
        <v>18</v>
      </c>
      <c r="H110" s="1437">
        <v>19</v>
      </c>
      <c r="I110" s="1438" t="str">
        <f>IF(AK93&gt;2,"/","")</f>
        <v>/</v>
      </c>
      <c r="J110" s="1439">
        <v>25</v>
      </c>
      <c r="K110" s="1437">
        <v>25</v>
      </c>
      <c r="L110" s="1438" t="str">
        <f>IF(AK93&gt;3,"/","")</f>
        <v>/</v>
      </c>
      <c r="M110" s="1439">
        <v>23</v>
      </c>
      <c r="N110" s="1437">
        <v>25</v>
      </c>
      <c r="O110" s="1438" t="str">
        <f>IF(AK93&gt;4,"/","")</f>
        <v>/</v>
      </c>
      <c r="P110" s="1439">
        <v>20</v>
      </c>
      <c r="Q110" s="1437">
        <v>19</v>
      </c>
      <c r="R110" s="1438" t="str">
        <f>IF(AK93&gt;5,"/","")</f>
        <v>/</v>
      </c>
      <c r="S110" s="1439">
        <v>25</v>
      </c>
      <c r="T110" s="1437">
        <v>25</v>
      </c>
      <c r="U110" s="1438" t="str">
        <f>IF(AK93&gt;6,"/","")</f>
        <v>/</v>
      </c>
      <c r="V110" s="1439">
        <v>15</v>
      </c>
      <c r="W110" s="1437">
        <v>25</v>
      </c>
      <c r="X110" s="1438" t="str">
        <f>IF(AK93&gt;7,"/","")</f>
        <v>/</v>
      </c>
      <c r="Y110" s="1439">
        <v>22</v>
      </c>
      <c r="Z110" s="1437">
        <v>16</v>
      </c>
      <c r="AA110" s="1438" t="str">
        <f>IF(AK93&gt;8,"/","")</f>
        <v>/</v>
      </c>
      <c r="AB110" s="1439">
        <v>25</v>
      </c>
      <c r="AC110" s="1437">
        <v>23</v>
      </c>
      <c r="AD110" s="1438" t="str">
        <f>IF(AK93&gt;9,"/","")</f>
        <v>/</v>
      </c>
      <c r="AE110" s="1439">
        <v>25</v>
      </c>
      <c r="AF110" s="1430" t="str">
        <f>IF(AK94&gt;1,"Team 2","")</f>
        <v>Team 2</v>
      </c>
      <c r="AG110" s="1436">
        <f>IF(AK94&lt;2,"",IF(AK93&lt;1,"",IF(B109=2,B115-D115,IF(D109=2,D115-B115,""))))</f>
        <v>-5</v>
      </c>
      <c r="AH110" s="1436" t="str">
        <f>IF(AK94&lt;2,"",IF(AK93&lt;2,"",IF(E109=2,E115-G115,IF(G109=2,G115-E115,""))))</f>
        <v/>
      </c>
      <c r="AI110" s="1436" t="str">
        <f>IF(AK94&lt;2,"",IF(AK93&lt;3,"",IF(H109=2,H115-J115,IF(J109=2,J115-H115,""))))</f>
        <v/>
      </c>
      <c r="AJ110" s="1436">
        <f>IF(AK94&lt;2,"",IF(AK93&lt;4,"",IF(K109=2,K115-M115,IF(M109=2,M115-K115,""))))</f>
        <v>5</v>
      </c>
      <c r="AK110" s="1436" t="str">
        <f>IF(AK94&lt;2,"",IF(AK93&lt;5,"",IF(N109=2,N115-P115,IF(P109=2,P115-N115,""))))</f>
        <v/>
      </c>
      <c r="AL110" s="1436" t="str">
        <f>IF(AK94&lt;2,"",IF(AK93&lt;6,"",IF(Q109=2,Q115-S115,IF(S109=2,S115-Q115,""))))</f>
        <v/>
      </c>
      <c r="AM110" s="1436">
        <f>IF(AK94&lt;2,"",IF(AK93&lt;7,"",IF(T109=2,T115-V115,IF(V109=2,V115-T115,""))))</f>
        <v>19</v>
      </c>
      <c r="AN110" s="1436" t="str">
        <f>IF(AK94&lt;2,"",IF(AK93&lt;8,"",IF(W109=2,W115-Y115,IF(Y109=2,Y115-W115,""))))</f>
        <v/>
      </c>
      <c r="AO110" s="1436" t="str">
        <f>IF(AK94&lt;2,"",IF(AK93&lt;9,"",IF(Z109=2,Z115-AB115,IF(AB109=2,AB115-Z115,""))))</f>
        <v/>
      </c>
      <c r="AP110" s="1436">
        <f>IF(AK94&lt;2,"",IF(AK93&lt;10,"",IF(AC109=2,AC115-AE115,IF(AE109=2,AE115-AC115,""))))</f>
        <v>-4</v>
      </c>
      <c r="AQ110" s="1432">
        <f>SUM(AG110:AP110)</f>
        <v>15</v>
      </c>
    </row>
    <row r="111" spans="1:44" ht="15" x14ac:dyDescent="0.2">
      <c r="A111" s="1250" t="str">
        <f>IF(AK92&gt;1,"Game 2","")</f>
        <v>Game 2</v>
      </c>
      <c r="B111" s="1437">
        <v>23</v>
      </c>
      <c r="C111" s="1438" t="s">
        <v>78</v>
      </c>
      <c r="D111" s="1439">
        <v>25</v>
      </c>
      <c r="E111" s="1437">
        <v>27</v>
      </c>
      <c r="F111" s="1438" t="str">
        <f>IF(AK93&gt;1,IF(AK92&gt;1,"/",""),"")</f>
        <v>/</v>
      </c>
      <c r="G111" s="1439">
        <v>26</v>
      </c>
      <c r="H111" s="1437">
        <v>17</v>
      </c>
      <c r="I111" s="1438" t="str">
        <f>IF(AK93&gt;2,IF(AK92&gt;1,"/",""),"")</f>
        <v>/</v>
      </c>
      <c r="J111" s="1439">
        <v>25</v>
      </c>
      <c r="K111" s="1437">
        <v>25</v>
      </c>
      <c r="L111" s="1438" t="str">
        <f>IF(AK93&gt;3,IF(AK92&gt;1,"/",""),"")</f>
        <v>/</v>
      </c>
      <c r="M111" s="1439">
        <v>22</v>
      </c>
      <c r="N111" s="1437">
        <v>25</v>
      </c>
      <c r="O111" s="1438" t="str">
        <f>IF(AK93&gt;4,IF(AK92&gt;1,"/",""),"")</f>
        <v>/</v>
      </c>
      <c r="P111" s="1439">
        <v>16</v>
      </c>
      <c r="Q111" s="1437">
        <v>25</v>
      </c>
      <c r="R111" s="1438" t="str">
        <f>IF(AK93&gt;5,IF(AK92&gt;1,"/",""),"")</f>
        <v>/</v>
      </c>
      <c r="S111" s="1439">
        <v>22</v>
      </c>
      <c r="T111" s="1437">
        <v>25</v>
      </c>
      <c r="U111" s="1438" t="str">
        <f>IF(AK93&gt;6,IF(AK92&gt;1,"/",""),"")</f>
        <v>/</v>
      </c>
      <c r="V111" s="1439">
        <v>16</v>
      </c>
      <c r="W111" s="1437">
        <v>25</v>
      </c>
      <c r="X111" s="1438" t="str">
        <f>IF(AK93&gt;7,IF(AK92&gt;1,"/",""),"")</f>
        <v>/</v>
      </c>
      <c r="Y111" s="1439">
        <v>21</v>
      </c>
      <c r="Z111" s="1437">
        <v>21</v>
      </c>
      <c r="AA111" s="1438" t="str">
        <f>IF(AK93&gt;8,IF(AK92&gt;1,"/",""),"")</f>
        <v>/</v>
      </c>
      <c r="AB111" s="1439">
        <v>25</v>
      </c>
      <c r="AC111" s="1437">
        <v>25</v>
      </c>
      <c r="AD111" s="1438" t="str">
        <f>IF(AK93&gt;9,IF(AK92&gt;1,"/",""),"")</f>
        <v>/</v>
      </c>
      <c r="AE111" s="1439">
        <v>19</v>
      </c>
      <c r="AF111" s="1430" t="str">
        <f>IF(AK94&gt;2,"Team 3","")</f>
        <v>Team 3</v>
      </c>
      <c r="AG111" s="1436" t="str">
        <f>IF(AK94&lt;3,"",IF(AK93&lt;1,"",IF(B109=3,B115-D115,IF(D109=3,D115-B115,""))))</f>
        <v/>
      </c>
      <c r="AH111" s="1436" t="str">
        <f>IF(AK94&lt;3,"",IF(AK93&lt;2,"",IF(E109=3,E115-G115,IF(G109=3,G115-E115,""))))</f>
        <v/>
      </c>
      <c r="AI111" s="1436">
        <f>IF(AK94&lt;3,"",IF(AK93&lt;3,"",IF(H109=3,H115-J115,IF(J109=3,J115-H115,""))))</f>
        <v>-14</v>
      </c>
      <c r="AJ111" s="1436" t="str">
        <f>IF(AK94&lt;3,"",IF(AK93&lt;4,"",IF(K109=3,K115-M115,IF(M109=3,M115-K115,""))))</f>
        <v/>
      </c>
      <c r="AK111" s="1436">
        <f>IF(AK94&lt;3,"",IF(AK93&lt;5,"",IF(N109=3,N115-P115,IF(P109=3,P115-N115,""))))</f>
        <v>-14</v>
      </c>
      <c r="AL111" s="1436" t="str">
        <f>IF(AK94&lt;3,"",IF(AK93&lt;6,"",IF(Q109=3,Q115-S115,IF(S109=3,S115-Q115,""))))</f>
        <v/>
      </c>
      <c r="AM111" s="1436">
        <f>IF(AK94&lt;3,"",IF(AK93&lt;7,"",IF(T109=3,T115-V115,IF(V109=3,V115-T115,""))))</f>
        <v>-19</v>
      </c>
      <c r="AN111" s="1436" t="str">
        <f>IF(AK94&lt;3,"",IF(AK93&lt;8,"",IF(W109=3,W115-Y115,IF(Y109=3,Y115-W115,""))))</f>
        <v/>
      </c>
      <c r="AO111" s="1436">
        <f>IF(AK94&lt;3,"",IF(AK93&lt;9,"",IF(Z109=3,Z115-AB115,IF(AB109=3,AB115-Z115,""))))</f>
        <v>-13</v>
      </c>
      <c r="AP111" s="1436" t="str">
        <f>IF(AK94&lt;3,"",IF(AK93&lt;9,"",IF(AC109=3,AC115-AE115,IF(AE109=3,AE115-AC115,""))))</f>
        <v/>
      </c>
      <c r="AQ111" s="1432">
        <f>SUM(AG111:AP111)</f>
        <v>-60</v>
      </c>
    </row>
    <row r="112" spans="1:44" ht="15" x14ac:dyDescent="0.2">
      <c r="A112" s="1250" t="str">
        <f>IF(AK92&gt;2,"Game 3","")</f>
        <v/>
      </c>
      <c r="B112" s="1437" t="s">
        <v>30</v>
      </c>
      <c r="C112" s="1438" t="s">
        <v>78</v>
      </c>
      <c r="D112" s="1439"/>
      <c r="E112" s="1437"/>
      <c r="F112" s="1438" t="str">
        <f>IF(AK93&gt;1,IF(AK92&gt;2,"/",""),"")</f>
        <v/>
      </c>
      <c r="G112" s="1439"/>
      <c r="H112" s="1437"/>
      <c r="I112" s="1438" t="str">
        <f>IF(AK93&gt;2,IF(AK92&gt;2,"/",""),"")</f>
        <v/>
      </c>
      <c r="J112" s="1439"/>
      <c r="K112" s="1437"/>
      <c r="L112" s="1438" t="str">
        <f>IF(AK93&gt;3,IF(AK92&gt;2,"/",""),"")</f>
        <v/>
      </c>
      <c r="M112" s="1439"/>
      <c r="N112" s="1437"/>
      <c r="O112" s="1438" t="str">
        <f>IF(AK93&gt;4,IF(AK92&gt;2,"/",""),"")</f>
        <v/>
      </c>
      <c r="P112" s="1439"/>
      <c r="Q112" s="1437"/>
      <c r="R112" s="1438" t="str">
        <f>IF(AK93&gt;5,IF(AK92&gt;2,"/",""),"")</f>
        <v/>
      </c>
      <c r="S112" s="1439"/>
      <c r="T112" s="1437"/>
      <c r="U112" s="1438" t="str">
        <f>IF(AK93&gt;6,IF(AK92&gt;2,"/",""),"")</f>
        <v/>
      </c>
      <c r="V112" s="1439"/>
      <c r="W112" s="1437"/>
      <c r="X112" s="1438" t="str">
        <f>IF(AK93&gt;7,IF(AK92&gt;2,"/",""),"")</f>
        <v/>
      </c>
      <c r="Y112" s="1439"/>
      <c r="Z112" s="1437"/>
      <c r="AA112" s="1438" t="str">
        <f>IF(AK93&gt;8,IF(AK92&gt;2,"/",""),"")</f>
        <v/>
      </c>
      <c r="AB112" s="1439"/>
      <c r="AC112" s="1437"/>
      <c r="AD112" s="1438" t="str">
        <f>IF(AK93&gt;9,IF(AK92&gt;2,"/",""),"")</f>
        <v/>
      </c>
      <c r="AE112" s="1439"/>
      <c r="AF112" s="1430" t="str">
        <f>IF(AK94&gt;3,"Team 4","")</f>
        <v>Team 4</v>
      </c>
      <c r="AG112" s="1436" t="str">
        <f>IF(AK94&lt;4,"",IF(AK93&lt;1,"",IF(B109=4,B115-D115,IF(D109=4,D115-B115,""))))</f>
        <v/>
      </c>
      <c r="AH112" s="1436">
        <f>IF(AK94&lt;4,"",IF(AK93&lt;2,"",IF(E109=4,E115-G115,IF(G109=4,G115-E115,""))))</f>
        <v>-8</v>
      </c>
      <c r="AI112" s="1436" t="str">
        <f>IF(AK94&lt;4,"",IF(AK93&lt;3,"",IF(H109=4,H115-J115,IF(J109=4,J115-H115,""))))</f>
        <v/>
      </c>
      <c r="AJ112" s="1436">
        <f>IF(AK94&lt;4,"",IF(AK93&lt;4,"",IF(K109=4,K115-M115,IF(M109=4,M115-K115,""))))</f>
        <v>-5</v>
      </c>
      <c r="AK112" s="1436" t="str">
        <f>IF(AK94&lt;4,"",IF(AK93&lt;5,"",IF(N109=4,N115-P115,IF(P109=4,P115-N115,""))))</f>
        <v/>
      </c>
      <c r="AL112" s="1436">
        <f>IF(AK94&lt;4,"",IF(AK93&lt;6,"",IF(Q109=4,Q115-S115,IF(S109=4,S115-Q115,""))))</f>
        <v>-3</v>
      </c>
      <c r="AM112" s="1436" t="str">
        <f>IF(AK94&lt;4,"",IF(AK93&lt;7,"",IF(T109=4,T115-V115,IF(V109=4,V115-T115,""))))</f>
        <v/>
      </c>
      <c r="AN112" s="1436" t="str">
        <f>IF(AK94&lt;4,"",IF(AK93&lt;8,"",IF(W109=4,W115-Y115,IF(Y109=4,Y115-W115,""))))</f>
        <v/>
      </c>
      <c r="AO112" s="1436">
        <f>IF(AK94&lt;4,"",IF(AK93&lt;9,"",IF(Z109=4,Z115-AB115,IF(AB109=4,AB115-Z115,""))))</f>
        <v>13</v>
      </c>
      <c r="AP112" s="1436" t="str">
        <f>IF(AK94&lt;4,"",IF(AK93&lt;10,"",IF(AC109=4,AC115-AE115,IF(AE109=4,AE115-AC115,""))))</f>
        <v/>
      </c>
      <c r="AQ112" s="1432">
        <f>SUM(AG112:AP112)</f>
        <v>-3</v>
      </c>
    </row>
    <row r="113" spans="1:49" ht="15" x14ac:dyDescent="0.2">
      <c r="A113" s="1250" t="str">
        <f>IF(AK92&gt;3,"Game 4","")</f>
        <v/>
      </c>
      <c r="B113" s="1437"/>
      <c r="C113" s="1438" t="s">
        <v>78</v>
      </c>
      <c r="D113" s="1439"/>
      <c r="E113" s="1437"/>
      <c r="F113" s="1438" t="str">
        <f>IF(AK93&gt;1,IF(AK92&gt;3,"/",""),"")</f>
        <v/>
      </c>
      <c r="G113" s="1439"/>
      <c r="H113" s="1437"/>
      <c r="I113" s="1438" t="str">
        <f>IF(AK93&gt;2,IF(AK92&gt;3,"/",""),"")</f>
        <v/>
      </c>
      <c r="J113" s="1439"/>
      <c r="K113" s="1437"/>
      <c r="L113" s="1438" t="str">
        <f>IF(AK93&gt;3,IF(AK92&gt;3,"/",""),"")</f>
        <v/>
      </c>
      <c r="M113" s="1439"/>
      <c r="N113" s="1437"/>
      <c r="O113" s="1438" t="str">
        <f>IF(AK93&gt;4,IF(AK92&gt;3,"/",""),"")</f>
        <v/>
      </c>
      <c r="P113" s="1439"/>
      <c r="Q113" s="1437"/>
      <c r="R113" s="1438" t="str">
        <f>IF(AK93&gt;5,IF(AK92&gt;3,"/",""),"")</f>
        <v/>
      </c>
      <c r="S113" s="1439"/>
      <c r="T113" s="1437"/>
      <c r="U113" s="1438" t="str">
        <f>IF(AK93&gt;6,IF(AK92&gt;3,"/",""),"")</f>
        <v/>
      </c>
      <c r="V113" s="1439"/>
      <c r="W113" s="1437"/>
      <c r="X113" s="1438" t="str">
        <f>IF(AK93&gt;7,IF(AK92&gt;3,"/",""),"")</f>
        <v/>
      </c>
      <c r="Y113" s="1439"/>
      <c r="Z113" s="1437"/>
      <c r="AA113" s="1438" t="str">
        <f>IF(AK93&gt;8,IF(AK92&gt;3,"/",""),"")</f>
        <v/>
      </c>
      <c r="AB113" s="1439"/>
      <c r="AC113" s="1437"/>
      <c r="AD113" s="1438" t="str">
        <f>IF(AK93&gt;9,IF(AK92&gt;3,"/",""),"")</f>
        <v/>
      </c>
      <c r="AE113" s="1439"/>
      <c r="AF113" s="1430" t="str">
        <f>IF(AK94&gt;4,"Team 5","")</f>
        <v>Team 5</v>
      </c>
      <c r="AG113" s="1440">
        <f>IF(AK94&lt;5,"",IF(AK93&lt;1,"",IF(B109=5,B115-D115,IF(D109=5,D115-B115,""))))</f>
        <v>5</v>
      </c>
      <c r="AH113" s="1436" t="str">
        <f>IF(AK94&lt;5,"",IF(AK93&lt;2,"",IF(E109=5,E115-G115,IF(G109=5,G115-E115,""))))</f>
        <v/>
      </c>
      <c r="AI113" s="1436">
        <f>IF(AK94&lt;5,"",IF(AK93&lt;3,"",IF(H109=5,H115-J115,IF(J109=5,J115-H115,""))))</f>
        <v>14</v>
      </c>
      <c r="AJ113" s="1436" t="str">
        <f>IF(AK94&lt;5,"",IF(AK93&lt;4,"",IF(K109=5,K115-M115,IF(M109=5,M115-K115,""))))</f>
        <v/>
      </c>
      <c r="AK113" s="1436" t="str">
        <f>IF(AK94&lt;5,"",IF(AK93&lt;5,"",IF(N109=5,N115-P115,IF(P109=5,P115-N115,""))))</f>
        <v/>
      </c>
      <c r="AL113" s="1436">
        <f>IF(AK94&lt;5,"",IF(AK93&lt;6,"",IF(Q109=5,Q115-S115,IF(S109=5,S115-Q115,""))))</f>
        <v>3</v>
      </c>
      <c r="AM113" s="1436" t="str">
        <f>IF(AK94&lt;5,"",IF(AK93&lt;7,"",IF(T109=5,T115-V115,IF(V109=5,V115-T115,""))))</f>
        <v/>
      </c>
      <c r="AN113" s="1436">
        <f>IF(AK94&lt;5,"",IF(AK93&lt;8,"",IF(W109=5,W115-Y115,IF(Y109=5,Y115-W115,""))))</f>
        <v>-7</v>
      </c>
      <c r="AO113" s="1436" t="str">
        <f>IF(AK94&lt;5,"",IF(AK93&lt;9,"",IF(Z109=5,Z115-AB115,IF(AB109=5,AB115-Z115,""))))</f>
        <v/>
      </c>
      <c r="AP113" s="1436" t="str">
        <f>IF(AK94&lt;5,"",IF(AK93&lt;10,"",IF(AC109=5,AC115-AE115,IF(AE109=5,AE115-AC115,""))))</f>
        <v/>
      </c>
      <c r="AQ113" s="1432">
        <f>SUM(AG113:AP113)</f>
        <v>15</v>
      </c>
    </row>
    <row r="114" spans="1:49" ht="15" x14ac:dyDescent="0.2">
      <c r="A114" s="1250" t="str">
        <f>IF(AK92&gt;4,"Game 5","")</f>
        <v/>
      </c>
      <c r="B114" s="1437"/>
      <c r="C114" s="1438" t="s">
        <v>78</v>
      </c>
      <c r="D114" s="1439"/>
      <c r="E114" s="1437"/>
      <c r="F114" s="1438" t="str">
        <f>IF(AK93&gt;1,IF(AK92&gt;4,"/",""),"")</f>
        <v/>
      </c>
      <c r="G114" s="1439"/>
      <c r="H114" s="1437"/>
      <c r="I114" s="1438" t="str">
        <f>IF(AK93&gt;2,IF(AK92&gt;4,"/",""),"")</f>
        <v/>
      </c>
      <c r="J114" s="1439"/>
      <c r="K114" s="1437"/>
      <c r="L114" s="1438" t="str">
        <f>IF(AK93&gt;3,IF(AK92&gt;4,"/",""),"")</f>
        <v/>
      </c>
      <c r="M114" s="1439"/>
      <c r="N114" s="1437"/>
      <c r="O114" s="1438" t="str">
        <f>IF(AK93&gt;4,IF(AK92&gt;4,"/",""),"")</f>
        <v/>
      </c>
      <c r="P114" s="1439"/>
      <c r="Q114" s="1437"/>
      <c r="R114" s="1438" t="str">
        <f>IF(AK93&gt;5,IF(AK92&gt;4,"/",""),"")</f>
        <v/>
      </c>
      <c r="S114" s="1439"/>
      <c r="T114" s="1437"/>
      <c r="U114" s="1438" t="str">
        <f>IF(AK93&gt;6,IF(AK92&gt;4,"/",""),"")</f>
        <v/>
      </c>
      <c r="V114" s="1439"/>
      <c r="W114" s="1437"/>
      <c r="X114" s="1438" t="str">
        <f>IF(AK93&gt;7,IF(AK92&gt;4,"/",""),"")</f>
        <v/>
      </c>
      <c r="Y114" s="1439"/>
      <c r="Z114" s="1437"/>
      <c r="AA114" s="1438" t="str">
        <f>IF(AK93&gt;8,IF(AK92&gt;4,"/",""),"")</f>
        <v/>
      </c>
      <c r="AB114" s="1439"/>
      <c r="AC114" s="1437"/>
      <c r="AD114" s="1438" t="str">
        <f>IF(AK93&gt;9,IF(AK92&gt;4,"/",""),"")</f>
        <v/>
      </c>
      <c r="AE114" s="1439"/>
      <c r="AF114" s="1270"/>
      <c r="AG114" s="1270"/>
      <c r="AH114" s="1270"/>
      <c r="AI114" s="1270"/>
      <c r="AJ114" s="1270"/>
      <c r="AK114" s="1270"/>
      <c r="AL114" s="1270"/>
      <c r="AM114" s="1270"/>
      <c r="AN114" s="1270"/>
      <c r="AO114" s="1270"/>
      <c r="AP114" s="1270"/>
      <c r="AQ114" s="1270"/>
    </row>
    <row r="115" spans="1:49" hidden="1" x14ac:dyDescent="0.2">
      <c r="A115" s="1441"/>
      <c r="B115" s="1441">
        <f>IF($AK92=5,SUM(B110:B114),IF($AK92=4,SUM(B110:B113),IF($AK92=3,SUM(B110:B112),IF($AK92=2,SUM(B110:B111),B110))))</f>
        <v>45</v>
      </c>
      <c r="C115" s="1441"/>
      <c r="D115" s="1441">
        <f>IF($AK92=5,SUM(D110:D114),IF($AK92=4,SUM(D110:D113),IF($AK92=3,SUM(D110:D112),IF($AK92=2,SUM(D110:D111),D110))))</f>
        <v>50</v>
      </c>
      <c r="E115" s="1441">
        <f>IF($AK92=5,SUM(E110:E114),IF($AK92=4,SUM(E110:E113),IF($AK92=3,SUM(E110:E112),IF($AK92=2,SUM(E110:E111),E110))))</f>
        <v>52</v>
      </c>
      <c r="F115" s="1441"/>
      <c r="G115" s="1441">
        <f>IF($AK92=5,SUM(G110:G114),IF($AK92=4,SUM(G110:G113),IF($AK92=3,SUM(G110:G112),IF($AK92=2,SUM(G110:G111),G110))))</f>
        <v>44</v>
      </c>
      <c r="H115" s="1441">
        <f>IF($AK92=5,SUM(H110:H114),IF($AK92=4,SUM(H110:H113),IF($AK92=3,SUM(H110:H112),IF($AK92=2,SUM(H110:H111),H110))))</f>
        <v>36</v>
      </c>
      <c r="I115" s="1441"/>
      <c r="J115" s="1441">
        <f>IF($AK92=5,SUM(J110:J114),IF($AK92=4,SUM(J110:J113),IF($AK92=3,SUM(J110:J112),IF($AK92=2,SUM(J110:J111),J110))))</f>
        <v>50</v>
      </c>
      <c r="K115" s="1441">
        <f>IF($AK92=5,SUM(K110:K114),IF($AK92=4,SUM(K110:K113),IF($AK92=3,SUM(K110:K112),IF($AK92=2,SUM(K110:K111),K110))))</f>
        <v>50</v>
      </c>
      <c r="L115" s="1441"/>
      <c r="M115" s="1441">
        <f>IF($AK92=5,SUM(M110:M114),IF($AK92=4,SUM(M110:M113),IF($AK92=3,SUM(M110:M112),IF($AK92=2,SUM(M110:M111),M110))))</f>
        <v>45</v>
      </c>
      <c r="N115" s="1441">
        <f>IF($AK92=5,SUM(N110:N114),IF($AK92=4,SUM(N110:N113),IF($AK92=3,SUM(N110:N112),IF($AK92=2,SUM(N110:N111),N110))))</f>
        <v>50</v>
      </c>
      <c r="O115" s="1441"/>
      <c r="P115" s="1441">
        <f>IF($AK92=5,SUM(P110:P114),IF($AK92=4,SUM(P110:P113),IF($AK92=3,SUM(P110:P112),IF($AK92=2,SUM(P110:P111),P110))))</f>
        <v>36</v>
      </c>
      <c r="Q115" s="1441">
        <f>IF($AK92=5,SUM(Q110:Q114),IF($AK92=4,SUM(Q110:Q113),IF($AK92=3,SUM(Q110:Q112),IF($AK92=2,SUM(Q110:Q111),Q110))))</f>
        <v>44</v>
      </c>
      <c r="R115" s="1441"/>
      <c r="S115" s="1441">
        <f>IF($AK92=5,SUM(S110:S114),IF($AK92=4,SUM(S110:S113),IF($AK92=3,SUM(S110:S112),IF($AK92=2,SUM(S110:S111),S110))))</f>
        <v>47</v>
      </c>
      <c r="T115" s="1441">
        <f>IF($AK92=5,SUM(T110:T114),IF($AK92=4,SUM(T110:T113),IF($AK92=3,SUM(T110:T112),IF($AK92=2,SUM(T110:T111),T110))))</f>
        <v>50</v>
      </c>
      <c r="U115" s="1441"/>
      <c r="V115" s="1441">
        <f>IF($AK92=5,SUM(V110:V114),IF($AK92=4,SUM(V110:V113),IF($AK92=3,SUM(V110:V112),IF($AK92=2,SUM(V110:V111),V110))))</f>
        <v>31</v>
      </c>
      <c r="W115" s="1441">
        <f>IF($AK92=5,SUM(W110:W114),IF($AK92=4,SUM(W110:W113),IF($AK92=3,SUM(W110:W112),IF($AK92=2,SUM(W110:W111),W110))))</f>
        <v>50</v>
      </c>
      <c r="X115" s="1441"/>
      <c r="Y115" s="1441">
        <f>IF($AK92=5,SUM(Y110:Y114),IF($AK92=4,SUM(Y110:Y113),IF($AK92=3,SUM(Y110:Y112),IF($AK92=2,SUM(Y110:Y111),Y110))))</f>
        <v>43</v>
      </c>
      <c r="Z115" s="1441">
        <f>IF($AK92=5,SUM(Z110:Z114),IF($AK92=4,SUM(Z110:Z113),IF($AK92=3,SUM(Z110:Z112),IF($AK92=2,SUM(Z110:Z111),Z110))))</f>
        <v>37</v>
      </c>
      <c r="AA115" s="1441"/>
      <c r="AB115" s="1441">
        <f>IF($AK92=5,SUM(AB110:AB114),IF($AK92=4,SUM(AB110:AB113),IF($AK92=3,SUM(AB110:AB112),IF($AK92=2,SUM(AB110:AB111),AB110))))</f>
        <v>50</v>
      </c>
      <c r="AC115" s="1441">
        <f>IF($AK92=5,SUM(AC110:AC114),IF($AK92=4,SUM(AC110:AC113),IF($AK92=3,SUM(AC110:AC112),IF($AK92=2,SUM(AC110:AC111),AC110))))</f>
        <v>48</v>
      </c>
      <c r="AD115" s="1441"/>
      <c r="AE115" s="1441">
        <f>IF($AK92=5,SUM(AE110:AE114),IF($AK92=4,SUM(AE110:AE113),IF($AK92=3,SUM(AE110:AE112),IF($AK92=2,SUM(AE110:AE111),AE110))))</f>
        <v>44</v>
      </c>
      <c r="AF115" s="1270"/>
      <c r="AG115" s="1270"/>
      <c r="AH115" s="1270"/>
      <c r="AI115" s="1270"/>
      <c r="AJ115" s="1270"/>
      <c r="AK115" s="1270"/>
      <c r="AL115" s="1270"/>
      <c r="AM115" s="1270"/>
      <c r="AN115" s="1270"/>
      <c r="AO115" s="1270"/>
      <c r="AP115" s="1270"/>
      <c r="AQ115" s="1270"/>
    </row>
    <row r="116" spans="1:49" s="1443" customFormat="1" ht="12.75" hidden="1" customHeight="1" x14ac:dyDescent="0.2">
      <c r="A116" s="1443" t="s">
        <v>79</v>
      </c>
      <c r="B116" s="1444">
        <f>IF(AND(B110&gt;D110,$AK93&gt;0,ISNUMBER(B110),ISNUMBER(D110)),1,0)</f>
        <v>0</v>
      </c>
      <c r="C116" s="1444"/>
      <c r="D116" s="1445">
        <f>IF(AND(D110&gt;B110,$AK93&gt;0,ISNUMBER(B110),ISNUMBER(D110)),1,0)</f>
        <v>1</v>
      </c>
      <c r="E116" s="1444">
        <f>IF(AND(E110&gt;G110,$AK93&gt;1,ISNUMBER(E110),ISNUMBER(G110)),1,0)</f>
        <v>1</v>
      </c>
      <c r="F116" s="1444"/>
      <c r="G116" s="1445">
        <f>IF(AND(G110&gt;E110,$AK93&gt;1,ISNUMBER(E110),ISNUMBER(G110)),1,0)</f>
        <v>0</v>
      </c>
      <c r="H116" s="1444">
        <f>IF(AND(H110&gt;J110,$AK93&gt;2,ISNUMBER(H110),ISNUMBER(J110)),1,0)</f>
        <v>0</v>
      </c>
      <c r="I116" s="1444"/>
      <c r="J116" s="1445">
        <f>IF(AND(J110&gt;H110,$AK93&gt;2,ISNUMBER(H110),ISNUMBER(J110)),1,0)</f>
        <v>1</v>
      </c>
      <c r="K116" s="1444">
        <f>IF(AND(K110&gt;M110,$AK93&gt;3,ISNUMBER(K110),ISNUMBER(M110)),1,0)</f>
        <v>1</v>
      </c>
      <c r="L116" s="1444"/>
      <c r="M116" s="1445">
        <f>IF(AND(M110&gt;K110,$AK93&gt;3,ISNUMBER(K110),ISNUMBER(M110)),1,0)</f>
        <v>0</v>
      </c>
      <c r="N116" s="1444">
        <f>IF(AND(N110&gt;P110,$AK93&gt;4,ISNUMBER(N110),ISNUMBER(P110)),1,0)</f>
        <v>1</v>
      </c>
      <c r="O116" s="1444"/>
      <c r="P116" s="1445">
        <f>IF(AND(P110&gt;N110,$AK93&gt;4,ISNUMBER(N110),ISNUMBER(P110)),1,0)</f>
        <v>0</v>
      </c>
      <c r="Q116" s="1444">
        <f>IF(AND(Q110&gt;S110,$AK93&gt;5,ISNUMBER(Q110),ISNUMBER(S110)),1,0)</f>
        <v>0</v>
      </c>
      <c r="R116" s="1444"/>
      <c r="S116" s="1445">
        <f>IF(AND(S110&gt;Q110,$AK93&gt;5,ISNUMBER(Q110),ISNUMBER(S110)),1,0)</f>
        <v>1</v>
      </c>
      <c r="T116" s="1444">
        <f>IF(AND(T110&gt;V110,$AK93&gt;6,ISNUMBER(T110),ISNUMBER(V110)),1,0)</f>
        <v>1</v>
      </c>
      <c r="U116" s="1444"/>
      <c r="V116" s="1445">
        <f>IF(AND(V110&gt;T110,$AK93&gt;6,ISNUMBER(T110),ISNUMBER(V110)),1,0)</f>
        <v>0</v>
      </c>
      <c r="W116" s="1444">
        <f>IF(AND(W110&gt;Y110,$AK93&gt;7,ISNUMBER(W110),ISNUMBER(Y110)),1,0)</f>
        <v>1</v>
      </c>
      <c r="X116" s="1444"/>
      <c r="Y116" s="1445">
        <f>IF(AND(Y110&gt;W110,$AK93&gt;7,ISNUMBER(W110),ISNUMBER(Y110)),1,0)</f>
        <v>0</v>
      </c>
      <c r="Z116" s="1444">
        <f>IF(AND(Z110&gt;AB110,$AK93&gt;8,ISNUMBER(Z110),ISNUMBER(AB110)),1,0)</f>
        <v>0</v>
      </c>
      <c r="AA116" s="1444"/>
      <c r="AB116" s="1445">
        <f>IF(AND(AB110&gt;Z110,$AK93&gt;8,ISNUMBER(Z110),ISNUMBER(AB110)),1,0)</f>
        <v>1</v>
      </c>
      <c r="AC116" s="1444">
        <f>IF(AND(AC110&gt;AE110,$AK93&gt;9,ISNUMBER(AC110),ISNUMBER(AE110)),1,0)</f>
        <v>0</v>
      </c>
      <c r="AD116" s="1444"/>
      <c r="AE116" s="1445">
        <f>IF(AND(AE110&gt;AC110,$AK93&gt;9,ISNUMBER(AC110),ISNUMBER(AE110)),1,0)</f>
        <v>1</v>
      </c>
      <c r="AW116" s="1446"/>
    </row>
    <row r="117" spans="1:49" s="1443" customFormat="1" ht="12.75" hidden="1" customHeight="1" x14ac:dyDescent="0.2">
      <c r="A117" s="1443" t="s">
        <v>80</v>
      </c>
      <c r="B117" s="1444">
        <f>IF(AND(B111&gt;D111,$AK93&gt;0,$AK92&gt;1,ISNUMBER(B111),ISNUMBER(D111)),1,0)</f>
        <v>0</v>
      </c>
      <c r="C117" s="1444"/>
      <c r="D117" s="1445">
        <f>IF(AND(D111&gt;B111,$AK93&gt;0,$AK92&gt;1,ISNUMBER(B111),ISNUMBER(D111)),1,0)</f>
        <v>1</v>
      </c>
      <c r="E117" s="1444">
        <f>IF(AND(E111&gt;G111,$AK93&gt;1,$AK92&gt;1,ISNUMBER(E111),ISNUMBER(G111)),1,0)</f>
        <v>1</v>
      </c>
      <c r="F117" s="1444"/>
      <c r="G117" s="1445">
        <f>IF(AND(G111&gt;E111,$AK93&gt;1,$AK92&gt;1,ISNUMBER(E111),ISNUMBER(G111)),1,0)</f>
        <v>0</v>
      </c>
      <c r="H117" s="1444">
        <f>IF(AND(H111&gt;J111,$AK93&gt;2,$AK92&gt;1,ISNUMBER(H111),ISNUMBER(J111)),1,0)</f>
        <v>0</v>
      </c>
      <c r="I117" s="1444"/>
      <c r="J117" s="1445">
        <f>IF(AND(J111&gt;H111,$AK93&gt;2,$AK92&gt;1,ISNUMBER(H111),ISNUMBER(J111)),1,0)</f>
        <v>1</v>
      </c>
      <c r="K117" s="1444">
        <f>IF(AND(K111&gt;M111,$AK93&gt;3,$AK92&gt;1,ISNUMBER(K111),ISNUMBER(M111)),1,0)</f>
        <v>1</v>
      </c>
      <c r="L117" s="1444"/>
      <c r="M117" s="1445">
        <f>IF(AND(M111&gt;K111,$AK93&gt;3,$AK92&gt;1,ISNUMBER(K111),ISNUMBER(M111)),1,0)</f>
        <v>0</v>
      </c>
      <c r="N117" s="1444">
        <f>IF(AND(N111&gt;P111,$AK93&gt;4,$AK92&gt;1,ISNUMBER(N111),ISNUMBER(P111)),1,0)</f>
        <v>1</v>
      </c>
      <c r="O117" s="1444"/>
      <c r="P117" s="1445">
        <f>IF(AND(P111&gt;N111,$AK93&gt;4,$AK92&gt;1,ISNUMBER(N111),ISNUMBER(P111)),1,0)</f>
        <v>0</v>
      </c>
      <c r="Q117" s="1444">
        <f>IF(AND(Q111&gt;S111,$AK93&gt;5,$AK92&gt;1,ISNUMBER(Q111),ISNUMBER(S111)),1,0)</f>
        <v>1</v>
      </c>
      <c r="R117" s="1444"/>
      <c r="S117" s="1445">
        <f>IF(AND(S111&gt;Q111,$AK93&gt;5,$AK92&gt;1,ISNUMBER(Q111),ISNUMBER(S111)),1,0)</f>
        <v>0</v>
      </c>
      <c r="T117" s="1444">
        <f>IF(AND(T111&gt;V111,$AK93&gt;6,$AK92&gt;1,ISNUMBER(T111),ISNUMBER(V111)),1,0)</f>
        <v>1</v>
      </c>
      <c r="U117" s="1444"/>
      <c r="V117" s="1445">
        <f>IF(AND(V111&gt;T111,$AK93&gt;6,$AK92&gt;1,ISNUMBER(T111),ISNUMBER(V111)),1,0)</f>
        <v>0</v>
      </c>
      <c r="W117" s="1444">
        <f>IF(AND(W111&gt;Y111,$AK93&gt;7,$AK92&gt;1,ISNUMBER(W111),ISNUMBER(Y111)),1,0)</f>
        <v>1</v>
      </c>
      <c r="X117" s="1444"/>
      <c r="Y117" s="1445">
        <f>IF(AND(Y111&gt;W111,$AK93&gt;7,$AK92&gt;1,ISNUMBER(W111),ISNUMBER(Y111)),1,0)</f>
        <v>0</v>
      </c>
      <c r="Z117" s="1444">
        <f>IF(AND(Z111&gt;AB111,$AK93&gt;8,$AK92&gt;1,ISNUMBER(Z111),ISNUMBER(AB111)),1,0)</f>
        <v>0</v>
      </c>
      <c r="AA117" s="1444"/>
      <c r="AB117" s="1445">
        <f>IF(AND(AB111&gt;Z111,$AK93&gt;8,$AK92&gt;1,ISNUMBER(Z111),ISNUMBER(AB111)),1,0)</f>
        <v>1</v>
      </c>
      <c r="AC117" s="1444">
        <f>IF(AND(AC111&gt;AE111,$AK93&gt;9,$AK92&gt;1,ISNUMBER(AC111),ISNUMBER(AE111)),1,0)</f>
        <v>1</v>
      </c>
      <c r="AD117" s="1444"/>
      <c r="AE117" s="1445">
        <f>IF(AND(AE111&gt;AC111,$AK93&gt;9,$AK92&gt;1,ISNUMBER(AC111),ISNUMBER(AE111)),1,0)</f>
        <v>0</v>
      </c>
      <c r="AW117" s="1446"/>
    </row>
    <row r="118" spans="1:49" s="1443" customFormat="1" ht="12.75" hidden="1" customHeight="1" x14ac:dyDescent="0.2">
      <c r="A118" s="1443" t="s">
        <v>81</v>
      </c>
      <c r="B118" s="1444">
        <f>IF(AND(B112&gt;D112,$AK93&gt;0,$AK92&gt;2,ISNUMBER(B112),ISNUMBER(D112)),1,0)</f>
        <v>0</v>
      </c>
      <c r="C118" s="1444"/>
      <c r="D118" s="1445">
        <f>IF(AND(D112&gt;B112,$AK93&gt;0,$AK92&gt;2,ISNUMBER(B112),ISNUMBER(D112)),1,0)</f>
        <v>0</v>
      </c>
      <c r="E118" s="1444">
        <f>IF(AND(E112&gt;G112,$AK93&gt;1,$AK92&gt;2,ISNUMBER(E112),ISNUMBER(G112)),1,0)</f>
        <v>0</v>
      </c>
      <c r="F118" s="1444"/>
      <c r="G118" s="1445">
        <f>IF(AND(G112&gt;E112,$AK93&gt;1,$AK92&gt;2,ISNUMBER(E112),ISNUMBER(G112)),1,0)</f>
        <v>0</v>
      </c>
      <c r="H118" s="1444">
        <f>IF(AND(H112&gt;J112,$AK93&gt;2,$AK92&gt;2,ISNUMBER(H112),ISNUMBER(J112)),1,0)</f>
        <v>0</v>
      </c>
      <c r="I118" s="1444"/>
      <c r="J118" s="1445">
        <f>IF(AND(J112&gt;H112,$AK93&gt;2,$AK92&gt;2,ISNUMBER(H112),ISNUMBER(J112)),1,0)</f>
        <v>0</v>
      </c>
      <c r="K118" s="1444">
        <f>IF(AND(K112&gt;M112,$AK93&gt;3,$AK92&gt;2,ISNUMBER(K112),ISNUMBER(M112)),1,0)</f>
        <v>0</v>
      </c>
      <c r="L118" s="1444"/>
      <c r="M118" s="1445">
        <f>IF(AND(M112&gt;K112,$AK93&gt;3,$AK92&gt;2,ISNUMBER(K112),ISNUMBER(M112)),1,0)</f>
        <v>0</v>
      </c>
      <c r="N118" s="1444">
        <f>IF(AND(N112&gt;P112,$AK93&gt;4,$AK92&gt;2,ISNUMBER(N112),ISNUMBER(P112)),1,0)</f>
        <v>0</v>
      </c>
      <c r="O118" s="1444"/>
      <c r="P118" s="1445">
        <f>IF(AND(P112&gt;N112,$AK93&gt;4,$AK92&gt;2,ISNUMBER(N112),ISNUMBER(P112)),1,0)</f>
        <v>0</v>
      </c>
      <c r="Q118" s="1444">
        <f>IF(AND(Q112&gt;S112,$AK93&gt;5,$AK92&gt;2,ISNUMBER(Q112),ISNUMBER(S112)),1,0)</f>
        <v>0</v>
      </c>
      <c r="R118" s="1444"/>
      <c r="S118" s="1445">
        <f>IF(AND(S112&gt;Q112,$AK93&gt;5,$AK92&gt;2,ISNUMBER(Q112),ISNUMBER(S112)),1,0)</f>
        <v>0</v>
      </c>
      <c r="T118" s="1444">
        <f>IF(AND(T112&gt;V112,$AK93&gt;6,$AK92&gt;2,ISNUMBER(T112),ISNUMBER(V112)),1,0)</f>
        <v>0</v>
      </c>
      <c r="U118" s="1444"/>
      <c r="V118" s="1445">
        <f>IF(AND(V112&gt;T112,$AK93&gt;6,$AK92&gt;2,ISNUMBER(T112),ISNUMBER(V112)),1,0)</f>
        <v>0</v>
      </c>
      <c r="W118" s="1444">
        <f>IF(AND(W112&gt;Y112,$AK93&gt;7,$AK92&gt;2,ISNUMBER(W112),ISNUMBER(Y112)),1,0)</f>
        <v>0</v>
      </c>
      <c r="X118" s="1444"/>
      <c r="Y118" s="1445">
        <f>IF(AND(Y112&gt;W112,$AK93&gt;7,$AK92&gt;2,ISNUMBER(W112),ISNUMBER(Y112)),1,0)</f>
        <v>0</v>
      </c>
      <c r="Z118" s="1444">
        <f>IF(AND(Z112&gt;AB112,$AK93&gt;8,$AK92&gt;2,ISNUMBER(Z112),ISNUMBER(AB112)),1,0)</f>
        <v>0</v>
      </c>
      <c r="AA118" s="1444"/>
      <c r="AB118" s="1445">
        <f>IF(AND(AB112&gt;Z112,$AK93&gt;8,$AK92&gt;2,ISNUMBER(Z112),ISNUMBER(AB112)),1,0)</f>
        <v>0</v>
      </c>
      <c r="AC118" s="1444">
        <f>IF(AND(AC112&gt;AE112,$AK93&gt;9,$AK92&gt;2,ISNUMBER(AC112),ISNUMBER(AE112)),1,0)</f>
        <v>0</v>
      </c>
      <c r="AD118" s="1444"/>
      <c r="AE118" s="1445">
        <f>IF(AND(AE112&gt;AC112,$AK93&gt;9,$AK92&gt;2,ISNUMBER(AC112),ISNUMBER(AE112)),1,0)</f>
        <v>0</v>
      </c>
      <c r="AW118" s="1446"/>
    </row>
    <row r="119" spans="1:49" s="1443" customFormat="1" ht="12.75" hidden="1" customHeight="1" x14ac:dyDescent="0.2">
      <c r="A119" s="1443" t="s">
        <v>82</v>
      </c>
      <c r="B119" s="1444">
        <f>IF(AND(B113&gt;D113,$AK93&gt;0,$AK92&gt;3,ISNUMBER(B113),ISNUMBER(D113)),1,0)</f>
        <v>0</v>
      </c>
      <c r="C119" s="1444"/>
      <c r="D119" s="1445">
        <f>IF(AND(D113&gt;B113,$AK93&gt;0,$AK92&gt;3,ISNUMBER(B113),ISNUMBER(D113)),1,0)</f>
        <v>0</v>
      </c>
      <c r="E119" s="1444">
        <f>IF(AND(E113&gt;G113,$AK93&gt;1,$AK92&gt;3,ISNUMBER(E113),ISNUMBER(G113)),1,0)</f>
        <v>0</v>
      </c>
      <c r="F119" s="1444"/>
      <c r="G119" s="1445">
        <f>IF(AND(G113&gt;E113,$AK93&gt;1,$AK92&gt;3,ISNUMBER(E113),ISNUMBER(G113)),1,0)</f>
        <v>0</v>
      </c>
      <c r="H119" s="1444">
        <f>IF(AND(H113&gt;J113,$AK93&gt;2,$AK92&gt;3,ISNUMBER(H113),ISNUMBER(J113)),1,0)</f>
        <v>0</v>
      </c>
      <c r="I119" s="1444"/>
      <c r="J119" s="1445">
        <f>IF(AND(J113&gt;H113,$AK93&gt;2,$AK92&gt;3,ISNUMBER(H113),ISNUMBER(J113)),1,0)</f>
        <v>0</v>
      </c>
      <c r="K119" s="1444">
        <f>IF(AND(K113&gt;M113,$AK93&gt;3,$AK92&gt;3,ISNUMBER(K113),ISNUMBER(M113)),1,0)</f>
        <v>0</v>
      </c>
      <c r="L119" s="1444"/>
      <c r="M119" s="1445">
        <f>IF(AND(M113&gt;K113,$AK93&gt;3,$AK92&gt;3,ISNUMBER(K113),ISNUMBER(M113)),1,0)</f>
        <v>0</v>
      </c>
      <c r="N119" s="1444">
        <f>IF(AND(N113&gt;P113,$AK93&gt;4,$AK92&gt;3,ISNUMBER(N113),ISNUMBER(P113)),1,0)</f>
        <v>0</v>
      </c>
      <c r="O119" s="1444"/>
      <c r="P119" s="1445">
        <f>IF(AND(P113&gt;N113,$AK93&gt;4,$AK92&gt;3,ISNUMBER(N113),ISNUMBER(P113)),1,0)</f>
        <v>0</v>
      </c>
      <c r="Q119" s="1444">
        <f>IF(AND(Q113&gt;S113,$AK93&gt;5,$AK92&gt;3,ISNUMBER(Q113),ISNUMBER(S113)),1,0)</f>
        <v>0</v>
      </c>
      <c r="R119" s="1444"/>
      <c r="S119" s="1445">
        <f>IF(AND(S113&gt;Q113,$AK93&gt;5,$AK92&gt;3,ISNUMBER(Q113),ISNUMBER(S113)),1,0)</f>
        <v>0</v>
      </c>
      <c r="T119" s="1444">
        <f>IF(AND(T113&gt;V113,$AK93&gt;6,$AK92&gt;3,ISNUMBER(T113),ISNUMBER(V113)),1,0)</f>
        <v>0</v>
      </c>
      <c r="U119" s="1444"/>
      <c r="V119" s="1445">
        <f>IF(AND(V113&gt;T113,$AK93&gt;6,$AK92&gt;3,ISNUMBER(T113),ISNUMBER(V113)),1,0)</f>
        <v>0</v>
      </c>
      <c r="W119" s="1444">
        <f>IF(AND(W113&gt;Y113,$AK93&gt;7,$AK92&gt;3,ISNUMBER(W113),ISNUMBER(Y113)),1,0)</f>
        <v>0</v>
      </c>
      <c r="X119" s="1444"/>
      <c r="Y119" s="1445">
        <f>IF(AND(Y113&gt;W113,$AK93&gt;7,$AK92&gt;3,ISNUMBER(W113),ISNUMBER(Y113)),1,0)</f>
        <v>0</v>
      </c>
      <c r="Z119" s="1444">
        <f>IF(AND(Z113&gt;AB113,$AK93&gt;8,$AK92&gt;3,ISNUMBER(Z113),ISNUMBER(AB113)),1,0)</f>
        <v>0</v>
      </c>
      <c r="AA119" s="1444"/>
      <c r="AB119" s="1445">
        <f>IF(AND(AB113&gt;Z113,$AK93&gt;8,$AK92&gt;3,ISNUMBER(Z113),ISNUMBER(AB113)),1,0)</f>
        <v>0</v>
      </c>
      <c r="AC119" s="1444">
        <f>IF(AND(AC113&gt;AE113,$AK93&gt;9,$AK92&gt;3,ISNUMBER(AC113),ISNUMBER(AE113)),1,0)</f>
        <v>0</v>
      </c>
      <c r="AD119" s="1444"/>
      <c r="AE119" s="1445">
        <f>IF(AND(AE113&gt;AC113,$AK93&gt;9,$AK92&gt;3,ISNUMBER(AC113),ISNUMBER(AE113)),1,0)</f>
        <v>0</v>
      </c>
      <c r="AW119" s="1446"/>
    </row>
    <row r="120" spans="1:49" s="1443" customFormat="1" ht="12.75" hidden="1" customHeight="1" x14ac:dyDescent="0.2">
      <c r="A120" s="1443" t="s">
        <v>83</v>
      </c>
      <c r="B120" s="1444">
        <f>IF(AND(B114&gt;D114,$AK93&gt;0,$AK92&gt;4,ISNUMBER(B114),ISNUMBER(D114)),1,0)</f>
        <v>0</v>
      </c>
      <c r="C120" s="1444"/>
      <c r="D120" s="1445">
        <f>IF(AND(D114&gt;B114,$AK93&gt;0,$AK92&gt;4,ISNUMBER(B114),ISNUMBER(D114)),1,0)</f>
        <v>0</v>
      </c>
      <c r="E120" s="1444">
        <f>IF(AND(E114&gt;G114,$AK93&gt;1,$AK92&gt;4,ISNUMBER(E114),ISNUMBER(G114)),1,0)</f>
        <v>0</v>
      </c>
      <c r="F120" s="1444"/>
      <c r="G120" s="1445">
        <f>IF(AND(G114&gt;E114,$AK93&gt;1,$AK92&gt;4,ISNUMBER(E114),ISNUMBER(G114)),1,0)</f>
        <v>0</v>
      </c>
      <c r="H120" s="1444">
        <f>IF(AND(H114&gt;J114,$AK93&gt;2,$AK92&gt;4,ISNUMBER(H114),ISNUMBER(J114)),1,0)</f>
        <v>0</v>
      </c>
      <c r="I120" s="1444"/>
      <c r="J120" s="1445">
        <f>IF(AND(J114&gt;H114,$AK93&gt;2,$AK92&gt;4,ISNUMBER(H114),ISNUMBER(J114)),1,0)</f>
        <v>0</v>
      </c>
      <c r="K120" s="1444">
        <f>IF(AND(K114&gt;M114,$AK93&gt;3,$AK92&gt;4,ISNUMBER(K114),ISNUMBER(M114)),1,0)</f>
        <v>0</v>
      </c>
      <c r="L120" s="1444"/>
      <c r="M120" s="1445">
        <f>IF(AND(M114&gt;K114,$AK93&gt;3,$AK92&gt;4,ISNUMBER(K114),ISNUMBER(M114)),1,0)</f>
        <v>0</v>
      </c>
      <c r="N120" s="1444">
        <f>IF(AND(N114&gt;P114,$AK93&gt;4,$AK92&gt;4,ISNUMBER(N114),ISNUMBER(P114)),1,0)</f>
        <v>0</v>
      </c>
      <c r="O120" s="1444"/>
      <c r="P120" s="1445">
        <f>IF(AND(P114&gt;N114,$AK93&gt;4,$AK92&gt;4,ISNUMBER(N114),ISNUMBER(P114)),1,0)</f>
        <v>0</v>
      </c>
      <c r="Q120" s="1444">
        <f>IF(AND(Q114&gt;S114,$AK93&gt;5,$AK92&gt;4,ISNUMBER(Q114),ISNUMBER(S114)),1,0)</f>
        <v>0</v>
      </c>
      <c r="R120" s="1444"/>
      <c r="S120" s="1445">
        <f>IF(AND(S114&gt;Q114,$AK93&gt;5,$AK92&gt;4,ISNUMBER(Q114),ISNUMBER(S114)),1,0)</f>
        <v>0</v>
      </c>
      <c r="T120" s="1444">
        <f>IF(AND(T114&gt;V114,$AK93&gt;6,$AK92&gt;4,ISNUMBER(T114),ISNUMBER(V114)),1,0)</f>
        <v>0</v>
      </c>
      <c r="U120" s="1444"/>
      <c r="V120" s="1445">
        <f>IF(AND(V114&gt;T114,$AK93&gt;6,$AK92&gt;4,ISNUMBER(T114),ISNUMBER(V114)),1,0)</f>
        <v>0</v>
      </c>
      <c r="W120" s="1444">
        <f>IF(AND(W114&gt;Y114,$AK93&gt;7,$AK92&gt;4,ISNUMBER(W114),ISNUMBER(Y114)),1,0)</f>
        <v>0</v>
      </c>
      <c r="X120" s="1444"/>
      <c r="Y120" s="1445">
        <f>IF(AND(Y114&gt;W114,$AK93&gt;7,$AK92&gt;4,ISNUMBER(W114),ISNUMBER(Y114)),1,0)</f>
        <v>0</v>
      </c>
      <c r="Z120" s="1444">
        <f>IF(AND(Z114&gt;AB114,$AK93&gt;8,$AK92&gt;4,ISNUMBER(Z114),ISNUMBER(AB114)),1,0)</f>
        <v>0</v>
      </c>
      <c r="AA120" s="1444"/>
      <c r="AB120" s="1445">
        <f>IF(AND(AB114&gt;Z114,$AK93&gt;8,$AK92&gt;4,ISNUMBER(Z114),ISNUMBER(AB114)),1,0)</f>
        <v>0</v>
      </c>
      <c r="AC120" s="1444">
        <f>IF(AND(AC114&gt;AE114,$AK93&gt;9,$AK92&gt;4,ISNUMBER(AC114),ISNUMBER(AE114)),1,0)</f>
        <v>0</v>
      </c>
      <c r="AD120" s="1444"/>
      <c r="AE120" s="1445">
        <f>IF(AND(AE114&gt;AC114,$AK93&gt;9,$AK92&gt;4,ISNUMBER(AC114),ISNUMBER(AE114)),1,0)</f>
        <v>0</v>
      </c>
      <c r="AW120" s="1446"/>
    </row>
    <row r="121" spans="1:49" s="1443" customFormat="1" ht="38.25" hidden="1" customHeight="1" x14ac:dyDescent="0.2">
      <c r="A121" s="1447" t="s">
        <v>84</v>
      </c>
      <c r="B121" s="1443">
        <f>SUM(B116:B120)</f>
        <v>0</v>
      </c>
      <c r="D121" s="1448">
        <f>SUM(D116:D120)</f>
        <v>2</v>
      </c>
      <c r="E121" s="1443">
        <f>SUM(E116:E120)</f>
        <v>2</v>
      </c>
      <c r="G121" s="1448">
        <f>SUM(G116:G120)</f>
        <v>0</v>
      </c>
      <c r="H121" s="1443">
        <f>SUM(H116:H120)</f>
        <v>0</v>
      </c>
      <c r="J121" s="1448">
        <f>SUM(J116:J120)</f>
        <v>2</v>
      </c>
      <c r="K121" s="1443">
        <f>SUM(K116:K120)</f>
        <v>2</v>
      </c>
      <c r="M121" s="1448">
        <f>SUM(M116:M120)</f>
        <v>0</v>
      </c>
      <c r="N121" s="1443">
        <f>SUM(N116:N120)</f>
        <v>2</v>
      </c>
      <c r="P121" s="1448">
        <f>SUM(P116:P120)</f>
        <v>0</v>
      </c>
      <c r="Q121" s="1443">
        <f>SUM(Q116:Q120)</f>
        <v>1</v>
      </c>
      <c r="S121" s="1448">
        <f>SUM(S116:S120)</f>
        <v>1</v>
      </c>
      <c r="T121" s="1443">
        <f>SUM(T116:T120)</f>
        <v>2</v>
      </c>
      <c r="V121" s="1448">
        <f>SUM(V116:V120)</f>
        <v>0</v>
      </c>
      <c r="W121" s="1443">
        <f>SUM(W116:W120)</f>
        <v>2</v>
      </c>
      <c r="Y121" s="1448">
        <f>SUM(Y116:Y120)</f>
        <v>0</v>
      </c>
      <c r="Z121" s="1443">
        <f>SUM(Z116:Z120)</f>
        <v>0</v>
      </c>
      <c r="AB121" s="1448">
        <f>SUM(AB116:AB120)</f>
        <v>2</v>
      </c>
      <c r="AC121" s="1443">
        <f>SUM(AC116:AC120)</f>
        <v>1</v>
      </c>
      <c r="AE121" s="1448">
        <f>SUM(AE116:AE120)</f>
        <v>1</v>
      </c>
      <c r="AW121" s="1446"/>
    </row>
    <row r="122" spans="1:49" s="1443" customFormat="1" ht="25.5" hidden="1" customHeight="1" x14ac:dyDescent="0.2">
      <c r="A122" s="1447" t="s">
        <v>85</v>
      </c>
      <c r="B122" s="1443">
        <f>IF(B121&gt;D121,IF(C156=AK92,1,IF(C156=AK92-1,1,0)),0)</f>
        <v>0</v>
      </c>
      <c r="C122" s="1443">
        <f>B122+D122</f>
        <v>1</v>
      </c>
      <c r="D122" s="1448">
        <f>IF(D121&gt;B121,IF(C156=AK92,1,IF(C156=AK92-1,1,0)),0)</f>
        <v>1</v>
      </c>
      <c r="E122" s="1443">
        <f>IF(E121&gt;G121,IF(F156=AK92,1,IF(F156=AK92-1,1,0)),0)</f>
        <v>1</v>
      </c>
      <c r="F122" s="1443">
        <f>E122+G122</f>
        <v>1</v>
      </c>
      <c r="G122" s="1448">
        <f>IF(G121&gt;E121,IF(F156=AK92,1,IF(F156=AK92-1,1,0)),0)</f>
        <v>0</v>
      </c>
      <c r="H122" s="1443">
        <f>IF(H121&gt;J121,IF(I156=AK92,1,IF(I156=AK92-1,1,0)),0)</f>
        <v>0</v>
      </c>
      <c r="I122" s="1443">
        <f>H122+J122</f>
        <v>1</v>
      </c>
      <c r="J122" s="1448">
        <f>IF(J121&gt;H121,IF(I156=AK92,1,IF(I156=AK92-1,1,0)),0)</f>
        <v>1</v>
      </c>
      <c r="K122" s="1443">
        <f>IF(K121&gt;M121,IF(L156=AK92,1,IF(L156=AK92-1,1,0)),0)</f>
        <v>1</v>
      </c>
      <c r="L122" s="1443">
        <f>K122+M122</f>
        <v>1</v>
      </c>
      <c r="M122" s="1448">
        <f>IF(M121&gt;K121,IF(L156=AK92,1,IF(L156=AK92-1,1,0)),0)</f>
        <v>0</v>
      </c>
      <c r="N122" s="1443">
        <f>IF(N121&gt;P121,IF(O156=AK92,1,IF(O156=AK92-1,1,0)),0)</f>
        <v>1</v>
      </c>
      <c r="O122" s="1443">
        <f>N122+P122</f>
        <v>1</v>
      </c>
      <c r="P122" s="1448">
        <f>IF(P121&gt;N121,IF(O156=AK92,1,IF(O156=AK92-1,1,0)),0)</f>
        <v>0</v>
      </c>
      <c r="Q122" s="1443">
        <f>IF(Q121&gt;S121,IF(R156=AK92,1,IF(R156=AK92-1,1,0)),0)</f>
        <v>0</v>
      </c>
      <c r="R122" s="1443">
        <f>Q122+S122</f>
        <v>0</v>
      </c>
      <c r="S122" s="1448">
        <f>IF(S121&gt;Q121,IF(R156=AK92,1,IF(R156=AK92-1,1,0)),0)</f>
        <v>0</v>
      </c>
      <c r="T122" s="1443">
        <f>IF(T121&gt;V121,IF(U156=AK92,1,IF(U156=AK92-1,1,0)),0)</f>
        <v>1</v>
      </c>
      <c r="U122" s="1443">
        <f>T122+V122</f>
        <v>1</v>
      </c>
      <c r="V122" s="1448">
        <f>IF(V121&gt;T121,IF(U156=AK92,1,IF(U156=AK92-1,1,0)),0)</f>
        <v>0</v>
      </c>
      <c r="W122" s="1443">
        <f>IF(W121&gt;Y121,IF(X156=AK92,1,IF(X156=AK92-1,1,0)),0)</f>
        <v>1</v>
      </c>
      <c r="X122" s="1443">
        <f>W122+Y122</f>
        <v>1</v>
      </c>
      <c r="Y122" s="1448">
        <f>IF(Y121&gt;W121,IF(X156=AK92,1,IF(X156=AK92-1,1,0)),0)</f>
        <v>0</v>
      </c>
      <c r="Z122" s="1443">
        <f>IF(Z121&gt;AB121,IF(AA156=AK92,1,IF(AA156=AK92-1,1,0)),0)</f>
        <v>0</v>
      </c>
      <c r="AA122" s="1443">
        <f>Z122+AB122</f>
        <v>1</v>
      </c>
      <c r="AB122" s="1448">
        <f>IF(AB121&gt;Z121,IF(AA156=AK92,1,IF(AA156=AK92-1,1,0)),0)</f>
        <v>1</v>
      </c>
      <c r="AC122" s="1443">
        <f>IF(AC121&gt;AE121,IF(AD156=AK92,1,IF(AD156=AK92-1,1,0)),0)</f>
        <v>0</v>
      </c>
      <c r="AD122" s="1443">
        <f>AC122+AE122</f>
        <v>0</v>
      </c>
      <c r="AE122" s="1448">
        <f>IF(AE121&gt;AC121,IF(AD156=AK92,1,IF(AD156=AK92-1,1,0)),0)</f>
        <v>0</v>
      </c>
      <c r="AW122" s="1446"/>
    </row>
    <row r="123" spans="1:49" s="1443" customFormat="1" ht="25.5" hidden="1" customHeight="1" x14ac:dyDescent="0.2">
      <c r="A123" s="1447"/>
      <c r="D123" s="1448"/>
      <c r="G123" s="1448"/>
      <c r="J123" s="1448"/>
      <c r="M123" s="1448"/>
      <c r="P123" s="1448"/>
      <c r="S123" s="1448"/>
      <c r="V123" s="1448"/>
      <c r="Y123" s="1448"/>
      <c r="AB123" s="1448"/>
      <c r="AE123" s="1448"/>
      <c r="AW123" s="1446"/>
    </row>
    <row r="124" spans="1:49" s="1443" customFormat="1" ht="12.75" hidden="1" customHeight="1" x14ac:dyDescent="0.2">
      <c r="A124" s="1443" t="s">
        <v>86</v>
      </c>
      <c r="B124" s="1443">
        <f>IF(B116=1,B110,0)</f>
        <v>0</v>
      </c>
      <c r="D124" s="1448">
        <f t="shared" ref="D124:E128" si="11">IF(D116=1,D110,0)</f>
        <v>25</v>
      </c>
      <c r="E124" s="1443">
        <f t="shared" si="11"/>
        <v>25</v>
      </c>
      <c r="G124" s="1448">
        <f t="shared" ref="G124:H128" si="12">IF(G116=1,G110,0)</f>
        <v>0</v>
      </c>
      <c r="H124" s="1443">
        <f t="shared" si="12"/>
        <v>0</v>
      </c>
      <c r="J124" s="1448">
        <f t="shared" ref="J124:K128" si="13">IF(J116=1,J110,0)</f>
        <v>25</v>
      </c>
      <c r="K124" s="1443">
        <f t="shared" si="13"/>
        <v>25</v>
      </c>
      <c r="M124" s="1448">
        <f t="shared" ref="M124:N128" si="14">IF(M116=1,M110,0)</f>
        <v>0</v>
      </c>
      <c r="N124" s="1443">
        <f t="shared" si="14"/>
        <v>25</v>
      </c>
      <c r="P124" s="1448">
        <f t="shared" ref="P124:Q128" si="15">IF(P116=1,P110,0)</f>
        <v>0</v>
      </c>
      <c r="Q124" s="1443">
        <f t="shared" si="15"/>
        <v>0</v>
      </c>
      <c r="S124" s="1448">
        <f t="shared" ref="S124:T128" si="16">IF(S116=1,S110,0)</f>
        <v>25</v>
      </c>
      <c r="T124" s="1443">
        <f t="shared" si="16"/>
        <v>25</v>
      </c>
      <c r="V124" s="1448">
        <f t="shared" ref="V124:W128" si="17">IF(V116=1,V110,0)</f>
        <v>0</v>
      </c>
      <c r="W124" s="1443">
        <f t="shared" si="17"/>
        <v>25</v>
      </c>
      <c r="Y124" s="1448">
        <f t="shared" ref="Y124:Z128" si="18">IF(Y116=1,Y110,0)</f>
        <v>0</v>
      </c>
      <c r="Z124" s="1443">
        <f t="shared" si="18"/>
        <v>0</v>
      </c>
      <c r="AB124" s="1448">
        <f t="shared" ref="AB124:AC128" si="19">IF(AB116=1,AB110,0)</f>
        <v>25</v>
      </c>
      <c r="AC124" s="1443">
        <f t="shared" si="19"/>
        <v>0</v>
      </c>
      <c r="AE124" s="1448">
        <f>IF(AE116=1,AE110,0)</f>
        <v>25</v>
      </c>
      <c r="AW124" s="1446"/>
    </row>
    <row r="125" spans="1:49" s="1443" customFormat="1" ht="12.75" hidden="1" customHeight="1" x14ac:dyDescent="0.2">
      <c r="A125" s="1443" t="s">
        <v>87</v>
      </c>
      <c r="B125" s="1443">
        <f>IF(B117=1,B111,0)</f>
        <v>0</v>
      </c>
      <c r="D125" s="1448">
        <f t="shared" si="11"/>
        <v>25</v>
      </c>
      <c r="E125" s="1443">
        <f t="shared" si="11"/>
        <v>27</v>
      </c>
      <c r="G125" s="1448">
        <f t="shared" si="12"/>
        <v>0</v>
      </c>
      <c r="H125" s="1443">
        <f t="shared" si="12"/>
        <v>0</v>
      </c>
      <c r="J125" s="1448">
        <f t="shared" si="13"/>
        <v>25</v>
      </c>
      <c r="K125" s="1443">
        <f t="shared" si="13"/>
        <v>25</v>
      </c>
      <c r="M125" s="1448">
        <f t="shared" si="14"/>
        <v>0</v>
      </c>
      <c r="N125" s="1443">
        <f t="shared" si="14"/>
        <v>25</v>
      </c>
      <c r="P125" s="1448">
        <f t="shared" si="15"/>
        <v>0</v>
      </c>
      <c r="Q125" s="1443">
        <f t="shared" si="15"/>
        <v>25</v>
      </c>
      <c r="S125" s="1448">
        <f t="shared" si="16"/>
        <v>0</v>
      </c>
      <c r="T125" s="1443">
        <f t="shared" si="16"/>
        <v>25</v>
      </c>
      <c r="V125" s="1448">
        <f t="shared" si="17"/>
        <v>0</v>
      </c>
      <c r="W125" s="1443">
        <f t="shared" si="17"/>
        <v>25</v>
      </c>
      <c r="Y125" s="1448">
        <f t="shared" si="18"/>
        <v>0</v>
      </c>
      <c r="Z125" s="1443">
        <f t="shared" si="18"/>
        <v>0</v>
      </c>
      <c r="AB125" s="1448">
        <f t="shared" si="19"/>
        <v>25</v>
      </c>
      <c r="AC125" s="1443">
        <f t="shared" si="19"/>
        <v>25</v>
      </c>
      <c r="AE125" s="1448">
        <f>IF(AE117=1,AE111,0)</f>
        <v>0</v>
      </c>
      <c r="AW125" s="1446"/>
    </row>
    <row r="126" spans="1:49" s="1443" customFormat="1" ht="12.75" hidden="1" customHeight="1" x14ac:dyDescent="0.2">
      <c r="A126" s="1443" t="s">
        <v>88</v>
      </c>
      <c r="B126" s="1443">
        <f>IF(B118=1,B112,0)</f>
        <v>0</v>
      </c>
      <c r="D126" s="1448">
        <f t="shared" si="11"/>
        <v>0</v>
      </c>
      <c r="E126" s="1443">
        <f t="shared" si="11"/>
        <v>0</v>
      </c>
      <c r="G126" s="1448">
        <f t="shared" si="12"/>
        <v>0</v>
      </c>
      <c r="H126" s="1443">
        <f t="shared" si="12"/>
        <v>0</v>
      </c>
      <c r="J126" s="1448">
        <f t="shared" si="13"/>
        <v>0</v>
      </c>
      <c r="K126" s="1443">
        <f t="shared" si="13"/>
        <v>0</v>
      </c>
      <c r="M126" s="1448">
        <f t="shared" si="14"/>
        <v>0</v>
      </c>
      <c r="N126" s="1443">
        <f t="shared" si="14"/>
        <v>0</v>
      </c>
      <c r="P126" s="1448">
        <f t="shared" si="15"/>
        <v>0</v>
      </c>
      <c r="Q126" s="1443">
        <f t="shared" si="15"/>
        <v>0</v>
      </c>
      <c r="S126" s="1448">
        <f t="shared" si="16"/>
        <v>0</v>
      </c>
      <c r="T126" s="1443">
        <f t="shared" si="16"/>
        <v>0</v>
      </c>
      <c r="V126" s="1448">
        <f t="shared" si="17"/>
        <v>0</v>
      </c>
      <c r="W126" s="1443">
        <f t="shared" si="17"/>
        <v>0</v>
      </c>
      <c r="Y126" s="1448">
        <f t="shared" si="18"/>
        <v>0</v>
      </c>
      <c r="Z126" s="1443">
        <f t="shared" si="18"/>
        <v>0</v>
      </c>
      <c r="AB126" s="1448">
        <f t="shared" si="19"/>
        <v>0</v>
      </c>
      <c r="AC126" s="1443">
        <f t="shared" si="19"/>
        <v>0</v>
      </c>
      <c r="AE126" s="1448">
        <f>IF(AE118=1,AE112,0)</f>
        <v>0</v>
      </c>
      <c r="AW126" s="1446"/>
    </row>
    <row r="127" spans="1:49" s="1443" customFormat="1" ht="12.75" hidden="1" customHeight="1" x14ac:dyDescent="0.2">
      <c r="A127" s="1443" t="s">
        <v>89</v>
      </c>
      <c r="B127" s="1443">
        <f>IF(B119=1,B113,0)</f>
        <v>0</v>
      </c>
      <c r="D127" s="1448">
        <f t="shared" si="11"/>
        <v>0</v>
      </c>
      <c r="E127" s="1443">
        <f t="shared" si="11"/>
        <v>0</v>
      </c>
      <c r="G127" s="1448">
        <f t="shared" si="12"/>
        <v>0</v>
      </c>
      <c r="H127" s="1443">
        <f t="shared" si="12"/>
        <v>0</v>
      </c>
      <c r="J127" s="1448">
        <f t="shared" si="13"/>
        <v>0</v>
      </c>
      <c r="K127" s="1443">
        <f t="shared" si="13"/>
        <v>0</v>
      </c>
      <c r="M127" s="1448">
        <f t="shared" si="14"/>
        <v>0</v>
      </c>
      <c r="N127" s="1443">
        <f t="shared" si="14"/>
        <v>0</v>
      </c>
      <c r="P127" s="1448">
        <f t="shared" si="15"/>
        <v>0</v>
      </c>
      <c r="Q127" s="1443">
        <f t="shared" si="15"/>
        <v>0</v>
      </c>
      <c r="S127" s="1448">
        <f t="shared" si="16"/>
        <v>0</v>
      </c>
      <c r="T127" s="1443">
        <f t="shared" si="16"/>
        <v>0</v>
      </c>
      <c r="V127" s="1448">
        <f t="shared" si="17"/>
        <v>0</v>
      </c>
      <c r="W127" s="1443">
        <f t="shared" si="17"/>
        <v>0</v>
      </c>
      <c r="Y127" s="1448">
        <f t="shared" si="18"/>
        <v>0</v>
      </c>
      <c r="Z127" s="1443">
        <f t="shared" si="18"/>
        <v>0</v>
      </c>
      <c r="AB127" s="1448">
        <f t="shared" si="19"/>
        <v>0</v>
      </c>
      <c r="AC127" s="1443">
        <f t="shared" si="19"/>
        <v>0</v>
      </c>
      <c r="AE127" s="1448">
        <f>IF(AE119=1,AE113,0)</f>
        <v>0</v>
      </c>
      <c r="AW127" s="1446"/>
    </row>
    <row r="128" spans="1:49" s="1443" customFormat="1" ht="12.75" hidden="1" customHeight="1" x14ac:dyDescent="0.2">
      <c r="A128" s="1443" t="s">
        <v>90</v>
      </c>
      <c r="B128" s="1443">
        <f>IF(B120=1,B114,0)</f>
        <v>0</v>
      </c>
      <c r="D128" s="1448">
        <f t="shared" si="11"/>
        <v>0</v>
      </c>
      <c r="E128" s="1443">
        <f t="shared" si="11"/>
        <v>0</v>
      </c>
      <c r="G128" s="1448">
        <f t="shared" si="12"/>
        <v>0</v>
      </c>
      <c r="H128" s="1443">
        <f t="shared" si="12"/>
        <v>0</v>
      </c>
      <c r="J128" s="1448">
        <f t="shared" si="13"/>
        <v>0</v>
      </c>
      <c r="K128" s="1443">
        <f t="shared" si="13"/>
        <v>0</v>
      </c>
      <c r="M128" s="1448">
        <f t="shared" si="14"/>
        <v>0</v>
      </c>
      <c r="N128" s="1443">
        <f t="shared" si="14"/>
        <v>0</v>
      </c>
      <c r="P128" s="1448">
        <f t="shared" si="15"/>
        <v>0</v>
      </c>
      <c r="Q128" s="1443">
        <f t="shared" si="15"/>
        <v>0</v>
      </c>
      <c r="S128" s="1448">
        <f t="shared" si="16"/>
        <v>0</v>
      </c>
      <c r="T128" s="1443">
        <f t="shared" si="16"/>
        <v>0</v>
      </c>
      <c r="V128" s="1448">
        <f t="shared" si="17"/>
        <v>0</v>
      </c>
      <c r="W128" s="1443">
        <f t="shared" si="17"/>
        <v>0</v>
      </c>
      <c r="Y128" s="1448">
        <f t="shared" si="18"/>
        <v>0</v>
      </c>
      <c r="Z128" s="1443">
        <f t="shared" si="18"/>
        <v>0</v>
      </c>
      <c r="AB128" s="1448">
        <f t="shared" si="19"/>
        <v>0</v>
      </c>
      <c r="AC128" s="1443">
        <f t="shared" si="19"/>
        <v>0</v>
      </c>
      <c r="AE128" s="1448">
        <f>IF(AE120=1,AE114,0)</f>
        <v>0</v>
      </c>
      <c r="AW128" s="1446"/>
    </row>
    <row r="129" spans="1:49" s="1443" customFormat="1" ht="38.25" hidden="1" customHeight="1" x14ac:dyDescent="0.2">
      <c r="A129" s="1447" t="s">
        <v>91</v>
      </c>
      <c r="B129" s="1443">
        <f>SUM(B124:D128)</f>
        <v>50</v>
      </c>
      <c r="D129" s="1448"/>
      <c r="E129" s="1443">
        <f>SUM(E124:G128)</f>
        <v>52</v>
      </c>
      <c r="G129" s="1448"/>
      <c r="H129" s="1443">
        <f>SUM(H124:J128)</f>
        <v>50</v>
      </c>
      <c r="J129" s="1448"/>
      <c r="K129" s="1443">
        <f>SUM(K124:M128)</f>
        <v>50</v>
      </c>
      <c r="M129" s="1448"/>
      <c r="N129" s="1443">
        <f>SUM(N124:P128)</f>
        <v>50</v>
      </c>
      <c r="P129" s="1448"/>
      <c r="Q129" s="1443">
        <f>SUM(Q124:S128)</f>
        <v>50</v>
      </c>
      <c r="S129" s="1448"/>
      <c r="T129" s="1443">
        <f>SUM(T124:V128)</f>
        <v>50</v>
      </c>
      <c r="V129" s="1448"/>
      <c r="W129" s="1443">
        <f>SUM(W124:Y128)</f>
        <v>50</v>
      </c>
      <c r="Y129" s="1448"/>
      <c r="Z129" s="1443">
        <f>SUM(Z124:AB128)</f>
        <v>50</v>
      </c>
      <c r="AB129" s="1448"/>
      <c r="AC129" s="1443">
        <f>SUM(AC124:AE128)</f>
        <v>50</v>
      </c>
      <c r="AE129" s="1448"/>
      <c r="AW129" s="1446"/>
    </row>
    <row r="130" spans="1:49" s="1443" customFormat="1" ht="38.25" hidden="1" customHeight="1" x14ac:dyDescent="0.2">
      <c r="A130" s="1443" t="s">
        <v>92</v>
      </c>
      <c r="D130" s="1448"/>
      <c r="G130" s="1448"/>
      <c r="J130" s="1448"/>
      <c r="M130" s="1448"/>
      <c r="P130" s="1448"/>
      <c r="S130" s="1448"/>
      <c r="V130" s="1448"/>
      <c r="Y130" s="1448"/>
      <c r="AB130" s="1448"/>
      <c r="AE130" s="1448"/>
      <c r="AF130" s="1447" t="s">
        <v>93</v>
      </c>
      <c r="AG130" s="1443" t="s">
        <v>94</v>
      </c>
      <c r="AW130" s="1446"/>
    </row>
    <row r="131" spans="1:49" s="1443" customFormat="1" ht="12.75" hidden="1" customHeight="1" x14ac:dyDescent="0.2">
      <c r="A131" s="1443" t="s">
        <v>95</v>
      </c>
      <c r="B131" s="1443">
        <f>IF(B109=1,IF(B122=1,1,0),0)</f>
        <v>0</v>
      </c>
      <c r="D131" s="1448">
        <f>IF(D109=1,IF(D122=1,1,0),0)</f>
        <v>0</v>
      </c>
      <c r="E131" s="1443">
        <f>IF(E109=1,IF(E122=1,1,0),0)</f>
        <v>1</v>
      </c>
      <c r="G131" s="1448">
        <f>IF(G109=1,IF(G122=1,1,0),0)</f>
        <v>0</v>
      </c>
      <c r="H131" s="1443">
        <f>IF(H109=1,IF(H122=1,1,0),0)</f>
        <v>0</v>
      </c>
      <c r="J131" s="1448">
        <f>IF(J109=1,IF(J122=1,1,0),0)</f>
        <v>0</v>
      </c>
      <c r="K131" s="1443">
        <f>IF(K109=1,IF(K122=1,1,0),0)</f>
        <v>0</v>
      </c>
      <c r="M131" s="1448">
        <f>IF(M109=1,IF(M122=1,1,0),0)</f>
        <v>0</v>
      </c>
      <c r="N131" s="1443">
        <f>IF(N109=1,IF(N122=1,1,0),0)</f>
        <v>1</v>
      </c>
      <c r="P131" s="1448">
        <f>IF(P109=1,IF(P122=1,1,0),0)</f>
        <v>0</v>
      </c>
      <c r="Q131" s="1443">
        <f>IF(Q109=1,IF(Q122=1,1,0),0)</f>
        <v>0</v>
      </c>
      <c r="S131" s="1448">
        <f>IF(S109=1,IF(S122=1,1,0),0)</f>
        <v>0</v>
      </c>
      <c r="T131" s="1443">
        <f>IF(T109=1,IF(T122=1,1,0),0)</f>
        <v>0</v>
      </c>
      <c r="V131" s="1448">
        <f>IF(V109=1,IF(V122=1,1,0),0)</f>
        <v>0</v>
      </c>
      <c r="W131" s="1443">
        <f>IF(W109=1,IF(W122=1,1,0),0)</f>
        <v>1</v>
      </c>
      <c r="Y131" s="1448">
        <f>IF(Y109=1,IF(Y122=1,1,0),0)</f>
        <v>0</v>
      </c>
      <c r="Z131" s="1443">
        <f>IF(Z109=1,IF(Z122=1,1,0),0)</f>
        <v>0</v>
      </c>
      <c r="AB131" s="1448">
        <f>IF(AB109=1,IF(AB122=1,1,0),0)</f>
        <v>0</v>
      </c>
      <c r="AC131" s="1443">
        <f>IF(AC109=1,IF(AC122=1,1,0),0)</f>
        <v>0</v>
      </c>
      <c r="AE131" s="1448">
        <f>IF(AE109=1,IF(AE122=1,1,0),0)</f>
        <v>0</v>
      </c>
      <c r="AF131" s="1443">
        <f>SUM(B131:AE131)</f>
        <v>3</v>
      </c>
      <c r="AG131" s="1443">
        <f>AF137-AF131</f>
        <v>0</v>
      </c>
      <c r="AW131" s="1446"/>
    </row>
    <row r="132" spans="1:49" s="1443" customFormat="1" ht="12.75" hidden="1" customHeight="1" x14ac:dyDescent="0.2">
      <c r="A132" s="1443" t="s">
        <v>96</v>
      </c>
      <c r="B132" s="1443">
        <f>IF(B109=2,IF(B122=1,1,0),0)</f>
        <v>0</v>
      </c>
      <c r="D132" s="1448">
        <f>IF(D109=2,IF(D122=1,1,0),0)</f>
        <v>0</v>
      </c>
      <c r="E132" s="1443">
        <f>IF(E109=2,IF(E122=1,1,0),0)</f>
        <v>0</v>
      </c>
      <c r="G132" s="1448">
        <f>IF(G109=2,IF(G122=1,1,0),0)</f>
        <v>0</v>
      </c>
      <c r="H132" s="1443">
        <f>IF(H109=2,IF(H122=1,1,0),0)</f>
        <v>0</v>
      </c>
      <c r="J132" s="1448">
        <f>IF(J109=2,IF(J122=1,1,0),0)</f>
        <v>0</v>
      </c>
      <c r="K132" s="1443">
        <f>IF(K109=2,IF(K122=1,1,0),0)</f>
        <v>1</v>
      </c>
      <c r="M132" s="1448">
        <f>IF(M109=2,IF(M122=1,1,0),0)</f>
        <v>0</v>
      </c>
      <c r="N132" s="1443">
        <f>IF(N109=2,IF(N122=1,1,0),0)</f>
        <v>0</v>
      </c>
      <c r="P132" s="1448">
        <f>IF(P109=2,IF(P122=1,1,0),0)</f>
        <v>0</v>
      </c>
      <c r="Q132" s="1443">
        <f>IF(Q109=2,IF(Q122=1,1,0),0)</f>
        <v>0</v>
      </c>
      <c r="S132" s="1448">
        <f>IF(S109=2,IF(S122=1,1,0),0)</f>
        <v>0</v>
      </c>
      <c r="T132" s="1443">
        <f>IF(T109=2,IF(T122=1,1,0),0)</f>
        <v>1</v>
      </c>
      <c r="V132" s="1448">
        <f>IF(V109=2,IF(V122=1,1,0),0)</f>
        <v>0</v>
      </c>
      <c r="W132" s="1443">
        <f>IF(W109=2,IF(W122=1,1,0),0)</f>
        <v>0</v>
      </c>
      <c r="Y132" s="1448">
        <f>IF(Y109=2,IF(Y122=1,1,0),0)</f>
        <v>0</v>
      </c>
      <c r="Z132" s="1443">
        <f>IF(Z109=2,IF(Z122=1,1,0),0)</f>
        <v>0</v>
      </c>
      <c r="AB132" s="1448">
        <f>IF(AB109=2,IF(AB122=1,1,0),0)</f>
        <v>0</v>
      </c>
      <c r="AC132" s="1443">
        <f>IF(AC109=2,IF(AC122=1,1,0),0)</f>
        <v>0</v>
      </c>
      <c r="AE132" s="1448">
        <f>IF(AE109=2,IF(AE122=1,1,0),0)</f>
        <v>0</v>
      </c>
      <c r="AF132" s="1443">
        <f>SUM(B132:AE132)</f>
        <v>2</v>
      </c>
      <c r="AG132" s="1443">
        <f>AF138-AF132</f>
        <v>1</v>
      </c>
      <c r="AW132" s="1446"/>
    </row>
    <row r="133" spans="1:49" s="1443" customFormat="1" ht="12.75" hidden="1" customHeight="1" x14ac:dyDescent="0.2">
      <c r="A133" s="1443" t="s">
        <v>97</v>
      </c>
      <c r="B133" s="1443">
        <f>IF(B109=3,IF(B122=1,1,0),0)</f>
        <v>0</v>
      </c>
      <c r="D133" s="1448">
        <f>IF(D109=3,IF(D122=1,1,0),0)</f>
        <v>0</v>
      </c>
      <c r="E133" s="1443">
        <f>IF(E109=3,IF(E122=1,1,0),0)</f>
        <v>0</v>
      </c>
      <c r="G133" s="1448">
        <f>IF(G109=3,IF(G122=1,1,0),0)</f>
        <v>0</v>
      </c>
      <c r="H133" s="1443">
        <f>IF(H109=3,IF(H122=1,1,0),0)</f>
        <v>0</v>
      </c>
      <c r="J133" s="1448">
        <f>IF(J109=3,IF(J122=1,1,0),0)</f>
        <v>0</v>
      </c>
      <c r="K133" s="1443">
        <f>IF(K109=3,IF(K122=1,1,0),0)</f>
        <v>0</v>
      </c>
      <c r="M133" s="1448">
        <f>IF(M109=3,IF(M122=1,1,0),0)</f>
        <v>0</v>
      </c>
      <c r="N133" s="1443">
        <f>IF(N109=3,IF(N122=1,1,0),0)</f>
        <v>0</v>
      </c>
      <c r="P133" s="1448">
        <f>IF(P109=3,IF(P122=1,1,0),0)</f>
        <v>0</v>
      </c>
      <c r="Q133" s="1443">
        <f>IF(Q109=3,IF(Q122=1,1,0),0)</f>
        <v>0</v>
      </c>
      <c r="S133" s="1448">
        <f>IF(S109=3,IF(S122=1,1,0),0)</f>
        <v>0</v>
      </c>
      <c r="T133" s="1443">
        <f>IF(T109=3,IF(T122=1,1,0),0)</f>
        <v>0</v>
      </c>
      <c r="V133" s="1448">
        <f>IF(V109=3,IF(V122=1,1,0),0)</f>
        <v>0</v>
      </c>
      <c r="W133" s="1443">
        <f>IF(W109=3,IF(W122=1,1,0),0)</f>
        <v>0</v>
      </c>
      <c r="Y133" s="1448">
        <f>IF(Y109=3,IF(Y122=1,1,0),0)</f>
        <v>0</v>
      </c>
      <c r="Z133" s="1443">
        <f>IF(Z109=3,IF(Z122=1,1,0),0)</f>
        <v>0</v>
      </c>
      <c r="AB133" s="1448">
        <f>IF(AB109=3,IF(AB122=1,1,0),0)</f>
        <v>0</v>
      </c>
      <c r="AC133" s="1443">
        <f>IF(AC109=3,IF(AC122=1,1,0),0)</f>
        <v>0</v>
      </c>
      <c r="AE133" s="1448">
        <f>IF(AE109=3,IF(AE122=1,1,0),0)</f>
        <v>0</v>
      </c>
      <c r="AF133" s="1443">
        <f>SUM(B133:AE133)</f>
        <v>0</v>
      </c>
      <c r="AG133" s="1443">
        <f>AF139-AF133</f>
        <v>4</v>
      </c>
      <c r="AW133" s="1446"/>
    </row>
    <row r="134" spans="1:49" s="1443" customFormat="1" ht="12.75" hidden="1" customHeight="1" x14ac:dyDescent="0.2">
      <c r="A134" s="1443" t="s">
        <v>98</v>
      </c>
      <c r="B134" s="1443">
        <f>IF(B109=4,IF(B122=1,1,0),0)</f>
        <v>0</v>
      </c>
      <c r="D134" s="1448">
        <f>IF(D109=4,IF(D122=1,1,0),0)</f>
        <v>0</v>
      </c>
      <c r="E134" s="1443">
        <f>IF(E109=4,IF(E122=1,1,0),0)</f>
        <v>0</v>
      </c>
      <c r="G134" s="1448">
        <f>IF(G109=4,IF(G122=1,1,0),0)</f>
        <v>0</v>
      </c>
      <c r="H134" s="1443">
        <f>IF(H109=4,IF(H122=1,1,0),0)</f>
        <v>0</v>
      </c>
      <c r="J134" s="1448">
        <f>IF(J109=4,IF(J122=1,1,0),0)</f>
        <v>0</v>
      </c>
      <c r="K134" s="1443">
        <f>IF(K109=4,IF(K122=1,1,0),0)</f>
        <v>0</v>
      </c>
      <c r="M134" s="1448">
        <f>IF(M109=4,IF(M122=1,1,0),0)</f>
        <v>0</v>
      </c>
      <c r="N134" s="1443">
        <f>IF(N109=4,IF(N122=1,1,0),0)</f>
        <v>0</v>
      </c>
      <c r="P134" s="1448">
        <f>IF(P109=4,IF(P122=1,1,0),0)</f>
        <v>0</v>
      </c>
      <c r="Q134" s="1443">
        <f>IF(Q109=4,IF(Q122=1,1,0),0)</f>
        <v>0</v>
      </c>
      <c r="S134" s="1448">
        <f>IF(S109=4,IF(S122=1,1,0),0)</f>
        <v>0</v>
      </c>
      <c r="T134" s="1443">
        <f>IF(T109=4,IF(T122=1,1,0),0)</f>
        <v>0</v>
      </c>
      <c r="V134" s="1448">
        <f>IF(V109=4,IF(V122=1,1,0),0)</f>
        <v>0</v>
      </c>
      <c r="W134" s="1443">
        <f>IF(W109=4,IF(W122=1,1,0),0)</f>
        <v>0</v>
      </c>
      <c r="Y134" s="1448">
        <f>IF(Y109=4,IF(Y122=1,1,0),0)</f>
        <v>0</v>
      </c>
      <c r="Z134" s="1443">
        <f>IF(Z109=4,IF(Z122=1,1,0),0)</f>
        <v>0</v>
      </c>
      <c r="AB134" s="1448">
        <f>IF(AB109=4,IF(AB122=1,1,0),0)</f>
        <v>1</v>
      </c>
      <c r="AC134" s="1443">
        <f>IF(AC109=4,IF(AC122=1,1,0),0)</f>
        <v>0</v>
      </c>
      <c r="AE134" s="1448">
        <f>IF(AE109=4,IF(AE122=1,1,0),0)</f>
        <v>0</v>
      </c>
      <c r="AF134" s="1443">
        <f>SUM(B134:AE134)</f>
        <v>1</v>
      </c>
      <c r="AG134" s="1443">
        <f>AF140-AF134</f>
        <v>2</v>
      </c>
      <c r="AW134" s="1446"/>
    </row>
    <row r="135" spans="1:49" s="1443" customFormat="1" ht="12.75" hidden="1" customHeight="1" x14ac:dyDescent="0.2">
      <c r="A135" s="1443" t="s">
        <v>99</v>
      </c>
      <c r="B135" s="1443">
        <f>IF(B109=5,IF(B122=1,1,0),0)</f>
        <v>0</v>
      </c>
      <c r="D135" s="1448">
        <f>IF(D109=5,IF(D122=1,1,0),0)</f>
        <v>1</v>
      </c>
      <c r="E135" s="1443">
        <f>IF(E109=5,IF(E122=1,1,0),0)</f>
        <v>0</v>
      </c>
      <c r="G135" s="1448">
        <f>IF(G109=5,IF(G122=1,1,0),0)</f>
        <v>0</v>
      </c>
      <c r="H135" s="1443">
        <f>IF(H109=5,IF(H122=1,1,0),0)</f>
        <v>0</v>
      </c>
      <c r="J135" s="1448">
        <f>IF(J109=5,IF(J122=1,1,0),0)</f>
        <v>1</v>
      </c>
      <c r="K135" s="1443">
        <f>IF(K109=5,IF(K122=1,1,0),0)</f>
        <v>0</v>
      </c>
      <c r="M135" s="1448">
        <f>IF(M109=5,IF(M122=1,1,0),0)</f>
        <v>0</v>
      </c>
      <c r="N135" s="1443">
        <f>IF(N109=5,IF(N122=1,1,0),0)</f>
        <v>0</v>
      </c>
      <c r="P135" s="1448">
        <f>IF(P109=5,IF(P122=1,1,0),0)</f>
        <v>0</v>
      </c>
      <c r="Q135" s="1443">
        <f>IF(Q109=5,IF(Q122=1,1,0),0)</f>
        <v>0</v>
      </c>
      <c r="S135" s="1448">
        <f>IF(S109=5,IF(S122=1,1,0),0)</f>
        <v>0</v>
      </c>
      <c r="T135" s="1443">
        <f>IF(T109=5,IF(T122=1,1,0),0)</f>
        <v>0</v>
      </c>
      <c r="V135" s="1448">
        <f>IF(V109=5,IF(V122=1,1,0),0)</f>
        <v>0</v>
      </c>
      <c r="W135" s="1443">
        <f>IF(W109=5,IF(W122=1,1,0),0)</f>
        <v>0</v>
      </c>
      <c r="Y135" s="1448">
        <f>IF(Y109=5,IF(Y122=1,1,0),0)</f>
        <v>0</v>
      </c>
      <c r="Z135" s="1443">
        <f>IF(Z109=5,IF(Z122=1,1,0),0)</f>
        <v>0</v>
      </c>
      <c r="AB135" s="1448">
        <f>IF(AB109=5,IF(AB122=1,1,0),0)</f>
        <v>0</v>
      </c>
      <c r="AC135" s="1443">
        <f>IF(AC109=5,IF(AC122=1,1,0),0)</f>
        <v>0</v>
      </c>
      <c r="AE135" s="1448">
        <f>IF(AE109=5,IF(AE122=1,1,0),0)</f>
        <v>0</v>
      </c>
      <c r="AF135" s="1443">
        <f>SUM(B135:AE135)</f>
        <v>2</v>
      </c>
      <c r="AG135" s="1443">
        <f>AF141-AF135</f>
        <v>1</v>
      </c>
      <c r="AW135" s="1446"/>
    </row>
    <row r="136" spans="1:49" s="1443" customFormat="1" ht="38.25" hidden="1" customHeight="1" x14ac:dyDescent="0.2">
      <c r="A136" s="1447"/>
      <c r="D136" s="1448"/>
      <c r="G136" s="1448"/>
      <c r="J136" s="1448"/>
      <c r="M136" s="1448"/>
      <c r="P136" s="1448"/>
      <c r="S136" s="1448"/>
      <c r="V136" s="1448"/>
      <c r="Y136" s="1448"/>
      <c r="AB136" s="1448"/>
      <c r="AE136" s="1448"/>
      <c r="AF136" s="1447" t="s">
        <v>100</v>
      </c>
      <c r="AW136" s="1446"/>
    </row>
    <row r="137" spans="1:49" s="1443" customFormat="1" ht="12.75" hidden="1" customHeight="1" x14ac:dyDescent="0.2">
      <c r="A137" s="1443" t="s">
        <v>101</v>
      </c>
      <c r="B137" s="1443">
        <f>IF(B109=1,IF(C122=1,1,0),0)</f>
        <v>0</v>
      </c>
      <c r="D137" s="1448">
        <f>IF(D109=1,IF(C122=1,1,0),0)</f>
        <v>0</v>
      </c>
      <c r="E137" s="1443">
        <f>IF(E109=1,IF(F122=1,1,0),0)</f>
        <v>1</v>
      </c>
      <c r="G137" s="1448">
        <f>IF(G109=1,IF(F122=1,1,0),0)</f>
        <v>0</v>
      </c>
      <c r="H137" s="1443">
        <f>IF(H109=1,IF(I122=1,1,0),0)</f>
        <v>0</v>
      </c>
      <c r="J137" s="1448">
        <f>IF(J109=1,IF(I122=1,1,0),0)</f>
        <v>0</v>
      </c>
      <c r="K137" s="1443">
        <f>IF(K109=1,IF(L122=1,1,0),0)</f>
        <v>0</v>
      </c>
      <c r="M137" s="1448">
        <f>IF(M109=1,IF(L122=1,1,0),0)</f>
        <v>0</v>
      </c>
      <c r="N137" s="1443">
        <f>IF(N109=1,IF(O122=1,1,0),0)</f>
        <v>1</v>
      </c>
      <c r="P137" s="1448">
        <f>IF(P109=1,IF(O122=1,1,0),0)</f>
        <v>0</v>
      </c>
      <c r="Q137" s="1443">
        <f>IF(Q109=1,IF(R122=1,1,0),0)</f>
        <v>0</v>
      </c>
      <c r="S137" s="1448">
        <f>IF(S109=1,IF(R122=1,1,0),0)</f>
        <v>0</v>
      </c>
      <c r="T137" s="1443">
        <f>IF(T109=1,IF(U122=1,1,0),0)</f>
        <v>0</v>
      </c>
      <c r="V137" s="1448">
        <f>IF(V109=1,IF(U122=1,1,0),0)</f>
        <v>0</v>
      </c>
      <c r="W137" s="1443">
        <f>IF(W109=1,IF(X122=1,1,0),0)</f>
        <v>1</v>
      </c>
      <c r="Y137" s="1448">
        <f>IF(Y109=1,IF(X122=1,1,0),0)</f>
        <v>0</v>
      </c>
      <c r="Z137" s="1443">
        <f>IF(Z109=1,IF(AA122=1,1,0),0)</f>
        <v>0</v>
      </c>
      <c r="AB137" s="1448">
        <f>IF(AB109=1,IF(AA122=1,1,0),0)</f>
        <v>0</v>
      </c>
      <c r="AC137" s="1443">
        <f>IF(AC109=1,IF(AD122=1,1,0),0)</f>
        <v>0</v>
      </c>
      <c r="AE137" s="1448">
        <f>IF(AE109=1,IF(AD122=1,1,0),0)</f>
        <v>0</v>
      </c>
      <c r="AF137" s="1443">
        <f>SUM(B137:AE137)</f>
        <v>3</v>
      </c>
      <c r="AW137" s="1446"/>
    </row>
    <row r="138" spans="1:49" s="1443" customFormat="1" ht="12.75" hidden="1" customHeight="1" x14ac:dyDescent="0.2">
      <c r="A138" s="1443" t="s">
        <v>102</v>
      </c>
      <c r="B138" s="1443">
        <f>IF(B109=2,IF(C122=1,1,0),0)</f>
        <v>1</v>
      </c>
      <c r="D138" s="1448">
        <f>IF(D109=2,IF(C122=1,1,0),0)</f>
        <v>0</v>
      </c>
      <c r="E138" s="1443">
        <f>IF(E109=2,IF(F122=1,1,0),0)</f>
        <v>0</v>
      </c>
      <c r="G138" s="1448">
        <f>IF(G109=2,IF(F122=1,1,0),0)</f>
        <v>0</v>
      </c>
      <c r="H138" s="1443">
        <f>IF(H109=2,IF(I122=1,1,0),0)</f>
        <v>0</v>
      </c>
      <c r="J138" s="1448">
        <f>IF(J109=2,IF(I122=1,1,0),0)</f>
        <v>0</v>
      </c>
      <c r="K138" s="1443">
        <f>IF(K109=2,IF(L122=1,1,0),0)</f>
        <v>1</v>
      </c>
      <c r="M138" s="1448">
        <f>IF(M109=2,IF(L122=1,1,0),0)</f>
        <v>0</v>
      </c>
      <c r="N138" s="1443">
        <f>IF(N109=2,IF(O122=1,1,0),0)</f>
        <v>0</v>
      </c>
      <c r="P138" s="1448">
        <f>IF(P109=2,IF(O122=1,1,0),0)</f>
        <v>0</v>
      </c>
      <c r="Q138" s="1443">
        <f>IF(Q109=2,IF(R122=1,1,0),0)</f>
        <v>0</v>
      </c>
      <c r="S138" s="1448">
        <f>IF(S109=2,IF(R122=1,1,0),0)</f>
        <v>0</v>
      </c>
      <c r="T138" s="1443">
        <f>IF(T109=2,IF(U122=1,1,0),0)</f>
        <v>1</v>
      </c>
      <c r="V138" s="1448">
        <f>IF(V109=2,IF(U122=1,1,0),0)</f>
        <v>0</v>
      </c>
      <c r="W138" s="1443">
        <f>IF(W109=2,IF(X122=1,1,0),0)</f>
        <v>0</v>
      </c>
      <c r="Y138" s="1448">
        <f>IF(Y109=2,IF(X122=1,1,0),0)</f>
        <v>0</v>
      </c>
      <c r="Z138" s="1443">
        <f>IF(Z109=2,IF(AA122=1,1,0),0)</f>
        <v>0</v>
      </c>
      <c r="AB138" s="1448">
        <f>IF(AB109=2,IF(AA122=1,1,0),0)</f>
        <v>0</v>
      </c>
      <c r="AC138" s="1443">
        <f>IF(AC109=2,IF(AD122=1,1,0),0)</f>
        <v>0</v>
      </c>
      <c r="AE138" s="1448">
        <f>IF(AE109=2,IF(AD122=1,1,0),0)</f>
        <v>0</v>
      </c>
      <c r="AF138" s="1443">
        <f>SUM(B138:AE138)</f>
        <v>3</v>
      </c>
      <c r="AW138" s="1446"/>
    </row>
    <row r="139" spans="1:49" s="1443" customFormat="1" ht="12.75" hidden="1" customHeight="1" x14ac:dyDescent="0.2">
      <c r="A139" s="1443" t="s">
        <v>103</v>
      </c>
      <c r="B139" s="1443">
        <f>IF(B109=3,IF(C122=1,1,0),0)</f>
        <v>0</v>
      </c>
      <c r="D139" s="1448">
        <f>IF(D109=3,IF(C122=1,1,0),0)</f>
        <v>0</v>
      </c>
      <c r="E139" s="1443">
        <f>IF(E109=3,IF(F122=1,1,0),0)</f>
        <v>0</v>
      </c>
      <c r="G139" s="1448">
        <f>IF(G109=3,IF(F122=1,1,0),0)</f>
        <v>0</v>
      </c>
      <c r="H139" s="1443">
        <f>IF(H109=3,IF(I122=1,1,0),0)</f>
        <v>1</v>
      </c>
      <c r="J139" s="1448">
        <f>IF(J109=3,IF(I122=1,1,0),0)</f>
        <v>0</v>
      </c>
      <c r="K139" s="1443">
        <f>IF(K109=3,IF(L122=1,1,0),0)</f>
        <v>0</v>
      </c>
      <c r="M139" s="1448">
        <f>IF(M109=3,IF(L122=1,1,0),0)</f>
        <v>0</v>
      </c>
      <c r="N139" s="1443">
        <f>IF(N109=3,IF(O122=1,1,0),0)</f>
        <v>0</v>
      </c>
      <c r="P139" s="1448">
        <f>IF(P109=3,IF(O122=1,1,0),0)</f>
        <v>1</v>
      </c>
      <c r="Q139" s="1443">
        <f>IF(Q109=3,IF(R122=1,1,0),0)</f>
        <v>0</v>
      </c>
      <c r="S139" s="1448">
        <f>IF(S109=3,IF(R122=1,1,0),0)</f>
        <v>0</v>
      </c>
      <c r="T139" s="1443">
        <f>IF(T109=3,IF(U122=1,1,0),0)</f>
        <v>0</v>
      </c>
      <c r="V139" s="1448">
        <f>IF(V109=3,IF(U122=1,1,0),0)</f>
        <v>1</v>
      </c>
      <c r="W139" s="1443">
        <f>IF(W109=3,IF(X122=1,1,0),0)</f>
        <v>0</v>
      </c>
      <c r="Y139" s="1448">
        <f>IF(Y109=3,IF(X122=1,1,0),0)</f>
        <v>0</v>
      </c>
      <c r="Z139" s="1443">
        <f>IF(Z109=3,IF(AA122=1,1,0),0)</f>
        <v>1</v>
      </c>
      <c r="AB139" s="1448">
        <f>IF(AB109=3,IF(AA122=1,1,0),0)</f>
        <v>0</v>
      </c>
      <c r="AC139" s="1443">
        <f>IF(AC109=3,IF(AD122=1,1,0),0)</f>
        <v>0</v>
      </c>
      <c r="AE139" s="1448">
        <f>IF(AE109=3,IF(AD122=1,1,0),0)</f>
        <v>0</v>
      </c>
      <c r="AF139" s="1443">
        <f>SUM(B139:AE139)</f>
        <v>4</v>
      </c>
      <c r="AW139" s="1446"/>
    </row>
    <row r="140" spans="1:49" s="1443" customFormat="1" ht="12.75" hidden="1" customHeight="1" x14ac:dyDescent="0.2">
      <c r="A140" s="1443" t="s">
        <v>104</v>
      </c>
      <c r="B140" s="1443">
        <f>IF(B109=4,IF(C122=1,1,0),0)</f>
        <v>0</v>
      </c>
      <c r="D140" s="1448">
        <f>IF(D109=4,IF(C122=1,1,0),0)</f>
        <v>0</v>
      </c>
      <c r="E140" s="1443">
        <f>IF(E109=4,IF(F122=1,1,0),0)</f>
        <v>0</v>
      </c>
      <c r="G140" s="1448">
        <f>IF(G109=4,IF(F122=1,1,0),0)</f>
        <v>1</v>
      </c>
      <c r="H140" s="1443">
        <f>IF(H109=4,IF(I122=1,1,0),0)</f>
        <v>0</v>
      </c>
      <c r="J140" s="1448">
        <f>IF(J109=4,IF(I122=1,1,0),0)</f>
        <v>0</v>
      </c>
      <c r="K140" s="1443">
        <f>IF(K109=4,IF(L122=1,1,0),0)</f>
        <v>0</v>
      </c>
      <c r="M140" s="1448">
        <f>IF(M109=4,IF(L122=1,1,0),0)</f>
        <v>1</v>
      </c>
      <c r="N140" s="1443">
        <f>IF(N109=4,IF(O122=1,1,0),0)</f>
        <v>0</v>
      </c>
      <c r="P140" s="1448">
        <f>IF(P109=4,IF(O122=1,1,0),0)</f>
        <v>0</v>
      </c>
      <c r="Q140" s="1443">
        <f>IF(Q109=4,IF(R122=1,1,0),0)</f>
        <v>0</v>
      </c>
      <c r="S140" s="1448">
        <f>IF(S109=4,IF(R122=1,1,0),0)</f>
        <v>0</v>
      </c>
      <c r="T140" s="1443">
        <f>IF(T109=4,IF(U122=1,1,0),0)</f>
        <v>0</v>
      </c>
      <c r="V140" s="1448">
        <f>IF(V109=4,IF(U122=1,1,0),0)</f>
        <v>0</v>
      </c>
      <c r="W140" s="1443">
        <f>IF(W109=4,IF(X122=1,1,0),0)</f>
        <v>0</v>
      </c>
      <c r="Y140" s="1448">
        <f>IF(Y109=4,IF(X122=1,1,0),0)</f>
        <v>0</v>
      </c>
      <c r="Z140" s="1443">
        <f>IF(Z109=4,IF(AA122=1,1,0),0)</f>
        <v>0</v>
      </c>
      <c r="AB140" s="1448">
        <f>IF(AB109=4,IF(AA122=1,1,0),0)</f>
        <v>1</v>
      </c>
      <c r="AC140" s="1443">
        <f>IF(AC109=4,IF(AD122=1,1,0),0)</f>
        <v>0</v>
      </c>
      <c r="AE140" s="1448">
        <f>IF(AE109=4,IF(AD122=1,1,0),0)</f>
        <v>0</v>
      </c>
      <c r="AF140" s="1443">
        <f>SUM(B140:AE140)</f>
        <v>3</v>
      </c>
      <c r="AW140" s="1446"/>
    </row>
    <row r="141" spans="1:49" s="1443" customFormat="1" ht="12.75" hidden="1" customHeight="1" x14ac:dyDescent="0.2">
      <c r="A141" s="1443" t="s">
        <v>105</v>
      </c>
      <c r="B141" s="1443">
        <f>IF(B109=5,IF(C122=1,1,0),0)</f>
        <v>0</v>
      </c>
      <c r="D141" s="1448">
        <f>IF(D109=5,IF(C122=1,1,0),0)</f>
        <v>1</v>
      </c>
      <c r="E141" s="1443">
        <f>IF(E109=5,IF(F122=1,1,0),0)</f>
        <v>0</v>
      </c>
      <c r="G141" s="1448">
        <f>IF(G109=5,IF(F122=1,1,0),0)</f>
        <v>0</v>
      </c>
      <c r="H141" s="1443">
        <f>IF(H109=5,IF(I122=1,1,0),0)</f>
        <v>0</v>
      </c>
      <c r="J141" s="1448">
        <f>IF(J109=5,IF(I122=1,1,0),0)</f>
        <v>1</v>
      </c>
      <c r="K141" s="1443">
        <f>IF(K109=5,IF(L122=1,1,0),0)</f>
        <v>0</v>
      </c>
      <c r="M141" s="1448">
        <f>IF(M109=5,IF(L122=1,1,0),0)</f>
        <v>0</v>
      </c>
      <c r="N141" s="1443">
        <f>IF(N109=5,IF(O122=1,1,0),0)</f>
        <v>0</v>
      </c>
      <c r="P141" s="1448">
        <f>IF(P109=5,IF(O122=1,1,0),0)</f>
        <v>0</v>
      </c>
      <c r="Q141" s="1443">
        <f>IF(Q109=5,IF(R122=1,1,0),0)</f>
        <v>0</v>
      </c>
      <c r="S141" s="1448">
        <f>IF(S109=5,IF(R122=1,1,0),0)</f>
        <v>0</v>
      </c>
      <c r="T141" s="1443">
        <f>IF(T109=5,IF(U122=1,1,0),0)</f>
        <v>0</v>
      </c>
      <c r="V141" s="1448">
        <f>IF(V109=5,IF(U122=1,1,0),0)</f>
        <v>0</v>
      </c>
      <c r="W141" s="1443">
        <f>IF(W109=5,IF(X122=1,1,0),0)</f>
        <v>0</v>
      </c>
      <c r="Y141" s="1448">
        <f>IF(Y109=5,IF(X122=1,1,0),0)</f>
        <v>1</v>
      </c>
      <c r="Z141" s="1443">
        <f>IF(Z109=5,IF(AA122=1,1,0),0)</f>
        <v>0</v>
      </c>
      <c r="AB141" s="1448">
        <f>IF(AB109=5,IF(AA122=1,1,0),0)</f>
        <v>0</v>
      </c>
      <c r="AC141" s="1443">
        <f>IF(AC109=5,IF(AD122=1,1,0),0)</f>
        <v>0</v>
      </c>
      <c r="AE141" s="1448">
        <f>IF(AE109=5,IF(AD122=1,1,0),0)</f>
        <v>0</v>
      </c>
      <c r="AF141" s="1443">
        <f>SUM(B141:AE141)</f>
        <v>3</v>
      </c>
      <c r="AW141" s="1446"/>
    </row>
    <row r="142" spans="1:49" s="1443" customFormat="1" ht="38.25" hidden="1" customHeight="1" x14ac:dyDescent="0.2">
      <c r="A142" s="1447"/>
      <c r="D142" s="1448"/>
      <c r="G142" s="1448"/>
      <c r="J142" s="1448"/>
      <c r="M142" s="1448"/>
      <c r="P142" s="1448"/>
      <c r="S142" s="1448"/>
      <c r="V142" s="1448"/>
      <c r="Y142" s="1448"/>
      <c r="AB142" s="1448"/>
      <c r="AE142" s="1448"/>
      <c r="AF142" s="1447" t="s">
        <v>106</v>
      </c>
      <c r="AG142" s="1449"/>
      <c r="AH142" s="1449"/>
      <c r="AI142" s="1449"/>
      <c r="AJ142" s="1449"/>
      <c r="AK142" s="1449"/>
      <c r="AW142" s="1446"/>
    </row>
    <row r="143" spans="1:49" s="1443" customFormat="1" ht="12.75" hidden="1" customHeight="1" x14ac:dyDescent="0.2">
      <c r="A143" s="1443" t="s">
        <v>101</v>
      </c>
      <c r="B143" s="1443">
        <f>IF(B109=1,B129,0)</f>
        <v>0</v>
      </c>
      <c r="D143" s="1448">
        <f>IF(D109=1,B129,0)</f>
        <v>0</v>
      </c>
      <c r="E143" s="1443">
        <f>IF(E109=1,E129,0)</f>
        <v>52</v>
      </c>
      <c r="G143" s="1448">
        <f>IF(G109=1,E129,0)</f>
        <v>0</v>
      </c>
      <c r="H143" s="1443">
        <f>IF(H109=1,H129,0)</f>
        <v>0</v>
      </c>
      <c r="J143" s="1448">
        <f>IF(J109=1,H129,0)</f>
        <v>0</v>
      </c>
      <c r="K143" s="1443">
        <f>IF(K109=1,K129,0)</f>
        <v>0</v>
      </c>
      <c r="M143" s="1448">
        <f>IF(M109=1,K129,0)</f>
        <v>0</v>
      </c>
      <c r="N143" s="1443">
        <f>IF(N109=1,N129,0)</f>
        <v>50</v>
      </c>
      <c r="P143" s="1448">
        <f>IF(P109=1,N129,0)</f>
        <v>0</v>
      </c>
      <c r="Q143" s="1443">
        <f>IF(Q109=1,Q129,0)</f>
        <v>0</v>
      </c>
      <c r="S143" s="1448">
        <f>IF(S109=1,Q129,0)</f>
        <v>0</v>
      </c>
      <c r="T143" s="1443">
        <f>IF(T109=1,T129,0)</f>
        <v>0</v>
      </c>
      <c r="V143" s="1448">
        <f>IF(V109=1,T129,0)</f>
        <v>0</v>
      </c>
      <c r="W143" s="1443">
        <f>IF(W109=1,W129,0)</f>
        <v>50</v>
      </c>
      <c r="Y143" s="1448">
        <f>IF(Y109=1,W129,0)</f>
        <v>0</v>
      </c>
      <c r="Z143" s="1443">
        <f>IF(Z109=1,Z129,0)</f>
        <v>0</v>
      </c>
      <c r="AB143" s="1448">
        <f>IF(AB109=1,Z129,0)</f>
        <v>0</v>
      </c>
      <c r="AC143" s="1443">
        <f>IF(AC109=1,AC129,0)</f>
        <v>50</v>
      </c>
      <c r="AE143" s="1448">
        <f>IF(AE109=1,AC129,0)</f>
        <v>0</v>
      </c>
      <c r="AF143" s="1443">
        <f>SUM(B143:AE143)</f>
        <v>202</v>
      </c>
      <c r="AW143" s="1446"/>
    </row>
    <row r="144" spans="1:49" s="1443" customFormat="1" ht="12.75" hidden="1" customHeight="1" x14ac:dyDescent="0.2">
      <c r="A144" s="1443" t="s">
        <v>102</v>
      </c>
      <c r="B144" s="1443">
        <f>IF(B109=2,B129,0)</f>
        <v>50</v>
      </c>
      <c r="D144" s="1448">
        <f>IF(D109=2,B129,0)</f>
        <v>0</v>
      </c>
      <c r="E144" s="1443">
        <f>IF(E109=2,E129,0)</f>
        <v>0</v>
      </c>
      <c r="G144" s="1448">
        <f>IF(G109=2,E129,0)</f>
        <v>0</v>
      </c>
      <c r="H144" s="1443">
        <f>IF(H109=2,H129,0)</f>
        <v>0</v>
      </c>
      <c r="J144" s="1448">
        <f>IF(J109=2,H129,0)</f>
        <v>0</v>
      </c>
      <c r="K144" s="1443">
        <f>IF(K109=2,K129,0)</f>
        <v>50</v>
      </c>
      <c r="M144" s="1448">
        <f>IF(M109=2,K129,0)</f>
        <v>0</v>
      </c>
      <c r="N144" s="1443">
        <f>IF(N109=2,N129,0)</f>
        <v>0</v>
      </c>
      <c r="P144" s="1448">
        <f>IF(P109=2,N129,0)</f>
        <v>0</v>
      </c>
      <c r="Q144" s="1443">
        <f>IF(Q109=2,Q129,0)</f>
        <v>0</v>
      </c>
      <c r="S144" s="1448">
        <f>IF(S109=2,Q129,0)</f>
        <v>0</v>
      </c>
      <c r="T144" s="1443">
        <f>IF(T109=2,T129,0)</f>
        <v>50</v>
      </c>
      <c r="V144" s="1448">
        <f>IF(V109=2,T129,0)</f>
        <v>0</v>
      </c>
      <c r="W144" s="1443">
        <f>IF(W109=2,W129,0)</f>
        <v>0</v>
      </c>
      <c r="Y144" s="1448">
        <f>IF(Y109=2,W129,0)</f>
        <v>0</v>
      </c>
      <c r="Z144" s="1443">
        <f>IF(Z109=2,Z129,0)</f>
        <v>0</v>
      </c>
      <c r="AB144" s="1448">
        <f>IF(AB109=2,Z129,0)</f>
        <v>0</v>
      </c>
      <c r="AC144" s="1443">
        <f>IF(AC109=2,AC129,0)</f>
        <v>0</v>
      </c>
      <c r="AE144" s="1448">
        <f>IF(AE109=2,AC129,0)</f>
        <v>50</v>
      </c>
      <c r="AF144" s="1443">
        <f>SUM(B144:AE144)</f>
        <v>200</v>
      </c>
      <c r="AW144" s="1446"/>
    </row>
    <row r="145" spans="1:49" s="1443" customFormat="1" ht="12.75" hidden="1" customHeight="1" x14ac:dyDescent="0.2">
      <c r="A145" s="1443" t="s">
        <v>103</v>
      </c>
      <c r="B145" s="1443">
        <f>IF(B109=3,B129,0)</f>
        <v>0</v>
      </c>
      <c r="D145" s="1448">
        <f>IF(D109=3,B129,0)</f>
        <v>0</v>
      </c>
      <c r="E145" s="1443">
        <f>IF(E109=3,E129,0)</f>
        <v>0</v>
      </c>
      <c r="G145" s="1448">
        <f>IF(G109=3,E129,0)</f>
        <v>0</v>
      </c>
      <c r="H145" s="1443">
        <f>IF(H109=3,H129,0)</f>
        <v>50</v>
      </c>
      <c r="J145" s="1448">
        <f>IF(J109=3,H129,0)</f>
        <v>0</v>
      </c>
      <c r="K145" s="1443">
        <f>IF(K109=3,K129,0)</f>
        <v>0</v>
      </c>
      <c r="M145" s="1448">
        <f>IF(M109=3,K129,0)</f>
        <v>0</v>
      </c>
      <c r="N145" s="1443">
        <f>IF(N109=3,N129,0)</f>
        <v>0</v>
      </c>
      <c r="P145" s="1448">
        <f>IF(P109=3,N129,0)</f>
        <v>50</v>
      </c>
      <c r="Q145" s="1443">
        <f>IF(Q109=3,Q129,0)</f>
        <v>0</v>
      </c>
      <c r="S145" s="1448">
        <f>IF(S109=3,Q129,0)</f>
        <v>0</v>
      </c>
      <c r="T145" s="1443">
        <f>IF(T109=3,T129,0)</f>
        <v>0</v>
      </c>
      <c r="V145" s="1448">
        <f>IF(V109=3,T129,0)</f>
        <v>50</v>
      </c>
      <c r="W145" s="1443">
        <f>IF(W109=3,W129,0)</f>
        <v>0</v>
      </c>
      <c r="Y145" s="1448">
        <f>IF(Y109=3,W129,0)</f>
        <v>0</v>
      </c>
      <c r="Z145" s="1443">
        <f>IF(Z109=3,Z129,0)</f>
        <v>50</v>
      </c>
      <c r="AB145" s="1448">
        <f>IF(AB109=3,Z129,0)</f>
        <v>0</v>
      </c>
      <c r="AC145" s="1443">
        <f>IF(AC109=3,AC129,0)</f>
        <v>0</v>
      </c>
      <c r="AE145" s="1448">
        <f>IF(AE109=3,AC129,0)</f>
        <v>0</v>
      </c>
      <c r="AF145" s="1443">
        <f>SUM(B145:AE145)</f>
        <v>200</v>
      </c>
      <c r="AW145" s="1446"/>
    </row>
    <row r="146" spans="1:49" s="1443" customFormat="1" ht="12.75" hidden="1" customHeight="1" x14ac:dyDescent="0.2">
      <c r="A146" s="1443" t="s">
        <v>104</v>
      </c>
      <c r="B146" s="1443">
        <f>IF(B109=4,B129,0)</f>
        <v>0</v>
      </c>
      <c r="D146" s="1448">
        <f>IF(D109=4,B129,0)</f>
        <v>0</v>
      </c>
      <c r="E146" s="1443">
        <f>IF(E109=4,E129,0)</f>
        <v>0</v>
      </c>
      <c r="G146" s="1448">
        <f>IF(G109=4,E129,0)</f>
        <v>52</v>
      </c>
      <c r="H146" s="1443">
        <f>IF(H109=4,H129,0)</f>
        <v>0</v>
      </c>
      <c r="J146" s="1448">
        <f>IF(J109=4,H129,0)</f>
        <v>0</v>
      </c>
      <c r="K146" s="1443">
        <f>IF(K109=4,K129,0)</f>
        <v>0</v>
      </c>
      <c r="M146" s="1448">
        <f>IF(M109=4,K129,0)</f>
        <v>50</v>
      </c>
      <c r="N146" s="1443">
        <f>IF(N109=4,N129,0)</f>
        <v>0</v>
      </c>
      <c r="P146" s="1448">
        <f>IF(P109=4,N129,0)</f>
        <v>0</v>
      </c>
      <c r="Q146" s="1443">
        <f>IF(Q109=4,Q129,0)</f>
        <v>50</v>
      </c>
      <c r="S146" s="1448">
        <f>IF(S109=4,Q129,0)</f>
        <v>0</v>
      </c>
      <c r="T146" s="1443">
        <f>IF(T109=4,T129,0)</f>
        <v>0</v>
      </c>
      <c r="V146" s="1448">
        <f>IF(V109=4,T129,0)</f>
        <v>0</v>
      </c>
      <c r="W146" s="1443">
        <f>IF(W109=4,W129,0)</f>
        <v>0</v>
      </c>
      <c r="Y146" s="1448">
        <f>IF(Y109=4,W129,0)</f>
        <v>0</v>
      </c>
      <c r="Z146" s="1443">
        <f>IF(Z109=4,Z129,0)</f>
        <v>0</v>
      </c>
      <c r="AB146" s="1448">
        <f>IF(AB109=4,Z129,0)</f>
        <v>50</v>
      </c>
      <c r="AC146" s="1443">
        <f>IF(AC109=4,AC129,0)</f>
        <v>0</v>
      </c>
      <c r="AE146" s="1448">
        <f>IF(AE109=4,AC129,0)</f>
        <v>0</v>
      </c>
      <c r="AF146" s="1443">
        <f>SUM(B146:AE146)</f>
        <v>202</v>
      </c>
      <c r="AW146" s="1446"/>
    </row>
    <row r="147" spans="1:49" s="1443" customFormat="1" ht="12.75" hidden="1" customHeight="1" x14ac:dyDescent="0.2">
      <c r="A147" s="1443" t="s">
        <v>105</v>
      </c>
      <c r="B147" s="1443">
        <f>IF(B109=5,B129,0)</f>
        <v>0</v>
      </c>
      <c r="D147" s="1448">
        <f>IF(D109=5,B129,0)</f>
        <v>50</v>
      </c>
      <c r="E147" s="1443">
        <f>IF(E109=5,E129,0)</f>
        <v>0</v>
      </c>
      <c r="G147" s="1448">
        <f>IF(G109=5,E129,0)</f>
        <v>0</v>
      </c>
      <c r="H147" s="1443">
        <f>IF(H109=5,H129,0)</f>
        <v>0</v>
      </c>
      <c r="J147" s="1448">
        <f>IF(J109=5,H129,0)</f>
        <v>50</v>
      </c>
      <c r="K147" s="1443">
        <f>IF(K109=5,K129,0)</f>
        <v>0</v>
      </c>
      <c r="M147" s="1448">
        <f>IF(M109=5,K129,0)</f>
        <v>0</v>
      </c>
      <c r="N147" s="1443">
        <f>IF(N109=5,N129,0)</f>
        <v>0</v>
      </c>
      <c r="P147" s="1448">
        <f>IF(P109=5,N129,0)</f>
        <v>0</v>
      </c>
      <c r="Q147" s="1443">
        <f>IF(Q109=5,Q129,0)</f>
        <v>0</v>
      </c>
      <c r="S147" s="1448">
        <f>IF(S109=5,Q129,0)</f>
        <v>50</v>
      </c>
      <c r="T147" s="1443">
        <f>IF(T109=5,T129,0)</f>
        <v>0</v>
      </c>
      <c r="V147" s="1448">
        <f>IF(V109=5,T129,0)</f>
        <v>0</v>
      </c>
      <c r="W147" s="1443">
        <f>IF(W109=5,W129,0)</f>
        <v>0</v>
      </c>
      <c r="Y147" s="1448">
        <f>IF(Y109=5,W129,0)</f>
        <v>50</v>
      </c>
      <c r="Z147" s="1443">
        <f>IF(Z109=5,Z129,0)</f>
        <v>0</v>
      </c>
      <c r="AB147" s="1448">
        <f>IF(AB109=5,Z129,0)</f>
        <v>0</v>
      </c>
      <c r="AC147" s="1443">
        <f>IF(AC109=5,AC129,0)</f>
        <v>0</v>
      </c>
      <c r="AE147" s="1448">
        <f>IF(AE109=5,AC129,0)</f>
        <v>0</v>
      </c>
      <c r="AF147" s="1443">
        <f>SUM(B147:AE147)</f>
        <v>200</v>
      </c>
      <c r="AW147" s="1446"/>
    </row>
    <row r="148" spans="1:49" s="1443" customFormat="1" ht="38.25" hidden="1" customHeight="1" x14ac:dyDescent="0.2">
      <c r="A148" s="1443" t="s">
        <v>107</v>
      </c>
      <c r="D148" s="1448"/>
      <c r="G148" s="1448"/>
      <c r="J148" s="1448"/>
      <c r="M148" s="1448"/>
      <c r="P148" s="1448"/>
      <c r="S148" s="1448"/>
      <c r="V148" s="1448"/>
      <c r="Y148" s="1448"/>
      <c r="AB148" s="1448"/>
      <c r="AE148" s="1448"/>
      <c r="AF148" s="1447" t="s">
        <v>108</v>
      </c>
      <c r="AG148" s="1443" t="s">
        <v>109</v>
      </c>
      <c r="AW148" s="1446"/>
    </row>
    <row r="149" spans="1:49" s="1443" customFormat="1" ht="12.75" hidden="1" customHeight="1" x14ac:dyDescent="0.2">
      <c r="A149" s="1443" t="s">
        <v>95</v>
      </c>
      <c r="B149" s="1443">
        <f>IF(B109=1,SUMIF(B116:B120,"&gt;0"),0)</f>
        <v>0</v>
      </c>
      <c r="D149" s="1448">
        <f>IF(D109=1,SUMIF(D116:D120,"&gt;0"),0)</f>
        <v>0</v>
      </c>
      <c r="E149" s="1443">
        <f>IF(E109=1,SUMIF(E116:E120,"&gt;0"),0)</f>
        <v>2</v>
      </c>
      <c r="G149" s="1448">
        <f>IF(G109=1,SUMIF(G116:G120,"&gt;0"),0)</f>
        <v>0</v>
      </c>
      <c r="H149" s="1443">
        <f>IF(H109=1,SUMIF(H116:H120,"&gt;0"),0)</f>
        <v>0</v>
      </c>
      <c r="J149" s="1448">
        <f>IF(J109=1,SUMIF(J116:J120,"&gt;0"),0)</f>
        <v>0</v>
      </c>
      <c r="K149" s="1443">
        <f>IF(K109=1,SUMIF(K116:K120,"&gt;0"),0)</f>
        <v>0</v>
      </c>
      <c r="M149" s="1448">
        <f>IF(M109=1,SUMIF(M116:M120,"&gt;0"),0)</f>
        <v>0</v>
      </c>
      <c r="N149" s="1443">
        <f>IF(N109=1,SUMIF(N116:N120,"&gt;0"),0)</f>
        <v>2</v>
      </c>
      <c r="P149" s="1448">
        <f>IF(P109=1,SUMIF(P116:P120,"&gt;0"),0)</f>
        <v>0</v>
      </c>
      <c r="Q149" s="1443">
        <f>IF(Q109=1,SUMIF(Q116:Q120,"&gt;0"),0)</f>
        <v>0</v>
      </c>
      <c r="S149" s="1448">
        <f>IF(S109=1,SUMIF(S116:S120,"&gt;0"),0)</f>
        <v>0</v>
      </c>
      <c r="T149" s="1443">
        <f>IF(T109=1,SUMIF(T116:T120,"&gt;0"),0)</f>
        <v>0</v>
      </c>
      <c r="V149" s="1448">
        <f>IF(V109=1,SUMIF(V116:V120,"&gt;0"),0)</f>
        <v>0</v>
      </c>
      <c r="W149" s="1443">
        <f>IF(W109=1,SUMIF(W116:W120,"&gt;0"),0)</f>
        <v>2</v>
      </c>
      <c r="Y149" s="1448">
        <f>IF(Y109=1,SUMIF(Y116:Y120,"&gt;0"),0)</f>
        <v>0</v>
      </c>
      <c r="Z149" s="1443">
        <f>IF(Z109=1,SUMIF(Z116:Z120,"&gt;0"),0)</f>
        <v>0</v>
      </c>
      <c r="AB149" s="1448">
        <f>IF(AB109=1,SUMIF(AB116:AB120,"&gt;0"),0)</f>
        <v>0</v>
      </c>
      <c r="AC149" s="1443">
        <f>IF(AC109=1,SUMIF(AC116:AC120,"&gt;0"),0)</f>
        <v>1</v>
      </c>
      <c r="AE149" s="1448">
        <f>IF(AE109=1,SUMIF(AE116:AE120,"&gt;0"),0)</f>
        <v>0</v>
      </c>
      <c r="AF149" s="1443">
        <f>SUM(B149:AE149)</f>
        <v>7</v>
      </c>
      <c r="AG149" s="1443">
        <f>AF157-AF149</f>
        <v>1</v>
      </c>
      <c r="AW149" s="1446"/>
    </row>
    <row r="150" spans="1:49" s="1443" customFormat="1" ht="12.75" hidden="1" customHeight="1" x14ac:dyDescent="0.2">
      <c r="A150" s="1443" t="s">
        <v>96</v>
      </c>
      <c r="B150" s="1443">
        <f>IF(B109=2,SUMIF(B116:B120,"&gt;0"),0)</f>
        <v>0</v>
      </c>
      <c r="D150" s="1448">
        <f>IF(D109=2,SUMIF(D116:D120,"&gt;0"),0)</f>
        <v>0</v>
      </c>
      <c r="E150" s="1443">
        <f>IF(E109=2,SUMIF(E116:E120,"&gt;0"),0)</f>
        <v>0</v>
      </c>
      <c r="G150" s="1448">
        <f>IF(G109=2,SUMIF(G116:G120,"&gt;0"),0)</f>
        <v>0</v>
      </c>
      <c r="H150" s="1443">
        <f>IF(H109=2,SUMIF(H116:H120,"&gt;0"),0)</f>
        <v>0</v>
      </c>
      <c r="J150" s="1448">
        <f>IF(J109=2,SUMIF(J116:J120,"&gt;0"),0)</f>
        <v>0</v>
      </c>
      <c r="K150" s="1443">
        <f>IF(K109=2,SUMIF(K116:K120,"&gt;0"),0)</f>
        <v>2</v>
      </c>
      <c r="M150" s="1448">
        <f>IF(M109=2,SUMIF(M116:M120,"&gt;0"),0)</f>
        <v>0</v>
      </c>
      <c r="N150" s="1443">
        <f>IF(N109=2,SUMIF(N116:N120,"&gt;0"),0)</f>
        <v>0</v>
      </c>
      <c r="P150" s="1448">
        <f>IF(P109=2,SUMIF(P116:P120,"&gt;0"),0)</f>
        <v>0</v>
      </c>
      <c r="Q150" s="1443">
        <f>IF(Q109=2,SUMIF(Q116:Q120,"&gt;0"),0)</f>
        <v>0</v>
      </c>
      <c r="S150" s="1448">
        <f>IF(S109=2,SUMIF(S116:S120,"&gt;0"),0)</f>
        <v>0</v>
      </c>
      <c r="T150" s="1443">
        <f>IF(T109=2,SUMIF(T116:T120,"&gt;0"),0)</f>
        <v>2</v>
      </c>
      <c r="V150" s="1448">
        <f>IF(V109=2,SUMIF(V116:V120,"&gt;0"),0)</f>
        <v>0</v>
      </c>
      <c r="W150" s="1443">
        <f>IF(W109=2,SUMIF(W116:W120,"&gt;0"),0)</f>
        <v>0</v>
      </c>
      <c r="Y150" s="1448">
        <f>IF(Y109=2,SUMIF(Y116:Y120,"&gt;0"),0)</f>
        <v>0</v>
      </c>
      <c r="Z150" s="1443">
        <f>IF(Z109=2,SUMIF(Z116:Z120,"&gt;0"),0)</f>
        <v>0</v>
      </c>
      <c r="AB150" s="1448">
        <f>IF(AB109=2,SUMIF(AB116:AB120,"&gt;0"),0)</f>
        <v>0</v>
      </c>
      <c r="AC150" s="1443">
        <f>IF(AC109=2,SUMIF(AC116:AC120,"&gt;0"),0)</f>
        <v>0</v>
      </c>
      <c r="AE150" s="1448">
        <f>IF(AE109=2,SUMIF(AE116:AE120,"&gt;0"),0)</f>
        <v>1</v>
      </c>
      <c r="AF150" s="1443">
        <f>SUM(B150:AE150)</f>
        <v>5</v>
      </c>
      <c r="AG150" s="1443">
        <f>AF158-AF150</f>
        <v>3</v>
      </c>
      <c r="AW150" s="1446"/>
    </row>
    <row r="151" spans="1:49" s="1443" customFormat="1" ht="12.75" hidden="1" customHeight="1" x14ac:dyDescent="0.2">
      <c r="A151" s="1443" t="s">
        <v>97</v>
      </c>
      <c r="B151" s="1443">
        <f>IF(B109=3,SUMIF(B116:B120,"&gt;0"),0)</f>
        <v>0</v>
      </c>
      <c r="D151" s="1448">
        <f>IF(D109=3,SUMIF(D116:D120,"&gt;0"),0)</f>
        <v>0</v>
      </c>
      <c r="E151" s="1443">
        <f>IF(E109=3,SUMIF(E116:E120,"&gt;0"),0)</f>
        <v>0</v>
      </c>
      <c r="G151" s="1448">
        <f>IF(G109=3,SUMIF(G116:G120,"&gt;0"),0)</f>
        <v>0</v>
      </c>
      <c r="H151" s="1443">
        <f>IF(H109=3,SUMIF(H116:H120,"&gt;0"),0)</f>
        <v>0</v>
      </c>
      <c r="J151" s="1448">
        <f>IF(J109=3,SUMIF(J116:J120,"&gt;0"),0)</f>
        <v>0</v>
      </c>
      <c r="K151" s="1443">
        <f>IF(K109=3,SUMIF(K116:K120,"&gt;0"),0)</f>
        <v>0</v>
      </c>
      <c r="M151" s="1448">
        <f>IF(M109=3,SUMIF(M116:M120,"&gt;0"),0)</f>
        <v>0</v>
      </c>
      <c r="N151" s="1443">
        <f>IF(N109=3,SUMIF(N116:N120,"&gt;0"),0)</f>
        <v>0</v>
      </c>
      <c r="P151" s="1448">
        <f>IF(P109=3,SUMIF(P116:P120,"&gt;0"),0)</f>
        <v>0</v>
      </c>
      <c r="Q151" s="1443">
        <f>IF(Q109=3,SUMIF(Q116:Q120,"&gt;0"),0)</f>
        <v>0</v>
      </c>
      <c r="S151" s="1448">
        <f>IF(S109=3,SUMIF(S116:S120,"&gt;0"),0)</f>
        <v>0</v>
      </c>
      <c r="T151" s="1443">
        <f>IF(T109=3,SUMIF(T116:T120,"&gt;0"),0)</f>
        <v>0</v>
      </c>
      <c r="V151" s="1448">
        <f>IF(V109=3,SUMIF(V116:V120,"&gt;0"),0)</f>
        <v>0</v>
      </c>
      <c r="W151" s="1443">
        <f>IF(W109=3,SUMIF(W116:W120,"&gt;0"),0)</f>
        <v>0</v>
      </c>
      <c r="Y151" s="1448">
        <f>IF(Y109=3,SUMIF(Y116:Y120,"&gt;0"),0)</f>
        <v>0</v>
      </c>
      <c r="Z151" s="1443">
        <f>IF(Z109=3,SUMIF(Z116:Z120,"&gt;0"),0)</f>
        <v>0</v>
      </c>
      <c r="AB151" s="1448">
        <f>IF(AB109=3,SUMIF(AB116:AB120,"&gt;0"),0)</f>
        <v>0</v>
      </c>
      <c r="AC151" s="1443">
        <f>IF(AC109=3,SUMIF(AC116:AC120,"&gt;0"),0)</f>
        <v>0</v>
      </c>
      <c r="AE151" s="1448">
        <f>IF(AE109=3,SUMIF(AE116:AE120,"&gt;0"),0)</f>
        <v>0</v>
      </c>
      <c r="AF151" s="1443">
        <f>SUM(B151:AE151)</f>
        <v>0</v>
      </c>
      <c r="AG151" s="1443">
        <f>AF159-AF151</f>
        <v>8</v>
      </c>
      <c r="AW151" s="1446"/>
    </row>
    <row r="152" spans="1:49" s="1443" customFormat="1" ht="12.75" hidden="1" customHeight="1" x14ac:dyDescent="0.2">
      <c r="A152" s="1443" t="s">
        <v>98</v>
      </c>
      <c r="B152" s="1443">
        <f>IF(B109=4,SUMIF(B116:B120,"&gt;0"),0)</f>
        <v>0</v>
      </c>
      <c r="D152" s="1448">
        <f>IF(D109=4,SUMIF(D116:D120,"&gt;0"),0)</f>
        <v>0</v>
      </c>
      <c r="E152" s="1443">
        <f>IF(E109=4,SUMIF(E116:E120,"&gt;0"),0)</f>
        <v>0</v>
      </c>
      <c r="G152" s="1448">
        <f>IF(G109=4,SUMIF(G116:G120,"&gt;0"),0)</f>
        <v>0</v>
      </c>
      <c r="H152" s="1443">
        <f>IF(H109=4,SUMIF(H116:H120,"&gt;0"),0)</f>
        <v>0</v>
      </c>
      <c r="J152" s="1448">
        <f>IF(J109=4,SUMIF(J116:J120,"&gt;0"),0)</f>
        <v>0</v>
      </c>
      <c r="K152" s="1443">
        <f>IF(K109=4,SUMIF(K116:K120,"&gt;0"),0)</f>
        <v>0</v>
      </c>
      <c r="M152" s="1448">
        <f>IF(M109=4,SUMIF(M116:M120,"&gt;0"),0)</f>
        <v>0</v>
      </c>
      <c r="N152" s="1443">
        <f>IF(N109=4,SUMIF(N116:N120,"&gt;0"),0)</f>
        <v>0</v>
      </c>
      <c r="P152" s="1448">
        <f>IF(P109=4,SUMIF(P116:P120,"&gt;0"),0)</f>
        <v>0</v>
      </c>
      <c r="Q152" s="1443">
        <f>IF(Q109=4,SUMIF(Q116:Q120,"&gt;0"),0)</f>
        <v>1</v>
      </c>
      <c r="S152" s="1448">
        <f>IF(S109=4,SUMIF(S116:S120,"&gt;0"),0)</f>
        <v>0</v>
      </c>
      <c r="T152" s="1443">
        <f>IF(T109=4,SUMIF(T116:T120,"&gt;0"),0)</f>
        <v>0</v>
      </c>
      <c r="V152" s="1448">
        <f>IF(V109=4,SUMIF(V116:V120,"&gt;0"),0)</f>
        <v>0</v>
      </c>
      <c r="W152" s="1443">
        <f>IF(W109=4,SUMIF(W116:W120,"&gt;0"),0)</f>
        <v>0</v>
      </c>
      <c r="Y152" s="1448">
        <f>IF(Y109=4,SUMIF(Y116:Y120,"&gt;0"),0)</f>
        <v>0</v>
      </c>
      <c r="Z152" s="1443">
        <f>IF(Z109=4,SUMIF(Z116:Z120,"&gt;0"),0)</f>
        <v>0</v>
      </c>
      <c r="AB152" s="1448">
        <f>IF(AB109=4,SUMIF(AB116:AB120,"&gt;0"),0)</f>
        <v>2</v>
      </c>
      <c r="AC152" s="1443">
        <f>IF(AC109=4,SUMIF(AC116:AC120,"&gt;0"),0)</f>
        <v>0</v>
      </c>
      <c r="AE152" s="1448">
        <f>IF(AE109=4,SUMIF(AE116:AE120,"&gt;0"),0)</f>
        <v>0</v>
      </c>
      <c r="AF152" s="1443">
        <f>SUM(B152:AE152)</f>
        <v>3</v>
      </c>
      <c r="AG152" s="1443">
        <f>AF160-AF152</f>
        <v>5</v>
      </c>
      <c r="AW152" s="1446"/>
    </row>
    <row r="153" spans="1:49" s="1443" customFormat="1" ht="12.75" hidden="1" customHeight="1" x14ac:dyDescent="0.2">
      <c r="A153" s="1443" t="s">
        <v>99</v>
      </c>
      <c r="B153" s="1443">
        <f>IF(B109=5,SUMIF(B116:B120,"&gt;0"),0)</f>
        <v>0</v>
      </c>
      <c r="D153" s="1448">
        <f>IF(D109=5,SUMIF(D116:D120,"&gt;0"),0)</f>
        <v>2</v>
      </c>
      <c r="E153" s="1443">
        <f>IF(E109=5,SUMIF(E116:E120,"&gt;0"),0)</f>
        <v>0</v>
      </c>
      <c r="G153" s="1448">
        <f>IF(G109=5,SUMIF(G116:G120,"&gt;0"),0)</f>
        <v>0</v>
      </c>
      <c r="H153" s="1443">
        <f>IF(H109=5,SUMIF(H116:H120,"&gt;0"),0)</f>
        <v>0</v>
      </c>
      <c r="J153" s="1448">
        <f>IF(J109=5,SUMIF(J116:J120,"&gt;0"),0)</f>
        <v>2</v>
      </c>
      <c r="K153" s="1443">
        <f>IF(K109=5,SUMIF(K116:K120,"&gt;0"),0)</f>
        <v>0</v>
      </c>
      <c r="M153" s="1448">
        <f>IF(M109=5,SUMIF(M116:M120,"&gt;0"),0)</f>
        <v>0</v>
      </c>
      <c r="N153" s="1443">
        <f>IF(N109=5,SUMIF(N116:N120,"&gt;0"),0)</f>
        <v>0</v>
      </c>
      <c r="P153" s="1448">
        <f>IF(P109=5,SUMIF(P116:P120,"&gt;0"),0)</f>
        <v>0</v>
      </c>
      <c r="Q153" s="1443">
        <f>IF(Q109=5,SUMIF(Q116:Q120,"&gt;0"),0)</f>
        <v>0</v>
      </c>
      <c r="S153" s="1448">
        <f>IF(S109=5,SUMIF(S116:S120,"&gt;0"),0)</f>
        <v>1</v>
      </c>
      <c r="T153" s="1443">
        <f>IF(T109=5,SUMIF(T116:T120,"&gt;0"),0)</f>
        <v>0</v>
      </c>
      <c r="V153" s="1448">
        <f>IF(V109=5,SUMIF(V116:V120,"&gt;0"),0)</f>
        <v>0</v>
      </c>
      <c r="W153" s="1443">
        <f>IF(W109=5,SUMIF(W116:W120,"&gt;0"),0)</f>
        <v>0</v>
      </c>
      <c r="Y153" s="1448">
        <f>IF(Y109=5,SUMIF(Y116:Y120,"&gt;0"),0)</f>
        <v>0</v>
      </c>
      <c r="Z153" s="1443">
        <f>IF(Z109=5,SUMIF(Z116:Z120,"&gt;0"),0)</f>
        <v>0</v>
      </c>
      <c r="AB153" s="1448">
        <f>IF(AB109=5,SUMIF(AB116:AB120,"&gt;0"),0)</f>
        <v>0</v>
      </c>
      <c r="AC153" s="1443">
        <f>IF(AC109=5,SUMIF(AC116:AC120,"&gt;0"),0)</f>
        <v>0</v>
      </c>
      <c r="AE153" s="1448">
        <f>IF(AE109=5,SUMIF(AE116:AE120,"&gt;0"),0)</f>
        <v>0</v>
      </c>
      <c r="AF153" s="1443">
        <f>SUM(B153:AE153)</f>
        <v>5</v>
      </c>
      <c r="AG153" s="1443">
        <f>AF161-AF153</f>
        <v>3</v>
      </c>
      <c r="AW153" s="1446"/>
    </row>
    <row r="154" spans="1:49" s="1443" customFormat="1" ht="12.75" hidden="1" customHeight="1" x14ac:dyDescent="0.2">
      <c r="D154" s="1448"/>
      <c r="G154" s="1448"/>
      <c r="J154" s="1448"/>
      <c r="M154" s="1448"/>
      <c r="P154" s="1448"/>
      <c r="S154" s="1448"/>
      <c r="V154" s="1448"/>
      <c r="Y154" s="1448"/>
      <c r="AB154" s="1448"/>
      <c r="AE154" s="1448"/>
      <c r="AW154" s="1446"/>
    </row>
    <row r="155" spans="1:49" s="1443" customFormat="1" ht="12.75" hidden="1" customHeight="1" x14ac:dyDescent="0.2">
      <c r="D155" s="1448"/>
      <c r="G155" s="1448"/>
      <c r="J155" s="1448"/>
      <c r="M155" s="1448"/>
      <c r="P155" s="1448"/>
      <c r="S155" s="1448"/>
      <c r="V155" s="1448"/>
      <c r="Y155" s="1448"/>
      <c r="AB155" s="1448"/>
      <c r="AE155" s="1448"/>
      <c r="AW155" s="1446"/>
    </row>
    <row r="156" spans="1:49" s="1443" customFormat="1" ht="51" hidden="1" customHeight="1" x14ac:dyDescent="0.2">
      <c r="A156" s="1447" t="s">
        <v>110</v>
      </c>
      <c r="C156" s="1443">
        <f>SUMIF(B149:D153,"&gt;0")</f>
        <v>2</v>
      </c>
      <c r="D156" s="1448"/>
      <c r="F156" s="1443">
        <f>SUMIF(E149:G153,"&gt;0")</f>
        <v>2</v>
      </c>
      <c r="G156" s="1448"/>
      <c r="I156" s="1443">
        <f>SUMIF(H149:J153,"&gt;0")</f>
        <v>2</v>
      </c>
      <c r="J156" s="1448"/>
      <c r="L156" s="1443">
        <f>SUMIF(K149:M153,"&gt;0")</f>
        <v>2</v>
      </c>
      <c r="M156" s="1448"/>
      <c r="O156" s="1443">
        <f>SUMIF(N149:P153,"&gt;0")</f>
        <v>2</v>
      </c>
      <c r="P156" s="1448"/>
      <c r="R156" s="1443">
        <f>SUMIF(Q149:S153,"&gt;0")</f>
        <v>2</v>
      </c>
      <c r="S156" s="1448"/>
      <c r="U156" s="1443">
        <f>SUMIF(T149:V153,"&gt;0")</f>
        <v>2</v>
      </c>
      <c r="V156" s="1448"/>
      <c r="X156" s="1443">
        <f>SUMIF(W149:Y153,"&gt;0")</f>
        <v>2</v>
      </c>
      <c r="Y156" s="1448"/>
      <c r="AA156" s="1443">
        <f>SUMIF(Z149:AB153,"&gt;0")</f>
        <v>2</v>
      </c>
      <c r="AB156" s="1448"/>
      <c r="AD156" s="1443">
        <f>SUMIF(AC149:AE153,"&gt;0")</f>
        <v>2</v>
      </c>
      <c r="AE156" s="1448"/>
      <c r="AF156" s="1447" t="s">
        <v>111</v>
      </c>
      <c r="AW156" s="1446"/>
    </row>
    <row r="157" spans="1:49" s="1443" customFormat="1" ht="12.75" hidden="1" customHeight="1" x14ac:dyDescent="0.2">
      <c r="A157" s="1443" t="s">
        <v>101</v>
      </c>
      <c r="B157" s="1443">
        <f>IF(B109=1,C156,0)</f>
        <v>0</v>
      </c>
      <c r="D157" s="1448">
        <f>IF(D109=1,C156,0)</f>
        <v>0</v>
      </c>
      <c r="E157" s="1443">
        <f>IF(E109=1,F156,0)</f>
        <v>2</v>
      </c>
      <c r="G157" s="1448">
        <f>IF(G109=1,F156,0)</f>
        <v>0</v>
      </c>
      <c r="H157" s="1443">
        <f>IF(H109=1,I156,0)</f>
        <v>0</v>
      </c>
      <c r="J157" s="1448">
        <f>IF(J109=1,I156,0)</f>
        <v>0</v>
      </c>
      <c r="K157" s="1443">
        <f>IF(K109=1,L156,0)</f>
        <v>0</v>
      </c>
      <c r="M157" s="1448">
        <f>IF(M109=1,L156,0)</f>
        <v>0</v>
      </c>
      <c r="N157" s="1443">
        <f>IF(N109=1,O156,0)</f>
        <v>2</v>
      </c>
      <c r="P157" s="1448">
        <f>IF(P109=1,O156,0)</f>
        <v>0</v>
      </c>
      <c r="Q157" s="1443">
        <f>IF(Q109=1,R156,0)</f>
        <v>0</v>
      </c>
      <c r="S157" s="1448">
        <f>IF(S109=1,R156,0)</f>
        <v>0</v>
      </c>
      <c r="T157" s="1443">
        <f>IF(T109=1,U156,0)</f>
        <v>0</v>
      </c>
      <c r="V157" s="1448">
        <f>IF(V109=1,U156,0)</f>
        <v>0</v>
      </c>
      <c r="W157" s="1443">
        <f>IF(W109=1,X156,0)</f>
        <v>2</v>
      </c>
      <c r="Y157" s="1448">
        <f>IF(Y109=1,X156,0)</f>
        <v>0</v>
      </c>
      <c r="Z157" s="1443">
        <f>IF(Z109=1,AA156,0)</f>
        <v>0</v>
      </c>
      <c r="AB157" s="1448">
        <f>IF(AB109=1,AA156,0)</f>
        <v>0</v>
      </c>
      <c r="AC157" s="1443">
        <f>IF(AC109=1,AD156,0)</f>
        <v>2</v>
      </c>
      <c r="AE157" s="1448">
        <f>IF(AE109=1,AD156,0)</f>
        <v>0</v>
      </c>
      <c r="AF157" s="1443">
        <f>SUM(B157:AE157)</f>
        <v>8</v>
      </c>
      <c r="AW157" s="1446"/>
    </row>
    <row r="158" spans="1:49" s="1443" customFormat="1" ht="12.75" hidden="1" customHeight="1" x14ac:dyDescent="0.2">
      <c r="A158" s="1443" t="s">
        <v>102</v>
      </c>
      <c r="B158" s="1443">
        <f>IF(B109=2,C156,0)</f>
        <v>2</v>
      </c>
      <c r="D158" s="1448">
        <f>IF(D109=2,C156,0)</f>
        <v>0</v>
      </c>
      <c r="E158" s="1443">
        <f>IF(E109=2,F156,0)</f>
        <v>0</v>
      </c>
      <c r="G158" s="1448">
        <f>IF(G109=2,F156,0)</f>
        <v>0</v>
      </c>
      <c r="H158" s="1443">
        <f>IF(H109=2,I156,0)</f>
        <v>0</v>
      </c>
      <c r="J158" s="1448">
        <f>IF(J109=2,I156,0)</f>
        <v>0</v>
      </c>
      <c r="K158" s="1443">
        <f>IF(K109=2,L156,0)</f>
        <v>2</v>
      </c>
      <c r="M158" s="1448">
        <f>IF(M109=2,L156,0)</f>
        <v>0</v>
      </c>
      <c r="N158" s="1443">
        <f>IF(N109=2,O156,0)</f>
        <v>0</v>
      </c>
      <c r="P158" s="1448">
        <f>IF(P109=2,O156,0)</f>
        <v>0</v>
      </c>
      <c r="Q158" s="1443">
        <f>IF(Q109=2,R156,0)</f>
        <v>0</v>
      </c>
      <c r="S158" s="1448">
        <f>IF(S109=2,R156,0)</f>
        <v>0</v>
      </c>
      <c r="T158" s="1443">
        <f>IF(T109=2,U156,0)</f>
        <v>2</v>
      </c>
      <c r="V158" s="1448">
        <f>IF(V109=2,U156,0)</f>
        <v>0</v>
      </c>
      <c r="W158" s="1443">
        <f>IF(W109=2,X156,0)</f>
        <v>0</v>
      </c>
      <c r="Y158" s="1448">
        <f>IF(Y109=2,X156,0)</f>
        <v>0</v>
      </c>
      <c r="Z158" s="1443">
        <f>IF(Z109=2,AA156,0)</f>
        <v>0</v>
      </c>
      <c r="AB158" s="1448">
        <f>IF(AB109=2,AA156,0)</f>
        <v>0</v>
      </c>
      <c r="AC158" s="1443">
        <f>IF(AC109=2,AD156,0)</f>
        <v>0</v>
      </c>
      <c r="AE158" s="1448">
        <f>IF(AE109=2,AD156,0)</f>
        <v>2</v>
      </c>
      <c r="AF158" s="1443">
        <f>SUM(B158:AE158)</f>
        <v>8</v>
      </c>
      <c r="AW158" s="1446"/>
    </row>
    <row r="159" spans="1:49" s="1443" customFormat="1" ht="12.75" hidden="1" customHeight="1" x14ac:dyDescent="0.2">
      <c r="A159" s="1443" t="s">
        <v>103</v>
      </c>
      <c r="B159" s="1443">
        <f>IF(B109=3,C156,0)</f>
        <v>0</v>
      </c>
      <c r="D159" s="1448">
        <f>IF(D109=3,C156,0)</f>
        <v>0</v>
      </c>
      <c r="E159" s="1443">
        <f>IF(E109=3,F156,0)</f>
        <v>0</v>
      </c>
      <c r="G159" s="1448">
        <f>IF(G109=3,F156,0)</f>
        <v>0</v>
      </c>
      <c r="H159" s="1443">
        <f>IF(H109=3,I156,0)</f>
        <v>2</v>
      </c>
      <c r="J159" s="1448">
        <f>IF(J109=3,I156,0)</f>
        <v>0</v>
      </c>
      <c r="K159" s="1443">
        <f>IF(K109=3,L156,0)</f>
        <v>0</v>
      </c>
      <c r="M159" s="1448">
        <f>IF(M109=3,L156,0)</f>
        <v>0</v>
      </c>
      <c r="N159" s="1443">
        <f>IF(N109=3,O156,0)</f>
        <v>0</v>
      </c>
      <c r="P159" s="1448">
        <f>IF(P109=3,O156,0)</f>
        <v>2</v>
      </c>
      <c r="Q159" s="1443">
        <f>IF(Q109=3,R156,0)</f>
        <v>0</v>
      </c>
      <c r="S159" s="1448">
        <f>IF(S109=3,R156,0)</f>
        <v>0</v>
      </c>
      <c r="T159" s="1443">
        <f>IF(T109=3,U156,0)</f>
        <v>0</v>
      </c>
      <c r="V159" s="1448">
        <f>IF(V109=3,U156,0)</f>
        <v>2</v>
      </c>
      <c r="W159" s="1443">
        <f>IF(W109=3,X156,0)</f>
        <v>0</v>
      </c>
      <c r="Y159" s="1448">
        <f>IF(Y109=3,X156,0)</f>
        <v>0</v>
      </c>
      <c r="Z159" s="1443">
        <f>IF(Z109=3,AA156,0)</f>
        <v>2</v>
      </c>
      <c r="AB159" s="1448">
        <f>IF(AB109=3,AA156,0)</f>
        <v>0</v>
      </c>
      <c r="AC159" s="1443">
        <f>IF(AC109=3,AD156,0)</f>
        <v>0</v>
      </c>
      <c r="AE159" s="1448">
        <f>IF(AE109=3,AD156,0)</f>
        <v>0</v>
      </c>
      <c r="AF159" s="1443">
        <f>SUM(B159:AE159)</f>
        <v>8</v>
      </c>
      <c r="AW159" s="1446"/>
    </row>
    <row r="160" spans="1:49" s="1443" customFormat="1" ht="12.75" hidden="1" customHeight="1" x14ac:dyDescent="0.2">
      <c r="A160" s="1443" t="s">
        <v>104</v>
      </c>
      <c r="B160" s="1443">
        <f>IF(B109=4,C156,0)</f>
        <v>0</v>
      </c>
      <c r="D160" s="1448">
        <f>IF(D109=4,C156,0)</f>
        <v>0</v>
      </c>
      <c r="E160" s="1443">
        <f>IF(E109=4,F156,0)</f>
        <v>0</v>
      </c>
      <c r="G160" s="1448">
        <f>IF(G109=4,F156,0)</f>
        <v>2</v>
      </c>
      <c r="H160" s="1443">
        <f>IF(H109=4,I156,0)</f>
        <v>0</v>
      </c>
      <c r="J160" s="1448">
        <f>IF(J109=4,I156,0)</f>
        <v>0</v>
      </c>
      <c r="K160" s="1443">
        <f>IF(K109=4,L156,0)</f>
        <v>0</v>
      </c>
      <c r="M160" s="1448">
        <f>IF(M109=4,L156,0)</f>
        <v>2</v>
      </c>
      <c r="N160" s="1443">
        <f>IF(N109=4,O156,0)</f>
        <v>0</v>
      </c>
      <c r="P160" s="1448">
        <f>IF(P109=4,O156,0)</f>
        <v>0</v>
      </c>
      <c r="Q160" s="1443">
        <f>IF(Q109=4,R156,0)</f>
        <v>2</v>
      </c>
      <c r="S160" s="1448">
        <f>IF(S109=4,R156,0)</f>
        <v>0</v>
      </c>
      <c r="T160" s="1443">
        <f>IF(T109=4,U156,0)</f>
        <v>0</v>
      </c>
      <c r="V160" s="1448">
        <f>IF(V109=4,U156,0)</f>
        <v>0</v>
      </c>
      <c r="W160" s="1443">
        <f>IF(W109=4,X156,0)</f>
        <v>0</v>
      </c>
      <c r="Y160" s="1448">
        <f>IF(Y109=4,X156,0)</f>
        <v>0</v>
      </c>
      <c r="Z160" s="1443">
        <f>IF(Z109=4,AA156,0)</f>
        <v>0</v>
      </c>
      <c r="AB160" s="1448">
        <f>IF(AB109=4,AA156,0)</f>
        <v>2</v>
      </c>
      <c r="AC160" s="1443">
        <f>IF(AC109=4,AD156,0)</f>
        <v>0</v>
      </c>
      <c r="AE160" s="1448">
        <f>IF(AE109=4,AD156,0)</f>
        <v>0</v>
      </c>
      <c r="AF160" s="1443">
        <f>SUM(B160:AE160)</f>
        <v>8</v>
      </c>
      <c r="AW160" s="1446"/>
    </row>
    <row r="161" spans="1:54" s="1443" customFormat="1" ht="12.75" hidden="1" customHeight="1" x14ac:dyDescent="0.2">
      <c r="A161" s="1443" t="s">
        <v>105</v>
      </c>
      <c r="B161" s="1443">
        <f>IF(B109=5,C156,0)</f>
        <v>0</v>
      </c>
      <c r="D161" s="1448">
        <f>IF(D109=5,C156,0)</f>
        <v>2</v>
      </c>
      <c r="E161" s="1443">
        <f>IF(E109=5,F156,0)</f>
        <v>0</v>
      </c>
      <c r="G161" s="1448">
        <f>IF(G109=5,F156,0)</f>
        <v>0</v>
      </c>
      <c r="H161" s="1443">
        <f>IF(H109=5,I156,0)</f>
        <v>0</v>
      </c>
      <c r="J161" s="1448">
        <f>IF(J109=5,I156,0)</f>
        <v>2</v>
      </c>
      <c r="K161" s="1443">
        <f>IF(K109=5,L156,0)</f>
        <v>0</v>
      </c>
      <c r="M161" s="1448">
        <f>IF(M109=5,L156,0)</f>
        <v>0</v>
      </c>
      <c r="N161" s="1443">
        <f>IF(N109=5,O156,0)</f>
        <v>0</v>
      </c>
      <c r="P161" s="1448">
        <f>IF(P109=5,O156,0)</f>
        <v>0</v>
      </c>
      <c r="Q161" s="1443">
        <f>IF(Q109=5,R156,0)</f>
        <v>0</v>
      </c>
      <c r="S161" s="1448">
        <f>IF(S109=5,R156,0)</f>
        <v>2</v>
      </c>
      <c r="T161" s="1443">
        <f>IF(T109=5,U156,0)</f>
        <v>0</v>
      </c>
      <c r="V161" s="1448">
        <f>IF(V109=5,U156,0)</f>
        <v>0</v>
      </c>
      <c r="W161" s="1443">
        <f>IF(W109=5,X156,0)</f>
        <v>0</v>
      </c>
      <c r="Y161" s="1448">
        <f>IF(Y109=5,X156,0)</f>
        <v>2</v>
      </c>
      <c r="Z161" s="1443">
        <f>IF(Z109=5,AA156,0)</f>
        <v>0</v>
      </c>
      <c r="AB161" s="1448">
        <f>IF(AB109=5,AA156,0)</f>
        <v>0</v>
      </c>
      <c r="AC161" s="1443">
        <f>IF(AC109=5,AD156,0)</f>
        <v>0</v>
      </c>
      <c r="AE161" s="1448">
        <f>IF(AE109=5,AD156,0)</f>
        <v>0</v>
      </c>
      <c r="AF161" s="1443">
        <f>SUM(B161:AE161)</f>
        <v>8</v>
      </c>
      <c r="AW161" s="1446"/>
    </row>
    <row r="162" spans="1:54" hidden="1" x14ac:dyDescent="0.2">
      <c r="A162" s="1450"/>
      <c r="B162" s="1450"/>
      <c r="C162" s="1450"/>
      <c r="D162" s="1450"/>
      <c r="E162" s="1450"/>
      <c r="F162" s="1450"/>
      <c r="G162" s="1450"/>
      <c r="H162" s="1450"/>
      <c r="I162" s="1450"/>
      <c r="J162" s="1450"/>
      <c r="K162" s="1450"/>
      <c r="L162" s="1450"/>
      <c r="M162" s="1450"/>
      <c r="N162" s="1450"/>
      <c r="O162" s="1450"/>
      <c r="P162" s="1450"/>
      <c r="Q162" s="1450"/>
      <c r="R162" s="1450"/>
      <c r="S162" s="1450"/>
      <c r="T162" s="1450"/>
      <c r="U162" s="1450"/>
      <c r="V162" s="1450"/>
      <c r="W162" s="1450"/>
      <c r="X162" s="1450"/>
      <c r="Y162" s="1450"/>
      <c r="Z162" s="1450"/>
      <c r="AA162" s="1450"/>
      <c r="AB162" s="1450"/>
      <c r="AC162" s="1450"/>
      <c r="AD162" s="1450"/>
      <c r="AE162" s="1450"/>
      <c r="AF162" s="1450"/>
      <c r="AG162" s="1450"/>
      <c r="AH162" s="1450"/>
      <c r="AI162" s="1450"/>
      <c r="AJ162" s="1450"/>
      <c r="AK162" s="1450"/>
      <c r="AL162" s="1450"/>
      <c r="AM162" s="1450"/>
      <c r="AN162" s="1451"/>
      <c r="AO162" s="1451"/>
      <c r="AP162" s="1451"/>
      <c r="AQ162" s="1451"/>
      <c r="AR162" s="1452"/>
      <c r="AS162" s="1452"/>
      <c r="AT162" s="1452"/>
      <c r="AU162" s="1452"/>
      <c r="AV162" s="1452"/>
      <c r="BB162" s="1442"/>
    </row>
    <row r="163" spans="1:54" s="1452" customFormat="1" hidden="1" x14ac:dyDescent="0.2">
      <c r="A163" s="1453"/>
      <c r="B163" s="1453"/>
      <c r="C163" s="1453" t="s">
        <v>112</v>
      </c>
      <c r="D163" s="1453">
        <v>1</v>
      </c>
      <c r="E163" s="1453"/>
      <c r="F163" s="1453"/>
      <c r="G163" s="1453">
        <v>2</v>
      </c>
      <c r="H163" s="1453"/>
      <c r="I163" s="1453"/>
      <c r="J163" s="1453">
        <v>3</v>
      </c>
      <c r="K163" s="1453"/>
      <c r="L163" s="1453"/>
      <c r="M163" s="1453">
        <v>4</v>
      </c>
      <c r="N163" s="1453"/>
      <c r="O163" s="1453"/>
      <c r="P163" s="1453">
        <v>5</v>
      </c>
      <c r="Q163" s="1453"/>
      <c r="R163" s="1453"/>
      <c r="S163" s="1453">
        <v>6</v>
      </c>
      <c r="T163" s="1453"/>
      <c r="U163" s="1453"/>
      <c r="V163" s="1453">
        <v>7</v>
      </c>
      <c r="W163" s="1453"/>
      <c r="X163" s="1453"/>
      <c r="Y163" s="1453">
        <v>8</v>
      </c>
      <c r="Z163" s="1453"/>
      <c r="AA163" s="1453"/>
      <c r="AB163" s="1453">
        <v>9</v>
      </c>
      <c r="AC163" s="1453"/>
      <c r="AD163" s="1453"/>
      <c r="AE163" s="1453">
        <v>10</v>
      </c>
      <c r="AF163" s="1251"/>
      <c r="AG163" s="1453"/>
      <c r="AI163" s="1454"/>
      <c r="AJ163" s="1251"/>
      <c r="AK163" s="1251"/>
      <c r="AL163" s="1251"/>
      <c r="AM163" s="1251"/>
      <c r="AN163" s="1251"/>
      <c r="AO163" s="1251"/>
      <c r="AT163" s="1454" t="s">
        <v>113</v>
      </c>
      <c r="AW163" s="1455"/>
      <c r="BB163" s="1455"/>
    </row>
    <row r="164" spans="1:54" s="1452" customFormat="1" hidden="1" x14ac:dyDescent="0.2">
      <c r="A164" s="1456">
        <v>1</v>
      </c>
      <c r="B164" s="1456" t="str">
        <f>E93</f>
        <v>Beaufort 15 U</v>
      </c>
      <c r="C164" s="1456">
        <f>VLOOKUP(B164,AU$3:AY$12,3,FALSE)</f>
        <v>2212.9846052971011</v>
      </c>
      <c r="D164" s="1456">
        <f>IF(B157,B172,IF(D157,D172,C164))</f>
        <v>2212.9846052971011</v>
      </c>
      <c r="E164" s="1456"/>
      <c r="F164" s="1456"/>
      <c r="G164" s="1456">
        <f>IF(E157,E172,IF(G157,G172,D164))</f>
        <v>2229.2536908824986</v>
      </c>
      <c r="H164" s="1456"/>
      <c r="I164" s="1456"/>
      <c r="J164" s="1456">
        <f>IF(H157,H172,IF(J157,J172,G164))</f>
        <v>2229.2536908824986</v>
      </c>
      <c r="K164" s="1456"/>
      <c r="L164" s="1456"/>
      <c r="M164" s="1456">
        <f>IF(K157,K172,IF(M157,M172,J164))</f>
        <v>2229.2536908824986</v>
      </c>
      <c r="N164" s="1456"/>
      <c r="O164" s="1456"/>
      <c r="P164" s="1456">
        <f>IF(N157,N172,IF(P157,P172,M164))</f>
        <v>2244.2803318893448</v>
      </c>
      <c r="Q164" s="1456"/>
      <c r="R164" s="1456"/>
      <c r="S164" s="1456">
        <f>IF(Q157,Q172,IF(S157,S172,P164))</f>
        <v>2244.2803318893448</v>
      </c>
      <c r="T164" s="1456"/>
      <c r="U164" s="1456"/>
      <c r="V164" s="1456">
        <f>IF(T157,T172,IF(V157,V172,S164))</f>
        <v>2244.2803318893448</v>
      </c>
      <c r="W164" s="1456"/>
      <c r="X164" s="1456"/>
      <c r="Y164" s="1456">
        <f>IF(W157,W172,IF(Y157,Y172,V164))</f>
        <v>2260.5387046174278</v>
      </c>
      <c r="Z164" s="1456"/>
      <c r="AA164" s="1456"/>
      <c r="AB164" s="1456">
        <f>IF(Z157,Z172,IF(AB157,AB172,Y164))</f>
        <v>2260.5387046174278</v>
      </c>
      <c r="AC164" s="1456"/>
      <c r="AD164" s="1456"/>
      <c r="AE164" s="1456">
        <f>IF(AC157,AC172,IF(AE157,AE172,AB164))</f>
        <v>2249.0606644054383</v>
      </c>
      <c r="AF164" s="1251"/>
      <c r="AG164" s="1251"/>
      <c r="AJ164" s="1251"/>
      <c r="AK164" s="1251"/>
      <c r="AL164" s="1251"/>
      <c r="AM164" s="1251"/>
      <c r="AN164" s="1251"/>
      <c r="AO164" s="1251"/>
      <c r="AT164" s="1452" t="str">
        <f>B164</f>
        <v>Beaufort 15 U</v>
      </c>
      <c r="AU164" s="1452">
        <f>AE164</f>
        <v>2249.0606644054383</v>
      </c>
      <c r="AW164" s="1455"/>
      <c r="BB164" s="1455"/>
    </row>
    <row r="165" spans="1:54" s="1452" customFormat="1" hidden="1" x14ac:dyDescent="0.2">
      <c r="A165" s="1456">
        <v>2</v>
      </c>
      <c r="B165" s="1456" t="str">
        <f>E95</f>
        <v>ATown 15 Black</v>
      </c>
      <c r="C165" s="1456">
        <f>VLOOKUP(B165,AU$3:AY$12,3,FALSE)</f>
        <v>2125.6672368874802</v>
      </c>
      <c r="D165" s="1456">
        <f>IF(B158,B172,IF(D158,D172,C165))</f>
        <v>2081.414688965107</v>
      </c>
      <c r="E165" s="1456"/>
      <c r="F165" s="1456"/>
      <c r="G165" s="1456">
        <f>IF(E158,E172,IF(G158,G172,D165))</f>
        <v>2081.414688965107</v>
      </c>
      <c r="H165" s="1456"/>
      <c r="I165" s="1456"/>
      <c r="J165" s="1456">
        <f>IF(H158,H172,IF(J158,J172,G165))</f>
        <v>2081.414688965107</v>
      </c>
      <c r="K165" s="1456"/>
      <c r="L165" s="1456"/>
      <c r="M165" s="1456">
        <f>IF(K158,K172,IF(M158,M172,J165))</f>
        <v>2106.9053652568496</v>
      </c>
      <c r="N165" s="1456"/>
      <c r="O165" s="1456"/>
      <c r="P165" s="1456">
        <f>IF(N158,N172,IF(P158,P172,M165))</f>
        <v>2106.9053652568496</v>
      </c>
      <c r="Q165" s="1456"/>
      <c r="R165" s="1456"/>
      <c r="S165" s="1456">
        <f>IF(Q158,Q172,IF(S158,S172,P165))</f>
        <v>2106.9053652568496</v>
      </c>
      <c r="T165" s="1456"/>
      <c r="U165" s="1456"/>
      <c r="V165" s="1456">
        <f>IF(T158,T172,IF(V158,V172,S165))</f>
        <v>2130.1182535826824</v>
      </c>
      <c r="W165" s="1456"/>
      <c r="X165" s="1456"/>
      <c r="Y165" s="1456">
        <f>IF(W158,W172,IF(Y158,Y172,V165))</f>
        <v>2130.1182535826824</v>
      </c>
      <c r="Z165" s="1456"/>
      <c r="AA165" s="1456"/>
      <c r="AB165" s="1456">
        <f>IF(Z158,Z172,IF(AB158,AB172,Y165))</f>
        <v>2130.1182535826824</v>
      </c>
      <c r="AC165" s="1456"/>
      <c r="AD165" s="1456"/>
      <c r="AE165" s="1456">
        <f>IF(AC158,AC172,IF(AE158,AE172,AB165))</f>
        <v>2141.596293794672</v>
      </c>
      <c r="AF165" s="1251"/>
      <c r="AG165" s="1251"/>
      <c r="AJ165" s="1251"/>
      <c r="AL165" s="1251"/>
      <c r="AM165" s="1251"/>
      <c r="AN165" s="1251"/>
      <c r="AO165" s="1251"/>
      <c r="AT165" s="1452" t="str">
        <f>B165</f>
        <v>ATown 15 Black</v>
      </c>
      <c r="AU165" s="1452">
        <f>AE165</f>
        <v>2141.596293794672</v>
      </c>
      <c r="AW165" s="1455"/>
      <c r="BB165" s="1455"/>
    </row>
    <row r="166" spans="1:54" s="1452" customFormat="1" hidden="1" x14ac:dyDescent="0.2">
      <c r="A166" s="1456">
        <v>3</v>
      </c>
      <c r="B166" s="1456" t="str">
        <f>E97</f>
        <v>SC Midlands 15 Black</v>
      </c>
      <c r="C166" s="1456">
        <f>VLOOKUP(B166,AU$3:AY$12,3,FALSE)</f>
        <v>2058.6723054658987</v>
      </c>
      <c r="D166" s="1456">
        <f>IF(B159,B172,IF(D159,D172,C166))</f>
        <v>2058.6723054658987</v>
      </c>
      <c r="E166" s="1456"/>
      <c r="F166" s="1456"/>
      <c r="G166" s="1456">
        <f>IF(E159,E172,IF(G159,G172,D166))</f>
        <v>2058.6723054658987</v>
      </c>
      <c r="H166" s="1456"/>
      <c r="I166" s="1456"/>
      <c r="J166" s="1456">
        <f>IF(H159,H172,IF(J159,J172,G166))</f>
        <v>2024.0144982985066</v>
      </c>
      <c r="K166" s="1456"/>
      <c r="L166" s="1456"/>
      <c r="M166" s="1456">
        <f>IF(K159,K172,IF(M159,M172,J166))</f>
        <v>2024.0144982985066</v>
      </c>
      <c r="N166" s="1456"/>
      <c r="O166" s="1456"/>
      <c r="P166" s="1456">
        <f>IF(N159,N172,IF(P159,P172,M166))</f>
        <v>2008.9878572916602</v>
      </c>
      <c r="Q166" s="1456"/>
      <c r="R166" s="1456"/>
      <c r="S166" s="1456">
        <f>IF(Q159,Q172,IF(S159,S172,P166))</f>
        <v>2008.9878572916602</v>
      </c>
      <c r="T166" s="1456"/>
      <c r="U166" s="1456"/>
      <c r="V166" s="1456">
        <f>IF(T159,T172,IF(V159,V172,S166))</f>
        <v>1985.7749689658274</v>
      </c>
      <c r="W166" s="1456"/>
      <c r="X166" s="1456"/>
      <c r="Y166" s="1456">
        <f>IF(W159,W172,IF(Y159,Y172,V166))</f>
        <v>1985.7749689658274</v>
      </c>
      <c r="Z166" s="1456"/>
      <c r="AA166" s="1456"/>
      <c r="AB166" s="1456">
        <f>IF(Z159,Z172,IF(AB159,AB172,Y166))</f>
        <v>1954.3026425151425</v>
      </c>
      <c r="AC166" s="1456"/>
      <c r="AD166" s="1456"/>
      <c r="AE166" s="1456">
        <f>IF(AC159,AC172,IF(AE159,AE172,AB166))</f>
        <v>1954.3026425151425</v>
      </c>
      <c r="AF166" s="1251"/>
      <c r="AG166" s="1251"/>
      <c r="AJ166" s="1251"/>
      <c r="AL166" s="1251"/>
      <c r="AM166" s="1251"/>
      <c r="AN166" s="1251"/>
      <c r="AO166" s="1251"/>
      <c r="AT166" s="1452" t="str">
        <f>B166</f>
        <v>SC Midlands 15 Black</v>
      </c>
      <c r="AU166" s="1452">
        <f>AE166</f>
        <v>1954.3026425151425</v>
      </c>
      <c r="AW166" s="1455"/>
      <c r="BB166" s="1455"/>
    </row>
    <row r="167" spans="1:54" s="1452" customFormat="1" hidden="1" x14ac:dyDescent="0.2">
      <c r="A167" s="1456">
        <v>4</v>
      </c>
      <c r="B167" s="1456" t="str">
        <f>E99</f>
        <v>Chas Jrs 15 Blue</v>
      </c>
      <c r="C167" s="1456">
        <f>VLOOKUP(B167,AU$3:AY$12,3,FALSE)</f>
        <v>2026.0099610120353</v>
      </c>
      <c r="D167" s="1456">
        <f>IF(B160,B172,IF(D160,D172,C167))</f>
        <v>2026.0099610120353</v>
      </c>
      <c r="E167" s="1456"/>
      <c r="F167" s="1456"/>
      <c r="G167" s="1456">
        <f>IF(E160,E172,IF(G160,G172,D167))</f>
        <v>2009.7408754266376</v>
      </c>
      <c r="H167" s="1456"/>
      <c r="I167" s="1456"/>
      <c r="J167" s="1456">
        <f>IF(H160,H172,IF(J160,J172,G167))</f>
        <v>2009.7408754266376</v>
      </c>
      <c r="K167" s="1456"/>
      <c r="L167" s="1456"/>
      <c r="M167" s="1456">
        <f>IF(K160,K172,IF(M160,M172,J167))</f>
        <v>1984.2501991348947</v>
      </c>
      <c r="N167" s="1456"/>
      <c r="O167" s="1456"/>
      <c r="P167" s="1456">
        <f>IF(N160,N172,IF(P160,P172,M167))</f>
        <v>1984.2501991348947</v>
      </c>
      <c r="Q167" s="1456"/>
      <c r="R167" s="1456"/>
      <c r="S167" s="1456">
        <f>IF(Q160,Q172,IF(S160,S172,P167))</f>
        <v>1991.5046310954037</v>
      </c>
      <c r="T167" s="1456"/>
      <c r="U167" s="1456"/>
      <c r="V167" s="1456">
        <f>IF(T160,T172,IF(V160,V172,S167))</f>
        <v>1991.5046310954037</v>
      </c>
      <c r="W167" s="1456"/>
      <c r="X167" s="1456"/>
      <c r="Y167" s="1456">
        <f>IF(W160,W172,IF(Y160,Y172,V167))</f>
        <v>1991.5046310954037</v>
      </c>
      <c r="Z167" s="1456"/>
      <c r="AA167" s="1456"/>
      <c r="AB167" s="1456">
        <f>IF(Z160,Z172,IF(AB160,AB172,Y167))</f>
        <v>2022.9769575460887</v>
      </c>
      <c r="AC167" s="1456"/>
      <c r="AD167" s="1456"/>
      <c r="AE167" s="1456">
        <f>IF(AC160,AC172,IF(AE160,AE172,AB167))</f>
        <v>2022.9769575460887</v>
      </c>
      <c r="AF167" s="1251"/>
      <c r="AG167" s="1251"/>
      <c r="AJ167" s="1251"/>
      <c r="AL167" s="1251"/>
      <c r="AM167" s="1251"/>
      <c r="AN167" s="1251"/>
      <c r="AO167" s="1251"/>
      <c r="AT167" s="1452" t="str">
        <f>B167</f>
        <v>Chas Jrs 15 Blue</v>
      </c>
      <c r="AU167" s="1452">
        <f>AE167</f>
        <v>2022.9769575460887</v>
      </c>
      <c r="AW167" s="1455"/>
      <c r="BB167" s="1455"/>
    </row>
    <row r="168" spans="1:54" s="1452" customFormat="1" hidden="1" x14ac:dyDescent="0.2">
      <c r="A168" s="1456">
        <v>5</v>
      </c>
      <c r="B168" s="1456" t="str">
        <f>E101</f>
        <v>Foothills 15 CJ</v>
      </c>
      <c r="C168" s="1456">
        <f>VLOOKUP(B168,AU$3:AY$12,3,FALSE)</f>
        <v>1985.4963518902775</v>
      </c>
      <c r="D168" s="1456">
        <f>IF(B161,B172,IF(D161,D172,C168))</f>
        <v>2029.7488998126507</v>
      </c>
      <c r="E168" s="1456"/>
      <c r="F168" s="1456"/>
      <c r="G168" s="1456">
        <f>IF(E161,E172,IF(G161,G172,D168))</f>
        <v>2029.7488998126507</v>
      </c>
      <c r="H168" s="1456"/>
      <c r="I168" s="1456"/>
      <c r="J168" s="1456">
        <f>IF(H161,H172,IF(J161,J172,G168))</f>
        <v>2064.4067069800431</v>
      </c>
      <c r="K168" s="1456"/>
      <c r="L168" s="1456"/>
      <c r="M168" s="1456">
        <f>IF(K161,K172,IF(M161,M172,J168))</f>
        <v>2064.4067069800431</v>
      </c>
      <c r="N168" s="1456"/>
      <c r="O168" s="1456"/>
      <c r="P168" s="1456">
        <f>IF(N161,N172,IF(P161,P172,M168))</f>
        <v>2064.4067069800431</v>
      </c>
      <c r="Q168" s="1456"/>
      <c r="R168" s="1456"/>
      <c r="S168" s="1456">
        <f>IF(Q161,Q172,IF(S161,S172,P168))</f>
        <v>2057.152275019534</v>
      </c>
      <c r="T168" s="1456"/>
      <c r="U168" s="1456"/>
      <c r="V168" s="1456">
        <f>IF(T161,T172,IF(V161,V172,S168))</f>
        <v>2057.152275019534</v>
      </c>
      <c r="W168" s="1456"/>
      <c r="X168" s="1456"/>
      <c r="Y168" s="1456">
        <f>IF(W161,W172,IF(Y161,Y172,V168))</f>
        <v>2040.893902291451</v>
      </c>
      <c r="Z168" s="1456"/>
      <c r="AA168" s="1456"/>
      <c r="AB168" s="1456">
        <f>IF(Z161,Z172,IF(AB161,AB172,Y168))</f>
        <v>2040.893902291451</v>
      </c>
      <c r="AC168" s="1456"/>
      <c r="AD168" s="1456"/>
      <c r="AE168" s="1456">
        <f>IF(AC161,AC172,IF(AE161,AE172,AB168))</f>
        <v>2040.893902291451</v>
      </c>
      <c r="AF168" s="1251"/>
      <c r="AG168" s="1251"/>
      <c r="AJ168" s="1251"/>
      <c r="AL168" s="1251"/>
      <c r="AM168" s="1251"/>
      <c r="AN168" s="1251"/>
      <c r="AO168" s="1251"/>
      <c r="AT168" s="1452" t="str">
        <f>B168</f>
        <v>Foothills 15 CJ</v>
      </c>
      <c r="AU168" s="1452">
        <f>AE168</f>
        <v>2040.893902291451</v>
      </c>
      <c r="AW168" s="1455"/>
      <c r="BB168" s="1455"/>
    </row>
    <row r="169" spans="1:54" s="1452" customFormat="1" hidden="1" x14ac:dyDescent="0.2">
      <c r="A169" s="1456"/>
      <c r="B169" s="1456"/>
      <c r="C169" s="1456"/>
      <c r="D169" s="1456"/>
      <c r="E169" s="1456"/>
      <c r="F169" s="1456"/>
      <c r="G169" s="1456"/>
      <c r="H169" s="1456"/>
      <c r="I169" s="1456"/>
      <c r="J169" s="1456"/>
      <c r="K169" s="1456"/>
      <c r="L169" s="1456"/>
      <c r="M169" s="1456"/>
      <c r="N169" s="1456"/>
      <c r="O169" s="1456"/>
      <c r="P169" s="1456"/>
      <c r="Q169" s="1456"/>
      <c r="R169" s="1456"/>
      <c r="S169" s="1456"/>
      <c r="T169" s="1456"/>
      <c r="U169" s="1456"/>
      <c r="V169" s="1456"/>
      <c r="W169" s="1456"/>
      <c r="X169" s="1456"/>
      <c r="Y169" s="1456"/>
      <c r="Z169" s="1456"/>
      <c r="AA169" s="1456"/>
      <c r="AB169" s="1456"/>
      <c r="AC169" s="1456"/>
      <c r="AD169" s="1456"/>
      <c r="AE169" s="1456"/>
      <c r="AF169" s="1251"/>
      <c r="AG169" s="1251"/>
      <c r="AJ169" s="1251"/>
      <c r="AL169" s="1251"/>
      <c r="AM169" s="1251"/>
      <c r="AN169" s="1251"/>
      <c r="AO169" s="1251"/>
      <c r="AW169" s="1455"/>
      <c r="BB169" s="1455"/>
    </row>
    <row r="170" spans="1:54" s="1452" customFormat="1" hidden="1" x14ac:dyDescent="0.2">
      <c r="A170" s="1456" t="s">
        <v>114</v>
      </c>
      <c r="B170" s="1456">
        <f>VLOOKUP(B109,$A164:$AE168,3,FALSE)</f>
        <v>2125.6672368874802</v>
      </c>
      <c r="C170" s="1456">
        <v>1</v>
      </c>
      <c r="D170" s="1456">
        <f>VLOOKUP(D109,$A164:$AE168,3,FALSE)</f>
        <v>1985.4963518902775</v>
      </c>
      <c r="E170" s="1456">
        <f>VLOOKUP(E109,$A164:$AE168,4,FALSE)</f>
        <v>2212.9846052971011</v>
      </c>
      <c r="F170" s="1456">
        <v>2</v>
      </c>
      <c r="G170" s="1456">
        <f>VLOOKUP(G109,$A164:$AE168,4,FALSE)</f>
        <v>2026.0099610120353</v>
      </c>
      <c r="H170" s="1456">
        <f>VLOOKUP(H109,$A164:$AE168,7,FALSE)</f>
        <v>2058.6723054658987</v>
      </c>
      <c r="I170" s="1456">
        <v>3</v>
      </c>
      <c r="J170" s="1456">
        <f>VLOOKUP(J109,$A164:$AE168,7,FALSE)</f>
        <v>2029.7488998126507</v>
      </c>
      <c r="K170" s="1456">
        <f>VLOOKUP(K109,$A164:$AE168,10,FALSE)</f>
        <v>2081.414688965107</v>
      </c>
      <c r="L170" s="1456">
        <v>4</v>
      </c>
      <c r="M170" s="1456">
        <f>VLOOKUP(M109,$A164:$AE168,10,FALSE)</f>
        <v>2009.7408754266376</v>
      </c>
      <c r="N170" s="1456">
        <f>VLOOKUP(N109,$A164:$AE168,13,FALSE)</f>
        <v>2229.2536908824986</v>
      </c>
      <c r="O170" s="1456">
        <v>5</v>
      </c>
      <c r="P170" s="1456">
        <f>VLOOKUP(P109,$A164:$AE168,13,FALSE)</f>
        <v>2024.0144982985066</v>
      </c>
      <c r="Q170" s="1456">
        <f>VLOOKUP(Q109,$A164:$AE168,16,FALSE)</f>
        <v>1984.2501991348947</v>
      </c>
      <c r="R170" s="1456">
        <v>6</v>
      </c>
      <c r="S170" s="1456">
        <f>VLOOKUP(S109,$A164:$AE168,16,FALSE)</f>
        <v>2064.4067069800431</v>
      </c>
      <c r="T170" s="1456">
        <f>VLOOKUP(T109,$A164:$AE168,19,FALSE)</f>
        <v>2106.9053652568496</v>
      </c>
      <c r="U170" s="1456">
        <v>7</v>
      </c>
      <c r="V170" s="1456">
        <f>VLOOKUP(V109,$A164:$AE168,19,FALSE)</f>
        <v>2008.9878572916602</v>
      </c>
      <c r="W170" s="1456">
        <f>VLOOKUP(W109,$A164:$AE168,22,FALSE)</f>
        <v>2244.2803318893448</v>
      </c>
      <c r="X170" s="1456">
        <v>8</v>
      </c>
      <c r="Y170" s="1456">
        <f>VLOOKUP(Y109,$A164:$AE168,22,FALSE)</f>
        <v>2057.152275019534</v>
      </c>
      <c r="Z170" s="1456">
        <f>VLOOKUP(Z109,$A164:$AE168,25,FALSE)</f>
        <v>1985.7749689658274</v>
      </c>
      <c r="AA170" s="1456">
        <v>9</v>
      </c>
      <c r="AB170" s="1456">
        <f>VLOOKUP(AB109,$A164:$AE168,25,FALSE)</f>
        <v>1991.5046310954037</v>
      </c>
      <c r="AC170" s="1456">
        <f>VLOOKUP(AC109,$A164:$AE168,28,FALSE)</f>
        <v>2260.5387046174278</v>
      </c>
      <c r="AD170" s="1456">
        <v>10</v>
      </c>
      <c r="AE170" s="1456">
        <f>VLOOKUP(AE109,$A164:$AE168,28,FALSE)</f>
        <v>2130.1182535826824</v>
      </c>
      <c r="AF170" s="1251"/>
      <c r="AG170" s="1450"/>
      <c r="AH170" s="1450"/>
      <c r="AI170" s="1450"/>
      <c r="AJ170" s="1450"/>
      <c r="AK170" s="1450"/>
      <c r="AL170" s="1450"/>
      <c r="AM170" s="1450"/>
      <c r="AN170" s="1451"/>
      <c r="AO170" s="1451"/>
      <c r="AP170" s="1451"/>
      <c r="AQ170" s="1451"/>
      <c r="AW170" s="1455"/>
      <c r="BB170" s="1455"/>
    </row>
    <row r="171" spans="1:54" s="1461" customFormat="1" hidden="1" x14ac:dyDescent="0.2">
      <c r="A171" s="1457" t="s">
        <v>115</v>
      </c>
      <c r="B171" s="1457">
        <f>1/(1+(10^-((B170-D170)/400)))*(B121+D121)</f>
        <v>1.3828921225741608</v>
      </c>
      <c r="C171" s="1457"/>
      <c r="D171" s="1457">
        <f>1/(1+(10^-((D170-B170)/400)))*(B121+D121)</f>
        <v>0.61710787742583928</v>
      </c>
      <c r="E171" s="1457">
        <f>1/(1+(10^-((E170-G170)/400)))*(E121+G121)</f>
        <v>1.4915910754563206</v>
      </c>
      <c r="F171" s="1457"/>
      <c r="G171" s="1457">
        <f>1/(1+(10^-((G170-E170)/400)))*(E121+G121)</f>
        <v>0.50840892454367936</v>
      </c>
      <c r="H171" s="1457">
        <f>1/(1+(10^-((H170-J170)/400)))*(H121+J121)</f>
        <v>1.0830564739810049</v>
      </c>
      <c r="I171" s="1457"/>
      <c r="J171" s="1457">
        <f>1/(1+(10^-((J170-H170)/400)))*(H121+J121)</f>
        <v>0.91694352601899509</v>
      </c>
      <c r="K171" s="1457">
        <f>1/(1+(10^-((K170-M170)/400)))*(K121+M121)</f>
        <v>1.2034163658830368</v>
      </c>
      <c r="L171" s="1457"/>
      <c r="M171" s="1457">
        <f>1/(1+(10^-((M170-K170)/400)))*(K121+M121)</f>
        <v>0.79658363411696298</v>
      </c>
      <c r="N171" s="1457">
        <f>1/(1+(10^-((N170-P170)/400)))*(N121+P121)</f>
        <v>1.5304174685360534</v>
      </c>
      <c r="O171" s="1457"/>
      <c r="P171" s="1457">
        <f>1/(1+(10^-((P170-N170)/400)))*(N121+P121)</f>
        <v>0.46958253146394674</v>
      </c>
      <c r="Q171" s="1457">
        <f>1/(1+(10^-((Q170-S170)/400)))*(Q121+S121)</f>
        <v>0.77329900123409001</v>
      </c>
      <c r="R171" s="1457"/>
      <c r="S171" s="1457">
        <f>1/(1+(10^-((S170-Q170)/400)))*(Q121+S121)</f>
        <v>1.2267009987659099</v>
      </c>
      <c r="T171" s="1457">
        <f>1/(1+(10^-((T170-V170)/400)))*(T121+V121)</f>
        <v>1.2745972398177221</v>
      </c>
      <c r="U171" s="1457"/>
      <c r="V171" s="1457">
        <f>1/(1+(10^-((V170-T170)/400)))*(T121+V121)</f>
        <v>0.72540276018227801</v>
      </c>
      <c r="W171" s="1457">
        <f>1/(1+(10^-((W170-Y170)/400)))*(W121+Y121)</f>
        <v>1.4919258522474061</v>
      </c>
      <c r="X171" s="1457"/>
      <c r="Y171" s="1457">
        <f>1/(1+(10^-((Y170-W170)/400)))*(W121+Y121)</f>
        <v>0.50807414775259385</v>
      </c>
      <c r="Z171" s="1457">
        <f>1/(1+(10^-((Z170-AB170)/400)))*(Z121+AB121)</f>
        <v>0.98351020158390512</v>
      </c>
      <c r="AA171" s="1457"/>
      <c r="AB171" s="1457">
        <f>1/(1+(10^-((AB170-Z170)/400)))*(Z121+AB121)</f>
        <v>1.016489798416095</v>
      </c>
      <c r="AC171" s="1457">
        <f>1/(1+(10^-((AC170-AE170)/400)))*(AC121+AE121)</f>
        <v>1.3586887566246766</v>
      </c>
      <c r="AD171" s="1457"/>
      <c r="AE171" s="1457">
        <f>1/(1+(10^-((AE170-AC170)/400)))*(AC121+AE121)</f>
        <v>0.64131124337532341</v>
      </c>
      <c r="AF171" s="1458"/>
      <c r="AG171" s="1459"/>
      <c r="AH171" s="1459"/>
      <c r="AI171" s="1459"/>
      <c r="AJ171" s="1459"/>
      <c r="AK171" s="1459"/>
      <c r="AL171" s="1459"/>
      <c r="AM171" s="1459"/>
      <c r="AN171" s="1460"/>
      <c r="AO171" s="1460"/>
      <c r="AP171" s="1460"/>
      <c r="AQ171" s="1460"/>
      <c r="AW171" s="1462"/>
      <c r="BB171" s="1462"/>
    </row>
    <row r="172" spans="1:54" s="1467" customFormat="1" hidden="1" x14ac:dyDescent="0.2">
      <c r="A172" s="1463" t="s">
        <v>116</v>
      </c>
      <c r="B172" s="1463">
        <f>B170+(B121-B171)*$BA$1</f>
        <v>2081.414688965107</v>
      </c>
      <c r="C172" s="1463"/>
      <c r="D172" s="1463">
        <f>D170+(D121-D171)*$BA$1</f>
        <v>2029.7488998126507</v>
      </c>
      <c r="E172" s="1463">
        <f>E170+(E121-E171)*$BA$1</f>
        <v>2229.2536908824986</v>
      </c>
      <c r="F172" s="1463"/>
      <c r="G172" s="1463">
        <f>G170+(G121-G171)*$BA$1</f>
        <v>2009.7408754266376</v>
      </c>
      <c r="H172" s="1463">
        <f>H170+(H121-H171)*$BA$1</f>
        <v>2024.0144982985066</v>
      </c>
      <c r="I172" s="1463"/>
      <c r="J172" s="1463">
        <f>J170+(J121-J171)*$BA$1</f>
        <v>2064.4067069800431</v>
      </c>
      <c r="K172" s="1463">
        <f>K170+(K121-K171)*$BA$1</f>
        <v>2106.9053652568496</v>
      </c>
      <c r="L172" s="1463"/>
      <c r="M172" s="1463">
        <f>M170+(M121-M171)*$BA$1</f>
        <v>1984.2501991348947</v>
      </c>
      <c r="N172" s="1463">
        <f>N170+(N121-N171)*$BA$1</f>
        <v>2244.2803318893448</v>
      </c>
      <c r="O172" s="1463"/>
      <c r="P172" s="1463">
        <f>P170+(P121-P171)*$BA$1</f>
        <v>2008.9878572916602</v>
      </c>
      <c r="Q172" s="1463">
        <f>Q170+(Q121-Q171)*$BA$1</f>
        <v>1991.5046310954037</v>
      </c>
      <c r="R172" s="1463"/>
      <c r="S172" s="1463">
        <f>S170+(S121-S171)*$BA$1</f>
        <v>2057.152275019534</v>
      </c>
      <c r="T172" s="1463">
        <f>T170+(T121-T171)*$BA$1</f>
        <v>2130.1182535826824</v>
      </c>
      <c r="U172" s="1463"/>
      <c r="V172" s="1463">
        <f>V170+(V121-V171)*$BA$1</f>
        <v>1985.7749689658274</v>
      </c>
      <c r="W172" s="1463">
        <f>W170+(W121-W171)*$BA$1</f>
        <v>2260.5387046174278</v>
      </c>
      <c r="X172" s="1463"/>
      <c r="Y172" s="1463">
        <f>Y170+(Y121-Y171)*$BA$1</f>
        <v>2040.893902291451</v>
      </c>
      <c r="Z172" s="1463">
        <f>Z170+(Z121-Z171)*$BA$1</f>
        <v>1954.3026425151425</v>
      </c>
      <c r="AA172" s="1463"/>
      <c r="AB172" s="1463">
        <f>AB170+(AB121-AB171)*$BA$1</f>
        <v>2022.9769575460887</v>
      </c>
      <c r="AC172" s="1463">
        <f>AC170+(AC121-AC171)*$BA$1</f>
        <v>2249.0606644054383</v>
      </c>
      <c r="AD172" s="1463"/>
      <c r="AE172" s="1463">
        <f>AE170+(AE121-AE171)*$BA$1</f>
        <v>2141.596293794672</v>
      </c>
      <c r="AF172" s="1464"/>
      <c r="AG172" s="1465"/>
      <c r="AH172" s="1465"/>
      <c r="AI172" s="1465"/>
      <c r="AJ172" s="1465"/>
      <c r="AK172" s="1465"/>
      <c r="AL172" s="1465"/>
      <c r="AM172" s="1465"/>
      <c r="AN172" s="1466"/>
      <c r="AO172" s="1466"/>
      <c r="AP172" s="1466"/>
      <c r="AQ172" s="1466"/>
      <c r="AW172" s="1468"/>
      <c r="BB172" s="1468"/>
    </row>
    <row r="173" spans="1:54" s="1467" customFormat="1" hidden="1" x14ac:dyDescent="0.2">
      <c r="A173" s="1463"/>
      <c r="B173" s="1463"/>
      <c r="C173" s="1463"/>
      <c r="D173" s="1463"/>
      <c r="E173" s="1463"/>
      <c r="F173" s="1463"/>
      <c r="G173" s="1463"/>
      <c r="H173" s="1463"/>
      <c r="I173" s="1463"/>
      <c r="J173" s="1463"/>
      <c r="K173" s="1463"/>
      <c r="L173" s="1463"/>
      <c r="M173" s="1463"/>
      <c r="N173" s="1463"/>
      <c r="O173" s="1463"/>
      <c r="P173" s="1463"/>
      <c r="Q173" s="1463"/>
      <c r="R173" s="1463"/>
      <c r="S173" s="1463"/>
      <c r="T173" s="1463"/>
      <c r="U173" s="1463"/>
      <c r="V173" s="1463"/>
      <c r="W173" s="1463"/>
      <c r="X173" s="1463"/>
      <c r="Y173" s="1463"/>
      <c r="Z173" s="1463"/>
      <c r="AA173" s="1463"/>
      <c r="AB173" s="1463"/>
      <c r="AC173" s="1463"/>
      <c r="AD173" s="1463"/>
      <c r="AE173" s="1463"/>
      <c r="AF173" s="1464"/>
      <c r="AG173" s="1465"/>
      <c r="AH173" s="1465"/>
      <c r="AI173" s="1465"/>
      <c r="AJ173" s="1465"/>
      <c r="AK173" s="1465"/>
      <c r="AL173" s="1465"/>
      <c r="AM173" s="1465"/>
      <c r="AN173" s="1466"/>
      <c r="AO173" s="1466"/>
      <c r="AP173" s="1466"/>
      <c r="AQ173" s="1466"/>
      <c r="AW173" s="1468"/>
      <c r="BB173" s="1468"/>
    </row>
    <row r="174" spans="1:54" s="1452" customFormat="1" x14ac:dyDescent="0.2">
      <c r="A174" s="1469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174" s="1469"/>
      <c r="C174" s="1469"/>
      <c r="D174" s="1469"/>
      <c r="E174" s="1469"/>
      <c r="F174" s="1469"/>
      <c r="G174" s="1469"/>
      <c r="H174" s="1469"/>
      <c r="I174" s="1469"/>
      <c r="J174" s="1469"/>
      <c r="K174" s="1469"/>
      <c r="L174" s="1469"/>
      <c r="M174" s="1469"/>
      <c r="N174" s="1469"/>
      <c r="O174" s="1469"/>
      <c r="P174" s="1469"/>
      <c r="Q174" s="1469"/>
      <c r="R174" s="1469"/>
      <c r="S174" s="1469"/>
      <c r="T174" s="1469"/>
      <c r="U174" s="1469"/>
      <c r="V174" s="1469"/>
      <c r="W174" s="1469"/>
      <c r="X174" s="1469"/>
      <c r="Y174" s="1469"/>
      <c r="Z174" s="1469"/>
      <c r="AA174" s="1469"/>
      <c r="AB174" s="1469"/>
      <c r="AC174" s="1469"/>
      <c r="AD174" s="1469"/>
      <c r="AE174" s="1469"/>
      <c r="AF174" s="1469"/>
      <c r="AG174" s="1469"/>
      <c r="AH174" s="1469"/>
      <c r="AI174" s="1469"/>
      <c r="AJ174" s="1469"/>
      <c r="AK174" s="1469"/>
      <c r="AL174" s="1469"/>
      <c r="AM174" s="1469"/>
      <c r="AN174" s="1470"/>
      <c r="AO174" s="1470"/>
      <c r="AP174" s="1470"/>
      <c r="AQ174" s="1470"/>
      <c r="AW174" s="1455"/>
    </row>
    <row r="175" spans="1:54" s="1452" customFormat="1" x14ac:dyDescent="0.2">
      <c r="A175" s="1471"/>
      <c r="B175" s="1471"/>
      <c r="C175" s="1471"/>
      <c r="D175" s="1471"/>
      <c r="E175" s="1471"/>
      <c r="F175" s="1471"/>
      <c r="G175" s="1471"/>
      <c r="H175" s="1471"/>
      <c r="I175" s="1471"/>
      <c r="J175" s="1471"/>
      <c r="K175" s="1471"/>
      <c r="L175" s="1471"/>
      <c r="M175" s="1471"/>
      <c r="N175" s="1471"/>
      <c r="O175" s="1471"/>
      <c r="P175" s="1471"/>
      <c r="Q175" s="1471"/>
      <c r="R175" s="1471"/>
      <c r="S175" s="1471"/>
      <c r="T175" s="1471"/>
      <c r="U175" s="1471"/>
      <c r="V175" s="1471"/>
      <c r="W175" s="1471"/>
      <c r="X175" s="1471"/>
      <c r="Y175" s="1471"/>
      <c r="Z175" s="1471"/>
      <c r="AA175" s="1471"/>
      <c r="AB175" s="1471"/>
      <c r="AC175" s="1471"/>
      <c r="AD175" s="1471"/>
      <c r="AE175" s="1471"/>
      <c r="AF175" s="1471"/>
      <c r="AG175" s="1471"/>
      <c r="AH175" s="1471"/>
      <c r="AI175" s="1471"/>
      <c r="AJ175" s="1471"/>
      <c r="AK175" s="1471"/>
      <c r="AL175" s="1471"/>
      <c r="AM175" s="1471"/>
      <c r="AN175" s="1471"/>
      <c r="AO175" s="1471"/>
      <c r="AP175" s="1471"/>
      <c r="AQ175" s="1471"/>
      <c r="AW175" s="1455"/>
    </row>
    <row r="176" spans="1:54" ht="21" thickBot="1" x14ac:dyDescent="0.35">
      <c r="A176" s="1473" t="s">
        <v>118</v>
      </c>
      <c r="B176" s="1473"/>
      <c r="C176" s="1473"/>
      <c r="D176" s="1473"/>
      <c r="E176" s="1473"/>
      <c r="F176" s="1473"/>
      <c r="G176" s="1473"/>
      <c r="H176" s="1473"/>
      <c r="I176" s="1473"/>
      <c r="J176" s="1473"/>
      <c r="K176" s="1473"/>
      <c r="L176" s="1473"/>
      <c r="M176" s="1473"/>
      <c r="N176" s="1473"/>
      <c r="O176" s="1473"/>
      <c r="P176" s="1473"/>
      <c r="Q176" s="1473"/>
      <c r="R176" s="1473"/>
      <c r="S176" s="1473"/>
      <c r="T176" s="1473"/>
      <c r="U176" s="1473"/>
      <c r="V176" s="1473"/>
      <c r="W176" s="1473"/>
      <c r="X176" s="1473"/>
      <c r="Y176" s="1473"/>
      <c r="Z176" s="1473"/>
      <c r="AA176" s="1473"/>
      <c r="AB176" s="1473"/>
      <c r="AC176" s="1473"/>
      <c r="AD176" s="1473"/>
      <c r="AE176" s="1473"/>
      <c r="AF176" s="1473"/>
      <c r="AG176" s="1473"/>
      <c r="AH176" s="1473"/>
      <c r="AI176" s="1473"/>
      <c r="AJ176" s="1473"/>
      <c r="AK176" s="1473"/>
      <c r="AL176" s="1473"/>
      <c r="AM176" s="1473"/>
      <c r="AN176" s="1473"/>
      <c r="AO176" s="1473"/>
      <c r="AP176" s="1473"/>
      <c r="AQ176" s="1473"/>
    </row>
    <row r="177" spans="1:53" ht="13.5" thickBot="1" x14ac:dyDescent="0.25">
      <c r="A177" s="1474" t="s">
        <v>119</v>
      </c>
      <c r="B177" s="1475" t="s">
        <v>120</v>
      </c>
      <c r="C177" s="1476"/>
      <c r="D177" s="1476"/>
      <c r="E177" s="1476"/>
      <c r="F177" s="1476"/>
      <c r="G177" s="1476"/>
      <c r="H177" s="1476"/>
      <c r="I177" s="1476"/>
      <c r="J177" s="1476"/>
      <c r="K177" s="1477"/>
      <c r="L177" s="1475" t="s">
        <v>121</v>
      </c>
      <c r="M177" s="1476"/>
      <c r="N177" s="1476"/>
      <c r="O177" s="1476"/>
      <c r="P177" s="1476"/>
      <c r="Q177" s="1476"/>
      <c r="R177" s="1476"/>
      <c r="S177" s="1476"/>
      <c r="T177" s="1476"/>
      <c r="U177" s="1477"/>
      <c r="V177" s="1475" t="s">
        <v>122</v>
      </c>
      <c r="W177" s="1476"/>
      <c r="X177" s="1476"/>
      <c r="Y177" s="1476"/>
      <c r="Z177" s="1476"/>
      <c r="AA177" s="1476"/>
      <c r="AB177" s="1476"/>
      <c r="AC177" s="1476"/>
      <c r="AD177" s="1476"/>
      <c r="AE177" s="1477"/>
      <c r="AF177" s="1475" t="s">
        <v>123</v>
      </c>
      <c r="AG177" s="1476"/>
      <c r="AH177" s="1476"/>
      <c r="AI177" s="1476"/>
      <c r="AJ177" s="1476"/>
      <c r="AK177" s="1476"/>
      <c r="AL177" s="1476"/>
      <c r="AM177" s="1476"/>
      <c r="AN177" s="1476"/>
      <c r="AO177" s="1477"/>
    </row>
    <row r="178" spans="1:53" ht="13.5" thickBot="1" x14ac:dyDescent="0.25">
      <c r="A178" s="1478"/>
      <c r="B178" s="1479" t="s">
        <v>10</v>
      </c>
      <c r="C178" s="1480"/>
      <c r="D178" s="1480"/>
      <c r="E178" s="1480"/>
      <c r="F178" s="1480"/>
      <c r="G178" s="1481"/>
      <c r="H178" s="1479" t="s">
        <v>124</v>
      </c>
      <c r="I178" s="1480"/>
      <c r="J178" s="1480"/>
      <c r="K178" s="1481"/>
      <c r="L178" s="1479" t="s">
        <v>10</v>
      </c>
      <c r="M178" s="1480"/>
      <c r="N178" s="1480"/>
      <c r="O178" s="1480"/>
      <c r="P178" s="1480"/>
      <c r="Q178" s="1481"/>
      <c r="R178" s="1479" t="s">
        <v>124</v>
      </c>
      <c r="S178" s="1480"/>
      <c r="T178" s="1480"/>
      <c r="U178" s="1481"/>
      <c r="V178" s="1479" t="s">
        <v>10</v>
      </c>
      <c r="W178" s="1480"/>
      <c r="X178" s="1480"/>
      <c r="Y178" s="1480"/>
      <c r="Z178" s="1480"/>
      <c r="AA178" s="1481"/>
      <c r="AB178" s="1479" t="s">
        <v>124</v>
      </c>
      <c r="AC178" s="1480"/>
      <c r="AD178" s="1480"/>
      <c r="AE178" s="1481"/>
      <c r="AF178" s="1479" t="s">
        <v>10</v>
      </c>
      <c r="AG178" s="1480"/>
      <c r="AH178" s="1480"/>
      <c r="AI178" s="1480"/>
      <c r="AJ178" s="1480"/>
      <c r="AK178" s="1481"/>
      <c r="AL178" s="1479" t="s">
        <v>124</v>
      </c>
      <c r="AM178" s="1480"/>
      <c r="AN178" s="1480"/>
      <c r="AO178" s="1481"/>
    </row>
    <row r="179" spans="1:53" x14ac:dyDescent="0.2">
      <c r="A179" s="1482" t="s">
        <v>125</v>
      </c>
      <c r="B179" s="1483" t="str">
        <f>IF($AF$8=1,$E$8,IF($AF$10=1,$E$10,IF($AF$12=1,$E$12,IF($AF$14=1,$E$14,IF($AF$16=1,$E$16,"1st Place "&amp;$A179)))))</f>
        <v>KVC 14</v>
      </c>
      <c r="C179" s="1484"/>
      <c r="D179" s="1484"/>
      <c r="E179" s="1484"/>
      <c r="F179" s="1484"/>
      <c r="G179" s="1484"/>
      <c r="H179" s="1485" t="str">
        <f>IF($AF$8=1,$E$9,IF($AF$10=1,$E$11,IF($AF$12=1,$E$13,IF($AF$14=1,$E$15,IF($AF$16=1,$E$17,"1st Place "&amp;$A179)))))</f>
        <v>fj4kvcjr1pm</v>
      </c>
      <c r="I179" s="1485"/>
      <c r="J179" s="1485"/>
      <c r="K179" s="1486"/>
      <c r="L179" s="1483" t="str">
        <f>IF($AF$8=2,$E$8,IF($AF$10=2,$E$10,IF($AF$12=2,$E$12,IF($AF$14=2,$E$14,IF($AF$16=2,$E$16,"2nd Place "&amp;$A179)))))</f>
        <v>Magnum Aiken 15 Yellow</v>
      </c>
      <c r="M179" s="1484"/>
      <c r="N179" s="1484"/>
      <c r="O179" s="1484"/>
      <c r="P179" s="1484"/>
      <c r="Q179" s="1484"/>
      <c r="R179" s="1485" t="str">
        <f>IF($AF$8=2,$E$9,IF($AF$10=2,$E$11,IF($AF$12=2,$E$13,IF($AF$14=2,$E$15,IF($AF$16=2,$E$17,"2nd Place "&amp;$A179)))))</f>
        <v>fj5magnm4pm</v>
      </c>
      <c r="S179" s="1485"/>
      <c r="T179" s="1485"/>
      <c r="U179" s="1486"/>
      <c r="V179" s="1483" t="str">
        <f>IF($AF$8=3,$E$8,IF($AF$10=3,$E$10,IF($AF$12=3,$E$12,IF($AF$14=3,$E$14,IF($AF$16=3,$E$16,"3rd Place "&amp;$A179)))))</f>
        <v>Lake Murray 15 Black</v>
      </c>
      <c r="W179" s="1484"/>
      <c r="X179" s="1484"/>
      <c r="Y179" s="1484"/>
      <c r="Z179" s="1484"/>
      <c r="AA179" s="1484"/>
      <c r="AB179" s="1485" t="str">
        <f>IF($AF$8=3,$E$9,IF($AF$10=3,$E$11,IF($AF$12=3,$E$13,IF($AF$14=3,$E$15,IF($AF$16=3,$E$17,"3rd Place "&amp;$A179)))))</f>
        <v>fj5lakem2pm</v>
      </c>
      <c r="AC179" s="1485"/>
      <c r="AD179" s="1485"/>
      <c r="AE179" s="1486"/>
      <c r="AF179" s="1483" t="str">
        <f>IF($AF$8=4,$E$8,IF($AF$10=4,$E$10,IF($AF$12=4,$E$12,IF($AF$14=4,$E$14,IF($AF$16=4,$E$16,"4th Place "&amp;$A179)))))</f>
        <v>V-1 Academy SAV 15 Lucas</v>
      </c>
      <c r="AG179" s="1484"/>
      <c r="AH179" s="1484"/>
      <c r="AI179" s="1484"/>
      <c r="AJ179" s="1484"/>
      <c r="AK179" s="1484"/>
      <c r="AL179" s="1485" t="str">
        <f>IF($AF$8=4,$E$9,IF($AF$10=4,$E$11,IF($AF$12=4,$E$13,IF($AF$14=4,$E$15,IF($AF$16=4,$E$17,"4th Place "&amp;$A179)))))</f>
        <v>fj5vosav1so</v>
      </c>
      <c r="AM179" s="1485"/>
      <c r="AN179" s="1485"/>
      <c r="AO179" s="1486"/>
    </row>
    <row r="180" spans="1:53" ht="13.5" thickBot="1" x14ac:dyDescent="0.25">
      <c r="A180" s="1487" t="s">
        <v>126</v>
      </c>
      <c r="B180" s="1488" t="str">
        <f>IF($AF$93=1,$E$93,IF($AF$95=1,$E$95,IF($AF$97=1,$E$97,IF($AF$99=1,$E$99,IF($AF$101=1,$E$101,"1st Place "&amp;$A180)))))</f>
        <v>Beaufort 15 U</v>
      </c>
      <c r="C180" s="1489"/>
      <c r="D180" s="1489"/>
      <c r="E180" s="1489"/>
      <c r="F180" s="1489"/>
      <c r="G180" s="1489"/>
      <c r="H180" s="1490" t="str">
        <f>IF($AF$93=1,$E$94,IF($AF$95=1,$E$96,IF($AF$97=1,$E$98,IF($AF$99=1,$E$100,IF($AF$101=1,$E$102,"1st Place "&amp;$A180)))))</f>
        <v>fj5beauf1pm</v>
      </c>
      <c r="I180" s="1490"/>
      <c r="J180" s="1490"/>
      <c r="K180" s="1491"/>
      <c r="L180" s="1488" t="str">
        <f>IF($AF$93=2,$E$93,IF($AF$95=2,$E$95,IF($AF$97=2,$E$97,IF($AF$99=2,$E$99,IF($AF$101=2,$E$101,"2nd Place "&amp;$A180)))))</f>
        <v>Foothills 15 CJ</v>
      </c>
      <c r="M180" s="1489"/>
      <c r="N180" s="1489"/>
      <c r="O180" s="1489"/>
      <c r="P180" s="1489"/>
      <c r="Q180" s="1489"/>
      <c r="R180" s="1490" t="str">
        <f>IF($AF$93=2,$E$94,IF($AF$95=2,$E$96,IF($AF$97=2,$E$98,IF($AF$99=2,$E$100,IF($AF$101=2,$E$102,"2nd Place "&amp;$A180)))))</f>
        <v>fj5footh1pm</v>
      </c>
      <c r="S180" s="1490"/>
      <c r="T180" s="1490"/>
      <c r="U180" s="1491"/>
      <c r="V180" s="1488" t="str">
        <f>IF($AF$93=3,$E$93,IF($AF$95=3,$E$95,IF($AF$97=3,$E$97,IF($AF$99=3,$E$99,IF($AF$101=3,$E$101,"3rd Place "&amp;$A180)))))</f>
        <v>ATown 15 Black</v>
      </c>
      <c r="W180" s="1489"/>
      <c r="X180" s="1489"/>
      <c r="Y180" s="1489"/>
      <c r="Z180" s="1489"/>
      <c r="AA180" s="1489"/>
      <c r="AB180" s="1490" t="str">
        <f>IF($AF$93=3,$E$94,IF($AF$95=3,$E$96,IF($AF$97=3,$E$98,IF($AF$99=3,$E$100,IF($AF$101=3,$E$102,"3rd Place "&amp;$A180)))))</f>
        <v>fj5atown1pm</v>
      </c>
      <c r="AC180" s="1490"/>
      <c r="AD180" s="1490"/>
      <c r="AE180" s="1491"/>
      <c r="AF180" s="1488" t="str">
        <f>IF($AF$93=4,$E$93,IF($AF$95=4,$E$95,IF($AF$97=4,$E$97,IF($AF$99=4,$E$99,IF($AF$101=4,$E$101,"4th Place "&amp;$A180)))))</f>
        <v>Chas Jrs 15 Blue</v>
      </c>
      <c r="AG180" s="1489"/>
      <c r="AH180" s="1489"/>
      <c r="AI180" s="1489"/>
      <c r="AJ180" s="1489"/>
      <c r="AK180" s="1489"/>
      <c r="AL180" s="1490" t="str">
        <f>IF($AF$93=4,$E$94,IF($AF$95=4,$E$96,IF($AF$97=4,$E$98,IF($AF$99=4,$E$100,IF($AF$101=4,$E$102,"4th Place "&amp;$A180)))))</f>
        <v>fj5charl2pm</v>
      </c>
      <c r="AM180" s="1490"/>
      <c r="AN180" s="1490"/>
      <c r="AO180" s="1491"/>
    </row>
    <row r="181" spans="1:53" s="1250" customFormat="1" x14ac:dyDescent="0.2">
      <c r="A181" s="1492"/>
      <c r="B181" s="1493"/>
      <c r="C181" s="1493"/>
      <c r="D181" s="1493"/>
      <c r="E181" s="1493"/>
      <c r="F181" s="1493"/>
      <c r="G181" s="1493"/>
      <c r="H181" s="1493"/>
      <c r="I181" s="1493"/>
      <c r="J181" s="1493"/>
      <c r="K181" s="1493"/>
      <c r="L181" s="1493"/>
      <c r="M181" s="1493"/>
      <c r="N181" s="1493"/>
      <c r="O181" s="1493"/>
      <c r="P181" s="1493"/>
      <c r="Q181" s="1493"/>
      <c r="R181" s="1493"/>
      <c r="S181" s="1493"/>
      <c r="T181" s="1493"/>
      <c r="U181" s="1493"/>
      <c r="V181" s="1493"/>
      <c r="W181" s="1493"/>
      <c r="X181" s="1493"/>
      <c r="Y181" s="1493"/>
      <c r="Z181" s="1493"/>
      <c r="AA181" s="1493"/>
      <c r="AB181" s="1493"/>
      <c r="AC181" s="1493"/>
      <c r="AD181" s="1493"/>
      <c r="AE181" s="1493"/>
      <c r="AF181" s="1493"/>
      <c r="AG181" s="1493"/>
      <c r="AH181" s="1493"/>
      <c r="AI181" s="1493"/>
      <c r="AJ181" s="1493"/>
      <c r="AK181" s="1493"/>
      <c r="AL181" s="1493"/>
      <c r="AM181" s="1493"/>
      <c r="AN181" s="1493"/>
      <c r="AO181" s="1493"/>
      <c r="AW181" s="1442"/>
      <c r="AX181" s="1251"/>
      <c r="AY181" s="1251"/>
      <c r="AZ181" s="1251"/>
      <c r="BA181" s="1251"/>
    </row>
    <row r="182" spans="1:53" ht="15.75" x14ac:dyDescent="0.25">
      <c r="A182" s="1494" t="s">
        <v>127</v>
      </c>
      <c r="B182" s="1494"/>
      <c r="C182" s="1494"/>
      <c r="D182" s="1494"/>
      <c r="E182" s="1494"/>
      <c r="F182" s="1494"/>
      <c r="G182" s="1494"/>
      <c r="H182" s="1494"/>
      <c r="I182" s="1494"/>
      <c r="J182" s="1494"/>
      <c r="K182" s="1494"/>
      <c r="L182" s="1494"/>
      <c r="M182" s="1494"/>
      <c r="N182" s="1494"/>
      <c r="O182" s="1494"/>
      <c r="P182" s="1494"/>
      <c r="Q182" s="1494"/>
      <c r="R182" s="1494"/>
      <c r="S182" s="1494"/>
      <c r="T182" s="1494"/>
      <c r="U182" s="1494"/>
      <c r="V182" s="1494"/>
      <c r="W182" s="1494"/>
      <c r="X182" s="1494"/>
      <c r="Y182" s="1494"/>
      <c r="Z182" s="1494"/>
      <c r="AA182" s="1494"/>
      <c r="AB182" s="1494"/>
      <c r="AC182" s="1494"/>
      <c r="AD182" s="1494"/>
      <c r="AE182" s="1494"/>
      <c r="AF182" s="1494"/>
      <c r="AG182" s="1494"/>
      <c r="AH182" s="1494"/>
      <c r="AI182" s="1494"/>
      <c r="AJ182" s="1494"/>
      <c r="AK182" s="1494"/>
      <c r="AL182" s="1494"/>
      <c r="AM182" s="1494"/>
      <c r="AN182" s="1494"/>
      <c r="AO182" s="1494"/>
      <c r="AP182" s="1494"/>
      <c r="AQ182" s="1494"/>
      <c r="AT182" s="1495"/>
      <c r="AU182" s="1495"/>
      <c r="AV182" s="1495"/>
    </row>
    <row r="183" spans="1:53" ht="40.5" customHeight="1" x14ac:dyDescent="0.25">
      <c r="A183" s="1496" t="s">
        <v>128</v>
      </c>
      <c r="B183" s="1497"/>
      <c r="C183" s="1497"/>
      <c r="D183" s="1497"/>
      <c r="E183" s="1497"/>
      <c r="F183" s="1497"/>
      <c r="G183" s="1497"/>
      <c r="H183" s="1497"/>
      <c r="I183" s="1497"/>
      <c r="J183" s="1497"/>
      <c r="K183" s="1497"/>
      <c r="L183" s="1497"/>
      <c r="M183" s="1497"/>
      <c r="N183" s="1497"/>
      <c r="O183" s="1497"/>
      <c r="P183" s="1497"/>
      <c r="Q183" s="1497"/>
      <c r="R183" s="1497"/>
      <c r="S183" s="1497"/>
      <c r="T183" s="1497"/>
      <c r="U183" s="1497"/>
      <c r="V183" s="1497"/>
      <c r="W183" s="1497"/>
      <c r="X183" s="1497"/>
      <c r="Y183" s="1497"/>
      <c r="Z183" s="1497"/>
      <c r="AA183" s="1497"/>
      <c r="AB183" s="1497"/>
      <c r="AC183" s="1497"/>
      <c r="AD183" s="1497"/>
      <c r="AE183" s="1497"/>
      <c r="AF183" s="1497"/>
      <c r="AG183" s="1497"/>
      <c r="AH183" s="1497"/>
      <c r="AI183" s="1497"/>
      <c r="AJ183" s="1497"/>
      <c r="AK183" s="1497"/>
      <c r="AL183" s="1497"/>
      <c r="AM183" s="1497"/>
      <c r="AN183" s="1497"/>
      <c r="AO183" s="1497"/>
      <c r="AP183" s="1497"/>
      <c r="AQ183" s="1497"/>
    </row>
    <row r="184" spans="1:53" x14ac:dyDescent="0.2">
      <c r="A184" s="1498" t="s">
        <v>129</v>
      </c>
      <c r="B184" s="1498"/>
      <c r="C184" s="1498"/>
      <c r="D184" s="1498"/>
      <c r="E184" s="1498"/>
      <c r="F184" s="1498"/>
      <c r="G184" s="1498"/>
      <c r="H184" s="1498"/>
      <c r="I184" s="1498"/>
      <c r="J184" s="1498"/>
      <c r="K184" s="1498"/>
      <c r="L184" s="1498"/>
      <c r="M184" s="1498"/>
      <c r="N184" s="1498"/>
      <c r="O184" s="1498"/>
      <c r="P184" s="1498"/>
      <c r="Q184" s="1498"/>
      <c r="R184" s="1498"/>
      <c r="S184" s="1498"/>
      <c r="T184" s="1498"/>
      <c r="U184" s="1498"/>
      <c r="V184" s="1498"/>
      <c r="W184" s="1498"/>
      <c r="X184" s="1498"/>
      <c r="Y184" s="1498"/>
      <c r="Z184" s="1498"/>
      <c r="AA184" s="1498"/>
      <c r="AB184" s="1498"/>
      <c r="AC184" s="1498"/>
      <c r="AD184" s="1498"/>
      <c r="AE184" s="1498"/>
      <c r="AF184" s="1498"/>
      <c r="AG184" s="1498"/>
      <c r="AH184" s="1498"/>
      <c r="AI184" s="1498"/>
      <c r="AJ184" s="1498"/>
      <c r="AK184" s="1498"/>
      <c r="AL184" s="1498"/>
      <c r="AM184" s="1498"/>
      <c r="AN184" s="1498"/>
      <c r="AO184" s="1498"/>
      <c r="AP184" s="1498"/>
      <c r="AQ184" s="1498"/>
    </row>
    <row r="185" spans="1:53" x14ac:dyDescent="0.2">
      <c r="A185" s="1498"/>
      <c r="B185" s="1498"/>
      <c r="C185" s="1498"/>
      <c r="D185" s="1498"/>
      <c r="E185" s="1498"/>
      <c r="F185" s="1498"/>
      <c r="G185" s="1498"/>
      <c r="H185" s="1498"/>
      <c r="I185" s="1498"/>
      <c r="J185" s="1498"/>
      <c r="K185" s="1498"/>
      <c r="L185" s="1498"/>
      <c r="M185" s="1498"/>
      <c r="N185" s="1498"/>
      <c r="O185" s="1498"/>
      <c r="P185" s="1498"/>
      <c r="Q185" s="1498"/>
      <c r="R185" s="1498"/>
      <c r="S185" s="1498"/>
      <c r="T185" s="1498"/>
      <c r="U185" s="1498"/>
      <c r="V185" s="1498"/>
      <c r="W185" s="1498"/>
      <c r="X185" s="1498"/>
      <c r="Y185" s="1498"/>
      <c r="Z185" s="1498"/>
      <c r="AA185" s="1498"/>
      <c r="AB185" s="1498"/>
      <c r="AC185" s="1498"/>
      <c r="AD185" s="1498"/>
      <c r="AE185" s="1498"/>
      <c r="AF185" s="1498"/>
      <c r="AG185" s="1498"/>
      <c r="AH185" s="1498"/>
      <c r="AI185" s="1498"/>
      <c r="AJ185" s="1498"/>
      <c r="AK185" s="1498"/>
      <c r="AL185" s="1498"/>
      <c r="AM185" s="1498"/>
      <c r="AN185" s="1498"/>
      <c r="AO185" s="1498"/>
      <c r="AP185" s="1498"/>
      <c r="AQ185" s="1498"/>
    </row>
    <row r="186" spans="1:53" x14ac:dyDescent="0.2">
      <c r="A186" s="1499" t="s">
        <v>130</v>
      </c>
      <c r="B186" s="1499"/>
      <c r="C186" s="1499"/>
      <c r="D186" s="1499"/>
      <c r="E186" s="1499"/>
      <c r="F186" s="1499"/>
      <c r="G186" s="1499"/>
      <c r="H186" s="1499"/>
      <c r="I186" s="1499"/>
      <c r="J186" s="1499"/>
      <c r="K186" s="1499"/>
      <c r="L186" s="1500"/>
    </row>
    <row r="187" spans="1:53" x14ac:dyDescent="0.2">
      <c r="C187" s="1250"/>
      <c r="D187" s="1250"/>
      <c r="E187" s="1250"/>
      <c r="L187" s="1500"/>
    </row>
    <row r="188" spans="1:53" x14ac:dyDescent="0.2">
      <c r="A188" s="1470" t="s">
        <v>131</v>
      </c>
      <c r="B188" s="1470"/>
      <c r="C188" s="1470"/>
      <c r="D188" s="1470"/>
      <c r="E188" s="1470"/>
      <c r="F188" s="1470"/>
      <c r="G188" s="1470"/>
      <c r="H188" s="1470"/>
      <c r="I188" s="1470"/>
      <c r="J188" s="1470"/>
      <c r="K188" s="1470"/>
      <c r="L188" s="1470"/>
      <c r="M188" s="1470"/>
      <c r="N188" s="1470"/>
      <c r="O188" s="1470"/>
      <c r="P188" s="1442"/>
      <c r="R188" s="1470" t="s">
        <v>132</v>
      </c>
      <c r="S188" s="1470"/>
      <c r="T188" s="1470"/>
      <c r="U188" s="1470"/>
      <c r="V188" s="1470"/>
      <c r="W188" s="1470"/>
      <c r="X188" s="1470"/>
      <c r="Y188" s="1470"/>
      <c r="Z188" s="1470"/>
      <c r="AA188" s="1470"/>
      <c r="AB188" s="1470"/>
      <c r="AC188" s="1470"/>
      <c r="AD188" s="1470"/>
      <c r="AE188" s="1470"/>
      <c r="AF188" s="1470"/>
    </row>
    <row r="190" spans="1:53" ht="13.5" thickBot="1" x14ac:dyDescent="0.25">
      <c r="A190" s="1501" t="str">
        <f>IF(B218=1,B210,IF(B218=2,B211,IF(B218=3,B212,IF(B218=4,B213,IF(OR(B218="B",B218="b"),"BYE","invalid")))))</f>
        <v>KVC 14</v>
      </c>
      <c r="B190" s="1501"/>
      <c r="C190" s="1501"/>
      <c r="D190" s="1501"/>
      <c r="E190" s="1501"/>
      <c r="F190" s="1502"/>
      <c r="G190" s="1502"/>
      <c r="H190" s="1502"/>
      <c r="I190" s="1502"/>
      <c r="J190" s="1502"/>
      <c r="K190" s="1502"/>
      <c r="L190" s="1502"/>
      <c r="M190" s="1502"/>
      <c r="N190" s="1502"/>
      <c r="S190" s="1503"/>
      <c r="T190" s="1503"/>
      <c r="U190" s="1501" t="str">
        <f>IF(W218=1,X210,IF(W218=2,X211,IF(W218=3,X212,IF(W218=4,X213,IF(OR(W218="B",W218="b"),"BYE","invalid")))))</f>
        <v>Lake Murray 15 Black</v>
      </c>
      <c r="V190" s="1501"/>
      <c r="W190" s="1501"/>
      <c r="X190" s="1501"/>
      <c r="Y190" s="1501"/>
      <c r="Z190" s="1501"/>
      <c r="AA190" s="1501"/>
      <c r="AB190" s="1502"/>
      <c r="AC190" s="1502"/>
      <c r="AD190" s="1502"/>
      <c r="AE190" s="1502"/>
    </row>
    <row r="191" spans="1:53" x14ac:dyDescent="0.2">
      <c r="A191" s="1504" t="s">
        <v>133</v>
      </c>
      <c r="B191" s="1504"/>
      <c r="C191" s="1504"/>
      <c r="D191" s="1504"/>
      <c r="E191" s="1504"/>
      <c r="F191" s="1505"/>
      <c r="G191" s="1502"/>
      <c r="H191" s="1502"/>
      <c r="I191" s="1502"/>
      <c r="J191" s="1502"/>
      <c r="K191" s="1502"/>
      <c r="L191" s="1502"/>
      <c r="M191" s="1502"/>
      <c r="N191" s="1502"/>
      <c r="S191" s="1506"/>
      <c r="T191" s="1506"/>
      <c r="U191" s="1507" t="s">
        <v>134</v>
      </c>
      <c r="V191" s="1507"/>
      <c r="W191" s="1507"/>
      <c r="X191" s="1507"/>
      <c r="Y191" s="1507"/>
      <c r="Z191" s="1507"/>
      <c r="AA191" s="1508"/>
      <c r="AB191" s="1502"/>
      <c r="AC191" s="1502"/>
      <c r="AD191" s="1502"/>
      <c r="AE191" s="1502"/>
    </row>
    <row r="192" spans="1:53" x14ac:dyDescent="0.2">
      <c r="A192" s="1502"/>
      <c r="B192" s="1502"/>
      <c r="C192" s="1502"/>
      <c r="D192" s="1502"/>
      <c r="E192" s="1502"/>
      <c r="F192" s="1505"/>
      <c r="G192" s="1502"/>
      <c r="H192" s="1502"/>
      <c r="I192" s="1502"/>
      <c r="J192" s="1502"/>
      <c r="K192" s="1502"/>
      <c r="L192" s="1502"/>
      <c r="M192" s="1502"/>
      <c r="N192" s="1502"/>
      <c r="R192" s="1502"/>
      <c r="S192" s="1502"/>
      <c r="T192" s="1502"/>
      <c r="U192" s="1502"/>
      <c r="V192" s="1502"/>
      <c r="W192" s="1502"/>
      <c r="X192" s="1502"/>
      <c r="Y192" s="1502"/>
      <c r="Z192" s="1502"/>
      <c r="AA192" s="1509"/>
      <c r="AB192" s="1502"/>
      <c r="AC192" s="1502"/>
      <c r="AD192" s="1502"/>
      <c r="AE192" s="1502"/>
    </row>
    <row r="193" spans="1:53" ht="13.5" thickBot="1" x14ac:dyDescent="0.25">
      <c r="A193" s="1507" t="str">
        <f>B212&amp;" ref"</f>
        <v>Magnum Aiken 15 Yellow ref</v>
      </c>
      <c r="B193" s="1507"/>
      <c r="C193" s="1507"/>
      <c r="D193" s="1507"/>
      <c r="E193" s="1508"/>
      <c r="F193" s="1510" t="str">
        <f>IF(H218=1,B210,IF(H218=2,B211,IF(H218=3,B212,IF(H218=4,B213,"Winner Match 1"))))</f>
        <v>KVC 14</v>
      </c>
      <c r="G193" s="1511"/>
      <c r="H193" s="1511"/>
      <c r="I193" s="1511"/>
      <c r="J193" s="1511"/>
      <c r="K193" s="1511"/>
      <c r="L193" s="1511"/>
      <c r="M193" s="1511"/>
      <c r="N193" s="1502"/>
      <c r="P193" s="1512"/>
      <c r="Q193" s="1512"/>
      <c r="R193" s="1512"/>
      <c r="S193" s="1512"/>
      <c r="T193" s="1507" t="str">
        <f>X212&amp;" ref"</f>
        <v>V-1 Academy SAV 15 Lucas ref</v>
      </c>
      <c r="U193" s="1507"/>
      <c r="V193" s="1507"/>
      <c r="W193" s="1507"/>
      <c r="X193" s="1507"/>
      <c r="Y193" s="1507"/>
      <c r="Z193" s="1507"/>
      <c r="AA193" s="1508"/>
      <c r="AB193" s="1510" t="str">
        <f>IF(AC218=1,X210,IF(AC218=2,X211,IF(AC218=3,X212,IF(AC218=4,X213,"Winner Match 1"))))</f>
        <v>Lake Murray 15 Black</v>
      </c>
      <c r="AC193" s="1511"/>
      <c r="AD193" s="1511"/>
      <c r="AE193" s="1511"/>
      <c r="AF193" s="1511"/>
      <c r="AG193" s="1511"/>
      <c r="AH193" s="1511"/>
    </row>
    <row r="194" spans="1:53" x14ac:dyDescent="0.2">
      <c r="A194" s="1513" t="s">
        <v>135</v>
      </c>
      <c r="B194" s="1513"/>
      <c r="C194" s="1513"/>
      <c r="D194" s="1513"/>
      <c r="E194" s="1513"/>
      <c r="F194" s="1514"/>
      <c r="G194" s="1515"/>
      <c r="H194" s="1515"/>
      <c r="I194" s="1516"/>
      <c r="J194" s="1517"/>
      <c r="K194" s="1518"/>
      <c r="L194" s="1518"/>
      <c r="M194" s="1518"/>
      <c r="N194" s="1502"/>
      <c r="O194" s="1502"/>
      <c r="P194" s="1519"/>
      <c r="Q194" s="1258"/>
      <c r="R194" s="1520"/>
      <c r="S194" s="1520"/>
      <c r="T194" s="1521" t="s">
        <v>136</v>
      </c>
      <c r="U194" s="1521"/>
      <c r="V194" s="1521"/>
      <c r="W194" s="1521"/>
      <c r="X194" s="1521"/>
      <c r="Y194" s="1521"/>
      <c r="Z194" s="1521"/>
      <c r="AA194" s="1509"/>
      <c r="AB194" s="1514"/>
      <c r="AC194" s="1515"/>
      <c r="AD194" s="1515"/>
      <c r="AE194" s="1516"/>
      <c r="AF194" s="1517"/>
      <c r="AG194" s="1518"/>
      <c r="AH194" s="1518"/>
    </row>
    <row r="195" spans="1:53" ht="13.5" thickBot="1" x14ac:dyDescent="0.25">
      <c r="A195" s="1501" t="str">
        <f>IF(D218=1,B210,IF(D218=2,B211,IF(D218=3,B212,IF(D218=4,B213,IF(OR(D218="B",D218="b"),"BYE","invalid")))))</f>
        <v>Foothills 15 CJ</v>
      </c>
      <c r="B195" s="1501"/>
      <c r="C195" s="1501"/>
      <c r="D195" s="1501"/>
      <c r="E195" s="1522"/>
      <c r="F195" s="1505"/>
      <c r="G195" s="1502"/>
      <c r="H195" s="1502"/>
      <c r="I195" s="1502"/>
      <c r="J195" s="1505"/>
      <c r="K195" s="1502"/>
      <c r="L195" s="1502"/>
      <c r="M195" s="1502"/>
      <c r="N195" s="1502"/>
      <c r="O195" s="1502"/>
      <c r="P195" s="1502"/>
      <c r="T195" s="1502"/>
      <c r="U195" s="1501" t="str">
        <f>IF(Y218=1,X210,IF(Y218=2,X211,IF(Y218=3,X212,IF(Y218=4,X213,IF(OR(Y218="B",Y218="b"),"BYE","invalid")))))</f>
        <v>Chas Jrs 15 Blue</v>
      </c>
      <c r="V195" s="1501"/>
      <c r="W195" s="1501"/>
      <c r="X195" s="1501"/>
      <c r="Y195" s="1501"/>
      <c r="Z195" s="1501"/>
      <c r="AA195" s="1522"/>
      <c r="AB195" s="1502"/>
      <c r="AC195" s="1502"/>
      <c r="AD195" s="1502"/>
      <c r="AE195" s="1509"/>
      <c r="AF195" s="1502"/>
      <c r="AG195" s="1502"/>
    </row>
    <row r="196" spans="1:53" x14ac:dyDescent="0.2">
      <c r="A196" s="1504" t="s">
        <v>137</v>
      </c>
      <c r="B196" s="1504"/>
      <c r="C196" s="1504"/>
      <c r="D196" s="1504"/>
      <c r="E196" s="1504"/>
      <c r="F196" s="1502"/>
      <c r="G196" s="1502"/>
      <c r="H196" s="1502"/>
      <c r="I196" s="1502"/>
      <c r="J196" s="1505"/>
      <c r="K196" s="1502"/>
      <c r="L196" s="1502"/>
      <c r="M196" s="1502"/>
      <c r="N196" s="1502"/>
      <c r="O196" s="1502"/>
      <c r="P196" s="1502"/>
      <c r="U196" s="1523" t="s">
        <v>138</v>
      </c>
      <c r="V196" s="1523"/>
      <c r="W196" s="1523"/>
      <c r="X196" s="1523"/>
      <c r="Y196" s="1523"/>
      <c r="Z196" s="1523"/>
      <c r="AA196" s="1523"/>
      <c r="AB196" s="1502"/>
      <c r="AC196" s="1502"/>
      <c r="AD196" s="1502"/>
      <c r="AE196" s="1509"/>
      <c r="AF196" s="1502"/>
      <c r="AG196" s="1502"/>
      <c r="AQ196" s="1524"/>
      <c r="AR196" s="1524"/>
      <c r="AS196" s="1524"/>
    </row>
    <row r="197" spans="1:53" x14ac:dyDescent="0.2">
      <c r="A197" s="1502"/>
      <c r="B197" s="1502"/>
      <c r="C197" s="1502"/>
      <c r="D197" s="1502"/>
      <c r="E197" s="1502"/>
      <c r="F197" s="1525" t="s">
        <v>139</v>
      </c>
      <c r="G197" s="1525"/>
      <c r="H197" s="1525"/>
      <c r="I197" s="1526"/>
      <c r="J197" s="1505"/>
      <c r="K197" s="1502"/>
      <c r="L197" s="1502"/>
      <c r="M197" s="1502"/>
      <c r="N197" s="1502"/>
      <c r="O197" s="1502"/>
      <c r="P197" s="1502"/>
      <c r="R197" s="1502"/>
      <c r="S197" s="1502"/>
      <c r="T197" s="1502"/>
      <c r="U197" s="1502"/>
      <c r="V197" s="1502"/>
      <c r="W197" s="1512"/>
      <c r="X197" s="1512"/>
      <c r="Y197" s="1512"/>
      <c r="AA197" s="1512"/>
      <c r="AB197" s="1525" t="s">
        <v>139</v>
      </c>
      <c r="AC197" s="1525"/>
      <c r="AD197" s="1525"/>
      <c r="AE197" s="1526"/>
      <c r="AF197" s="1502"/>
      <c r="AG197" s="1502"/>
    </row>
    <row r="198" spans="1:53" ht="13.5" thickBot="1" x14ac:dyDescent="0.25">
      <c r="A198" s="1502"/>
      <c r="B198" s="1502"/>
      <c r="C198" s="1502"/>
      <c r="D198" s="1502"/>
      <c r="E198" s="1502"/>
      <c r="F198" s="1502"/>
      <c r="G198" s="1502"/>
      <c r="H198" s="1502"/>
      <c r="I198" s="1502"/>
      <c r="J198" s="1527" t="str">
        <f>IF(K223=1,B210,IF(K223=2,B211,IF(K223=3,B212,IF(K223=4,B213,"Division Winner"))))</f>
        <v>Beaufort 15 U</v>
      </c>
      <c r="K198" s="1528"/>
      <c r="L198" s="1528"/>
      <c r="M198" s="1528"/>
      <c r="N198" s="1528"/>
      <c r="O198" s="1528"/>
      <c r="P198" s="1528"/>
      <c r="Q198" s="1503"/>
      <c r="R198" s="1502"/>
      <c r="S198" s="1502"/>
      <c r="T198" s="1502"/>
      <c r="U198" s="1502"/>
      <c r="V198" s="1502"/>
      <c r="W198" s="1502"/>
      <c r="X198" s="1502"/>
      <c r="Y198" s="1502"/>
      <c r="Z198" s="1502"/>
      <c r="AA198" s="1529"/>
      <c r="AB198" s="1529"/>
      <c r="AC198" s="1529"/>
      <c r="AD198" s="1529"/>
      <c r="AE198" s="1530"/>
      <c r="AF198" s="1528" t="str">
        <f>IF(AF223=1,X210,IF(AF223=2,X211,IF(AF223=3,X212,IF(AF223=4,X213,"Division Winner"))))</f>
        <v>ATown 15 Black</v>
      </c>
      <c r="AG198" s="1528"/>
      <c r="AH198" s="1528"/>
      <c r="AI198" s="1528"/>
      <c r="AJ198" s="1528"/>
      <c r="AK198" s="1529"/>
    </row>
    <row r="199" spans="1:53" ht="13.5" thickBot="1" x14ac:dyDescent="0.25">
      <c r="A199" s="1501" t="str">
        <f>IF(E218=1,B210,IF(E218=2,B211,IF(E218=3,B212,IF(E218=4,B213,IF(OR(E218="B",E218="b"),"BYE","invalid")))))</f>
        <v>Beaufort 15 U</v>
      </c>
      <c r="B199" s="1501"/>
      <c r="C199" s="1501"/>
      <c r="D199" s="1501"/>
      <c r="E199" s="1501"/>
      <c r="F199" s="1513" t="s">
        <v>140</v>
      </c>
      <c r="G199" s="1513"/>
      <c r="H199" s="1513"/>
      <c r="I199" s="1513"/>
      <c r="J199" s="1531" t="s">
        <v>141</v>
      </c>
      <c r="K199" s="1525"/>
      <c r="L199" s="1525"/>
      <c r="M199" s="1525"/>
      <c r="N199" s="1525"/>
      <c r="O199" s="1525"/>
      <c r="P199" s="1525"/>
      <c r="R199" s="1529"/>
      <c r="S199" s="1529"/>
      <c r="T199" s="1529"/>
      <c r="U199" s="1501" t="str">
        <f>IF(Z218=1,X210,IF(Z218=2,X211,IF(Z218=3,X212,IF(Z218=4,X213,IF(OR(Z218="B",Z218="b"),"BYE","invalid")))))</f>
        <v>ATown 15 Black</v>
      </c>
      <c r="V199" s="1501"/>
      <c r="W199" s="1501"/>
      <c r="X199" s="1501"/>
      <c r="Y199" s="1501"/>
      <c r="Z199" s="1501"/>
      <c r="AA199" s="1501"/>
      <c r="AB199" s="1513" t="s">
        <v>142</v>
      </c>
      <c r="AC199" s="1513"/>
      <c r="AD199" s="1513"/>
      <c r="AE199" s="1532"/>
      <c r="AF199" s="1533" t="s">
        <v>143</v>
      </c>
      <c r="AG199" s="1534"/>
      <c r="AH199" s="1534"/>
      <c r="AI199" s="1534"/>
      <c r="AJ199" s="1534"/>
    </row>
    <row r="200" spans="1:53" x14ac:dyDescent="0.2">
      <c r="A200" s="1504" t="s">
        <v>144</v>
      </c>
      <c r="B200" s="1504"/>
      <c r="C200" s="1504"/>
      <c r="D200" s="1504"/>
      <c r="E200" s="1504"/>
      <c r="F200" s="1505"/>
      <c r="G200" s="1502"/>
      <c r="H200" s="1502"/>
      <c r="I200" s="1502"/>
      <c r="J200" s="1531"/>
      <c r="K200" s="1525"/>
      <c r="L200" s="1525"/>
      <c r="M200" s="1525"/>
      <c r="N200" s="1525"/>
      <c r="O200" s="1525"/>
      <c r="P200" s="1525"/>
      <c r="Q200" s="1502"/>
      <c r="R200" s="1524"/>
      <c r="S200" s="1524"/>
      <c r="T200" s="1524"/>
      <c r="U200" s="1507" t="s">
        <v>145</v>
      </c>
      <c r="V200" s="1507"/>
      <c r="W200" s="1507"/>
      <c r="X200" s="1507"/>
      <c r="Y200" s="1507"/>
      <c r="Z200" s="1507"/>
      <c r="AA200" s="1508"/>
      <c r="AB200" s="1502"/>
      <c r="AC200" s="1502"/>
      <c r="AD200" s="1502"/>
      <c r="AE200" s="1509"/>
      <c r="AF200" s="1502"/>
      <c r="AG200" s="1502"/>
    </row>
    <row r="201" spans="1:53" x14ac:dyDescent="0.2">
      <c r="A201" s="1502"/>
      <c r="B201" s="1502"/>
      <c r="C201" s="1502"/>
      <c r="D201" s="1502"/>
      <c r="E201" s="1502"/>
      <c r="F201" s="1505"/>
      <c r="G201" s="1502"/>
      <c r="H201" s="1502"/>
      <c r="I201" s="1502"/>
      <c r="J201" s="1505"/>
      <c r="K201" s="1502"/>
      <c r="L201" s="1502"/>
      <c r="M201" s="1502"/>
      <c r="N201" s="1502"/>
      <c r="P201" s="1502"/>
      <c r="Q201" s="1502"/>
      <c r="R201" s="1502"/>
      <c r="S201" s="1502"/>
      <c r="T201" s="1502"/>
      <c r="U201" s="1502"/>
      <c r="V201" s="1502"/>
      <c r="W201" s="1502"/>
      <c r="X201" s="1502"/>
      <c r="Y201" s="1502"/>
      <c r="Z201" s="1502"/>
      <c r="AA201" s="1509"/>
      <c r="AB201" s="1505"/>
      <c r="AC201" s="1502"/>
      <c r="AD201" s="1502"/>
      <c r="AE201" s="1509"/>
      <c r="AF201" s="1502"/>
      <c r="AG201" s="1502"/>
      <c r="AW201" s="1446"/>
      <c r="AX201" s="1443"/>
      <c r="AY201" s="1443"/>
      <c r="AZ201" s="1443"/>
      <c r="BA201" s="1443"/>
    </row>
    <row r="202" spans="1:53" ht="13.5" thickBot="1" x14ac:dyDescent="0.25">
      <c r="A202" s="1525" t="s">
        <v>146</v>
      </c>
      <c r="B202" s="1525"/>
      <c r="C202" s="1525"/>
      <c r="D202" s="1525"/>
      <c r="E202" s="1519"/>
      <c r="F202" s="1535"/>
      <c r="G202" s="1536"/>
      <c r="H202" s="1536"/>
      <c r="I202" s="1537"/>
      <c r="J202" s="1517"/>
      <c r="K202" s="1518"/>
      <c r="L202" s="1518"/>
      <c r="M202" s="1518"/>
      <c r="N202" s="1502"/>
      <c r="Q202" s="1512"/>
      <c r="R202" s="1512"/>
      <c r="S202" s="1512"/>
      <c r="T202" s="1525" t="s">
        <v>146</v>
      </c>
      <c r="U202" s="1525"/>
      <c r="V202" s="1525"/>
      <c r="W202" s="1525"/>
      <c r="X202" s="1525"/>
      <c r="Y202" s="1525"/>
      <c r="Z202" s="1525"/>
      <c r="AA202" s="1502"/>
      <c r="AB202" s="1535"/>
      <c r="AC202" s="1536"/>
      <c r="AD202" s="1536"/>
      <c r="AE202" s="1537"/>
      <c r="AF202" s="1517"/>
      <c r="AG202" s="1518"/>
      <c r="AH202" s="1518"/>
      <c r="AW202" s="1446"/>
      <c r="AX202" s="1443"/>
      <c r="AY202" s="1443"/>
      <c r="AZ202" s="1443"/>
      <c r="BA202" s="1443"/>
    </row>
    <row r="203" spans="1:53" x14ac:dyDescent="0.2">
      <c r="A203" s="1513" t="s">
        <v>135</v>
      </c>
      <c r="B203" s="1513"/>
      <c r="C203" s="1513"/>
      <c r="D203" s="1513"/>
      <c r="E203" s="1532"/>
      <c r="F203" s="1510" t="str">
        <f>IF(J218=1,B210,IF(J218=2,B211,IF(J218=3,B212,IF(J218=4,B213,"Winner Match 2"))))</f>
        <v>Beaufort 15 U</v>
      </c>
      <c r="G203" s="1511"/>
      <c r="H203" s="1511"/>
      <c r="I203" s="1511"/>
      <c r="J203" s="1511"/>
      <c r="K203" s="1511"/>
      <c r="L203" s="1511"/>
      <c r="M203" s="1511"/>
      <c r="N203" s="1502"/>
      <c r="P203" s="1519"/>
      <c r="Q203" s="1519"/>
      <c r="S203" s="1520"/>
      <c r="T203" s="1513" t="s">
        <v>136</v>
      </c>
      <c r="U203" s="1513"/>
      <c r="V203" s="1513"/>
      <c r="W203" s="1513"/>
      <c r="X203" s="1513"/>
      <c r="Y203" s="1513"/>
      <c r="Z203" s="1513"/>
      <c r="AA203" s="1509"/>
      <c r="AB203" s="1510" t="str">
        <f>IF(AE218=1,X210,IF(AE218=2,X211,IF(AE218=3,X212,IF(AE218=4,X213,"Winner Match 2"))))</f>
        <v>ATown 15 Black</v>
      </c>
      <c r="AC203" s="1511"/>
      <c r="AD203" s="1511"/>
      <c r="AE203" s="1511"/>
      <c r="AF203" s="1511"/>
      <c r="AG203" s="1511"/>
      <c r="AH203" s="1511"/>
      <c r="AW203" s="1446"/>
      <c r="AX203" s="1443"/>
      <c r="AY203" s="1443"/>
      <c r="AZ203" s="1443"/>
      <c r="BA203" s="1443"/>
    </row>
    <row r="204" spans="1:53" ht="13.5" thickBot="1" x14ac:dyDescent="0.25">
      <c r="A204" s="1501" t="str">
        <f>IF(G218=1,B210,IF(G218=2,B211,IF(G218=3,B212,IF(G218=4,B213,IF(OR(G218="B",G218="b"),"BYE","invalid")))))</f>
        <v>Magnum Aiken 15 Yellow</v>
      </c>
      <c r="B204" s="1501"/>
      <c r="C204" s="1501"/>
      <c r="D204" s="1501"/>
      <c r="E204" s="1522"/>
      <c r="F204" s="1505"/>
      <c r="G204" s="1502"/>
      <c r="H204" s="1502"/>
      <c r="I204" s="1502"/>
      <c r="J204" s="1502"/>
      <c r="K204" s="1502"/>
      <c r="L204" s="1502"/>
      <c r="M204" s="1502"/>
      <c r="N204" s="1502"/>
      <c r="P204" s="1502"/>
      <c r="Q204" s="1502"/>
      <c r="R204" s="1502"/>
      <c r="S204" s="1529"/>
      <c r="T204" s="1529"/>
      <c r="U204" s="1501" t="str">
        <f>IF(AB218=1,X210,IF(AB218=2,X211,IF(AB218=3,X212,IF(AB218=4,X213,IF(OR(AB218="B",AB218="b"),"BYE","invalid")))))</f>
        <v>V-1 Academy SAV 15 Lucas</v>
      </c>
      <c r="V204" s="1501"/>
      <c r="W204" s="1501"/>
      <c r="X204" s="1501"/>
      <c r="Y204" s="1501"/>
      <c r="Z204" s="1501"/>
      <c r="AA204" s="1522"/>
      <c r="AB204" s="1502"/>
      <c r="AC204" s="1502"/>
      <c r="AD204" s="1502"/>
      <c r="AE204" s="1502"/>
      <c r="AW204" s="1446"/>
      <c r="AX204" s="1443"/>
      <c r="AY204" s="1443"/>
      <c r="AZ204" s="1443"/>
      <c r="BA204" s="1443"/>
    </row>
    <row r="205" spans="1:53" x14ac:dyDescent="0.2">
      <c r="A205" s="1504" t="s">
        <v>147</v>
      </c>
      <c r="B205" s="1504"/>
      <c r="C205" s="1504"/>
      <c r="D205" s="1504"/>
      <c r="E205" s="1504"/>
      <c r="S205" s="1524"/>
      <c r="T205" s="1524"/>
      <c r="U205" s="1507" t="s">
        <v>148</v>
      </c>
      <c r="V205" s="1507"/>
      <c r="W205" s="1507"/>
      <c r="X205" s="1507"/>
      <c r="Y205" s="1507"/>
      <c r="Z205" s="1507"/>
      <c r="AA205" s="1507"/>
      <c r="AW205" s="1446"/>
      <c r="AX205" s="1443"/>
      <c r="AY205" s="1443"/>
      <c r="AZ205" s="1443"/>
      <c r="BA205" s="1443"/>
    </row>
    <row r="206" spans="1:53" x14ac:dyDescent="0.2">
      <c r="AT206" s="1443"/>
      <c r="AU206" s="1443"/>
      <c r="AV206" s="1443"/>
      <c r="AW206" s="1446"/>
      <c r="AX206" s="1443"/>
      <c r="AY206" s="1443"/>
      <c r="AZ206" s="1443"/>
      <c r="BA206" s="1443"/>
    </row>
    <row r="207" spans="1:53" x14ac:dyDescent="0.2">
      <c r="AT207" s="1443"/>
      <c r="AU207" s="1443"/>
      <c r="AV207" s="1443"/>
      <c r="AW207" s="1446"/>
      <c r="AX207" s="1443"/>
      <c r="AY207" s="1443"/>
      <c r="AZ207" s="1443"/>
      <c r="BA207" s="1443"/>
    </row>
    <row r="208" spans="1:53" ht="16.5" thickBot="1" x14ac:dyDescent="0.3">
      <c r="A208" s="1538" t="s">
        <v>149</v>
      </c>
      <c r="B208" s="1538"/>
      <c r="C208" s="1538"/>
      <c r="D208" s="1538"/>
      <c r="E208" s="1538"/>
      <c r="F208" s="1538"/>
      <c r="G208" s="1538"/>
      <c r="H208" s="1538"/>
      <c r="I208" s="1538"/>
      <c r="J208" s="1538"/>
      <c r="Q208" s="1539"/>
      <c r="R208" s="1539"/>
      <c r="S208" s="1539"/>
      <c r="U208" s="1538" t="s">
        <v>150</v>
      </c>
      <c r="V208" s="1538"/>
      <c r="W208" s="1538"/>
      <c r="X208" s="1538"/>
      <c r="Y208" s="1538"/>
      <c r="Z208" s="1538"/>
      <c r="AA208" s="1538"/>
      <c r="AB208" s="1538"/>
      <c r="AC208" s="1538"/>
      <c r="AD208" s="1538"/>
      <c r="AE208" s="1538"/>
      <c r="AF208" s="1538"/>
      <c r="AT208" s="1443"/>
      <c r="AU208" s="1443"/>
      <c r="AV208" s="1443"/>
      <c r="AW208" s="1446"/>
      <c r="AX208" s="1443"/>
      <c r="AY208" s="1443"/>
      <c r="AZ208" s="1443"/>
      <c r="BA208" s="1443"/>
    </row>
    <row r="209" spans="1:53" ht="13.5" thickBot="1" x14ac:dyDescent="0.25">
      <c r="A209" s="1540" t="s">
        <v>151</v>
      </c>
      <c r="B209" s="1541" t="s">
        <v>152</v>
      </c>
      <c r="C209" s="1542"/>
      <c r="D209" s="1542"/>
      <c r="E209" s="1542"/>
      <c r="F209" s="1542"/>
      <c r="G209" s="1542"/>
      <c r="H209" s="1542"/>
      <c r="I209" s="1542"/>
      <c r="J209" s="1543"/>
      <c r="K209" s="1544" t="s">
        <v>153</v>
      </c>
      <c r="L209" s="1545"/>
      <c r="M209" s="1545"/>
      <c r="N209" s="1545"/>
      <c r="O209" s="1545"/>
      <c r="P209" s="1545"/>
      <c r="Q209" s="1546"/>
      <c r="U209" s="1547" t="s">
        <v>151</v>
      </c>
      <c r="V209" s="1548"/>
      <c r="W209" s="1549"/>
      <c r="X209" s="1541" t="s">
        <v>152</v>
      </c>
      <c r="Y209" s="1542"/>
      <c r="Z209" s="1542"/>
      <c r="AA209" s="1542"/>
      <c r="AB209" s="1542"/>
      <c r="AC209" s="1542"/>
      <c r="AD209" s="1542"/>
      <c r="AE209" s="1542"/>
      <c r="AF209" s="1543"/>
      <c r="AG209" s="1544" t="s">
        <v>153</v>
      </c>
      <c r="AH209" s="1545"/>
      <c r="AI209" s="1545"/>
      <c r="AJ209" s="1545"/>
      <c r="AK209" s="1545"/>
      <c r="AL209" s="1545"/>
      <c r="AM209" s="1546"/>
      <c r="AT209" s="1443"/>
      <c r="AU209" s="1443"/>
      <c r="AV209" s="1443"/>
      <c r="AW209" s="1446"/>
      <c r="AX209" s="1443"/>
      <c r="AY209" s="1443"/>
      <c r="AZ209" s="1443"/>
      <c r="BA209" s="1443"/>
    </row>
    <row r="210" spans="1:53" ht="13.5" thickBot="1" x14ac:dyDescent="0.25">
      <c r="A210" s="1540">
        <v>1</v>
      </c>
      <c r="B210" s="1550" t="str">
        <f>B179</f>
        <v>KVC 14</v>
      </c>
      <c r="C210" s="1551"/>
      <c r="D210" s="1551"/>
      <c r="E210" s="1551"/>
      <c r="F210" s="1551"/>
      <c r="G210" s="1551"/>
      <c r="H210" s="1551"/>
      <c r="I210" s="1551"/>
      <c r="J210" s="1552"/>
      <c r="K210" s="1553" t="str">
        <f>H179</f>
        <v>fj4kvcjr1pm</v>
      </c>
      <c r="L210" s="1554"/>
      <c r="M210" s="1554"/>
      <c r="N210" s="1554"/>
      <c r="O210" s="1554"/>
      <c r="P210" s="1554"/>
      <c r="Q210" s="1555"/>
      <c r="U210" s="1547">
        <v>1</v>
      </c>
      <c r="V210" s="1548"/>
      <c r="W210" s="1549"/>
      <c r="X210" s="1550" t="str">
        <f>V179</f>
        <v>Lake Murray 15 Black</v>
      </c>
      <c r="Y210" s="1551"/>
      <c r="Z210" s="1551"/>
      <c r="AA210" s="1551"/>
      <c r="AB210" s="1551"/>
      <c r="AC210" s="1551"/>
      <c r="AD210" s="1551"/>
      <c r="AE210" s="1551"/>
      <c r="AF210" s="1552"/>
      <c r="AG210" s="1553" t="str">
        <f>AB179</f>
        <v>fj5lakem2pm</v>
      </c>
      <c r="AH210" s="1554"/>
      <c r="AI210" s="1554"/>
      <c r="AJ210" s="1554"/>
      <c r="AK210" s="1554"/>
      <c r="AL210" s="1554"/>
      <c r="AM210" s="1555"/>
      <c r="AT210" s="1443"/>
      <c r="AU210" s="1443"/>
      <c r="AV210" s="1443"/>
      <c r="AW210" s="1446"/>
      <c r="AX210" s="1443"/>
      <c r="AY210" s="1443"/>
      <c r="AZ210" s="1443"/>
      <c r="BA210" s="1443"/>
    </row>
    <row r="211" spans="1:53" ht="13.5" thickBot="1" x14ac:dyDescent="0.25">
      <c r="A211" s="1540">
        <v>2</v>
      </c>
      <c r="B211" s="1550" t="str">
        <f>B180</f>
        <v>Beaufort 15 U</v>
      </c>
      <c r="C211" s="1551"/>
      <c r="D211" s="1551"/>
      <c r="E211" s="1551"/>
      <c r="F211" s="1551"/>
      <c r="G211" s="1551"/>
      <c r="H211" s="1551"/>
      <c r="I211" s="1551"/>
      <c r="J211" s="1552"/>
      <c r="K211" s="1553" t="str">
        <f>H180</f>
        <v>fj5beauf1pm</v>
      </c>
      <c r="L211" s="1554"/>
      <c r="M211" s="1554"/>
      <c r="N211" s="1554"/>
      <c r="O211" s="1554"/>
      <c r="P211" s="1554"/>
      <c r="Q211" s="1555"/>
      <c r="U211" s="1547">
        <v>2</v>
      </c>
      <c r="V211" s="1548"/>
      <c r="W211" s="1549"/>
      <c r="X211" s="1550" t="str">
        <f>V180</f>
        <v>ATown 15 Black</v>
      </c>
      <c r="Y211" s="1551"/>
      <c r="Z211" s="1551"/>
      <c r="AA211" s="1551"/>
      <c r="AB211" s="1551"/>
      <c r="AC211" s="1551"/>
      <c r="AD211" s="1551"/>
      <c r="AE211" s="1551"/>
      <c r="AF211" s="1552"/>
      <c r="AG211" s="1553" t="str">
        <f>AB180</f>
        <v>fj5atown1pm</v>
      </c>
      <c r="AH211" s="1554"/>
      <c r="AI211" s="1554"/>
      <c r="AJ211" s="1554"/>
      <c r="AK211" s="1554"/>
      <c r="AL211" s="1554"/>
      <c r="AM211" s="1555"/>
      <c r="AT211" s="1443"/>
      <c r="AU211" s="1443"/>
      <c r="AV211" s="1443"/>
      <c r="AW211" s="1446"/>
      <c r="AX211" s="1443"/>
      <c r="AY211" s="1443"/>
      <c r="AZ211" s="1443"/>
      <c r="BA211" s="1443"/>
    </row>
    <row r="212" spans="1:53" ht="13.5" thickBot="1" x14ac:dyDescent="0.25">
      <c r="A212" s="1540">
        <v>3</v>
      </c>
      <c r="B212" s="1550" t="str">
        <f>L179</f>
        <v>Magnum Aiken 15 Yellow</v>
      </c>
      <c r="C212" s="1551"/>
      <c r="D212" s="1551"/>
      <c r="E212" s="1551"/>
      <c r="F212" s="1551"/>
      <c r="G212" s="1551"/>
      <c r="H212" s="1551"/>
      <c r="I212" s="1551"/>
      <c r="J212" s="1552"/>
      <c r="K212" s="1553" t="str">
        <f>R179</f>
        <v>fj5magnm4pm</v>
      </c>
      <c r="L212" s="1554"/>
      <c r="M212" s="1554"/>
      <c r="N212" s="1554"/>
      <c r="O212" s="1554"/>
      <c r="P212" s="1554"/>
      <c r="Q212" s="1555"/>
      <c r="U212" s="1547">
        <v>3</v>
      </c>
      <c r="V212" s="1548"/>
      <c r="W212" s="1549"/>
      <c r="X212" s="1550" t="str">
        <f>AF179</f>
        <v>V-1 Academy SAV 15 Lucas</v>
      </c>
      <c r="Y212" s="1551"/>
      <c r="Z212" s="1551"/>
      <c r="AA212" s="1551"/>
      <c r="AB212" s="1551"/>
      <c r="AC212" s="1551"/>
      <c r="AD212" s="1551"/>
      <c r="AE212" s="1551"/>
      <c r="AF212" s="1552"/>
      <c r="AG212" s="1553" t="str">
        <f>AL179</f>
        <v>fj5vosav1so</v>
      </c>
      <c r="AH212" s="1554"/>
      <c r="AI212" s="1554"/>
      <c r="AJ212" s="1554"/>
      <c r="AK212" s="1554"/>
      <c r="AL212" s="1554"/>
      <c r="AM212" s="1555"/>
      <c r="AT212" s="1443"/>
      <c r="AU212" s="1443"/>
      <c r="AV212" s="1443"/>
      <c r="AW212" s="1446"/>
      <c r="AX212" s="1443"/>
      <c r="AY212" s="1443"/>
      <c r="AZ212" s="1443"/>
      <c r="BA212" s="1443"/>
    </row>
    <row r="213" spans="1:53" ht="13.5" thickBot="1" x14ac:dyDescent="0.25">
      <c r="A213" s="1540">
        <v>4</v>
      </c>
      <c r="B213" s="1550" t="str">
        <f>L180</f>
        <v>Foothills 15 CJ</v>
      </c>
      <c r="C213" s="1551"/>
      <c r="D213" s="1551"/>
      <c r="E213" s="1551"/>
      <c r="F213" s="1551"/>
      <c r="G213" s="1551"/>
      <c r="H213" s="1551"/>
      <c r="I213" s="1551"/>
      <c r="J213" s="1552"/>
      <c r="K213" s="1553" t="str">
        <f>R180</f>
        <v>fj5footh1pm</v>
      </c>
      <c r="L213" s="1554"/>
      <c r="M213" s="1554"/>
      <c r="N213" s="1554"/>
      <c r="O213" s="1554"/>
      <c r="P213" s="1554"/>
      <c r="Q213" s="1555"/>
      <c r="U213" s="1547">
        <v>4</v>
      </c>
      <c r="V213" s="1548"/>
      <c r="W213" s="1549"/>
      <c r="X213" s="1550" t="str">
        <f>AF180</f>
        <v>Chas Jrs 15 Blue</v>
      </c>
      <c r="Y213" s="1551"/>
      <c r="Z213" s="1551"/>
      <c r="AA213" s="1551"/>
      <c r="AB213" s="1551"/>
      <c r="AC213" s="1551"/>
      <c r="AD213" s="1551"/>
      <c r="AE213" s="1551"/>
      <c r="AF213" s="1552"/>
      <c r="AG213" s="1553" t="str">
        <f>AL180</f>
        <v>fj5charl2pm</v>
      </c>
      <c r="AH213" s="1554"/>
      <c r="AI213" s="1554"/>
      <c r="AJ213" s="1554"/>
      <c r="AK213" s="1554"/>
      <c r="AL213" s="1554"/>
      <c r="AM213" s="1555"/>
      <c r="AT213" s="1443"/>
      <c r="AU213" s="1443"/>
      <c r="AV213" s="1443"/>
      <c r="AW213" s="1446"/>
      <c r="AX213" s="1443"/>
      <c r="AY213" s="1443"/>
      <c r="AZ213" s="1443"/>
      <c r="BA213" s="1443"/>
    </row>
    <row r="214" spans="1:53" ht="13.5" thickBot="1" x14ac:dyDescent="0.25">
      <c r="AT214" s="1443"/>
      <c r="AU214" s="1443"/>
      <c r="AV214" s="1443"/>
      <c r="AW214" s="1446"/>
      <c r="AX214" s="1443"/>
      <c r="AY214" s="1443"/>
      <c r="AZ214" s="1443"/>
      <c r="BA214" s="1443"/>
    </row>
    <row r="215" spans="1:53" x14ac:dyDescent="0.2">
      <c r="B215" s="1556" t="s">
        <v>154</v>
      </c>
      <c r="C215" s="1557"/>
      <c r="D215" s="1558"/>
      <c r="E215" s="1559" t="s">
        <v>154</v>
      </c>
      <c r="F215" s="1557"/>
      <c r="G215" s="1558"/>
      <c r="H215" s="1559" t="s">
        <v>14</v>
      </c>
      <c r="I215" s="1557"/>
      <c r="J215" s="1560"/>
      <c r="K215" s="1561" t="s">
        <v>155</v>
      </c>
      <c r="L215" s="1562"/>
      <c r="M215" s="1562"/>
      <c r="N215" s="1562"/>
      <c r="O215" s="1562"/>
      <c r="P215" s="1562"/>
      <c r="Q215" s="1563"/>
      <c r="R215" s="1564"/>
      <c r="S215" s="1564"/>
      <c r="T215" s="1564"/>
      <c r="U215" s="1564"/>
      <c r="W215" s="1556" t="s">
        <v>154</v>
      </c>
      <c r="X215" s="1557"/>
      <c r="Y215" s="1558"/>
      <c r="Z215" s="1559" t="s">
        <v>154</v>
      </c>
      <c r="AA215" s="1557"/>
      <c r="AB215" s="1558"/>
      <c r="AC215" s="1559" t="s">
        <v>14</v>
      </c>
      <c r="AD215" s="1557"/>
      <c r="AE215" s="1560"/>
      <c r="AF215" s="1561" t="s">
        <v>155</v>
      </c>
      <c r="AG215" s="1565"/>
      <c r="AH215" s="1565"/>
      <c r="AI215" s="1565"/>
      <c r="AJ215" s="1566"/>
      <c r="AW215" s="1446"/>
      <c r="AX215" s="1443"/>
      <c r="AY215" s="1443"/>
      <c r="AZ215" s="1443"/>
      <c r="BA215" s="1443"/>
    </row>
    <row r="216" spans="1:53" x14ac:dyDescent="0.2">
      <c r="A216" s="1416" t="s">
        <v>156</v>
      </c>
      <c r="B216" s="1567">
        <v>3</v>
      </c>
      <c r="C216" s="1568"/>
      <c r="D216" s="1569"/>
      <c r="E216" s="1570" t="s">
        <v>157</v>
      </c>
      <c r="F216" s="1568"/>
      <c r="G216" s="1569"/>
      <c r="H216" s="1570" t="s">
        <v>158</v>
      </c>
      <c r="I216" s="1568"/>
      <c r="J216" s="1571"/>
      <c r="K216" s="1572"/>
      <c r="L216" s="1573"/>
      <c r="M216" s="1573"/>
      <c r="N216" s="1573"/>
      <c r="O216" s="1573"/>
      <c r="P216" s="1573"/>
      <c r="Q216" s="1574"/>
      <c r="R216" s="1564"/>
      <c r="S216" s="1564"/>
      <c r="T216" s="1575" t="s">
        <v>156</v>
      </c>
      <c r="U216" s="1575"/>
      <c r="V216" s="1576"/>
      <c r="W216" s="1567">
        <v>3</v>
      </c>
      <c r="X216" s="1568"/>
      <c r="Y216" s="1569"/>
      <c r="Z216" s="1570" t="s">
        <v>157</v>
      </c>
      <c r="AA216" s="1568"/>
      <c r="AB216" s="1569"/>
      <c r="AC216" s="1570" t="s">
        <v>158</v>
      </c>
      <c r="AD216" s="1568"/>
      <c r="AE216" s="1571"/>
      <c r="AF216" s="1577"/>
      <c r="AG216" s="1578"/>
      <c r="AH216" s="1578"/>
      <c r="AI216" s="1578"/>
      <c r="AJ216" s="1579"/>
      <c r="AW216" s="1446"/>
      <c r="AX216" s="1443"/>
      <c r="AY216" s="1443"/>
      <c r="AZ216" s="1443"/>
      <c r="BA216" s="1443"/>
    </row>
    <row r="217" spans="1:53" ht="13.5" thickBot="1" x14ac:dyDescent="0.25">
      <c r="A217" s="1270"/>
      <c r="B217" s="1580" t="s">
        <v>68</v>
      </c>
      <c r="C217" s="1422"/>
      <c r="D217" s="1423"/>
      <c r="E217" s="1421" t="s">
        <v>159</v>
      </c>
      <c r="F217" s="1422"/>
      <c r="G217" s="1423"/>
      <c r="H217" s="1421" t="s">
        <v>160</v>
      </c>
      <c r="I217" s="1422"/>
      <c r="J217" s="1581"/>
      <c r="K217" s="1582"/>
      <c r="L217" s="1583"/>
      <c r="M217" s="1583"/>
      <c r="N217" s="1583"/>
      <c r="O217" s="1583"/>
      <c r="P217" s="1583"/>
      <c r="Q217" s="1584"/>
      <c r="R217" s="1564"/>
      <c r="S217" s="1564"/>
      <c r="T217" s="1585"/>
      <c r="U217" s="1585"/>
      <c r="V217" s="1586"/>
      <c r="W217" s="1580" t="s">
        <v>68</v>
      </c>
      <c r="X217" s="1422"/>
      <c r="Y217" s="1423"/>
      <c r="Z217" s="1421" t="s">
        <v>159</v>
      </c>
      <c r="AA217" s="1422"/>
      <c r="AB217" s="1423"/>
      <c r="AC217" s="1421" t="s">
        <v>160</v>
      </c>
      <c r="AD217" s="1422"/>
      <c r="AE217" s="1581"/>
      <c r="AF217" s="1587"/>
      <c r="AG217" s="1588"/>
      <c r="AH217" s="1588"/>
      <c r="AI217" s="1588"/>
      <c r="AJ217" s="1589"/>
      <c r="AW217" s="1446"/>
      <c r="AX217" s="1443"/>
      <c r="AY217" s="1443"/>
      <c r="AZ217" s="1443"/>
      <c r="BA217" s="1443"/>
    </row>
    <row r="218" spans="1:53" ht="13.5" thickBot="1" x14ac:dyDescent="0.25">
      <c r="A218" s="1270"/>
      <c r="B218" s="1590">
        <v>1</v>
      </c>
      <c r="C218" s="1591" t="s">
        <v>76</v>
      </c>
      <c r="D218" s="1592">
        <v>4</v>
      </c>
      <c r="E218" s="1593">
        <v>2</v>
      </c>
      <c r="F218" s="1591" t="s">
        <v>76</v>
      </c>
      <c r="G218" s="1592">
        <v>3</v>
      </c>
      <c r="H218" s="1594">
        <f>IF(OR(AND(OR(B222&gt;0,D222&gt;0),B222&gt;D222),OR(D218="b",D218="B")),B218,IF(OR(AND(OR(B222&gt;0,D222&gt;0),D222&gt;B222),OR(B218="b",B218="B")),D218,"W1"))</f>
        <v>1</v>
      </c>
      <c r="I218" s="1595" t="s">
        <v>76</v>
      </c>
      <c r="J218" s="1596">
        <f>IF(OR(AND(OR(E222&gt;0,G222&gt;0),E222&gt;G222),OR(G218="b",G218="B")),E218,IF(OR(AND(OR(E222&gt;0,G222&gt;0),G222&gt;E222),OR(E218="b",E218="B")),G218,"W2"))</f>
        <v>2</v>
      </c>
      <c r="K218" s="1597" t="s">
        <v>161</v>
      </c>
      <c r="L218" s="1598"/>
      <c r="M218" s="1598"/>
      <c r="N218" s="1599"/>
      <c r="R218" s="1564"/>
      <c r="S218" s="1564"/>
      <c r="T218" s="1585"/>
      <c r="U218" s="1585"/>
      <c r="V218" s="1586"/>
      <c r="W218" s="1590">
        <v>1</v>
      </c>
      <c r="X218" s="1591" t="s">
        <v>76</v>
      </c>
      <c r="Y218" s="1592">
        <v>4</v>
      </c>
      <c r="Z218" s="1593">
        <v>2</v>
      </c>
      <c r="AA218" s="1591" t="s">
        <v>76</v>
      </c>
      <c r="AB218" s="1592">
        <v>3</v>
      </c>
      <c r="AC218" s="1594">
        <f>IF(OR(AND(OR(W222&gt;0,Y222&gt;0),W222&gt;Y222),OR(Y218="b",Y218="B")),W218,IF(OR(AND(OR(W222&gt;0,Y222&gt;0),Y222&gt;W222),OR(W218="b",W218="B")),Y218,"W1"))</f>
        <v>1</v>
      </c>
      <c r="AD218" s="1595" t="s">
        <v>76</v>
      </c>
      <c r="AE218" s="1596">
        <f>IF(OR(AND(OR(Z222&gt;0,AB222&gt;0),Z222&gt;AB222),OR(AB222="b",AB222="B")),Z218,IF(OR(AND(OR(Z222&gt;0,AB222&gt;0),AB222&gt;Z222),OR(Z222="b",Z222="B")),AB218,"W2"))</f>
        <v>2</v>
      </c>
      <c r="AF218" s="1597" t="s">
        <v>161</v>
      </c>
      <c r="AG218" s="1599"/>
      <c r="AH218" s="1564"/>
      <c r="AI218" s="1564"/>
      <c r="AJ218" s="1564"/>
      <c r="AW218" s="1446"/>
      <c r="AX218" s="1443"/>
      <c r="AY218" s="1443"/>
      <c r="AZ218" s="1443"/>
      <c r="BA218" s="1443"/>
    </row>
    <row r="219" spans="1:53" ht="13.5" hidden="1" customHeight="1" x14ac:dyDescent="0.2">
      <c r="A219" s="1270"/>
      <c r="B219" s="1600">
        <f>IF(B223&gt;D223,1,0)</f>
        <v>1</v>
      </c>
      <c r="C219" s="1601"/>
      <c r="D219" s="1602">
        <f>IF(D223&gt;B223,1,0)</f>
        <v>0</v>
      </c>
      <c r="E219" s="1600">
        <f>IF(E223&gt;G223,1,0)</f>
        <v>1</v>
      </c>
      <c r="F219" s="1601"/>
      <c r="G219" s="1602">
        <f>IF(G223&gt;E223,1,0)</f>
        <v>0</v>
      </c>
      <c r="H219" s="1600">
        <f>IF(H223&gt;J223,1,0)</f>
        <v>1</v>
      </c>
      <c r="I219" s="1601"/>
      <c r="J219" s="1602">
        <f>IF(J223&gt;H223,1,0)</f>
        <v>0</v>
      </c>
      <c r="K219" s="1603"/>
      <c r="L219" s="1604"/>
      <c r="M219" s="1604"/>
      <c r="N219" s="1605"/>
      <c r="R219" s="1564"/>
      <c r="S219" s="1564"/>
      <c r="T219" s="1585"/>
      <c r="U219" s="1585"/>
      <c r="V219" s="1586"/>
      <c r="W219" s="1600">
        <f>IF(W223&gt;Y223,1,0)</f>
        <v>1</v>
      </c>
      <c r="X219" s="1601"/>
      <c r="Y219" s="1602">
        <f>IF(Y223&gt;W223,1,0)</f>
        <v>0</v>
      </c>
      <c r="Z219" s="1600">
        <f>IF(Z223&gt;AB223,1,0)</f>
        <v>1</v>
      </c>
      <c r="AA219" s="1601"/>
      <c r="AB219" s="1602">
        <f>IF(AB223&gt;Z223,1,0)</f>
        <v>0</v>
      </c>
      <c r="AC219" s="1600">
        <f>IF(AC223&gt;AE223,1,0)</f>
        <v>1</v>
      </c>
      <c r="AD219" s="1601"/>
      <c r="AE219" s="1602">
        <f>IF(AE223&gt;AC223,1,0)</f>
        <v>0</v>
      </c>
      <c r="AF219" s="1606"/>
      <c r="AG219" s="1607"/>
      <c r="AH219" s="1564"/>
      <c r="AI219" s="1564"/>
      <c r="AJ219" s="1564"/>
      <c r="AW219" s="1446"/>
      <c r="AX219" s="1443"/>
      <c r="AY219" s="1443"/>
      <c r="AZ219" s="1443"/>
      <c r="BA219" s="1443"/>
    </row>
    <row r="220" spans="1:53" ht="13.5" hidden="1" customHeight="1" x14ac:dyDescent="0.2">
      <c r="A220" s="1270"/>
      <c r="B220" s="1600">
        <f>IF(B224&gt;D224,1,0)</f>
        <v>0</v>
      </c>
      <c r="C220" s="1601"/>
      <c r="D220" s="1602">
        <f>IF(D224&gt;B224,1,0)</f>
        <v>0</v>
      </c>
      <c r="E220" s="1600">
        <f>IF(E224&gt;G224,1,0)</f>
        <v>0</v>
      </c>
      <c r="F220" s="1601"/>
      <c r="G220" s="1602">
        <f>IF(G224&gt;E224,1,0)</f>
        <v>0</v>
      </c>
      <c r="H220" s="1600">
        <f>IF(H224&gt;J224,1,0)</f>
        <v>0</v>
      </c>
      <c r="I220" s="1601"/>
      <c r="J220" s="1602">
        <f>IF(J224&gt;H224,1,0)</f>
        <v>1</v>
      </c>
      <c r="K220" s="1603"/>
      <c r="L220" s="1604"/>
      <c r="M220" s="1604"/>
      <c r="N220" s="1605"/>
      <c r="R220" s="1564"/>
      <c r="S220" s="1564"/>
      <c r="T220" s="1585"/>
      <c r="U220" s="1585"/>
      <c r="V220" s="1586"/>
      <c r="W220" s="1600">
        <f>IF(W224&gt;Y224,1,0)</f>
        <v>0</v>
      </c>
      <c r="X220" s="1601"/>
      <c r="Y220" s="1602">
        <f>IF(Y224&gt;W224,1,0)</f>
        <v>0</v>
      </c>
      <c r="Z220" s="1600">
        <f>IF(Z224&gt;AB224,1,0)</f>
        <v>0</v>
      </c>
      <c r="AA220" s="1601"/>
      <c r="AB220" s="1602">
        <f>IF(AB224&gt;Z224,1,0)</f>
        <v>0</v>
      </c>
      <c r="AC220" s="1600">
        <f>IF(AC224&gt;AE224,1,0)</f>
        <v>0</v>
      </c>
      <c r="AD220" s="1601"/>
      <c r="AE220" s="1602">
        <f>IF(AE224&gt;AC224,1,0)</f>
        <v>1</v>
      </c>
      <c r="AF220" s="1606"/>
      <c r="AG220" s="1607"/>
      <c r="AH220" s="1564"/>
      <c r="AI220" s="1564"/>
      <c r="AJ220" s="1564"/>
      <c r="AW220" s="1446"/>
      <c r="AX220" s="1443"/>
      <c r="AY220" s="1443"/>
      <c r="AZ220" s="1443"/>
      <c r="BA220" s="1443"/>
    </row>
    <row r="221" spans="1:53" ht="13.5" hidden="1" customHeight="1" thickBot="1" x14ac:dyDescent="0.25">
      <c r="A221" s="1270"/>
      <c r="B221" s="1600">
        <f>IF(B225&gt;D225,1,0)</f>
        <v>0</v>
      </c>
      <c r="C221" s="1601"/>
      <c r="D221" s="1602">
        <f>IF(D225&gt;B225,1,0)</f>
        <v>0</v>
      </c>
      <c r="E221" s="1600">
        <f>IF(E225&gt;G225,1,0)</f>
        <v>0</v>
      </c>
      <c r="F221" s="1601"/>
      <c r="G221" s="1602">
        <f>IF(G225&gt;E225,1,0)</f>
        <v>0</v>
      </c>
      <c r="H221" s="1600">
        <f>IF(H225&gt;J225,1,0)</f>
        <v>0</v>
      </c>
      <c r="I221" s="1601"/>
      <c r="J221" s="1602">
        <f>IF(J225&gt;H225,1,0)</f>
        <v>1</v>
      </c>
      <c r="K221" s="1603"/>
      <c r="L221" s="1604"/>
      <c r="M221" s="1604"/>
      <c r="N221" s="1605"/>
      <c r="R221" s="1564"/>
      <c r="S221" s="1564"/>
      <c r="T221" s="1585"/>
      <c r="U221" s="1585"/>
      <c r="V221" s="1586"/>
      <c r="W221" s="1600">
        <f>IF(W225&gt;Y225,1,0)</f>
        <v>0</v>
      </c>
      <c r="X221" s="1601"/>
      <c r="Y221" s="1602">
        <f>IF(Y225&gt;W225,1,0)</f>
        <v>0</v>
      </c>
      <c r="Z221" s="1600">
        <f>IF(Z225&gt;AB225,1,0)</f>
        <v>0</v>
      </c>
      <c r="AA221" s="1601"/>
      <c r="AB221" s="1602">
        <f>IF(AB225&gt;Z225,1,0)</f>
        <v>0</v>
      </c>
      <c r="AC221" s="1600">
        <f>IF(AC225&gt;AE225,1,0)</f>
        <v>0</v>
      </c>
      <c r="AD221" s="1601"/>
      <c r="AE221" s="1602">
        <f>IF(AE225&gt;AC225,1,0)</f>
        <v>1</v>
      </c>
      <c r="AF221" s="1606"/>
      <c r="AG221" s="1607"/>
      <c r="AH221" s="1564"/>
      <c r="AI221" s="1564"/>
      <c r="AJ221" s="1564"/>
      <c r="AW221" s="1446"/>
      <c r="AX221" s="1443"/>
      <c r="AY221" s="1443"/>
      <c r="AZ221" s="1443"/>
      <c r="BA221" s="1443"/>
    </row>
    <row r="222" spans="1:53" ht="13.5" hidden="1" customHeight="1" x14ac:dyDescent="0.2">
      <c r="A222" s="1270"/>
      <c r="B222" s="1600">
        <f>SUM(B219:B221)</f>
        <v>1</v>
      </c>
      <c r="C222" s="1601"/>
      <c r="D222" s="1600">
        <f>SUM(D219:D221)</f>
        <v>0</v>
      </c>
      <c r="E222" s="1600">
        <f>SUM(E219:E221)</f>
        <v>1</v>
      </c>
      <c r="F222" s="1601"/>
      <c r="G222" s="1600">
        <f>SUM(G219:G221)</f>
        <v>0</v>
      </c>
      <c r="H222" s="1600">
        <f>SUM(H219:H221)</f>
        <v>1</v>
      </c>
      <c r="I222" s="1601"/>
      <c r="J222" s="1600">
        <f>SUM(J219:J221)</f>
        <v>2</v>
      </c>
      <c r="K222" s="1603"/>
      <c r="L222" s="1604"/>
      <c r="M222" s="1604"/>
      <c r="N222" s="1605"/>
      <c r="R222" s="1564"/>
      <c r="S222" s="1564"/>
      <c r="T222" s="1585"/>
      <c r="U222" s="1585"/>
      <c r="V222" s="1586"/>
      <c r="W222" s="1600">
        <f>SUM(W219:W221)</f>
        <v>1</v>
      </c>
      <c r="X222" s="1601"/>
      <c r="Y222" s="1600">
        <f>SUM(Y219:Y221)</f>
        <v>0</v>
      </c>
      <c r="Z222" s="1600">
        <f>SUM(Z219:Z221)</f>
        <v>1</v>
      </c>
      <c r="AA222" s="1601"/>
      <c r="AB222" s="1600">
        <f>SUM(AB219:AB221)</f>
        <v>0</v>
      </c>
      <c r="AC222" s="1600">
        <f>SUM(AC219:AC221)</f>
        <v>1</v>
      </c>
      <c r="AD222" s="1601"/>
      <c r="AE222" s="1600">
        <f>SUM(AE219:AE221)</f>
        <v>2</v>
      </c>
      <c r="AF222" s="1606"/>
      <c r="AG222" s="1607"/>
      <c r="AH222" s="1564"/>
      <c r="AI222" s="1564"/>
      <c r="AJ222" s="1564"/>
      <c r="AW222" s="1446"/>
      <c r="AX222" s="1443"/>
      <c r="AY222" s="1443"/>
      <c r="AZ222" s="1443"/>
      <c r="BA222" s="1443"/>
    </row>
    <row r="223" spans="1:53" ht="12.75" customHeight="1" x14ac:dyDescent="0.2">
      <c r="A223" s="1257" t="s">
        <v>77</v>
      </c>
      <c r="B223" s="1608">
        <v>25</v>
      </c>
      <c r="C223" s="1438" t="s">
        <v>78</v>
      </c>
      <c r="D223" s="1609">
        <v>17</v>
      </c>
      <c r="E223" s="1610">
        <v>25</v>
      </c>
      <c r="F223" s="1438" t="s">
        <v>78</v>
      </c>
      <c r="G223" s="1609">
        <v>13</v>
      </c>
      <c r="H223" s="1610">
        <v>25</v>
      </c>
      <c r="I223" s="1438" t="s">
        <v>78</v>
      </c>
      <c r="J223" s="1611">
        <v>17</v>
      </c>
      <c r="K223" s="1612">
        <f>IF(AND(OR(H222&gt;0,J222&gt;0),AND(1&lt;=H218,H218&lt;=4),AND(1&lt;=J218,J218&lt;=4)),IF(H222&gt;J222,H218,IF(J222&gt;H222,J218,"")),"")</f>
        <v>2</v>
      </c>
      <c r="L223" s="1613"/>
      <c r="M223" s="1613"/>
      <c r="N223" s="1614"/>
      <c r="R223" s="1564"/>
      <c r="S223" s="1564"/>
      <c r="T223" s="1615"/>
      <c r="U223" s="1615"/>
      <c r="V223" s="1257" t="s">
        <v>77</v>
      </c>
      <c r="W223" s="1608">
        <v>25</v>
      </c>
      <c r="X223" s="1438" t="s">
        <v>78</v>
      </c>
      <c r="Y223" s="1609">
        <v>20</v>
      </c>
      <c r="Z223" s="1610">
        <v>25</v>
      </c>
      <c r="AA223" s="1438" t="s">
        <v>78</v>
      </c>
      <c r="AB223" s="1609">
        <v>16</v>
      </c>
      <c r="AC223" s="1610">
        <v>25</v>
      </c>
      <c r="AD223" s="1438" t="s">
        <v>78</v>
      </c>
      <c r="AE223" s="1611">
        <v>20</v>
      </c>
      <c r="AF223" s="1612">
        <f>IF(AND(OR(AC222&gt;0,AE222&gt;0),AND(1&lt;=AC218,AC218&lt;=4),AND(1&lt;=AE218,AE218&lt;=4)),IF(AC222&gt;AE222,AC218,IF(AE222&gt;AC222,AE218,"")),"")</f>
        <v>2</v>
      </c>
      <c r="AG223" s="1614"/>
      <c r="AH223" s="1564"/>
      <c r="AI223" s="1564"/>
      <c r="AJ223" s="1564"/>
      <c r="AW223" s="1446"/>
      <c r="AX223" s="1443"/>
      <c r="AY223" s="1443"/>
      <c r="AZ223" s="1443"/>
      <c r="BA223" s="1443"/>
    </row>
    <row r="224" spans="1:53" ht="12.75" customHeight="1" x14ac:dyDescent="0.2">
      <c r="A224" s="1257" t="s">
        <v>162</v>
      </c>
      <c r="B224" s="1608"/>
      <c r="C224" s="1438" t="s">
        <v>78</v>
      </c>
      <c r="D224" s="1609"/>
      <c r="E224" s="1610"/>
      <c r="F224" s="1438" t="s">
        <v>78</v>
      </c>
      <c r="G224" s="1609"/>
      <c r="H224" s="1610">
        <v>18</v>
      </c>
      <c r="I224" s="1438" t="s">
        <v>78</v>
      </c>
      <c r="J224" s="1611">
        <v>25</v>
      </c>
      <c r="K224" s="1616"/>
      <c r="L224" s="1617"/>
      <c r="M224" s="1617"/>
      <c r="N224" s="1618"/>
      <c r="R224" s="1564"/>
      <c r="S224" s="1564"/>
      <c r="T224" s="1615"/>
      <c r="U224" s="1615"/>
      <c r="V224" s="1257" t="s">
        <v>162</v>
      </c>
      <c r="W224" s="1608"/>
      <c r="X224" s="1438" t="s">
        <v>78</v>
      </c>
      <c r="Y224" s="1609"/>
      <c r="Z224" s="1610"/>
      <c r="AA224" s="1438" t="s">
        <v>78</v>
      </c>
      <c r="AB224" s="1609"/>
      <c r="AC224" s="1610">
        <v>13</v>
      </c>
      <c r="AD224" s="1438" t="s">
        <v>78</v>
      </c>
      <c r="AE224" s="1611">
        <v>25</v>
      </c>
      <c r="AF224" s="1616"/>
      <c r="AG224" s="1618"/>
      <c r="AH224" s="1564"/>
      <c r="AI224" s="1564"/>
      <c r="AJ224" s="1564"/>
      <c r="AW224" s="1446"/>
      <c r="AX224" s="1443"/>
      <c r="AY224" s="1443"/>
      <c r="AZ224" s="1443"/>
      <c r="BA224" s="1443"/>
    </row>
    <row r="225" spans="1:77" ht="13.5" customHeight="1" thickBot="1" x14ac:dyDescent="0.25">
      <c r="A225" s="1257" t="s">
        <v>163</v>
      </c>
      <c r="B225" s="1619"/>
      <c r="C225" s="1620" t="s">
        <v>78</v>
      </c>
      <c r="D225" s="1621"/>
      <c r="E225" s="1622"/>
      <c r="F225" s="1620" t="s">
        <v>78</v>
      </c>
      <c r="G225" s="1621"/>
      <c r="H225" s="1622">
        <v>16</v>
      </c>
      <c r="I225" s="1620" t="s">
        <v>78</v>
      </c>
      <c r="J225" s="1623">
        <v>18</v>
      </c>
      <c r="K225" s="1624"/>
      <c r="L225" s="1625"/>
      <c r="M225" s="1625"/>
      <c r="N225" s="1626"/>
      <c r="R225" s="1564"/>
      <c r="S225" s="1564"/>
      <c r="T225" s="1615"/>
      <c r="U225" s="1615"/>
      <c r="V225" s="1257" t="s">
        <v>163</v>
      </c>
      <c r="W225" s="1619"/>
      <c r="X225" s="1620" t="s">
        <v>78</v>
      </c>
      <c r="Y225" s="1621"/>
      <c r="Z225" s="1622"/>
      <c r="AA225" s="1620" t="s">
        <v>78</v>
      </c>
      <c r="AB225" s="1621"/>
      <c r="AC225" s="1622">
        <v>11</v>
      </c>
      <c r="AD225" s="1620" t="s">
        <v>78</v>
      </c>
      <c r="AE225" s="1623">
        <v>15</v>
      </c>
      <c r="AF225" s="1624"/>
      <c r="AG225" s="1626"/>
      <c r="AH225" s="1564"/>
      <c r="AI225" s="1564"/>
      <c r="AJ225" s="1564"/>
      <c r="AW225" s="1446"/>
      <c r="AX225" s="1443"/>
      <c r="AY225" s="1443"/>
      <c r="AZ225" s="1443"/>
      <c r="BA225" s="1443"/>
    </row>
    <row r="226" spans="1:77" hidden="1" x14ac:dyDescent="0.2">
      <c r="B226" s="1250"/>
      <c r="C226" s="1627" t="s">
        <v>112</v>
      </c>
      <c r="D226" s="1250" t="s">
        <v>164</v>
      </c>
      <c r="E226" s="1250"/>
      <c r="F226" s="1627"/>
      <c r="G226" s="1251" t="s">
        <v>165</v>
      </c>
      <c r="J226" s="1251" t="s">
        <v>166</v>
      </c>
      <c r="W226" s="1250"/>
      <c r="X226" s="1627" t="s">
        <v>112</v>
      </c>
      <c r="Y226" s="1250" t="s">
        <v>164</v>
      </c>
      <c r="Z226" s="1250"/>
      <c r="AA226" s="1627"/>
      <c r="AB226" s="1251" t="s">
        <v>165</v>
      </c>
      <c r="AE226" s="1251" t="s">
        <v>166</v>
      </c>
      <c r="AT226" s="1251" t="str">
        <f>B227</f>
        <v>KVC 14</v>
      </c>
      <c r="AU226" s="1251">
        <f>J227</f>
        <v>2253.0290632225715</v>
      </c>
      <c r="AW226" s="1446"/>
      <c r="AX226" s="1443"/>
      <c r="AY226" s="1443"/>
      <c r="AZ226" s="1443"/>
      <c r="BA226" s="1443"/>
      <c r="BB226" s="1446"/>
      <c r="BC226" s="1443"/>
      <c r="BD226" s="1443"/>
      <c r="BE226" s="1446"/>
      <c r="BF226" s="1443"/>
      <c r="BG226" s="1443"/>
      <c r="BH226" s="1446"/>
      <c r="BI226" s="1443"/>
      <c r="BJ226" s="1443"/>
      <c r="BK226" s="1446"/>
      <c r="BL226" s="1443"/>
      <c r="BM226" s="1443"/>
      <c r="BN226" s="1446"/>
      <c r="BO226" s="1443"/>
      <c r="BP226" s="1443"/>
      <c r="BQ226" s="1446"/>
      <c r="BR226" s="1443"/>
      <c r="BS226" s="1443"/>
      <c r="BT226" s="1446"/>
      <c r="BU226" s="1443"/>
      <c r="BV226" s="1443"/>
      <c r="BW226" s="1446"/>
      <c r="BX226" s="1443"/>
      <c r="BY226" s="1443"/>
    </row>
    <row r="227" spans="1:77" hidden="1" x14ac:dyDescent="0.2">
      <c r="A227" s="1251">
        <v>1</v>
      </c>
      <c r="B227" s="1251" t="str">
        <f>B210</f>
        <v>KVC 14</v>
      </c>
      <c r="C227" s="1251">
        <f>VLOOKUP(B227,AU$2:AY$22,4,FALSE)</f>
        <v>2258.0684760828894</v>
      </c>
      <c r="D227" s="1251">
        <f>IF(A227=B218,B233,IF(A227=D218,D233,C227))</f>
        <v>2261.6312425408805</v>
      </c>
      <c r="G227" s="1251">
        <f>IF(A227=E218,E233,IF(A227=G218,G233,D227))</f>
        <v>2261.6312425408805</v>
      </c>
      <c r="J227" s="1251">
        <f>IF(A227=H218,H233,IF(A227=J218,J233,G227))</f>
        <v>2253.0290632225715</v>
      </c>
      <c r="U227" s="1628"/>
      <c r="V227" s="1628">
        <v>1</v>
      </c>
      <c r="W227" s="1251" t="str">
        <f>X210</f>
        <v>Lake Murray 15 Black</v>
      </c>
      <c r="X227" s="1251">
        <f>VLOOKUP(W227,AU$2:AY$22,4,FALSE)</f>
        <v>2072.0804009818239</v>
      </c>
      <c r="Y227" s="1251">
        <f>IF(V227=W218,W233,IF(V227=Y218,Y233,X227))</f>
        <v>2078.9572207840206</v>
      </c>
      <c r="AB227" s="1251">
        <f>IF(V227=Z218,Z233,IF(V227=AB218,AB233,Y227))</f>
        <v>2078.9572207840206</v>
      </c>
      <c r="AE227" s="1251">
        <f>IF(V227=AC218,AC233,IF(V227=AE218,AE233,AB227))</f>
        <v>2075.6557959024376</v>
      </c>
      <c r="AT227" s="1251" t="str">
        <f>B228</f>
        <v>Beaufort 15 U</v>
      </c>
      <c r="AU227" s="1251">
        <f>J228</f>
        <v>2261.5141533158635</v>
      </c>
      <c r="AW227" s="1446"/>
      <c r="AX227" s="1443"/>
      <c r="AY227" s="1443"/>
      <c r="AZ227" s="1443"/>
      <c r="BA227" s="1443"/>
      <c r="BB227" s="1446"/>
      <c r="BC227" s="1443"/>
      <c r="BD227" s="1443"/>
      <c r="BE227" s="1446"/>
      <c r="BF227" s="1443"/>
      <c r="BG227" s="1443"/>
      <c r="BH227" s="1446"/>
      <c r="BI227" s="1443"/>
      <c r="BJ227" s="1443"/>
      <c r="BK227" s="1446"/>
      <c r="BL227" s="1443"/>
      <c r="BM227" s="1443"/>
      <c r="BN227" s="1446"/>
      <c r="BO227" s="1443"/>
      <c r="BP227" s="1443"/>
      <c r="BQ227" s="1446"/>
      <c r="BR227" s="1443"/>
      <c r="BS227" s="1443"/>
      <c r="BT227" s="1446"/>
      <c r="BU227" s="1443"/>
      <c r="BV227" s="1443"/>
      <c r="BW227" s="1446"/>
      <c r="BX227" s="1443"/>
      <c r="BY227" s="1443"/>
    </row>
    <row r="228" spans="1:77" hidden="1" x14ac:dyDescent="0.2">
      <c r="A228" s="1251">
        <v>2</v>
      </c>
      <c r="B228" s="1251" t="str">
        <f>B211</f>
        <v>Beaufort 15 U</v>
      </c>
      <c r="C228" s="1251">
        <f>VLOOKUP(B228,AU$2:AY$22,4,FALSE)</f>
        <v>2249.0606644054383</v>
      </c>
      <c r="D228" s="1251">
        <f>IF(A228=B218,B233,IF(A228=D218,D233,C228))</f>
        <v>2249.0606644054383</v>
      </c>
      <c r="G228" s="1251">
        <f>IF(A228=E218,E233,IF(A228=G218,G233,D228))</f>
        <v>2252.9119739975545</v>
      </c>
      <c r="J228" s="1251">
        <f>IF(A228=H218,H233,IF(A228=J218,J233,G228))</f>
        <v>2261.5141533158635</v>
      </c>
      <c r="U228" s="1628"/>
      <c r="V228" s="1628">
        <v>2</v>
      </c>
      <c r="W228" s="1251" t="str">
        <f>X211</f>
        <v>ATown 15 Black</v>
      </c>
      <c r="X228" s="1251">
        <f>VLOOKUP(W228,AU$2:AY$22,4,FALSE)</f>
        <v>2141.596293794672</v>
      </c>
      <c r="Y228" s="1251">
        <f>IF(V228=W218,W233,IF(V228=Y218,Y233,X228))</f>
        <v>2141.596293794672</v>
      </c>
      <c r="AB228" s="1251">
        <f>IF(V228=Z218,Z233,IF(V228=AB218,AB233,Y228))</f>
        <v>2147.8656062419377</v>
      </c>
      <c r="AE228" s="1251">
        <f>IF(V228=AC218,AC233,IF(V228=AE218,AE233,AB228))</f>
        <v>2151.1670311235207</v>
      </c>
      <c r="AT228" s="1251" t="str">
        <f>B229</f>
        <v>Magnum Aiken 15 Yellow</v>
      </c>
      <c r="AU228" s="1251">
        <f>J229</f>
        <v>2045.640941405906</v>
      </c>
      <c r="AW228" s="1446"/>
      <c r="AX228" s="1443"/>
      <c r="AY228" s="1443"/>
      <c r="AZ228" s="1443"/>
      <c r="BA228" s="1443"/>
      <c r="BB228" s="1446"/>
      <c r="BC228" s="1443"/>
      <c r="BD228" s="1443"/>
      <c r="BE228" s="1446"/>
      <c r="BF228" s="1443"/>
      <c r="BG228" s="1443"/>
      <c r="BH228" s="1446"/>
      <c r="BI228" s="1443"/>
      <c r="BJ228" s="1443"/>
      <c r="BK228" s="1446"/>
      <c r="BL228" s="1443"/>
      <c r="BM228" s="1443"/>
      <c r="BN228" s="1446"/>
      <c r="BO228" s="1443"/>
      <c r="BP228" s="1443"/>
      <c r="BQ228" s="1446"/>
      <c r="BR228" s="1443"/>
      <c r="BS228" s="1443"/>
      <c r="BT228" s="1446"/>
      <c r="BU228" s="1443"/>
      <c r="BV228" s="1443"/>
      <c r="BW228" s="1446"/>
      <c r="BX228" s="1443"/>
      <c r="BY228" s="1443"/>
    </row>
    <row r="229" spans="1:77" hidden="1" x14ac:dyDescent="0.2">
      <c r="A229" s="1251">
        <v>3</v>
      </c>
      <c r="B229" s="1251" t="str">
        <f>B212</f>
        <v>Magnum Aiken 15 Yellow</v>
      </c>
      <c r="C229" s="1251">
        <f>VLOOKUP(B229,AU$2:AY$22,4,FALSE)</f>
        <v>2049.4922509980224</v>
      </c>
      <c r="D229" s="1251">
        <f>IF(A229=B218,B233,IF(A229=D218,D233,C229))</f>
        <v>2049.4922509980224</v>
      </c>
      <c r="G229" s="1251">
        <f>IF(A229=E218,E233,IF(A229=G218,G233,D229))</f>
        <v>2045.640941405906</v>
      </c>
      <c r="J229" s="1251">
        <f>IF(A229=H218,H233,IF(A229=J218,J233,G229))</f>
        <v>2045.640941405906</v>
      </c>
      <c r="U229" s="1628"/>
      <c r="V229" s="1628">
        <v>3</v>
      </c>
      <c r="W229" s="1251" t="str">
        <f>X212</f>
        <v>V-1 Academy SAV 15 Lucas</v>
      </c>
      <c r="X229" s="1251">
        <f>VLOOKUP(W229,AU$2:AY$22,4,FALSE)</f>
        <v>2065.2268484925753</v>
      </c>
      <c r="Y229" s="1251">
        <f>IF(V229=W218,W233,IF(V229=Y218,Y233,X229))</f>
        <v>2065.2268484925753</v>
      </c>
      <c r="AB229" s="1251">
        <f>IF(V229=Z218,Z233,IF(V229=AB218,AB233,Y229))</f>
        <v>2058.9575360453096</v>
      </c>
      <c r="AE229" s="1251">
        <f>IF(V229=AC218,AC233,IF(V229=AE218,AE233,AB229))</f>
        <v>2058.9575360453096</v>
      </c>
      <c r="AT229" s="1251" t="str">
        <f>B230</f>
        <v>Foothills 15 CJ</v>
      </c>
      <c r="AU229" s="1251">
        <f>J230</f>
        <v>2037.3311358334597</v>
      </c>
      <c r="AW229" s="1446"/>
      <c r="AX229" s="1443"/>
      <c r="AY229" s="1443"/>
      <c r="AZ229" s="1443"/>
      <c r="BA229" s="1443"/>
      <c r="BB229" s="1446"/>
      <c r="BC229" s="1443"/>
      <c r="BD229" s="1443"/>
      <c r="BE229" s="1446"/>
      <c r="BF229" s="1443"/>
      <c r="BG229" s="1443"/>
      <c r="BH229" s="1446"/>
      <c r="BI229" s="1443"/>
      <c r="BJ229" s="1443"/>
      <c r="BK229" s="1446"/>
      <c r="BL229" s="1443"/>
      <c r="BM229" s="1443"/>
      <c r="BN229" s="1446"/>
      <c r="BO229" s="1443"/>
      <c r="BP229" s="1443"/>
      <c r="BQ229" s="1446"/>
      <c r="BR229" s="1443"/>
      <c r="BS229" s="1443"/>
      <c r="BT229" s="1446"/>
      <c r="BU229" s="1443"/>
      <c r="BV229" s="1443"/>
      <c r="BW229" s="1446"/>
      <c r="BX229" s="1443"/>
      <c r="BY229" s="1443"/>
    </row>
    <row r="230" spans="1:77" hidden="1" x14ac:dyDescent="0.2">
      <c r="A230" s="1251">
        <v>4</v>
      </c>
      <c r="B230" s="1251" t="str">
        <f>B213</f>
        <v>Foothills 15 CJ</v>
      </c>
      <c r="C230" s="1251">
        <f>VLOOKUP(B230,AU$2:AY$22,4,FALSE)</f>
        <v>2040.893902291451</v>
      </c>
      <c r="D230" s="1251">
        <f>IF(A230=B218,B233,IF(A230=D218,D233,C230))</f>
        <v>2037.3311358334597</v>
      </c>
      <c r="G230" s="1251">
        <f>IF(A230=E218,E233,IF(A230=G218,G233,D230))</f>
        <v>2037.3311358334597</v>
      </c>
      <c r="J230" s="1251">
        <f>IF(A230=H218,H233,IF(A230=J218,J233,G230))</f>
        <v>2037.3311358334597</v>
      </c>
      <c r="U230" s="1628"/>
      <c r="V230" s="1628">
        <v>4</v>
      </c>
      <c r="W230" s="1251" t="str">
        <f>X213</f>
        <v>Chas Jrs 15 Blue</v>
      </c>
      <c r="X230" s="1251">
        <f>VLOOKUP(W230,AU$2:AY$22,4,FALSE)</f>
        <v>2022.9769575460887</v>
      </c>
      <c r="Y230" s="1251">
        <f>IF(V230=W218,W233,IF(V230=Y218,Y233,X230))</f>
        <v>2016.1001377438922</v>
      </c>
      <c r="AB230" s="1251">
        <f>IF(V230=Z218,Z233,IF(V230=AB218,AB233,Y230))</f>
        <v>2016.1001377438922</v>
      </c>
      <c r="AE230" s="1251">
        <f>IF(V230=AC218,AC233,IF(V230=AE218,AE233,AB230))</f>
        <v>2016.1001377438922</v>
      </c>
      <c r="AT230" s="1251" t="str">
        <f>W227</f>
        <v>Lake Murray 15 Black</v>
      </c>
      <c r="AU230" s="1251">
        <f>AE227</f>
        <v>2075.6557959024376</v>
      </c>
      <c r="AW230" s="1446"/>
      <c r="AX230" s="1443"/>
      <c r="AY230" s="1443"/>
      <c r="AZ230" s="1443"/>
      <c r="BA230" s="1443"/>
      <c r="BB230" s="1446"/>
      <c r="BC230" s="1443"/>
      <c r="BD230" s="1443"/>
      <c r="BE230" s="1446"/>
      <c r="BF230" s="1443"/>
      <c r="BG230" s="1443"/>
      <c r="BH230" s="1446"/>
      <c r="BI230" s="1443"/>
      <c r="BJ230" s="1443"/>
      <c r="BK230" s="1446"/>
      <c r="BL230" s="1443"/>
      <c r="BM230" s="1443"/>
      <c r="BN230" s="1446"/>
      <c r="BO230" s="1443"/>
      <c r="BP230" s="1443"/>
      <c r="BQ230" s="1446"/>
      <c r="BR230" s="1443"/>
      <c r="BS230" s="1443"/>
      <c r="BT230" s="1446"/>
      <c r="BU230" s="1443"/>
      <c r="BV230" s="1443"/>
      <c r="BW230" s="1446"/>
      <c r="BX230" s="1443"/>
      <c r="BY230" s="1443"/>
    </row>
    <row r="231" spans="1:77" hidden="1" x14ac:dyDescent="0.2">
      <c r="A231" s="1251" t="s">
        <v>114</v>
      </c>
      <c r="B231" s="1251">
        <f>VLOOKUP(B218,$A227:$J230,3,FALSE)</f>
        <v>2258.0684760828894</v>
      </c>
      <c r="D231" s="1251">
        <f>VLOOKUP(D218,$A227:$J230,3,FALSE)</f>
        <v>2040.893902291451</v>
      </c>
      <c r="E231" s="1251">
        <f>VLOOKUP(E218,$A227:$J230,4,FALSE)</f>
        <v>2249.0606644054383</v>
      </c>
      <c r="G231" s="1251">
        <f>VLOOKUP(G218,$A227:$J230,4,FALSE)</f>
        <v>2049.4922509980224</v>
      </c>
      <c r="H231" s="1251">
        <f>VLOOKUP(H218,$A227:$J230,7,FALSE)</f>
        <v>2261.6312425408805</v>
      </c>
      <c r="J231" s="1251">
        <f>VLOOKUP(J218,$A227:$J230,7,FALSE)</f>
        <v>2252.9119739975545</v>
      </c>
      <c r="T231" s="1629" t="s">
        <v>114</v>
      </c>
      <c r="U231" s="1629"/>
      <c r="V231" s="1629"/>
      <c r="W231" s="1251">
        <f>VLOOKUP(W218,$V227:$AE230,3,FALSE)</f>
        <v>2072.0804009818239</v>
      </c>
      <c r="Y231" s="1251">
        <f>VLOOKUP(Y218,$V227:$AE230,3,FALSE)</f>
        <v>2022.9769575460887</v>
      </c>
      <c r="Z231" s="1251">
        <f>VLOOKUP(Z218,$V227:$AE230,4,FALSE)</f>
        <v>2141.596293794672</v>
      </c>
      <c r="AB231" s="1251">
        <f>VLOOKUP(AB218,$V227:$AE230,4,FALSE)</f>
        <v>2065.2268484925753</v>
      </c>
      <c r="AC231" s="1251">
        <f>VLOOKUP(AC218,$V227:$AE230,7,FALSE)</f>
        <v>2078.9572207840206</v>
      </c>
      <c r="AE231" s="1251">
        <f>VLOOKUP(AE218,$V227:$AE230,7,FALSE)</f>
        <v>2147.8656062419377</v>
      </c>
      <c r="AT231" s="1251" t="str">
        <f>W228</f>
        <v>ATown 15 Black</v>
      </c>
      <c r="AU231" s="1251">
        <f>AE228</f>
        <v>2151.1670311235207</v>
      </c>
      <c r="AW231" s="1446"/>
      <c r="AX231" s="1443"/>
      <c r="AY231" s="1443"/>
      <c r="AZ231" s="1443"/>
      <c r="BA231" s="1443"/>
      <c r="BB231" s="1446"/>
      <c r="BC231" s="1443"/>
      <c r="BD231" s="1443"/>
      <c r="BE231" s="1446"/>
      <c r="BF231" s="1443"/>
      <c r="BG231" s="1443"/>
      <c r="BH231" s="1446"/>
      <c r="BI231" s="1443"/>
      <c r="BJ231" s="1443"/>
      <c r="BK231" s="1446"/>
      <c r="BL231" s="1443"/>
      <c r="BM231" s="1443"/>
      <c r="BN231" s="1446"/>
      <c r="BO231" s="1443"/>
      <c r="BP231" s="1443"/>
      <c r="BQ231" s="1446"/>
      <c r="BR231" s="1443"/>
      <c r="BS231" s="1443"/>
      <c r="BT231" s="1446"/>
      <c r="BU231" s="1443"/>
      <c r="BV231" s="1443"/>
      <c r="BW231" s="1446"/>
      <c r="BX231" s="1443"/>
      <c r="BY231" s="1443"/>
    </row>
    <row r="232" spans="1:77" hidden="1" x14ac:dyDescent="0.2">
      <c r="A232" s="1458" t="s">
        <v>115</v>
      </c>
      <c r="B232" s="1458">
        <f>1/(1+(10^-((B231-D231)/400)))*(B222+D222)</f>
        <v>0.7773270963755442</v>
      </c>
      <c r="C232" s="1458"/>
      <c r="D232" s="1458">
        <f>1/(1+(10^-((D231-B231)/400)))*(B222+D222)</f>
        <v>0.2226729036244558</v>
      </c>
      <c r="E232" s="1458">
        <f>1/(1+(10^-((E231-G231)/400)))*(E222+G222)</f>
        <v>0.75929315049272894</v>
      </c>
      <c r="G232" s="1458">
        <f>1/(1+(10^-((G231-E231)/400)))*(E222+G222)</f>
        <v>0.24070684950727106</v>
      </c>
      <c r="H232" s="1458">
        <f>1/(1+(10^-((H231-J231)/400)))*(H222+J222)</f>
        <v>1.5376362073943128</v>
      </c>
      <c r="J232" s="1458">
        <f>1/(1+(10^-((J231-H231)/400)))*(H222+J222)</f>
        <v>1.4623637926056876</v>
      </c>
      <c r="T232" s="1630" t="s">
        <v>115</v>
      </c>
      <c r="U232" s="1630"/>
      <c r="V232" s="1630"/>
      <c r="W232" s="1458">
        <f>1/(1+(10^-((W231-Y231)/400)))*(W222+Y222)</f>
        <v>0.57019876236271949</v>
      </c>
      <c r="X232" s="1458"/>
      <c r="Y232" s="1458">
        <f>1/(1+(10^-((Y231-W231)/400)))*(W222+Y222)</f>
        <v>0.42980123763728051</v>
      </c>
      <c r="Z232" s="1458">
        <f>1/(1+(10^-((Z231-AB231)/400)))*(Z222+AB222)</f>
        <v>0.60816797204590367</v>
      </c>
      <c r="AB232" s="1458">
        <f>1/(1+(10^-((AB231-Z231)/400)))*(Z222+AB222)</f>
        <v>0.39183202795409627</v>
      </c>
      <c r="AC232" s="1458">
        <f>1/(1+(10^-((AC231-AE231)/400)))*(AC222+AE222)</f>
        <v>1.2063390550989281</v>
      </c>
      <c r="AE232" s="1458">
        <f>1/(1+(10^-((AE231-AC231)/400)))*(AC222+AE222)</f>
        <v>1.7936609449010721</v>
      </c>
      <c r="AT232" s="1251" t="str">
        <f>W229</f>
        <v>V-1 Academy SAV 15 Lucas</v>
      </c>
      <c r="AU232" s="1251">
        <f>AE229</f>
        <v>2058.9575360453096</v>
      </c>
      <c r="AW232" s="1446"/>
      <c r="AX232" s="1443"/>
      <c r="AY232" s="1443"/>
      <c r="AZ232" s="1443"/>
      <c r="BA232" s="1443"/>
      <c r="BB232" s="1446"/>
      <c r="BC232" s="1443"/>
      <c r="BD232" s="1443"/>
      <c r="BE232" s="1446"/>
      <c r="BF232" s="1443"/>
      <c r="BG232" s="1443"/>
      <c r="BH232" s="1446"/>
      <c r="BI232" s="1443"/>
      <c r="BJ232" s="1443"/>
      <c r="BK232" s="1446"/>
      <c r="BL232" s="1443"/>
      <c r="BM232" s="1443"/>
      <c r="BN232" s="1446"/>
      <c r="BO232" s="1443"/>
      <c r="BP232" s="1443"/>
      <c r="BQ232" s="1446"/>
      <c r="BR232" s="1443"/>
      <c r="BS232" s="1443"/>
      <c r="BT232" s="1446"/>
      <c r="BU232" s="1443"/>
      <c r="BV232" s="1443"/>
      <c r="BW232" s="1446"/>
      <c r="BX232" s="1443"/>
      <c r="BY232" s="1443"/>
    </row>
    <row r="233" spans="1:77" hidden="1" x14ac:dyDescent="0.2">
      <c r="A233" s="1464" t="s">
        <v>116</v>
      </c>
      <c r="B233" s="1464">
        <f>B231+(B222-B232)*$BA$2</f>
        <v>2261.6312425408805</v>
      </c>
      <c r="C233" s="1464"/>
      <c r="D233" s="1464">
        <f>D231+(D222-D232)*$BA$2</f>
        <v>2037.3311358334597</v>
      </c>
      <c r="E233" s="1464">
        <f>E231+(E222-E232)*$BA$2</f>
        <v>2252.9119739975545</v>
      </c>
      <c r="G233" s="1464">
        <f>G231+(G222-G232)*$BA$2</f>
        <v>2045.640941405906</v>
      </c>
      <c r="H233" s="1464">
        <f>H231+(H222-H232)*$BA$2</f>
        <v>2253.0290632225715</v>
      </c>
      <c r="J233" s="1464">
        <f>J231+(J222-J232)*$BA$2</f>
        <v>2261.5141533158635</v>
      </c>
      <c r="T233" s="1631" t="s">
        <v>116</v>
      </c>
      <c r="U233" s="1631"/>
      <c r="V233" s="1631"/>
      <c r="W233" s="1464">
        <f>W231+(W222-W232)*$BA$2</f>
        <v>2078.9572207840206</v>
      </c>
      <c r="X233" s="1464"/>
      <c r="Y233" s="1464">
        <f>Y231+(Y222-Y232)*$BA$2</f>
        <v>2016.1001377438922</v>
      </c>
      <c r="Z233" s="1464">
        <f>Z231+(Z222-Z232)*$BA$2</f>
        <v>2147.8656062419377</v>
      </c>
      <c r="AB233" s="1464">
        <f>AB231+(AB222-AB232)*$BA$2</f>
        <v>2058.9575360453096</v>
      </c>
      <c r="AC233" s="1464">
        <f>AC231+(AC222-AC232)*$BA$2</f>
        <v>2075.6557959024376</v>
      </c>
      <c r="AE233" s="1464">
        <f>AE231+(AE222-AE232)*$BA$2</f>
        <v>2151.1670311235207</v>
      </c>
      <c r="AT233" s="1251" t="str">
        <f>W230</f>
        <v>Chas Jrs 15 Blue</v>
      </c>
      <c r="AU233" s="1251">
        <f>AE230</f>
        <v>2016.1001377438922</v>
      </c>
      <c r="AW233" s="1446"/>
      <c r="AX233" s="1443"/>
      <c r="AY233" s="1443"/>
      <c r="AZ233" s="1443"/>
      <c r="BA233" s="1443"/>
      <c r="BB233" s="1446"/>
      <c r="BC233" s="1443"/>
      <c r="BD233" s="1443"/>
      <c r="BE233" s="1446"/>
      <c r="BF233" s="1443"/>
      <c r="BG233" s="1443"/>
      <c r="BH233" s="1446"/>
      <c r="BI233" s="1443"/>
      <c r="BJ233" s="1443"/>
      <c r="BK233" s="1446"/>
      <c r="BL233" s="1443"/>
      <c r="BM233" s="1443"/>
      <c r="BN233" s="1446"/>
      <c r="BO233" s="1443"/>
      <c r="BP233" s="1443"/>
      <c r="BQ233" s="1446"/>
      <c r="BR233" s="1443"/>
      <c r="BS233" s="1443"/>
      <c r="BT233" s="1446"/>
      <c r="BU233" s="1443"/>
      <c r="BV233" s="1443"/>
      <c r="BW233" s="1446"/>
      <c r="BX233" s="1443"/>
      <c r="BY233" s="1443"/>
    </row>
    <row r="234" spans="1:77" x14ac:dyDescent="0.2">
      <c r="A234" s="1632" t="s">
        <v>167</v>
      </c>
      <c r="B234" s="1632"/>
      <c r="C234" s="1632"/>
      <c r="D234" s="1632"/>
      <c r="E234" s="1632"/>
      <c r="F234" s="1632"/>
      <c r="G234" s="1632"/>
      <c r="H234" s="1632"/>
      <c r="I234" s="1632"/>
      <c r="J234" s="1632"/>
      <c r="K234" s="1632"/>
      <c r="L234" s="1632"/>
      <c r="M234" s="1632"/>
      <c r="R234" s="1564"/>
      <c r="S234" s="1564"/>
      <c r="T234" s="1615"/>
      <c r="U234" s="1615"/>
      <c r="V234" s="1632" t="s">
        <v>167</v>
      </c>
      <c r="W234" s="1632"/>
      <c r="X234" s="1632"/>
      <c r="Y234" s="1632"/>
      <c r="Z234" s="1632"/>
      <c r="AA234" s="1632"/>
      <c r="AB234" s="1632"/>
      <c r="AC234" s="1632"/>
      <c r="AD234" s="1632"/>
      <c r="AE234" s="1632"/>
      <c r="AF234" s="1632"/>
      <c r="AG234" s="1632"/>
      <c r="AH234" s="1564"/>
      <c r="AI234" s="1564"/>
      <c r="AJ234" s="1564"/>
      <c r="AW234" s="1446"/>
      <c r="AX234" s="1443"/>
      <c r="AY234" s="1443"/>
      <c r="AZ234" s="1443"/>
      <c r="BA234" s="1443"/>
    </row>
    <row r="235" spans="1:77" x14ac:dyDescent="0.2">
      <c r="AT235" s="1443"/>
      <c r="AU235" s="1443"/>
      <c r="AV235" s="1443"/>
      <c r="AW235" s="1446"/>
      <c r="AX235" s="1443"/>
      <c r="AY235" s="1443"/>
      <c r="AZ235" s="1443"/>
      <c r="BA235" s="1443"/>
    </row>
    <row r="236" spans="1:77" x14ac:dyDescent="0.2">
      <c r="AT236" s="1443"/>
      <c r="AU236" s="1443"/>
      <c r="AV236" s="1443"/>
      <c r="AW236" s="1446"/>
      <c r="AX236" s="1443"/>
      <c r="AY236" s="1443"/>
      <c r="AZ236" s="1443"/>
      <c r="BA236" s="1443"/>
    </row>
    <row r="237" spans="1:77" x14ac:dyDescent="0.2">
      <c r="AT237" s="1443"/>
      <c r="AU237" s="1443"/>
      <c r="AV237" s="1443"/>
      <c r="AW237" s="1446"/>
      <c r="AX237" s="1443"/>
      <c r="AY237" s="1443"/>
      <c r="AZ237" s="1443"/>
      <c r="BA237" s="1443"/>
    </row>
    <row r="238" spans="1:77" x14ac:dyDescent="0.2">
      <c r="AT238" s="1443"/>
      <c r="AU238" s="1443"/>
      <c r="AV238" s="1443"/>
      <c r="AW238" s="1446"/>
      <c r="AX238" s="1443"/>
      <c r="AY238" s="1443"/>
      <c r="AZ238" s="1443"/>
      <c r="BA238" s="1443"/>
    </row>
    <row r="239" spans="1:77" x14ac:dyDescent="0.2">
      <c r="AT239" s="1443"/>
      <c r="AU239" s="1443"/>
      <c r="AV239" s="1443"/>
      <c r="AW239" s="1446"/>
      <c r="AX239" s="1443"/>
      <c r="AY239" s="1443"/>
      <c r="AZ239" s="1443"/>
      <c r="BA239" s="1443"/>
    </row>
    <row r="240" spans="1:77" x14ac:dyDescent="0.2">
      <c r="AT240" s="1443"/>
      <c r="AU240" s="1443"/>
      <c r="AV240" s="1443"/>
      <c r="AW240" s="1446"/>
      <c r="AX240" s="1443"/>
      <c r="AY240" s="1443"/>
      <c r="AZ240" s="1443"/>
      <c r="BA240" s="1443"/>
    </row>
    <row r="241" spans="46:53" x14ac:dyDescent="0.2">
      <c r="AT241" s="1443"/>
      <c r="AU241" s="1443"/>
      <c r="AV241" s="1443"/>
      <c r="AW241" s="1446"/>
      <c r="AX241" s="1443"/>
      <c r="AY241" s="1443"/>
      <c r="AZ241" s="1443"/>
      <c r="BA241" s="1443"/>
    </row>
    <row r="242" spans="46:53" x14ac:dyDescent="0.2">
      <c r="AT242" s="1443"/>
      <c r="AU242" s="1443"/>
      <c r="AV242" s="1443"/>
      <c r="AW242" s="1446"/>
      <c r="AX242" s="1443"/>
      <c r="AY242" s="1443"/>
      <c r="AZ242" s="1443"/>
      <c r="BA242" s="1443"/>
    </row>
    <row r="243" spans="46:53" x14ac:dyDescent="0.2">
      <c r="AT243" s="1443"/>
      <c r="AU243" s="1443"/>
      <c r="AV243" s="1443"/>
      <c r="AW243" s="1446"/>
      <c r="AX243" s="1443"/>
      <c r="AY243" s="1443"/>
      <c r="AZ243" s="1443"/>
      <c r="BA243" s="1443"/>
    </row>
    <row r="244" spans="46:53" x14ac:dyDescent="0.2">
      <c r="AT244" s="1443"/>
      <c r="AU244" s="1443"/>
      <c r="AV244" s="1443"/>
      <c r="AW244" s="1446"/>
      <c r="AX244" s="1443"/>
      <c r="AY244" s="1443"/>
      <c r="AZ244" s="1443"/>
      <c r="BA244" s="1443"/>
    </row>
    <row r="245" spans="46:53" x14ac:dyDescent="0.2">
      <c r="AT245" s="1443"/>
      <c r="AU245" s="1443"/>
      <c r="AV245" s="1443"/>
      <c r="AW245" s="1446"/>
      <c r="AX245" s="1443"/>
      <c r="AY245" s="1443"/>
      <c r="AZ245" s="1443"/>
      <c r="BA245" s="1443"/>
    </row>
    <row r="246" spans="46:53" x14ac:dyDescent="0.2">
      <c r="AT246" s="1443"/>
      <c r="AU246" s="1443"/>
      <c r="AV246" s="1443"/>
      <c r="AW246" s="1446"/>
      <c r="AX246" s="1443"/>
      <c r="AY246" s="1443"/>
      <c r="AZ246" s="1443"/>
      <c r="BA246" s="1443"/>
    </row>
    <row r="247" spans="46:53" x14ac:dyDescent="0.2">
      <c r="AT247" s="1443"/>
      <c r="AU247" s="1443"/>
      <c r="AV247" s="1443"/>
    </row>
    <row r="248" spans="46:53" x14ac:dyDescent="0.2">
      <c r="AT248" s="1443"/>
      <c r="AU248" s="1443"/>
      <c r="AV248" s="1443"/>
      <c r="AW248" s="1455"/>
      <c r="AX248" s="1452"/>
      <c r="AY248" s="1452"/>
      <c r="AZ248" s="1452"/>
      <c r="BA248" s="1452"/>
    </row>
    <row r="249" spans="46:53" x14ac:dyDescent="0.2">
      <c r="AT249" s="1443"/>
      <c r="AU249" s="1443"/>
      <c r="AV249" s="1443"/>
      <c r="AW249" s="1455"/>
      <c r="AX249" s="1452"/>
      <c r="AY249" s="1452"/>
      <c r="AZ249" s="1452"/>
      <c r="BA249" s="1452"/>
    </row>
    <row r="250" spans="46:53" x14ac:dyDescent="0.2">
      <c r="AT250" s="1443"/>
      <c r="AU250" s="1443"/>
      <c r="AV250" s="1443"/>
      <c r="AW250" s="1455"/>
      <c r="AX250" s="1452"/>
      <c r="AY250" s="1452"/>
      <c r="AZ250" s="1452"/>
      <c r="BA250" s="1452"/>
    </row>
    <row r="251" spans="46:53" x14ac:dyDescent="0.2">
      <c r="AT251" s="1443"/>
      <c r="AU251" s="1443"/>
      <c r="AV251" s="1443"/>
      <c r="AW251" s="1455"/>
      <c r="AX251" s="1452"/>
      <c r="AY251" s="1452"/>
      <c r="AZ251" s="1452"/>
      <c r="BA251" s="1452"/>
    </row>
    <row r="252" spans="46:53" x14ac:dyDescent="0.2">
      <c r="AT252" s="1443"/>
      <c r="AU252" s="1443"/>
      <c r="AV252" s="1443"/>
      <c r="AW252" s="1455"/>
      <c r="AX252" s="1452"/>
      <c r="AY252" s="1452"/>
      <c r="AZ252" s="1452"/>
      <c r="BA252" s="1452"/>
    </row>
    <row r="253" spans="46:53" x14ac:dyDescent="0.2">
      <c r="AT253" s="1443"/>
      <c r="AU253" s="1443"/>
      <c r="AV253" s="1443"/>
      <c r="AW253" s="1455"/>
      <c r="AX253" s="1452"/>
      <c r="AY253" s="1452"/>
      <c r="AZ253" s="1452"/>
      <c r="BA253" s="1452"/>
    </row>
    <row r="254" spans="46:53" x14ac:dyDescent="0.2">
      <c r="AT254" s="1443"/>
      <c r="AU254" s="1443"/>
      <c r="AV254" s="1443"/>
      <c r="AW254" s="1455"/>
      <c r="AX254" s="1452"/>
      <c r="AY254" s="1452"/>
      <c r="AZ254" s="1452"/>
      <c r="BA254" s="1452"/>
    </row>
    <row r="255" spans="46:53" x14ac:dyDescent="0.2">
      <c r="AT255" s="1443"/>
      <c r="AU255" s="1443"/>
      <c r="AV255" s="1443"/>
      <c r="AW255" s="1455"/>
      <c r="AX255" s="1452"/>
      <c r="AY255" s="1452"/>
      <c r="AZ255" s="1452"/>
      <c r="BA255" s="1452"/>
    </row>
    <row r="256" spans="46:53" x14ac:dyDescent="0.2">
      <c r="AT256" s="1443"/>
      <c r="AU256" s="1443"/>
      <c r="AV256" s="1443"/>
      <c r="AW256" s="1462"/>
      <c r="AX256" s="1461"/>
      <c r="AY256" s="1461"/>
      <c r="AZ256" s="1461"/>
      <c r="BA256" s="1461"/>
    </row>
    <row r="257" spans="46:53" x14ac:dyDescent="0.2">
      <c r="AT257" s="1443"/>
      <c r="AU257" s="1443"/>
      <c r="AV257" s="1443"/>
      <c r="AW257" s="1468"/>
      <c r="AX257" s="1467"/>
      <c r="AY257" s="1467"/>
      <c r="AZ257" s="1467"/>
      <c r="BA257" s="1467"/>
    </row>
    <row r="258" spans="46:53" x14ac:dyDescent="0.2">
      <c r="AT258" s="1443"/>
      <c r="AU258" s="1443"/>
      <c r="AV258" s="1443"/>
      <c r="AW258" s="1468"/>
      <c r="AX258" s="1467"/>
      <c r="AY258" s="1467"/>
      <c r="AZ258" s="1467"/>
      <c r="BA258" s="1467"/>
    </row>
    <row r="259" spans="46:53" x14ac:dyDescent="0.2">
      <c r="AT259" s="1443"/>
      <c r="AU259" s="1443"/>
      <c r="AV259" s="1443"/>
      <c r="AW259" s="1455"/>
      <c r="AX259" s="1452"/>
      <c r="AY259" s="1452"/>
      <c r="AZ259" s="1452"/>
      <c r="BA259" s="1452"/>
    </row>
    <row r="260" spans="46:53" x14ac:dyDescent="0.2">
      <c r="AT260" s="1452"/>
      <c r="AU260" s="1452"/>
      <c r="AV260" s="1452"/>
      <c r="AW260" s="1455"/>
      <c r="AX260" s="1452"/>
      <c r="AY260" s="1452"/>
      <c r="AZ260" s="1452"/>
      <c r="BA260" s="1452"/>
    </row>
    <row r="261" spans="46:53" x14ac:dyDescent="0.2">
      <c r="AT261" s="1452"/>
      <c r="AU261" s="1452"/>
      <c r="AV261" s="1452"/>
    </row>
    <row r="286" spans="46:53" x14ac:dyDescent="0.2">
      <c r="AT286" s="1443"/>
      <c r="AU286" s="1443"/>
      <c r="AV286" s="1443"/>
      <c r="AW286" s="1446"/>
      <c r="AX286" s="1443"/>
      <c r="AY286" s="1443"/>
      <c r="AZ286" s="1443"/>
      <c r="BA286" s="1443"/>
    </row>
    <row r="287" spans="46:53" x14ac:dyDescent="0.2">
      <c r="AT287" s="1443"/>
      <c r="AU287" s="1443"/>
      <c r="AV287" s="1443"/>
      <c r="AW287" s="1446"/>
      <c r="AX287" s="1443"/>
      <c r="AY287" s="1443"/>
      <c r="AZ287" s="1443"/>
      <c r="BA287" s="1443"/>
    </row>
    <row r="288" spans="46:53" x14ac:dyDescent="0.2">
      <c r="AT288" s="1443"/>
      <c r="AU288" s="1443"/>
      <c r="AV288" s="1443"/>
      <c r="AW288" s="1446"/>
      <c r="AX288" s="1443"/>
      <c r="AY288" s="1443"/>
      <c r="AZ288" s="1443"/>
      <c r="BA288" s="1443"/>
    </row>
    <row r="289" spans="46:53" x14ac:dyDescent="0.2">
      <c r="AT289" s="1443"/>
      <c r="AU289" s="1443"/>
      <c r="AV289" s="1443"/>
      <c r="AW289" s="1446"/>
      <c r="AX289" s="1443"/>
      <c r="AY289" s="1443"/>
      <c r="AZ289" s="1443"/>
      <c r="BA289" s="1443"/>
    </row>
    <row r="290" spans="46:53" x14ac:dyDescent="0.2">
      <c r="AT290" s="1443"/>
      <c r="AU290" s="1443"/>
      <c r="AV290" s="1443"/>
      <c r="AW290" s="1446"/>
      <c r="AX290" s="1443"/>
      <c r="AY290" s="1443"/>
      <c r="AZ290" s="1443"/>
      <c r="BA290" s="1443"/>
    </row>
    <row r="291" spans="46:53" x14ac:dyDescent="0.2">
      <c r="AT291" s="1443"/>
      <c r="AU291" s="1443"/>
      <c r="AV291" s="1443"/>
      <c r="AW291" s="1446"/>
      <c r="AX291" s="1443"/>
      <c r="AY291" s="1443"/>
      <c r="AZ291" s="1443"/>
      <c r="BA291" s="1443"/>
    </row>
    <row r="292" spans="46:53" x14ac:dyDescent="0.2">
      <c r="AT292" s="1443"/>
      <c r="AU292" s="1443"/>
      <c r="AV292" s="1443"/>
      <c r="AW292" s="1446"/>
      <c r="AX292" s="1443"/>
      <c r="AY292" s="1443"/>
      <c r="AZ292" s="1443"/>
      <c r="BA292" s="1443"/>
    </row>
    <row r="293" spans="46:53" x14ac:dyDescent="0.2">
      <c r="AT293" s="1443"/>
      <c r="AU293" s="1443"/>
      <c r="AV293" s="1443"/>
      <c r="AW293" s="1446"/>
      <c r="AX293" s="1443"/>
      <c r="AY293" s="1443"/>
      <c r="AZ293" s="1443"/>
      <c r="BA293" s="1443"/>
    </row>
    <row r="294" spans="46:53" x14ac:dyDescent="0.2">
      <c r="AT294" s="1443"/>
      <c r="AU294" s="1443"/>
      <c r="AV294" s="1443"/>
      <c r="AW294" s="1446"/>
      <c r="AX294" s="1443"/>
      <c r="AY294" s="1443"/>
      <c r="AZ294" s="1443"/>
      <c r="BA294" s="1443"/>
    </row>
    <row r="295" spans="46:53" x14ac:dyDescent="0.2">
      <c r="AT295" s="1443"/>
      <c r="AU295" s="1443"/>
      <c r="AV295" s="1443"/>
      <c r="AW295" s="1446"/>
      <c r="AX295" s="1443"/>
      <c r="AY295" s="1443"/>
      <c r="AZ295" s="1443"/>
      <c r="BA295" s="1443"/>
    </row>
    <row r="296" spans="46:53" x14ac:dyDescent="0.2">
      <c r="AT296" s="1443"/>
      <c r="AU296" s="1443"/>
      <c r="AV296" s="1443"/>
      <c r="AW296" s="1446"/>
      <c r="AX296" s="1443"/>
      <c r="AY296" s="1443"/>
      <c r="AZ296" s="1443"/>
      <c r="BA296" s="1443"/>
    </row>
    <row r="297" spans="46:53" x14ac:dyDescent="0.2">
      <c r="AT297" s="1443"/>
      <c r="AU297" s="1443"/>
      <c r="AV297" s="1443"/>
      <c r="AW297" s="1446"/>
      <c r="AX297" s="1443"/>
      <c r="AY297" s="1443"/>
      <c r="AZ297" s="1443"/>
      <c r="BA297" s="1443"/>
    </row>
    <row r="298" spans="46:53" x14ac:dyDescent="0.2">
      <c r="AT298" s="1443"/>
      <c r="AU298" s="1443"/>
      <c r="AV298" s="1443"/>
      <c r="AW298" s="1446"/>
      <c r="AX298" s="1443"/>
      <c r="AY298" s="1443"/>
      <c r="AZ298" s="1443"/>
      <c r="BA298" s="1443"/>
    </row>
    <row r="299" spans="46:53" x14ac:dyDescent="0.2">
      <c r="AT299" s="1443"/>
      <c r="AU299" s="1443"/>
      <c r="AV299" s="1443"/>
      <c r="AW299" s="1446"/>
      <c r="AX299" s="1443"/>
      <c r="AY299" s="1443"/>
      <c r="AZ299" s="1443"/>
      <c r="BA299" s="1443"/>
    </row>
    <row r="300" spans="46:53" x14ac:dyDescent="0.2">
      <c r="AT300" s="1443"/>
      <c r="AU300" s="1443"/>
      <c r="AV300" s="1443"/>
      <c r="AW300" s="1446"/>
      <c r="AX300" s="1443"/>
      <c r="AY300" s="1443"/>
      <c r="AZ300" s="1443"/>
      <c r="BA300" s="1443"/>
    </row>
    <row r="301" spans="46:53" x14ac:dyDescent="0.2">
      <c r="AT301" s="1443"/>
      <c r="AU301" s="1443"/>
      <c r="AV301" s="1443"/>
      <c r="AW301" s="1446"/>
      <c r="AX301" s="1443"/>
      <c r="AY301" s="1443"/>
      <c r="AZ301" s="1443"/>
      <c r="BA301" s="1443"/>
    </row>
    <row r="302" spans="46:53" x14ac:dyDescent="0.2">
      <c r="AT302" s="1443"/>
      <c r="AU302" s="1443"/>
      <c r="AV302" s="1443"/>
      <c r="AW302" s="1446"/>
      <c r="AX302" s="1443"/>
      <c r="AY302" s="1443"/>
      <c r="AZ302" s="1443"/>
      <c r="BA302" s="1443"/>
    </row>
    <row r="303" spans="46:53" x14ac:dyDescent="0.2">
      <c r="AT303" s="1443"/>
      <c r="AU303" s="1443"/>
      <c r="AV303" s="1443"/>
      <c r="AW303" s="1446"/>
      <c r="AX303" s="1443"/>
      <c r="AY303" s="1443"/>
      <c r="AZ303" s="1443"/>
      <c r="BA303" s="1443"/>
    </row>
    <row r="304" spans="46:53" x14ac:dyDescent="0.2">
      <c r="AT304" s="1443"/>
      <c r="AU304" s="1443"/>
      <c r="AV304" s="1443"/>
      <c r="AW304" s="1446"/>
      <c r="AX304" s="1443"/>
      <c r="AY304" s="1443"/>
      <c r="AZ304" s="1443"/>
      <c r="BA304" s="1443"/>
    </row>
    <row r="305" spans="46:53" x14ac:dyDescent="0.2">
      <c r="AT305" s="1443"/>
      <c r="AU305" s="1443"/>
      <c r="AV305" s="1443"/>
      <c r="AW305" s="1446"/>
      <c r="AX305" s="1443"/>
      <c r="AY305" s="1443"/>
      <c r="AZ305" s="1443"/>
      <c r="BA305" s="1443"/>
    </row>
    <row r="306" spans="46:53" x14ac:dyDescent="0.2">
      <c r="AT306" s="1443"/>
      <c r="AU306" s="1443"/>
      <c r="AV306" s="1443"/>
      <c r="AW306" s="1446"/>
      <c r="AX306" s="1443"/>
      <c r="AY306" s="1443"/>
      <c r="AZ306" s="1443"/>
      <c r="BA306" s="1443"/>
    </row>
    <row r="307" spans="46:53" x14ac:dyDescent="0.2">
      <c r="AT307" s="1443"/>
      <c r="AU307" s="1443"/>
      <c r="AV307" s="1443"/>
      <c r="AW307" s="1446"/>
      <c r="AX307" s="1443"/>
      <c r="AY307" s="1443"/>
      <c r="AZ307" s="1443"/>
      <c r="BA307" s="1443"/>
    </row>
    <row r="308" spans="46:53" x14ac:dyDescent="0.2">
      <c r="AT308" s="1443"/>
      <c r="AU308" s="1443"/>
      <c r="AV308" s="1443"/>
      <c r="AW308" s="1446"/>
      <c r="AX308" s="1443"/>
      <c r="AY308" s="1443"/>
      <c r="AZ308" s="1443"/>
      <c r="BA308" s="1443"/>
    </row>
    <row r="309" spans="46:53" x14ac:dyDescent="0.2">
      <c r="AT309" s="1443"/>
      <c r="AU309" s="1443"/>
      <c r="AV309" s="1443"/>
      <c r="AW309" s="1446"/>
      <c r="AX309" s="1443"/>
      <c r="AY309" s="1443"/>
      <c r="AZ309" s="1443"/>
      <c r="BA309" s="1443"/>
    </row>
    <row r="310" spans="46:53" x14ac:dyDescent="0.2">
      <c r="AT310" s="1443"/>
      <c r="AU310" s="1443"/>
      <c r="AV310" s="1443"/>
      <c r="AW310" s="1446"/>
      <c r="AX310" s="1443"/>
      <c r="AY310" s="1443"/>
      <c r="AZ310" s="1443"/>
      <c r="BA310" s="1443"/>
    </row>
    <row r="311" spans="46:53" x14ac:dyDescent="0.2">
      <c r="AT311" s="1443"/>
      <c r="AU311" s="1443"/>
      <c r="AV311" s="1443"/>
      <c r="AW311" s="1446"/>
      <c r="AX311" s="1443"/>
      <c r="AY311" s="1443"/>
      <c r="AZ311" s="1443"/>
      <c r="BA311" s="1443"/>
    </row>
    <row r="312" spans="46:53" x14ac:dyDescent="0.2">
      <c r="AT312" s="1443"/>
      <c r="AU312" s="1443"/>
      <c r="AV312" s="1443"/>
      <c r="AW312" s="1446"/>
      <c r="AX312" s="1443"/>
      <c r="AY312" s="1443"/>
      <c r="AZ312" s="1443"/>
      <c r="BA312" s="1443"/>
    </row>
    <row r="313" spans="46:53" x14ac:dyDescent="0.2">
      <c r="AT313" s="1443"/>
      <c r="AU313" s="1443"/>
      <c r="AV313" s="1443"/>
      <c r="AW313" s="1446"/>
      <c r="AX313" s="1443"/>
      <c r="AY313" s="1443"/>
      <c r="AZ313" s="1443"/>
      <c r="BA313" s="1443"/>
    </row>
    <row r="314" spans="46:53" x14ac:dyDescent="0.2">
      <c r="AT314" s="1443"/>
      <c r="AU314" s="1443"/>
      <c r="AV314" s="1443"/>
      <c r="AW314" s="1446"/>
      <c r="AX314" s="1443"/>
      <c r="AY314" s="1443"/>
      <c r="AZ314" s="1443"/>
      <c r="BA314" s="1443"/>
    </row>
    <row r="315" spans="46:53" x14ac:dyDescent="0.2">
      <c r="AT315" s="1443"/>
      <c r="AU315" s="1443"/>
      <c r="AV315" s="1443"/>
      <c r="AW315" s="1446"/>
      <c r="AX315" s="1443"/>
      <c r="AY315" s="1443"/>
      <c r="AZ315" s="1443"/>
      <c r="BA315" s="1443"/>
    </row>
    <row r="316" spans="46:53" x14ac:dyDescent="0.2">
      <c r="AT316" s="1443"/>
      <c r="AU316" s="1443"/>
      <c r="AV316" s="1443"/>
      <c r="AW316" s="1446"/>
      <c r="AX316" s="1443"/>
      <c r="AY316" s="1443"/>
      <c r="AZ316" s="1443"/>
      <c r="BA316" s="1443"/>
    </row>
    <row r="317" spans="46:53" x14ac:dyDescent="0.2">
      <c r="AT317" s="1443"/>
      <c r="AU317" s="1443"/>
      <c r="AV317" s="1443"/>
      <c r="AW317" s="1446"/>
      <c r="AX317" s="1443"/>
      <c r="AY317" s="1443"/>
      <c r="AZ317" s="1443"/>
      <c r="BA317" s="1443"/>
    </row>
    <row r="318" spans="46:53" x14ac:dyDescent="0.2">
      <c r="AT318" s="1443"/>
      <c r="AU318" s="1443"/>
      <c r="AV318" s="1443"/>
      <c r="AW318" s="1446"/>
      <c r="AX318" s="1443"/>
      <c r="AY318" s="1443"/>
      <c r="AZ318" s="1443"/>
      <c r="BA318" s="1443"/>
    </row>
    <row r="319" spans="46:53" x14ac:dyDescent="0.2">
      <c r="AT319" s="1443"/>
      <c r="AU319" s="1443"/>
      <c r="AV319" s="1443"/>
      <c r="AW319" s="1446"/>
      <c r="AX319" s="1443"/>
      <c r="AY319" s="1443"/>
      <c r="AZ319" s="1443"/>
      <c r="BA319" s="1443"/>
    </row>
    <row r="320" spans="46:53" x14ac:dyDescent="0.2">
      <c r="AT320" s="1443"/>
      <c r="AU320" s="1443"/>
      <c r="AV320" s="1443"/>
      <c r="AW320" s="1446"/>
      <c r="AX320" s="1443"/>
      <c r="AY320" s="1443"/>
      <c r="AZ320" s="1443"/>
      <c r="BA320" s="1443"/>
    </row>
    <row r="321" spans="46:53" x14ac:dyDescent="0.2">
      <c r="AT321" s="1443"/>
      <c r="AU321" s="1443"/>
      <c r="AV321" s="1443"/>
      <c r="AW321" s="1446"/>
      <c r="AX321" s="1443"/>
      <c r="AY321" s="1443"/>
      <c r="AZ321" s="1443"/>
      <c r="BA321" s="1443"/>
    </row>
    <row r="322" spans="46:53" x14ac:dyDescent="0.2">
      <c r="AT322" s="1443"/>
      <c r="AU322" s="1443"/>
      <c r="AV322" s="1443"/>
      <c r="AW322" s="1446"/>
      <c r="AX322" s="1443"/>
      <c r="AY322" s="1443"/>
      <c r="AZ322" s="1443"/>
      <c r="BA322" s="1443"/>
    </row>
    <row r="323" spans="46:53" x14ac:dyDescent="0.2">
      <c r="AT323" s="1443"/>
      <c r="AU323" s="1443"/>
      <c r="AV323" s="1443"/>
      <c r="AW323" s="1446"/>
      <c r="AX323" s="1443"/>
      <c r="AY323" s="1443"/>
      <c r="AZ323" s="1443"/>
      <c r="BA323" s="1443"/>
    </row>
    <row r="324" spans="46:53" x14ac:dyDescent="0.2">
      <c r="AT324" s="1443"/>
      <c r="AU324" s="1443"/>
      <c r="AV324" s="1443"/>
      <c r="AW324" s="1446"/>
      <c r="AX324" s="1443"/>
      <c r="AY324" s="1443"/>
      <c r="AZ324" s="1443"/>
      <c r="BA324" s="1443"/>
    </row>
    <row r="325" spans="46:53" x14ac:dyDescent="0.2">
      <c r="AT325" s="1443"/>
      <c r="AU325" s="1443"/>
      <c r="AV325" s="1443"/>
      <c r="AW325" s="1446"/>
      <c r="AX325" s="1443"/>
      <c r="AY325" s="1443"/>
      <c r="AZ325" s="1443"/>
      <c r="BA325" s="1443"/>
    </row>
    <row r="326" spans="46:53" x14ac:dyDescent="0.2">
      <c r="AT326" s="1443"/>
      <c r="AU326" s="1443"/>
      <c r="AV326" s="1443"/>
      <c r="AW326" s="1446"/>
      <c r="AX326" s="1443"/>
      <c r="AY326" s="1443"/>
      <c r="AZ326" s="1443"/>
      <c r="BA326" s="1443"/>
    </row>
    <row r="327" spans="46:53" x14ac:dyDescent="0.2">
      <c r="AT327" s="1443"/>
      <c r="AU327" s="1443"/>
      <c r="AV327" s="1443"/>
      <c r="AW327" s="1446"/>
      <c r="AX327" s="1443"/>
      <c r="AY327" s="1443"/>
      <c r="AZ327" s="1443"/>
      <c r="BA327" s="1443"/>
    </row>
    <row r="328" spans="46:53" x14ac:dyDescent="0.2">
      <c r="AT328" s="1443"/>
      <c r="AU328" s="1443"/>
      <c r="AV328" s="1443"/>
      <c r="AW328" s="1446"/>
      <c r="AX328" s="1443"/>
      <c r="AY328" s="1443"/>
      <c r="AZ328" s="1443"/>
      <c r="BA328" s="1443"/>
    </row>
    <row r="329" spans="46:53" x14ac:dyDescent="0.2">
      <c r="AT329" s="1443"/>
      <c r="AU329" s="1443"/>
      <c r="AV329" s="1443"/>
      <c r="AW329" s="1446"/>
      <c r="AX329" s="1443"/>
      <c r="AY329" s="1443"/>
      <c r="AZ329" s="1443"/>
      <c r="BA329" s="1443"/>
    </row>
    <row r="330" spans="46:53" x14ac:dyDescent="0.2">
      <c r="AT330" s="1443"/>
      <c r="AU330" s="1443"/>
      <c r="AV330" s="1443"/>
      <c r="AW330" s="1446"/>
      <c r="AX330" s="1443"/>
      <c r="AY330" s="1443"/>
      <c r="AZ330" s="1443"/>
      <c r="BA330" s="1443"/>
    </row>
    <row r="331" spans="46:53" x14ac:dyDescent="0.2">
      <c r="AT331" s="1443"/>
      <c r="AU331" s="1443"/>
      <c r="AV331" s="1443"/>
      <c r="AW331" s="1446"/>
      <c r="AX331" s="1443"/>
      <c r="AY331" s="1443"/>
      <c r="AZ331" s="1443"/>
      <c r="BA331" s="1443"/>
    </row>
    <row r="332" spans="46:53" x14ac:dyDescent="0.2">
      <c r="AT332" s="1452"/>
      <c r="AU332" s="1452"/>
      <c r="AV332" s="1452"/>
    </row>
    <row r="333" spans="46:53" x14ac:dyDescent="0.2">
      <c r="AT333" s="1452"/>
      <c r="AU333" s="1452"/>
      <c r="AV333" s="1452"/>
      <c r="AW333" s="1455"/>
      <c r="AX333" s="1452"/>
      <c r="AY333" s="1452"/>
      <c r="AZ333" s="1452"/>
      <c r="BA333" s="1452"/>
    </row>
    <row r="334" spans="46:53" x14ac:dyDescent="0.2">
      <c r="AW334" s="1455"/>
      <c r="AX334" s="1452"/>
      <c r="AY334" s="1452"/>
      <c r="AZ334" s="1452"/>
      <c r="BA334" s="1452"/>
    </row>
    <row r="335" spans="46:53" x14ac:dyDescent="0.2">
      <c r="AW335" s="1455"/>
      <c r="AX335" s="1452"/>
      <c r="AY335" s="1452"/>
      <c r="AZ335" s="1452"/>
      <c r="BA335" s="1452"/>
    </row>
    <row r="336" spans="46:53" x14ac:dyDescent="0.2">
      <c r="AW336" s="1455"/>
      <c r="AX336" s="1452"/>
      <c r="AY336" s="1452"/>
      <c r="AZ336" s="1452"/>
      <c r="BA336" s="1452"/>
    </row>
    <row r="337" spans="46:53" x14ac:dyDescent="0.2">
      <c r="AW337" s="1455"/>
      <c r="AX337" s="1452"/>
      <c r="AY337" s="1452"/>
      <c r="AZ337" s="1452"/>
      <c r="BA337" s="1452"/>
    </row>
    <row r="338" spans="46:53" x14ac:dyDescent="0.2">
      <c r="AW338" s="1455"/>
      <c r="AX338" s="1452"/>
      <c r="AY338" s="1452"/>
      <c r="AZ338" s="1452"/>
      <c r="BA338" s="1452"/>
    </row>
    <row r="339" spans="46:53" x14ac:dyDescent="0.2">
      <c r="AW339" s="1455"/>
      <c r="AX339" s="1452"/>
      <c r="AY339" s="1452"/>
      <c r="AZ339" s="1452"/>
      <c r="BA339" s="1452"/>
    </row>
    <row r="340" spans="46:53" x14ac:dyDescent="0.2">
      <c r="AW340" s="1455"/>
      <c r="AX340" s="1452"/>
      <c r="AY340" s="1452"/>
      <c r="AZ340" s="1452"/>
      <c r="BA340" s="1452"/>
    </row>
    <row r="341" spans="46:53" x14ac:dyDescent="0.2">
      <c r="AW341" s="1462"/>
      <c r="AX341" s="1461"/>
      <c r="AY341" s="1461"/>
      <c r="AZ341" s="1461"/>
      <c r="BA341" s="1461"/>
    </row>
    <row r="342" spans="46:53" x14ac:dyDescent="0.2">
      <c r="AW342" s="1468"/>
      <c r="AX342" s="1467"/>
      <c r="AY342" s="1467"/>
      <c r="AZ342" s="1467"/>
      <c r="BA342" s="1467"/>
    </row>
    <row r="343" spans="46:53" x14ac:dyDescent="0.2">
      <c r="AW343" s="1468"/>
      <c r="AX343" s="1467"/>
      <c r="AY343" s="1467"/>
      <c r="AZ343" s="1467"/>
      <c r="BA343" s="1467"/>
    </row>
    <row r="344" spans="46:53" x14ac:dyDescent="0.2">
      <c r="AW344" s="1455"/>
      <c r="AX344" s="1452"/>
      <c r="AY344" s="1452"/>
      <c r="AZ344" s="1452"/>
      <c r="BA344" s="1452"/>
    </row>
    <row r="345" spans="46:53" x14ac:dyDescent="0.2">
      <c r="AW345" s="1455"/>
      <c r="AX345" s="1452"/>
      <c r="AY345" s="1452"/>
      <c r="AZ345" s="1452"/>
      <c r="BA345" s="1452"/>
    </row>
    <row r="348" spans="46:53" x14ac:dyDescent="0.2">
      <c r="AT348" s="1524"/>
      <c r="AU348" s="1524"/>
    </row>
    <row r="371" spans="46:53" x14ac:dyDescent="0.2">
      <c r="AW371" s="1446"/>
      <c r="AX371" s="1443"/>
      <c r="AY371" s="1443"/>
      <c r="AZ371" s="1443"/>
      <c r="BA371" s="1443"/>
    </row>
    <row r="372" spans="46:53" x14ac:dyDescent="0.2">
      <c r="AW372" s="1446"/>
      <c r="AX372" s="1443"/>
      <c r="AY372" s="1443"/>
      <c r="AZ372" s="1443"/>
      <c r="BA372" s="1443"/>
    </row>
    <row r="373" spans="46:53" x14ac:dyDescent="0.2">
      <c r="AW373" s="1446"/>
      <c r="AX373" s="1443"/>
      <c r="AY373" s="1443"/>
      <c r="AZ373" s="1443"/>
      <c r="BA373" s="1443"/>
    </row>
    <row r="374" spans="46:53" x14ac:dyDescent="0.2">
      <c r="AW374" s="1446"/>
      <c r="AX374" s="1443"/>
      <c r="AY374" s="1443"/>
      <c r="AZ374" s="1443"/>
      <c r="BA374" s="1443"/>
    </row>
    <row r="375" spans="46:53" x14ac:dyDescent="0.2">
      <c r="AW375" s="1446"/>
      <c r="AX375" s="1443"/>
      <c r="AY375" s="1443"/>
      <c r="AZ375" s="1443"/>
      <c r="BA375" s="1443"/>
    </row>
    <row r="376" spans="46:53" x14ac:dyDescent="0.2">
      <c r="AW376" s="1446"/>
      <c r="AX376" s="1443"/>
      <c r="AY376" s="1443"/>
      <c r="AZ376" s="1443"/>
      <c r="BA376" s="1443"/>
    </row>
    <row r="377" spans="46:53" x14ac:dyDescent="0.2">
      <c r="AW377" s="1446"/>
      <c r="AX377" s="1443"/>
      <c r="AY377" s="1443"/>
      <c r="AZ377" s="1443"/>
      <c r="BA377" s="1443"/>
    </row>
    <row r="378" spans="46:53" x14ac:dyDescent="0.2">
      <c r="AW378" s="1446"/>
      <c r="AX378" s="1443"/>
      <c r="AY378" s="1443"/>
      <c r="AZ378" s="1443"/>
      <c r="BA378" s="1443"/>
    </row>
    <row r="379" spans="46:53" x14ac:dyDescent="0.2">
      <c r="AW379" s="1446"/>
      <c r="AX379" s="1443"/>
      <c r="AY379" s="1443"/>
      <c r="AZ379" s="1443"/>
      <c r="BA379" s="1443"/>
    </row>
    <row r="380" spans="46:53" x14ac:dyDescent="0.2">
      <c r="AW380" s="1446"/>
      <c r="AX380" s="1443"/>
      <c r="AY380" s="1443"/>
      <c r="AZ380" s="1443"/>
      <c r="BA380" s="1443"/>
    </row>
    <row r="381" spans="46:53" x14ac:dyDescent="0.2">
      <c r="AW381" s="1446"/>
      <c r="AX381" s="1443"/>
      <c r="AY381" s="1443"/>
      <c r="AZ381" s="1443"/>
      <c r="BA381" s="1443"/>
    </row>
    <row r="382" spans="46:53" x14ac:dyDescent="0.2">
      <c r="AW382" s="1446"/>
      <c r="AX382" s="1443"/>
      <c r="AY382" s="1443"/>
      <c r="AZ382" s="1443"/>
      <c r="BA382" s="1443"/>
    </row>
    <row r="383" spans="46:53" x14ac:dyDescent="0.2">
      <c r="AW383" s="1446"/>
      <c r="AX383" s="1443"/>
      <c r="AY383" s="1443"/>
      <c r="AZ383" s="1443"/>
      <c r="BA383" s="1443"/>
    </row>
    <row r="384" spans="46:53" x14ac:dyDescent="0.2">
      <c r="AT384" s="1524"/>
      <c r="AU384" s="1524"/>
      <c r="AW384" s="1446"/>
      <c r="AX384" s="1443"/>
      <c r="AY384" s="1443"/>
      <c r="AZ384" s="1443"/>
      <c r="BA384" s="1443"/>
    </row>
    <row r="385" spans="49:53" x14ac:dyDescent="0.2">
      <c r="AW385" s="1446"/>
      <c r="AX385" s="1443"/>
      <c r="AY385" s="1443"/>
      <c r="AZ385" s="1443"/>
      <c r="BA385" s="1443"/>
    </row>
    <row r="386" spans="49:53" x14ac:dyDescent="0.2">
      <c r="AW386" s="1446"/>
      <c r="AX386" s="1443"/>
      <c r="AY386" s="1443"/>
      <c r="AZ386" s="1443"/>
      <c r="BA386" s="1443"/>
    </row>
    <row r="387" spans="49:53" x14ac:dyDescent="0.2">
      <c r="AW387" s="1446"/>
      <c r="AX387" s="1443"/>
      <c r="AY387" s="1443"/>
      <c r="AZ387" s="1443"/>
      <c r="BA387" s="1443"/>
    </row>
    <row r="388" spans="49:53" x14ac:dyDescent="0.2">
      <c r="AW388" s="1446"/>
      <c r="AX388" s="1443"/>
      <c r="AY388" s="1443"/>
      <c r="AZ388" s="1443"/>
      <c r="BA388" s="1443"/>
    </row>
    <row r="389" spans="49:53" x14ac:dyDescent="0.2">
      <c r="AW389" s="1446"/>
      <c r="AX389" s="1443"/>
      <c r="AY389" s="1443"/>
      <c r="AZ389" s="1443"/>
      <c r="BA389" s="1443"/>
    </row>
    <row r="390" spans="49:53" x14ac:dyDescent="0.2">
      <c r="AW390" s="1446"/>
      <c r="AX390" s="1443"/>
      <c r="AY390" s="1443"/>
      <c r="AZ390" s="1443"/>
      <c r="BA390" s="1443"/>
    </row>
    <row r="391" spans="49:53" x14ac:dyDescent="0.2">
      <c r="AW391" s="1446"/>
      <c r="AX391" s="1443"/>
      <c r="AY391" s="1443"/>
      <c r="AZ391" s="1443"/>
      <c r="BA391" s="1443"/>
    </row>
    <row r="392" spans="49:53" x14ac:dyDescent="0.2">
      <c r="AW392" s="1446"/>
      <c r="AX392" s="1443"/>
      <c r="AY392" s="1443"/>
      <c r="AZ392" s="1443"/>
      <c r="BA392" s="1443"/>
    </row>
    <row r="393" spans="49:53" x14ac:dyDescent="0.2">
      <c r="AW393" s="1446"/>
      <c r="AX393" s="1443"/>
      <c r="AY393" s="1443"/>
      <c r="AZ393" s="1443"/>
      <c r="BA393" s="1443"/>
    </row>
    <row r="394" spans="49:53" x14ac:dyDescent="0.2">
      <c r="AW394" s="1446"/>
      <c r="AX394" s="1443"/>
      <c r="AY394" s="1443"/>
      <c r="AZ394" s="1443"/>
      <c r="BA394" s="1443"/>
    </row>
    <row r="395" spans="49:53" x14ac:dyDescent="0.2">
      <c r="AW395" s="1446"/>
      <c r="AX395" s="1443"/>
      <c r="AY395" s="1443"/>
      <c r="AZ395" s="1443"/>
      <c r="BA395" s="1443"/>
    </row>
    <row r="396" spans="49:53" x14ac:dyDescent="0.2">
      <c r="AW396" s="1446"/>
      <c r="AX396" s="1443"/>
      <c r="AY396" s="1443"/>
      <c r="AZ396" s="1443"/>
      <c r="BA396" s="1443"/>
    </row>
    <row r="397" spans="49:53" x14ac:dyDescent="0.2">
      <c r="AW397" s="1446"/>
      <c r="AX397" s="1443"/>
      <c r="AY397" s="1443"/>
      <c r="AZ397" s="1443"/>
      <c r="BA397" s="1443"/>
    </row>
    <row r="398" spans="49:53" x14ac:dyDescent="0.2">
      <c r="AW398" s="1446"/>
      <c r="AX398" s="1443"/>
      <c r="AY398" s="1443"/>
      <c r="AZ398" s="1443"/>
      <c r="BA398" s="1443"/>
    </row>
    <row r="399" spans="49:53" x14ac:dyDescent="0.2">
      <c r="AW399" s="1446"/>
      <c r="AX399" s="1443"/>
      <c r="AY399" s="1443"/>
      <c r="AZ399" s="1443"/>
      <c r="BA399" s="1443"/>
    </row>
    <row r="400" spans="49:53" x14ac:dyDescent="0.2">
      <c r="AW400" s="1446"/>
      <c r="AX400" s="1443"/>
      <c r="AY400" s="1443"/>
      <c r="AZ400" s="1443"/>
      <c r="BA400" s="1443"/>
    </row>
    <row r="401" spans="49:53" x14ac:dyDescent="0.2">
      <c r="AW401" s="1446"/>
      <c r="AX401" s="1443"/>
      <c r="AY401" s="1443"/>
      <c r="AZ401" s="1443"/>
      <c r="BA401" s="1443"/>
    </row>
    <row r="402" spans="49:53" x14ac:dyDescent="0.2">
      <c r="AW402" s="1446"/>
      <c r="AX402" s="1443"/>
      <c r="AY402" s="1443"/>
      <c r="AZ402" s="1443"/>
      <c r="BA402" s="1443"/>
    </row>
    <row r="403" spans="49:53" x14ac:dyDescent="0.2">
      <c r="AW403" s="1446"/>
      <c r="AX403" s="1443"/>
      <c r="AY403" s="1443"/>
      <c r="AZ403" s="1443"/>
      <c r="BA403" s="1443"/>
    </row>
    <row r="404" spans="49:53" x14ac:dyDescent="0.2">
      <c r="AW404" s="1446"/>
      <c r="AX404" s="1443"/>
      <c r="AY404" s="1443"/>
      <c r="AZ404" s="1443"/>
      <c r="BA404" s="1443"/>
    </row>
    <row r="405" spans="49:53" x14ac:dyDescent="0.2">
      <c r="AW405" s="1446"/>
      <c r="AX405" s="1443"/>
      <c r="AY405" s="1443"/>
      <c r="AZ405" s="1443"/>
      <c r="BA405" s="1443"/>
    </row>
    <row r="406" spans="49:53" x14ac:dyDescent="0.2">
      <c r="AW406" s="1446"/>
      <c r="AX406" s="1443"/>
      <c r="AY406" s="1443"/>
      <c r="AZ406" s="1443"/>
      <c r="BA406" s="1443"/>
    </row>
    <row r="407" spans="49:53" x14ac:dyDescent="0.2">
      <c r="AW407" s="1446"/>
      <c r="AX407" s="1443"/>
      <c r="AY407" s="1443"/>
      <c r="AZ407" s="1443"/>
      <c r="BA407" s="1443"/>
    </row>
    <row r="408" spans="49:53" x14ac:dyDescent="0.2">
      <c r="AW408" s="1446"/>
      <c r="AX408" s="1443"/>
      <c r="AY408" s="1443"/>
      <c r="AZ408" s="1443"/>
      <c r="BA408" s="1443"/>
    </row>
    <row r="409" spans="49:53" x14ac:dyDescent="0.2">
      <c r="AW409" s="1446"/>
      <c r="AX409" s="1443"/>
      <c r="AY409" s="1443"/>
      <c r="AZ409" s="1443"/>
      <c r="BA409" s="1443"/>
    </row>
    <row r="410" spans="49:53" x14ac:dyDescent="0.2">
      <c r="AW410" s="1446"/>
      <c r="AX410" s="1443"/>
      <c r="AY410" s="1443"/>
      <c r="AZ410" s="1443"/>
      <c r="BA410" s="1443"/>
    </row>
    <row r="411" spans="49:53" x14ac:dyDescent="0.2">
      <c r="AW411" s="1446"/>
      <c r="AX411" s="1443"/>
      <c r="AY411" s="1443"/>
      <c r="AZ411" s="1443"/>
      <c r="BA411" s="1443"/>
    </row>
    <row r="412" spans="49:53" x14ac:dyDescent="0.2">
      <c r="AW412" s="1446"/>
      <c r="AX412" s="1443"/>
      <c r="AY412" s="1443"/>
      <c r="AZ412" s="1443"/>
      <c r="BA412" s="1443"/>
    </row>
    <row r="413" spans="49:53" x14ac:dyDescent="0.2">
      <c r="AW413" s="1446"/>
      <c r="AX413" s="1443"/>
      <c r="AY413" s="1443"/>
      <c r="AZ413" s="1443"/>
      <c r="BA413" s="1443"/>
    </row>
    <row r="414" spans="49:53" x14ac:dyDescent="0.2">
      <c r="AW414" s="1446"/>
      <c r="AX414" s="1443"/>
      <c r="AY414" s="1443"/>
      <c r="AZ414" s="1443"/>
      <c r="BA414" s="1443"/>
    </row>
    <row r="415" spans="49:53" x14ac:dyDescent="0.2">
      <c r="AW415" s="1446"/>
      <c r="AX415" s="1443"/>
      <c r="AY415" s="1443"/>
      <c r="AZ415" s="1443"/>
      <c r="BA415" s="1443"/>
    </row>
    <row r="416" spans="49:53" x14ac:dyDescent="0.2">
      <c r="AW416" s="1446"/>
      <c r="AX416" s="1443"/>
      <c r="AY416" s="1443"/>
      <c r="AZ416" s="1443"/>
      <c r="BA416" s="1443"/>
    </row>
    <row r="418" spans="49:53" x14ac:dyDescent="0.2">
      <c r="AW418" s="1455"/>
      <c r="AX418" s="1452"/>
      <c r="AY418" s="1452"/>
      <c r="AZ418" s="1452"/>
      <c r="BA418" s="1452"/>
    </row>
    <row r="419" spans="49:53" x14ac:dyDescent="0.2">
      <c r="AW419" s="1455"/>
      <c r="AX419" s="1452"/>
      <c r="AY419" s="1452"/>
      <c r="AZ419" s="1452"/>
      <c r="BA419" s="1452"/>
    </row>
    <row r="420" spans="49:53" x14ac:dyDescent="0.2">
      <c r="AW420" s="1455"/>
      <c r="AX420" s="1452"/>
      <c r="AY420" s="1452"/>
      <c r="AZ420" s="1452"/>
      <c r="BA420" s="1452"/>
    </row>
    <row r="421" spans="49:53" x14ac:dyDescent="0.2">
      <c r="AW421" s="1455"/>
      <c r="AX421" s="1452"/>
      <c r="AY421" s="1452"/>
      <c r="AZ421" s="1452"/>
      <c r="BA421" s="1452"/>
    </row>
    <row r="422" spans="49:53" x14ac:dyDescent="0.2">
      <c r="AW422" s="1455"/>
      <c r="AX422" s="1452"/>
      <c r="AY422" s="1452"/>
      <c r="AZ422" s="1452"/>
      <c r="BA422" s="1452"/>
    </row>
    <row r="423" spans="49:53" x14ac:dyDescent="0.2">
      <c r="AW423" s="1455"/>
      <c r="AX423" s="1452"/>
      <c r="AY423" s="1452"/>
      <c r="AZ423" s="1452"/>
      <c r="BA423" s="1452"/>
    </row>
    <row r="424" spans="49:53" x14ac:dyDescent="0.2">
      <c r="AW424" s="1455"/>
      <c r="AX424" s="1452"/>
      <c r="AY424" s="1452"/>
      <c r="AZ424" s="1452"/>
      <c r="BA424" s="1452"/>
    </row>
    <row r="425" spans="49:53" x14ac:dyDescent="0.2">
      <c r="AW425" s="1455"/>
      <c r="AX425" s="1452"/>
      <c r="AY425" s="1452"/>
      <c r="AZ425" s="1452"/>
      <c r="BA425" s="1452"/>
    </row>
    <row r="426" spans="49:53" x14ac:dyDescent="0.2">
      <c r="AW426" s="1462"/>
      <c r="AX426" s="1461"/>
      <c r="AY426" s="1461"/>
      <c r="AZ426" s="1461"/>
      <c r="BA426" s="1461"/>
    </row>
    <row r="427" spans="49:53" x14ac:dyDescent="0.2">
      <c r="AW427" s="1468"/>
      <c r="AX427" s="1467"/>
      <c r="AY427" s="1467"/>
      <c r="AZ427" s="1467"/>
      <c r="BA427" s="1467"/>
    </row>
    <row r="428" spans="49:53" x14ac:dyDescent="0.2">
      <c r="AW428" s="1468"/>
      <c r="AX428" s="1467"/>
      <c r="AY428" s="1467"/>
      <c r="AZ428" s="1467"/>
      <c r="BA428" s="1467"/>
    </row>
    <row r="429" spans="49:53" x14ac:dyDescent="0.2">
      <c r="AW429" s="1455"/>
      <c r="AX429" s="1452"/>
      <c r="AY429" s="1452"/>
      <c r="AZ429" s="1452"/>
      <c r="BA429" s="1452"/>
    </row>
    <row r="430" spans="49:53" x14ac:dyDescent="0.2">
      <c r="AW430" s="1455"/>
      <c r="AX430" s="1452"/>
      <c r="AY430" s="1452"/>
      <c r="AZ430" s="1452"/>
      <c r="BA430" s="1452"/>
    </row>
    <row r="488" spans="49:49" x14ac:dyDescent="0.2">
      <c r="AW488" s="1251"/>
    </row>
    <row r="489" spans="49:49" x14ac:dyDescent="0.2">
      <c r="AW489" s="1251"/>
    </row>
    <row r="490" spans="49:49" x14ac:dyDescent="0.2">
      <c r="AW490" s="1251"/>
    </row>
    <row r="491" spans="49:49" x14ac:dyDescent="0.2">
      <c r="AW491" s="1251"/>
    </row>
    <row r="492" spans="49:49" x14ac:dyDescent="0.2">
      <c r="AW492" s="1251"/>
    </row>
    <row r="493" spans="49:49" x14ac:dyDescent="0.2">
      <c r="AW493" s="1251"/>
    </row>
    <row r="494" spans="49:49" x14ac:dyDescent="0.2">
      <c r="AW494" s="1251"/>
    </row>
    <row r="495" spans="49:49" x14ac:dyDescent="0.2">
      <c r="AW495" s="1251"/>
    </row>
    <row r="496" spans="49:49" x14ac:dyDescent="0.2">
      <c r="AW496" s="1251"/>
    </row>
    <row r="542" spans="49:49" x14ac:dyDescent="0.2">
      <c r="AW542" s="1251"/>
    </row>
    <row r="543" spans="49:49" x14ac:dyDescent="0.2">
      <c r="AW543" s="1251"/>
    </row>
    <row r="544" spans="49:49" x14ac:dyDescent="0.2">
      <c r="AW544" s="1251"/>
    </row>
    <row r="545" spans="49:49" x14ac:dyDescent="0.2">
      <c r="AW545" s="1251"/>
    </row>
    <row r="546" spans="49:49" x14ac:dyDescent="0.2">
      <c r="AW546" s="1251"/>
    </row>
    <row r="547" spans="49:49" x14ac:dyDescent="0.2">
      <c r="AW547" s="1251"/>
    </row>
    <row r="548" spans="49:49" x14ac:dyDescent="0.2">
      <c r="AW548" s="1251"/>
    </row>
    <row r="549" spans="49:49" x14ac:dyDescent="0.2">
      <c r="AW549" s="1251"/>
    </row>
    <row r="550" spans="49:49" x14ac:dyDescent="0.2">
      <c r="AW550" s="1251"/>
    </row>
    <row r="596" spans="49:49" x14ac:dyDescent="0.2">
      <c r="AW596" s="1251"/>
    </row>
    <row r="597" spans="49:49" x14ac:dyDescent="0.2">
      <c r="AW597" s="1251"/>
    </row>
    <row r="598" spans="49:49" x14ac:dyDescent="0.2">
      <c r="AW598" s="1251"/>
    </row>
    <row r="599" spans="49:49" x14ac:dyDescent="0.2">
      <c r="AW599" s="1251"/>
    </row>
    <row r="600" spans="49:49" x14ac:dyDescent="0.2">
      <c r="AW600" s="1251"/>
    </row>
    <row r="601" spans="49:49" x14ac:dyDescent="0.2">
      <c r="AW601" s="1251"/>
    </row>
    <row r="602" spans="49:49" x14ac:dyDescent="0.2">
      <c r="AW602" s="1251"/>
    </row>
    <row r="603" spans="49:49" x14ac:dyDescent="0.2">
      <c r="AW603" s="1251"/>
    </row>
    <row r="604" spans="49:49" x14ac:dyDescent="0.2">
      <c r="AW604" s="1251"/>
    </row>
    <row r="650" spans="49:49" x14ac:dyDescent="0.2">
      <c r="AW650" s="1251"/>
    </row>
    <row r="651" spans="49:49" x14ac:dyDescent="0.2">
      <c r="AW651" s="1251"/>
    </row>
    <row r="652" spans="49:49" x14ac:dyDescent="0.2">
      <c r="AW652" s="1251"/>
    </row>
    <row r="653" spans="49:49" x14ac:dyDescent="0.2">
      <c r="AW653" s="1251"/>
    </row>
    <row r="654" spans="49:49" x14ac:dyDescent="0.2">
      <c r="AW654" s="1251"/>
    </row>
    <row r="655" spans="49:49" x14ac:dyDescent="0.2">
      <c r="AW655" s="1251"/>
    </row>
    <row r="656" spans="49:49" x14ac:dyDescent="0.2">
      <c r="AW656" s="1251"/>
    </row>
    <row r="657" spans="49:49" x14ac:dyDescent="0.2">
      <c r="AW657" s="1251"/>
    </row>
    <row r="658" spans="49:49" x14ac:dyDescent="0.2">
      <c r="AW658" s="1251"/>
    </row>
  </sheetData>
  <sheetProtection sheet="1" objects="1" scenarios="1" formatCells="0" selectLockedCells="1"/>
  <mergeCells count="431">
    <mergeCell ref="T233:V233"/>
    <mergeCell ref="A234:M234"/>
    <mergeCell ref="V234:AG234"/>
    <mergeCell ref="T221:V221"/>
    <mergeCell ref="T222:V222"/>
    <mergeCell ref="K223:N225"/>
    <mergeCell ref="AF223:AG225"/>
    <mergeCell ref="T231:V231"/>
    <mergeCell ref="T232:V232"/>
    <mergeCell ref="AC217:AE217"/>
    <mergeCell ref="K218:N218"/>
    <mergeCell ref="T218:V218"/>
    <mergeCell ref="AF218:AG218"/>
    <mergeCell ref="T219:V219"/>
    <mergeCell ref="T220:V220"/>
    <mergeCell ref="B217:D217"/>
    <mergeCell ref="E217:G217"/>
    <mergeCell ref="H217:J217"/>
    <mergeCell ref="T217:V217"/>
    <mergeCell ref="W217:Y217"/>
    <mergeCell ref="Z217:AB217"/>
    <mergeCell ref="Z215:AB215"/>
    <mergeCell ref="AC215:AE215"/>
    <mergeCell ref="AF215:AJ217"/>
    <mergeCell ref="B216:D216"/>
    <mergeCell ref="E216:G216"/>
    <mergeCell ref="H216:J216"/>
    <mergeCell ref="T216:V216"/>
    <mergeCell ref="W216:Y216"/>
    <mergeCell ref="Z216:AB216"/>
    <mergeCell ref="AC216:AE216"/>
    <mergeCell ref="B213:J213"/>
    <mergeCell ref="K213:Q213"/>
    <mergeCell ref="U213:W213"/>
    <mergeCell ref="X213:AF213"/>
    <mergeCell ref="AG213:AM213"/>
    <mergeCell ref="B215:D215"/>
    <mergeCell ref="E215:G215"/>
    <mergeCell ref="H215:J215"/>
    <mergeCell ref="K215:Q217"/>
    <mergeCell ref="W215:Y215"/>
    <mergeCell ref="B211:J211"/>
    <mergeCell ref="K211:Q211"/>
    <mergeCell ref="U211:W211"/>
    <mergeCell ref="X211:AF211"/>
    <mergeCell ref="AG211:AM211"/>
    <mergeCell ref="B212:J212"/>
    <mergeCell ref="K212:Q212"/>
    <mergeCell ref="U212:W212"/>
    <mergeCell ref="X212:AF212"/>
    <mergeCell ref="AG212:AM212"/>
    <mergeCell ref="B209:J209"/>
    <mergeCell ref="K209:Q209"/>
    <mergeCell ref="U209:W209"/>
    <mergeCell ref="X209:AF209"/>
    <mergeCell ref="AG209:AM209"/>
    <mergeCell ref="B210:J210"/>
    <mergeCell ref="K210:Q210"/>
    <mergeCell ref="U210:W210"/>
    <mergeCell ref="X210:AF210"/>
    <mergeCell ref="AG210:AM210"/>
    <mergeCell ref="A204:E204"/>
    <mergeCell ref="U204:AA204"/>
    <mergeCell ref="A205:E205"/>
    <mergeCell ref="U205:AA205"/>
    <mergeCell ref="A208:J208"/>
    <mergeCell ref="U208:AF208"/>
    <mergeCell ref="AB202:AE202"/>
    <mergeCell ref="AF202:AH202"/>
    <mergeCell ref="A203:E203"/>
    <mergeCell ref="F203:M203"/>
    <mergeCell ref="T203:Z203"/>
    <mergeCell ref="AB203:AH203"/>
    <mergeCell ref="A200:E200"/>
    <mergeCell ref="J200:P200"/>
    <mergeCell ref="U200:AA200"/>
    <mergeCell ref="A202:D202"/>
    <mergeCell ref="F202:I202"/>
    <mergeCell ref="J202:M202"/>
    <mergeCell ref="T202:Z202"/>
    <mergeCell ref="J198:P198"/>
    <mergeCell ref="AF198:AJ198"/>
    <mergeCell ref="A199:E199"/>
    <mergeCell ref="F199:I199"/>
    <mergeCell ref="J199:P199"/>
    <mergeCell ref="U199:AA199"/>
    <mergeCell ref="AB199:AE199"/>
    <mergeCell ref="AF199:AJ199"/>
    <mergeCell ref="A195:E195"/>
    <mergeCell ref="U195:AA195"/>
    <mergeCell ref="A196:E196"/>
    <mergeCell ref="U196:AA196"/>
    <mergeCell ref="F197:I197"/>
    <mergeCell ref="AB197:AE197"/>
    <mergeCell ref="AB193:AH193"/>
    <mergeCell ref="A194:E194"/>
    <mergeCell ref="F194:I194"/>
    <mergeCell ref="J194:M194"/>
    <mergeCell ref="T194:Z194"/>
    <mergeCell ref="AB194:AE194"/>
    <mergeCell ref="AF194:AH194"/>
    <mergeCell ref="A190:E190"/>
    <mergeCell ref="U190:AA190"/>
    <mergeCell ref="A191:E191"/>
    <mergeCell ref="U191:AA191"/>
    <mergeCell ref="A193:E193"/>
    <mergeCell ref="F193:M193"/>
    <mergeCell ref="T193:AA193"/>
    <mergeCell ref="A182:AQ182"/>
    <mergeCell ref="A183:AQ183"/>
    <mergeCell ref="A184:AQ184"/>
    <mergeCell ref="A185:AQ185"/>
    <mergeCell ref="A186:K186"/>
    <mergeCell ref="A188:O188"/>
    <mergeCell ref="R188:AF188"/>
    <mergeCell ref="AF179:AK179"/>
    <mergeCell ref="AL179:AO179"/>
    <mergeCell ref="B180:G180"/>
    <mergeCell ref="H180:K180"/>
    <mergeCell ref="L180:Q180"/>
    <mergeCell ref="R180:U180"/>
    <mergeCell ref="V180:AA180"/>
    <mergeCell ref="AB180:AE180"/>
    <mergeCell ref="AF180:AK180"/>
    <mergeCell ref="AL180:AO180"/>
    <mergeCell ref="V178:AA178"/>
    <mergeCell ref="AB178:AE178"/>
    <mergeCell ref="AF178:AK178"/>
    <mergeCell ref="AL178:AO178"/>
    <mergeCell ref="B179:G179"/>
    <mergeCell ref="H179:K179"/>
    <mergeCell ref="L179:Q179"/>
    <mergeCell ref="R179:U179"/>
    <mergeCell ref="V179:AA179"/>
    <mergeCell ref="AB179:AE179"/>
    <mergeCell ref="A176:AQ176"/>
    <mergeCell ref="A177:A178"/>
    <mergeCell ref="B177:K177"/>
    <mergeCell ref="L177:U177"/>
    <mergeCell ref="V177:AE177"/>
    <mergeCell ref="AF177:AO177"/>
    <mergeCell ref="B178:G178"/>
    <mergeCell ref="H178:K178"/>
    <mergeCell ref="L178:Q178"/>
    <mergeCell ref="R178:U178"/>
    <mergeCell ref="Z108:AB108"/>
    <mergeCell ref="AC108:AE108"/>
    <mergeCell ref="AG142:AK142"/>
    <mergeCell ref="A174:AM174"/>
    <mergeCell ref="AN174:AQ174"/>
    <mergeCell ref="A175:AQ175"/>
    <mergeCell ref="Z107:AB107"/>
    <mergeCell ref="AC107:AE107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Z106:AB106"/>
    <mergeCell ref="AC106:AE106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Z105:AB105"/>
    <mergeCell ref="AC105:AE105"/>
    <mergeCell ref="B106:D106"/>
    <mergeCell ref="E106:G106"/>
    <mergeCell ref="H106:J106"/>
    <mergeCell ref="K106:M106"/>
    <mergeCell ref="N106:P106"/>
    <mergeCell ref="Q106:S106"/>
    <mergeCell ref="T106:V106"/>
    <mergeCell ref="W106:Y106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W104:Y104"/>
    <mergeCell ref="Z104:AB104"/>
    <mergeCell ref="Z101:AB102"/>
    <mergeCell ref="AC101:AE102"/>
    <mergeCell ref="AF101:AF102"/>
    <mergeCell ref="AG101:AG102"/>
    <mergeCell ref="AH101:AI102"/>
    <mergeCell ref="B102:D102"/>
    <mergeCell ref="E102:K102"/>
    <mergeCell ref="A101:A102"/>
    <mergeCell ref="B101:D101"/>
    <mergeCell ref="E101:K101"/>
    <mergeCell ref="L101:P102"/>
    <mergeCell ref="R101:V102"/>
    <mergeCell ref="W101:Y102"/>
    <mergeCell ref="Z99:AB100"/>
    <mergeCell ref="AC99:AE100"/>
    <mergeCell ref="AF99:AF100"/>
    <mergeCell ref="AG99:AG100"/>
    <mergeCell ref="AH99:AI100"/>
    <mergeCell ref="B100:D100"/>
    <mergeCell ref="E100:K100"/>
    <mergeCell ref="A99:A100"/>
    <mergeCell ref="B99:D99"/>
    <mergeCell ref="E99:K99"/>
    <mergeCell ref="L99:P100"/>
    <mergeCell ref="R99:V100"/>
    <mergeCell ref="W99:Y100"/>
    <mergeCell ref="Z97:AB98"/>
    <mergeCell ref="AC97:AE98"/>
    <mergeCell ref="AF97:AF98"/>
    <mergeCell ref="AG97:AG98"/>
    <mergeCell ref="AH97:AI98"/>
    <mergeCell ref="B98:D98"/>
    <mergeCell ref="E98:K98"/>
    <mergeCell ref="A97:A98"/>
    <mergeCell ref="B97:D97"/>
    <mergeCell ref="E97:K97"/>
    <mergeCell ref="L97:P98"/>
    <mergeCell ref="R97:V98"/>
    <mergeCell ref="W97:Y98"/>
    <mergeCell ref="Z95:AB96"/>
    <mergeCell ref="AC95:AE96"/>
    <mergeCell ref="AF95:AF96"/>
    <mergeCell ref="AG95:AG96"/>
    <mergeCell ref="AH95:AI96"/>
    <mergeCell ref="B96:D96"/>
    <mergeCell ref="E96:K96"/>
    <mergeCell ref="AG93:AG94"/>
    <mergeCell ref="AH93:AI94"/>
    <mergeCell ref="B94:D94"/>
    <mergeCell ref="E94:K94"/>
    <mergeCell ref="A95:A96"/>
    <mergeCell ref="B95:D95"/>
    <mergeCell ref="E95:K95"/>
    <mergeCell ref="L95:P96"/>
    <mergeCell ref="R95:V96"/>
    <mergeCell ref="W95:Y96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F93:AF94"/>
    <mergeCell ref="C91:H91"/>
    <mergeCell ref="I91:J91"/>
    <mergeCell ref="K91:AI91"/>
    <mergeCell ref="B92:K92"/>
    <mergeCell ref="L92:P92"/>
    <mergeCell ref="Q92:Q102"/>
    <mergeCell ref="R92:V92"/>
    <mergeCell ref="W92:Y92"/>
    <mergeCell ref="Z92:AB92"/>
    <mergeCell ref="AC92:AE92"/>
    <mergeCell ref="Z23:AB23"/>
    <mergeCell ref="AC23:AE23"/>
    <mergeCell ref="AG57:AK57"/>
    <mergeCell ref="A89:AM89"/>
    <mergeCell ref="AN89:AQ89"/>
    <mergeCell ref="A90:AQ90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Z16:AB17"/>
    <mergeCell ref="AC16:AE17"/>
    <mergeCell ref="AF16:AF17"/>
    <mergeCell ref="AG16:AG17"/>
    <mergeCell ref="AH16:AI17"/>
    <mergeCell ref="B17:D17"/>
    <mergeCell ref="E17:K17"/>
    <mergeCell ref="AG14:AG15"/>
    <mergeCell ref="AH14:AI15"/>
    <mergeCell ref="B15:D15"/>
    <mergeCell ref="E15:K15"/>
    <mergeCell ref="A16:A17"/>
    <mergeCell ref="B16:D16"/>
    <mergeCell ref="E16:K16"/>
    <mergeCell ref="L16:P17"/>
    <mergeCell ref="R16:V17"/>
    <mergeCell ref="W16:Y17"/>
    <mergeCell ref="AT13:AY14"/>
    <mergeCell ref="A14:A15"/>
    <mergeCell ref="B14:D14"/>
    <mergeCell ref="E14:K14"/>
    <mergeCell ref="L14:P15"/>
    <mergeCell ref="R14:V15"/>
    <mergeCell ref="W14:Y15"/>
    <mergeCell ref="Z14:AB15"/>
    <mergeCell ref="AC14:AE15"/>
    <mergeCell ref="AF14:AF15"/>
    <mergeCell ref="Z12:AB13"/>
    <mergeCell ref="AC12:AE13"/>
    <mergeCell ref="AF12:AF13"/>
    <mergeCell ref="AG12:AG13"/>
    <mergeCell ref="AH12:AI13"/>
    <mergeCell ref="B13:D13"/>
    <mergeCell ref="E13:K13"/>
    <mergeCell ref="A12:A13"/>
    <mergeCell ref="B12:D12"/>
    <mergeCell ref="E12:K12"/>
    <mergeCell ref="L12:P13"/>
    <mergeCell ref="R12:V13"/>
    <mergeCell ref="W12:Y13"/>
    <mergeCell ref="Z10:AB11"/>
    <mergeCell ref="AC10:AE11"/>
    <mergeCell ref="AF10:AF11"/>
    <mergeCell ref="AG10:AG11"/>
    <mergeCell ref="AH10:AI11"/>
    <mergeCell ref="B11:D11"/>
    <mergeCell ref="E11:K11"/>
    <mergeCell ref="A10:A11"/>
    <mergeCell ref="B10:D10"/>
    <mergeCell ref="E10:K10"/>
    <mergeCell ref="L10:P11"/>
    <mergeCell ref="R10:V11"/>
    <mergeCell ref="W10:Y11"/>
    <mergeCell ref="AC8:AE9"/>
    <mergeCell ref="AF8:AF9"/>
    <mergeCell ref="AG8:AG9"/>
    <mergeCell ref="AH8:AI9"/>
    <mergeCell ref="B9:D9"/>
    <mergeCell ref="E9:K9"/>
    <mergeCell ref="Z7:AB7"/>
    <mergeCell ref="AC7:AE7"/>
    <mergeCell ref="AH7:AI7"/>
    <mergeCell ref="A8:A9"/>
    <mergeCell ref="B8:D8"/>
    <mergeCell ref="E8:K8"/>
    <mergeCell ref="L8:P9"/>
    <mergeCell ref="R8:V9"/>
    <mergeCell ref="W8:Y9"/>
    <mergeCell ref="Z8:AB9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  <mergeCell ref="A1:AI1"/>
    <mergeCell ref="AT1:AW1"/>
    <mergeCell ref="AX1:AY1"/>
    <mergeCell ref="A2:I2"/>
    <mergeCell ref="J2:X2"/>
    <mergeCell ref="Y2:AC2"/>
    <mergeCell ref="AD2:AI2"/>
  </mergeCells>
  <conditionalFormatting sqref="A8 A93">
    <cfRule type="expression" dxfId="1723" priority="6" stopIfTrue="1">
      <formula>IF(AK9&gt;0,0,1)</formula>
    </cfRule>
  </conditionalFormatting>
  <conditionalFormatting sqref="A10:A11 A95:A96">
    <cfRule type="expression" dxfId="1722" priority="7" stopIfTrue="1">
      <formula>IF(#REF!&gt;1,0,1)</formula>
    </cfRule>
  </conditionalFormatting>
  <conditionalFormatting sqref="A12:A13 A97:A98">
    <cfRule type="expression" dxfId="1721" priority="8" stopIfTrue="1">
      <formula>IF(#REF!&gt;2,0,1)</formula>
    </cfRule>
  </conditionalFormatting>
  <conditionalFormatting sqref="A14:A15 A99:A100">
    <cfRule type="expression" dxfId="1720" priority="9" stopIfTrue="1">
      <formula>IF(#REF!&gt;3,0,1)</formula>
    </cfRule>
  </conditionalFormatting>
  <conditionalFormatting sqref="A16:A17 A101:A102">
    <cfRule type="expression" dxfId="1719" priority="10" stopIfTrue="1">
      <formula>IF(#REF!&gt;4,0,1)</formula>
    </cfRule>
  </conditionalFormatting>
  <conditionalFormatting sqref="B8 B93">
    <cfRule type="expression" dxfId="1718" priority="11" stopIfTrue="1">
      <formula>IF(AK9&gt;0,0,1)</formula>
    </cfRule>
  </conditionalFormatting>
  <conditionalFormatting sqref="B9 B94">
    <cfRule type="expression" dxfId="1717" priority="12" stopIfTrue="1">
      <formula>IF(AK9&gt;0,0,1)</formula>
    </cfRule>
  </conditionalFormatting>
  <conditionalFormatting sqref="B10 B95">
    <cfRule type="expression" dxfId="1716" priority="13" stopIfTrue="1">
      <formula>IF(#REF!&gt;1,0,1)</formula>
    </cfRule>
  </conditionalFormatting>
  <conditionalFormatting sqref="B11:D11 B96:D96">
    <cfRule type="expression" dxfId="1715" priority="14" stopIfTrue="1">
      <formula>IF(#REF!&gt;1,0,1)</formula>
    </cfRule>
  </conditionalFormatting>
  <conditionalFormatting sqref="B12:D12 B97:D97">
    <cfRule type="expression" dxfId="1714" priority="15" stopIfTrue="1">
      <formula>IF(#REF!&gt;2,0,1)</formula>
    </cfRule>
  </conditionalFormatting>
  <conditionalFormatting sqref="B13:D13 B98:D98">
    <cfRule type="expression" dxfId="1713" priority="16" stopIfTrue="1">
      <formula>IF(#REF!&gt;2,0,1)</formula>
    </cfRule>
  </conditionalFormatting>
  <conditionalFormatting sqref="B14:D14 B99:D99">
    <cfRule type="expression" dxfId="1712" priority="17" stopIfTrue="1">
      <formula>IF(#REF!&gt;3,0,1)</formula>
    </cfRule>
  </conditionalFormatting>
  <conditionalFormatting sqref="B15:D15 B100:D100">
    <cfRule type="expression" dxfId="1711" priority="18" stopIfTrue="1">
      <formula>IF(#REF!&gt;3,0,1)</formula>
    </cfRule>
  </conditionalFormatting>
  <conditionalFormatting sqref="B16:D16 B101:D101">
    <cfRule type="expression" dxfId="1710" priority="19" stopIfTrue="1">
      <formula>IF(#REF!&gt;4,0,1)</formula>
    </cfRule>
  </conditionalFormatting>
  <conditionalFormatting sqref="B17:D17 B102:D102">
    <cfRule type="expression" dxfId="1709" priority="20" stopIfTrue="1">
      <formula>IF(#REF!&gt;4,0,1)</formula>
    </cfRule>
  </conditionalFormatting>
  <conditionalFormatting sqref="E8 E93">
    <cfRule type="expression" dxfId="1708" priority="21" stopIfTrue="1">
      <formula>IF(AK9&gt;0,0,1)</formula>
    </cfRule>
  </conditionalFormatting>
  <conditionalFormatting sqref="E9 E94">
    <cfRule type="expression" dxfId="1707" priority="22" stopIfTrue="1">
      <formula>IF(AK9&gt;0,0,1)</formula>
    </cfRule>
  </conditionalFormatting>
  <conditionalFormatting sqref="E10 E95">
    <cfRule type="expression" dxfId="1706" priority="23" stopIfTrue="1">
      <formula>IF(#REF!&gt;1,0,1)</formula>
    </cfRule>
  </conditionalFormatting>
  <conditionalFormatting sqref="E11 E96">
    <cfRule type="expression" dxfId="1705" priority="24" stopIfTrue="1">
      <formula>IF(#REF!&gt;1,0,1)</formula>
    </cfRule>
  </conditionalFormatting>
  <conditionalFormatting sqref="E12 E97">
    <cfRule type="expression" dxfId="1704" priority="25" stopIfTrue="1">
      <formula>IF(#REF!&gt;2,0,1)</formula>
    </cfRule>
  </conditionalFormatting>
  <conditionalFormatting sqref="E13 E98">
    <cfRule type="expression" dxfId="1703" priority="26" stopIfTrue="1">
      <formula>IF(#REF!&gt;2,0,1)</formula>
    </cfRule>
  </conditionalFormatting>
  <conditionalFormatting sqref="E14 E99">
    <cfRule type="expression" dxfId="1702" priority="27" stopIfTrue="1">
      <formula>IF(#REF!&gt;3,0,1)</formula>
    </cfRule>
  </conditionalFormatting>
  <conditionalFormatting sqref="E15 E100">
    <cfRule type="expression" dxfId="1701" priority="28" stopIfTrue="1">
      <formula>IF(#REF!&gt;3,0,1)</formula>
    </cfRule>
  </conditionalFormatting>
  <conditionalFormatting sqref="E16 E101">
    <cfRule type="expression" dxfId="1700" priority="29" stopIfTrue="1">
      <formula>IF(#REF!&gt;4,0,1)</formula>
    </cfRule>
  </conditionalFormatting>
  <conditionalFormatting sqref="E17 E102">
    <cfRule type="expression" dxfId="1699" priority="30" stopIfTrue="1">
      <formula>IF(#REF!&gt;4,0,1)</formula>
    </cfRule>
  </conditionalFormatting>
  <conditionalFormatting sqref="AC8 AC93">
    <cfRule type="expression" dxfId="1698" priority="31" stopIfTrue="1">
      <formula>IF(AK11=1,IF(AK9&gt;0,0,1),1)</formula>
    </cfRule>
  </conditionalFormatting>
  <conditionalFormatting sqref="AC10:AE11 AC95:AE96">
    <cfRule type="expression" dxfId="1697" priority="32" stopIfTrue="1">
      <formula>IF(AK11=1,IF(#REF!&gt;1,0,1),1)</formula>
    </cfRule>
  </conditionalFormatting>
  <conditionalFormatting sqref="AC12:AE13 AC97:AE98">
    <cfRule type="expression" dxfId="1696" priority="33" stopIfTrue="1">
      <formula>IF(#REF!=1,IF(#REF!&gt;2,0,1),1)</formula>
    </cfRule>
  </conditionalFormatting>
  <conditionalFormatting sqref="AC14:AE15 AC99:AE100">
    <cfRule type="expression" dxfId="1695" priority="34" stopIfTrue="1">
      <formula>IF(#REF!=1,IF(#REF!&gt;3,0,1),1)</formula>
    </cfRule>
  </conditionalFormatting>
  <conditionalFormatting sqref="AC16:AE17 AC101:AE102">
    <cfRule type="expression" dxfId="1694" priority="35" stopIfTrue="1">
      <formula>IF(#REF!=1,IF(#REF!&gt;4,0,1),1)</formula>
    </cfRule>
  </conditionalFormatting>
  <conditionalFormatting sqref="AH8 AH93">
    <cfRule type="expression" dxfId="1693" priority="36" stopIfTrue="1">
      <formula>IF(AK9&gt;0,0,1)</formula>
    </cfRule>
  </conditionalFormatting>
  <conditionalFormatting sqref="AH10:AI11 AH95:AI96">
    <cfRule type="expression" dxfId="1692" priority="37" stopIfTrue="1">
      <formula>IF(#REF!&gt;1,0,1)</formula>
    </cfRule>
  </conditionalFormatting>
  <conditionalFormatting sqref="AH12:AI13 AH97:AI98">
    <cfRule type="expression" dxfId="1691" priority="38" stopIfTrue="1">
      <formula>IF(#REF!&gt;2,0,1)</formula>
    </cfRule>
  </conditionalFormatting>
  <conditionalFormatting sqref="AH14:AI15 AH99:AI100">
    <cfRule type="expression" dxfId="1690" priority="39" stopIfTrue="1">
      <formula>IF(#REF!&gt;3,0,1)</formula>
    </cfRule>
  </conditionalFormatting>
  <conditionalFormatting sqref="AH16:AI17 AH101:AI102">
    <cfRule type="expression" dxfId="1689" priority="40" stopIfTrue="1">
      <formula>IF(#REF!&gt;4,0,1)</formula>
    </cfRule>
  </conditionalFormatting>
  <conditionalFormatting sqref="B19:D19 B104:D104">
    <cfRule type="expression" dxfId="1688" priority="41" stopIfTrue="1">
      <formula>IF(#REF!&gt;0,0,1)</formula>
    </cfRule>
  </conditionalFormatting>
  <conditionalFormatting sqref="E19:G19 E104:G104">
    <cfRule type="expression" dxfId="1687" priority="42" stopIfTrue="1">
      <formula>IF(#REF!&gt;1,0,1)</formula>
    </cfRule>
  </conditionalFormatting>
  <conditionalFormatting sqref="H19:J19 H104:J104">
    <cfRule type="expression" dxfId="1686" priority="43" stopIfTrue="1">
      <formula>IF(#REF!&gt;2,0,1)</formula>
    </cfRule>
  </conditionalFormatting>
  <conditionalFormatting sqref="K19:M19 K104:M104">
    <cfRule type="expression" dxfId="1685" priority="44" stopIfTrue="1">
      <formula>IF(#REF!&gt;3,0,1)</formula>
    </cfRule>
  </conditionalFormatting>
  <conditionalFormatting sqref="N19:P19 N104:P104">
    <cfRule type="expression" dxfId="1684" priority="45" stopIfTrue="1">
      <formula>IF(#REF!&gt;4,0,1)</formula>
    </cfRule>
  </conditionalFormatting>
  <conditionalFormatting sqref="Q19:S19 Q104:S104">
    <cfRule type="expression" dxfId="1683" priority="46" stopIfTrue="1">
      <formula>IF(#REF!&gt;5,0,1)</formula>
    </cfRule>
  </conditionalFormatting>
  <conditionalFormatting sqref="T19:V19 T104:V104">
    <cfRule type="expression" dxfId="1682" priority="47" stopIfTrue="1">
      <formula>IF(#REF!&gt;6,0,1)</formula>
    </cfRule>
  </conditionalFormatting>
  <conditionalFormatting sqref="W19:Y19 W104:Y104">
    <cfRule type="expression" dxfId="1681" priority="48" stopIfTrue="1">
      <formula>IF(#REF!&gt;7,0,1)</formula>
    </cfRule>
  </conditionalFormatting>
  <conditionalFormatting sqref="Z19:AB19 Z104:AB104">
    <cfRule type="expression" dxfId="1680" priority="49" stopIfTrue="1">
      <formula>IF(#REF!&gt;8,0,1)</formula>
    </cfRule>
  </conditionalFormatting>
  <conditionalFormatting sqref="AC19:AE19 AC104:AE104">
    <cfRule type="expression" dxfId="1679" priority="50" stopIfTrue="1">
      <formula>IF(#REF!&gt;9,0,1)</formula>
    </cfRule>
  </conditionalFormatting>
  <conditionalFormatting sqref="B20:D20 B105:D105">
    <cfRule type="expression" dxfId="1678" priority="51" stopIfTrue="1">
      <formula>IF(#REF!&gt;0,0,1)</formula>
    </cfRule>
  </conditionalFormatting>
  <conditionalFormatting sqref="E20:G20 E105:G105">
    <cfRule type="expression" dxfId="1677" priority="52" stopIfTrue="1">
      <formula>IF(#REF!&gt;1,0,1)</formula>
    </cfRule>
  </conditionalFormatting>
  <conditionalFormatting sqref="H20:J20 H105:J105">
    <cfRule type="expression" dxfId="1676" priority="53" stopIfTrue="1">
      <formula>IF(#REF!&gt;2,0,1)</formula>
    </cfRule>
  </conditionalFormatting>
  <conditionalFormatting sqref="K20:M20 K105:M105">
    <cfRule type="expression" dxfId="1675" priority="54" stopIfTrue="1">
      <formula>IF(#REF!&gt;3,0,1)</formula>
    </cfRule>
  </conditionalFormatting>
  <conditionalFormatting sqref="N20:P20 N105:P105">
    <cfRule type="expression" dxfId="1674" priority="55" stopIfTrue="1">
      <formula>IF(#REF!&gt;4,0,1)</formula>
    </cfRule>
  </conditionalFormatting>
  <conditionalFormatting sqref="Q20:S20 Q105:S105">
    <cfRule type="expression" dxfId="1673" priority="56" stopIfTrue="1">
      <formula>IF(#REF!&gt;5,0,1)</formula>
    </cfRule>
  </conditionalFormatting>
  <conditionalFormatting sqref="T20:V20 T105:V105">
    <cfRule type="expression" dxfId="1672" priority="57" stopIfTrue="1">
      <formula>IF(#REF!&gt;6,0,1)</formula>
    </cfRule>
  </conditionalFormatting>
  <conditionalFormatting sqref="W20:Y20 W105:Y105">
    <cfRule type="expression" dxfId="1671" priority="58" stopIfTrue="1">
      <formula>IF(#REF!&gt;7,0,1)</formula>
    </cfRule>
  </conditionalFormatting>
  <conditionalFormatting sqref="Z20:AB20 Z105:AB105">
    <cfRule type="expression" dxfId="1670" priority="59" stopIfTrue="1">
      <formula>IF(#REF!&gt;8,0,1)</formula>
    </cfRule>
  </conditionalFormatting>
  <conditionalFormatting sqref="AC20:AE20 AC105:AE105">
    <cfRule type="expression" dxfId="1669" priority="60" stopIfTrue="1">
      <formula>IF(#REF!&gt;9,0,1)</formula>
    </cfRule>
  </conditionalFormatting>
  <conditionalFormatting sqref="E22:G22 E107:G107">
    <cfRule type="expression" dxfId="1668" priority="61" stopIfTrue="1">
      <formula>IF(#REF!&gt;1,0,1)</formula>
    </cfRule>
  </conditionalFormatting>
  <conditionalFormatting sqref="H22:J22 H107:J107">
    <cfRule type="expression" dxfId="1667" priority="62" stopIfTrue="1">
      <formula>IF(#REF!&gt;2,0,1)</formula>
    </cfRule>
  </conditionalFormatting>
  <conditionalFormatting sqref="K22:M22 K107:M107">
    <cfRule type="expression" dxfId="1666" priority="63" stopIfTrue="1">
      <formula>IF(#REF!&gt;3,0,1)</formula>
    </cfRule>
  </conditionalFormatting>
  <conditionalFormatting sqref="N22:P22 N107:P107">
    <cfRule type="expression" dxfId="1665" priority="64" stopIfTrue="1">
      <formula>IF(#REF!&gt;4,0,1)</formula>
    </cfRule>
  </conditionalFormatting>
  <conditionalFormatting sqref="Q22:S22 Q107:S107">
    <cfRule type="expression" dxfId="1664" priority="65" stopIfTrue="1">
      <formula>IF(#REF!&gt;5,0,1)</formula>
    </cfRule>
  </conditionalFormatting>
  <conditionalFormatting sqref="T22:V22 T107:V107">
    <cfRule type="expression" dxfId="1663" priority="66" stopIfTrue="1">
      <formula>IF(#REF!&gt;6,0,1)</formula>
    </cfRule>
  </conditionalFormatting>
  <conditionalFormatting sqref="W22:Y22 W107:Y107">
    <cfRule type="expression" dxfId="1662" priority="67" stopIfTrue="1">
      <formula>IF(#REF!&gt;7,0,1)</formula>
    </cfRule>
  </conditionalFormatting>
  <conditionalFormatting sqref="Z22:AB22 Z107:AB107">
    <cfRule type="expression" dxfId="1661" priority="68" stopIfTrue="1">
      <formula>IF(#REF!&gt;8,0,1)</formula>
    </cfRule>
  </conditionalFormatting>
  <conditionalFormatting sqref="AC22:AE22 AC107:AE107">
    <cfRule type="expression" dxfId="1660" priority="69" stopIfTrue="1">
      <formula>IF(#REF!&gt;9,0,1)</formula>
    </cfRule>
  </conditionalFormatting>
  <conditionalFormatting sqref="B24 B109">
    <cfRule type="expression" dxfId="1659" priority="70" stopIfTrue="1">
      <formula>IF(#REF!&gt;0,0,1)</formula>
    </cfRule>
  </conditionalFormatting>
  <conditionalFormatting sqref="C24 C109">
    <cfRule type="expression" dxfId="1658" priority="71" stopIfTrue="1">
      <formula>IF(#REF!&gt;0,0,1)</formula>
    </cfRule>
  </conditionalFormatting>
  <conditionalFormatting sqref="D24 D109">
    <cfRule type="expression" dxfId="1657" priority="72" stopIfTrue="1">
      <formula>IF(#REF!&gt;0,0,1)</formula>
    </cfRule>
  </conditionalFormatting>
  <conditionalFormatting sqref="E23:G23 E108:G108">
    <cfRule type="expression" dxfId="1656" priority="73" stopIfTrue="1">
      <formula>IF(#REF!&gt;1,0,1)</formula>
    </cfRule>
  </conditionalFormatting>
  <conditionalFormatting sqref="F24 F109">
    <cfRule type="expression" dxfId="1655" priority="74" stopIfTrue="1">
      <formula>IF(#REF!&gt;1,0,1)</formula>
    </cfRule>
  </conditionalFormatting>
  <conditionalFormatting sqref="G24 G109">
    <cfRule type="expression" dxfId="1654" priority="75" stopIfTrue="1">
      <formula>IF(#REF!&gt;1,0,1)</formula>
    </cfRule>
  </conditionalFormatting>
  <conditionalFormatting sqref="H23:J23 H108:J108">
    <cfRule type="expression" dxfId="1653" priority="76" stopIfTrue="1">
      <formula>IF(#REF!&gt;2,0,1)</formula>
    </cfRule>
  </conditionalFormatting>
  <conditionalFormatting sqref="I24 I109">
    <cfRule type="expression" dxfId="1652" priority="77" stopIfTrue="1">
      <formula>IF(#REF!&gt;2,0,1)</formula>
    </cfRule>
  </conditionalFormatting>
  <conditionalFormatting sqref="J24 J109">
    <cfRule type="expression" dxfId="1651" priority="78" stopIfTrue="1">
      <formula>IF(#REF!&gt;2,0,1)</formula>
    </cfRule>
  </conditionalFormatting>
  <conditionalFormatting sqref="K23:M23 K108:M108">
    <cfRule type="expression" dxfId="1650" priority="79" stopIfTrue="1">
      <formula>IF(#REF!&gt;3,0,1)</formula>
    </cfRule>
  </conditionalFormatting>
  <conditionalFormatting sqref="L24 L109">
    <cfRule type="expression" dxfId="1649" priority="80" stopIfTrue="1">
      <formula>IF(#REF!&gt;3,0,1)</formula>
    </cfRule>
  </conditionalFormatting>
  <conditionalFormatting sqref="M24 M109">
    <cfRule type="expression" dxfId="1648" priority="81" stopIfTrue="1">
      <formula>IF(#REF!&gt;3,0,1)</formula>
    </cfRule>
  </conditionalFormatting>
  <conditionalFormatting sqref="N23:P23 N108:P108">
    <cfRule type="expression" dxfId="1647" priority="82" stopIfTrue="1">
      <formula>IF(#REF!&gt;4,0,1)</formula>
    </cfRule>
  </conditionalFormatting>
  <conditionalFormatting sqref="O24 O109">
    <cfRule type="expression" dxfId="1646" priority="83" stopIfTrue="1">
      <formula>IF(#REF!&gt;4,0,1)</formula>
    </cfRule>
  </conditionalFormatting>
  <conditionalFormatting sqref="P24 P109">
    <cfRule type="expression" dxfId="1645" priority="84" stopIfTrue="1">
      <formula>IF(#REF!&gt;4,0,1)</formula>
    </cfRule>
  </conditionalFormatting>
  <conditionalFormatting sqref="Q23:S23 Q108:S108">
    <cfRule type="expression" dxfId="1644" priority="85" stopIfTrue="1">
      <formula>IF(#REF!&gt;5,0,1)</formula>
    </cfRule>
  </conditionalFormatting>
  <conditionalFormatting sqref="R24 R109">
    <cfRule type="expression" dxfId="1643" priority="86" stopIfTrue="1">
      <formula>IF(#REF!&gt;5,0,1)</formula>
    </cfRule>
  </conditionalFormatting>
  <conditionalFormatting sqref="S24 S109">
    <cfRule type="expression" dxfId="1642" priority="87" stopIfTrue="1">
      <formula>IF(#REF!&gt;5,0,1)</formula>
    </cfRule>
  </conditionalFormatting>
  <conditionalFormatting sqref="T23:V23 T108:V108">
    <cfRule type="expression" dxfId="1641" priority="88" stopIfTrue="1">
      <formula>IF(#REF!&gt;6,0,1)</formula>
    </cfRule>
  </conditionalFormatting>
  <conditionalFormatting sqref="U24 U109">
    <cfRule type="expression" dxfId="1640" priority="89" stopIfTrue="1">
      <formula>IF(#REF!&gt;6,0,1)</formula>
    </cfRule>
  </conditionalFormatting>
  <conditionalFormatting sqref="V24 V109">
    <cfRule type="expression" dxfId="1639" priority="90" stopIfTrue="1">
      <formula>IF(#REF!&gt;6,0,1)</formula>
    </cfRule>
  </conditionalFormatting>
  <conditionalFormatting sqref="W23:Y23 W108:Y108">
    <cfRule type="expression" dxfId="1638" priority="91" stopIfTrue="1">
      <formula>IF(#REF!&gt;7,0,1)</formula>
    </cfRule>
  </conditionalFormatting>
  <conditionalFormatting sqref="X24 X109">
    <cfRule type="expression" dxfId="1637" priority="92" stopIfTrue="1">
      <formula>IF(#REF!&gt;7,0,1)</formula>
    </cfRule>
  </conditionalFormatting>
  <conditionalFormatting sqref="Y24 Y109">
    <cfRule type="expression" dxfId="1636" priority="93" stopIfTrue="1">
      <formula>IF(#REF!&gt;7,0,1)</formula>
    </cfRule>
  </conditionalFormatting>
  <conditionalFormatting sqref="Z23:AB23 Z108:AB108">
    <cfRule type="expression" dxfId="1635" priority="94" stopIfTrue="1">
      <formula>IF(#REF!&gt;8,0,1)</formula>
    </cfRule>
  </conditionalFormatting>
  <conditionalFormatting sqref="AA24 AA109">
    <cfRule type="expression" dxfId="1634" priority="95" stopIfTrue="1">
      <formula>IF(#REF!&gt;8,0,1)</formula>
    </cfRule>
  </conditionalFormatting>
  <conditionalFormatting sqref="AB24 AB109">
    <cfRule type="expression" dxfId="1633" priority="96" stopIfTrue="1">
      <formula>IF(#REF!&gt;8,0,1)</formula>
    </cfRule>
  </conditionalFormatting>
  <conditionalFormatting sqref="AC23:AE23 AC108:AE108">
    <cfRule type="expression" dxfId="1632" priority="97" stopIfTrue="1">
      <formula>IF(#REF!&gt;9,0,1)</formula>
    </cfRule>
  </conditionalFormatting>
  <conditionalFormatting sqref="AD24 AD109">
    <cfRule type="expression" dxfId="1631" priority="98" stopIfTrue="1">
      <formula>IF(#REF!&gt;9,0,1)</formula>
    </cfRule>
  </conditionalFormatting>
  <conditionalFormatting sqref="AE24 AE109">
    <cfRule type="expression" dxfId="1630" priority="99" stopIfTrue="1">
      <formula>IF(#REF!&gt;9,0,1)</formula>
    </cfRule>
  </conditionalFormatting>
  <conditionalFormatting sqref="A26 A111">
    <cfRule type="expression" dxfId="1629" priority="100" stopIfTrue="1">
      <formula>IF(#REF!&gt;1,0,1)</formula>
    </cfRule>
  </conditionalFormatting>
  <conditionalFormatting sqref="A27 A112">
    <cfRule type="expression" dxfId="1628" priority="101" stopIfTrue="1">
      <formula>IF(#REF!&gt;2,0,1)</formula>
    </cfRule>
  </conditionalFormatting>
  <conditionalFormatting sqref="A28 A113">
    <cfRule type="expression" dxfId="1627" priority="102" stopIfTrue="1">
      <formula>IF(#REF!&gt;3,0,1)</formula>
    </cfRule>
  </conditionalFormatting>
  <conditionalFormatting sqref="A29 A114">
    <cfRule type="expression" dxfId="1626" priority="103" stopIfTrue="1">
      <formula>IF(#REF!&gt;4,0,1)</formula>
    </cfRule>
  </conditionalFormatting>
  <conditionalFormatting sqref="B25:D25 B110:D110">
    <cfRule type="expression" dxfId="1625" priority="104" stopIfTrue="1">
      <formula>IF(#REF!&gt;0,0,1)</formula>
    </cfRule>
  </conditionalFormatting>
  <conditionalFormatting sqref="B26:D26 B111:D111">
    <cfRule type="expression" dxfId="1624" priority="105" stopIfTrue="1">
      <formula>IF(#REF!&lt;1,1,IF(#REF!&lt;2,1,0))</formula>
    </cfRule>
  </conditionalFormatting>
  <conditionalFormatting sqref="B27:D27 B112:D112">
    <cfRule type="expression" dxfId="1623" priority="106" stopIfTrue="1">
      <formula>IF(#REF!&lt;1,1,IF(#REF!&lt;3,1,0))</formula>
    </cfRule>
  </conditionalFormatting>
  <conditionalFormatting sqref="B28:D28 B113:D113">
    <cfRule type="expression" dxfId="1622" priority="107" stopIfTrue="1">
      <formula>IF(#REF!&lt;1,1,IF(#REF!&lt;4,1,0))</formula>
    </cfRule>
  </conditionalFormatting>
  <conditionalFormatting sqref="B29:D29 B114:D114">
    <cfRule type="expression" dxfId="1621" priority="108" stopIfTrue="1">
      <formula>IF(#REF!&lt;1,1,IF(#REF!&lt;5,1,0))</formula>
    </cfRule>
  </conditionalFormatting>
  <conditionalFormatting sqref="AF26 AF111">
    <cfRule type="expression" dxfId="1620" priority="109" stopIfTrue="1">
      <formula>IF(#REF!&gt;2,0,1)</formula>
    </cfRule>
  </conditionalFormatting>
  <conditionalFormatting sqref="AF25 AF110">
    <cfRule type="expression" dxfId="1619" priority="110" stopIfTrue="1">
      <formula>IF(#REF!&gt;1,0,1)</formula>
    </cfRule>
  </conditionalFormatting>
  <conditionalFormatting sqref="AF24 AF109">
    <cfRule type="expression" dxfId="1618" priority="111" stopIfTrue="1">
      <formula>IF(#REF!&gt;0,0,1)</formula>
    </cfRule>
  </conditionalFormatting>
  <conditionalFormatting sqref="AF27 AF112">
    <cfRule type="expression" dxfId="1617" priority="112" stopIfTrue="1">
      <formula>IF(#REF!&gt;3,0,1)</formula>
    </cfRule>
  </conditionalFormatting>
  <conditionalFormatting sqref="AF28 AF113">
    <cfRule type="expression" dxfId="1616" priority="113" stopIfTrue="1">
      <formula>IF(#REF!&gt;4,0,1)</formula>
    </cfRule>
  </conditionalFormatting>
  <conditionalFormatting sqref="AG23 AG108">
    <cfRule type="expression" dxfId="1615" priority="114" stopIfTrue="1">
      <formula>IF(#REF!&lt;1,1,0)</formula>
    </cfRule>
  </conditionalFormatting>
  <conditionalFormatting sqref="AH23 AH108">
    <cfRule type="expression" dxfId="1614" priority="115" stopIfTrue="1">
      <formula>IF(#REF!&lt;2,1,0)</formula>
    </cfRule>
  </conditionalFormatting>
  <conditionalFormatting sqref="AI23 AI108">
    <cfRule type="expression" dxfId="1613" priority="116" stopIfTrue="1">
      <formula>IF(#REF!&lt;3,1,0)</formula>
    </cfRule>
  </conditionalFormatting>
  <conditionalFormatting sqref="AJ23 AJ108">
    <cfRule type="expression" dxfId="1612" priority="117" stopIfTrue="1">
      <formula>IF(#REF!&lt;4,1,0)</formula>
    </cfRule>
  </conditionalFormatting>
  <conditionalFormatting sqref="AK23 AK108">
    <cfRule type="expression" dxfId="1611" priority="118" stopIfTrue="1">
      <formula>IF(#REF!&lt;5,1,0)</formula>
    </cfRule>
  </conditionalFormatting>
  <conditionalFormatting sqref="AL23 AL108">
    <cfRule type="expression" dxfId="1610" priority="119" stopIfTrue="1">
      <formula>IF(#REF!&lt;6,1,0)</formula>
    </cfRule>
  </conditionalFormatting>
  <conditionalFormatting sqref="AM23 AM108">
    <cfRule type="expression" dxfId="1609" priority="120" stopIfTrue="1">
      <formula>IF(#REF!&lt;7,1,0)</formula>
    </cfRule>
  </conditionalFormatting>
  <conditionalFormatting sqref="AN23 AN108">
    <cfRule type="expression" dxfId="1608" priority="121" stopIfTrue="1">
      <formula>IF(#REF!&lt;8,1,0)</formula>
    </cfRule>
  </conditionalFormatting>
  <conditionalFormatting sqref="AO23 AO108">
    <cfRule type="expression" dxfId="1607" priority="122" stopIfTrue="1">
      <formula>IF(#REF!&lt;9,1,0)</formula>
    </cfRule>
  </conditionalFormatting>
  <conditionalFormatting sqref="AP23 AP108">
    <cfRule type="expression" dxfId="1606" priority="123" stopIfTrue="1">
      <formula>IF(#REF!&lt;10,1,0)</formula>
    </cfRule>
  </conditionalFormatting>
  <conditionalFormatting sqref="AQ24 AQ109">
    <cfRule type="expression" dxfId="1605" priority="124" stopIfTrue="1">
      <formula>IF(#REF!&gt;0,0,1)</formula>
    </cfRule>
  </conditionalFormatting>
  <conditionalFormatting sqref="AQ25 AQ110">
    <cfRule type="expression" dxfId="1604" priority="125" stopIfTrue="1">
      <formula>IF(#REF!&gt;1,0,1)</formula>
    </cfRule>
  </conditionalFormatting>
  <conditionalFormatting sqref="AQ26 H25:J25 AQ111 H110:J110">
    <cfRule type="expression" dxfId="1603" priority="126" stopIfTrue="1">
      <formula>IF(#REF!&gt;2,0,1)</formula>
    </cfRule>
  </conditionalFormatting>
  <conditionalFormatting sqref="K25:M25 K110:M110">
    <cfRule type="expression" dxfId="1602" priority="127" stopIfTrue="1">
      <formula>IF(#REF!&gt;3,0,1)</formula>
    </cfRule>
  </conditionalFormatting>
  <conditionalFormatting sqref="AQ28 AQ113">
    <cfRule type="expression" dxfId="1601" priority="128" stopIfTrue="1">
      <formula>IF(#REF!&gt;4,0,1)</formula>
    </cfRule>
  </conditionalFormatting>
  <conditionalFormatting sqref="E26:G26 E111:G111">
    <cfRule type="expression" dxfId="1600" priority="129" stopIfTrue="1">
      <formula>IF(#REF!&lt;2,1,IF(#REF!&lt;2,1,0))</formula>
    </cfRule>
  </conditionalFormatting>
  <conditionalFormatting sqref="E27:G27 E112:G112">
    <cfRule type="expression" dxfId="1599" priority="130" stopIfTrue="1">
      <formula>IF(#REF!&lt;2,1,IF(#REF!&lt;3,1,0))</formula>
    </cfRule>
  </conditionalFormatting>
  <conditionalFormatting sqref="E28:G28 E113:G113">
    <cfRule type="expression" dxfId="1598" priority="131" stopIfTrue="1">
      <formula>IF(#REF!&lt;2,1,IF(#REF!&lt;4,1,0))</formula>
    </cfRule>
  </conditionalFormatting>
  <conditionalFormatting sqref="E29:G29 E114:G114">
    <cfRule type="expression" dxfId="1597" priority="132" stopIfTrue="1">
      <formula>IF(#REF!&lt;2,1,IF(#REF!&lt;5,1,0))</formula>
    </cfRule>
  </conditionalFormatting>
  <conditionalFormatting sqref="N25:P25 N110:P110">
    <cfRule type="expression" dxfId="1596" priority="133" stopIfTrue="1">
      <formula>IF(#REF!&gt;4,0,1)</formula>
    </cfRule>
  </conditionalFormatting>
  <conditionalFormatting sqref="Q25:S25 Q110:S110">
    <cfRule type="expression" dxfId="1595" priority="134" stopIfTrue="1">
      <formula>IF(#REF!&gt;5,0,1)</formula>
    </cfRule>
  </conditionalFormatting>
  <conditionalFormatting sqref="T25:V25 T110:V110">
    <cfRule type="expression" dxfId="1594" priority="135" stopIfTrue="1">
      <formula>IF(#REF!&gt;6,0,1)</formula>
    </cfRule>
  </conditionalFormatting>
  <conditionalFormatting sqref="W25:Y25 W110:Y110">
    <cfRule type="expression" dxfId="1593" priority="136" stopIfTrue="1">
      <formula>IF(#REF!&gt;7,0,1)</formula>
    </cfRule>
  </conditionalFormatting>
  <conditionalFormatting sqref="Z25:AB25 Z110:AB110">
    <cfRule type="expression" dxfId="1592" priority="137" stopIfTrue="1">
      <formula>IF(#REF!&gt;8,0,1)</formula>
    </cfRule>
  </conditionalFormatting>
  <conditionalFormatting sqref="AC25:AE25 AC110:AE110">
    <cfRule type="expression" dxfId="1591" priority="138" stopIfTrue="1">
      <formula>IF(#REF!&gt;9,0,1)</formula>
    </cfRule>
  </conditionalFormatting>
  <conditionalFormatting sqref="H26:J26 H111:J111">
    <cfRule type="expression" dxfId="1590" priority="139" stopIfTrue="1">
      <formula>IF(#REF!&lt;3,1,IF(#REF!&lt;2,1,0))</formula>
    </cfRule>
  </conditionalFormatting>
  <conditionalFormatting sqref="K26:M26 K111:M111">
    <cfRule type="expression" dxfId="1589" priority="140" stopIfTrue="1">
      <formula>IF(#REF!&lt;4,1,IF(#REF!&lt;2,1,0))</formula>
    </cfRule>
  </conditionalFormatting>
  <conditionalFormatting sqref="N26:P26 N111:P111">
    <cfRule type="expression" dxfId="1588" priority="141" stopIfTrue="1">
      <formula>IF(#REF!&lt;5,1,IF(#REF!&lt;2,1,0))</formula>
    </cfRule>
  </conditionalFormatting>
  <conditionalFormatting sqref="Q26:S26 Q111:S111">
    <cfRule type="expression" dxfId="1587" priority="142" stopIfTrue="1">
      <formula>IF(#REF!&lt;6,1,IF(#REF!&lt;2,1,0))</formula>
    </cfRule>
  </conditionalFormatting>
  <conditionalFormatting sqref="T26:V26 T111:V111">
    <cfRule type="expression" dxfId="1586" priority="143" stopIfTrue="1">
      <formula>IF(#REF!&lt;7,1,IF(#REF!&lt;2,1,0))</formula>
    </cfRule>
  </conditionalFormatting>
  <conditionalFormatting sqref="W26:Y26 W111:Y111">
    <cfRule type="expression" dxfId="1585" priority="144" stopIfTrue="1">
      <formula>IF(#REF!&lt;8,1,IF(#REF!&lt;2,1,0))</formula>
    </cfRule>
  </conditionalFormatting>
  <conditionalFormatting sqref="Z26:AB26 Z111:AB111">
    <cfRule type="expression" dxfId="1584" priority="145" stopIfTrue="1">
      <formula>IF(#REF!&lt;9,1,IF(#REF!&lt;2,1,0))</formula>
    </cfRule>
  </conditionalFormatting>
  <conditionalFormatting sqref="AC26:AE26 AC111:AE111">
    <cfRule type="expression" dxfId="1583" priority="146" stopIfTrue="1">
      <formula>IF(#REF!&lt;10,1,IF(#REF!&lt;2,1,0))</formula>
    </cfRule>
  </conditionalFormatting>
  <conditionalFormatting sqref="H27:J27 H112:J112">
    <cfRule type="expression" dxfId="1582" priority="147" stopIfTrue="1">
      <formula>IF(#REF!&lt;3,1,IF(#REF!&lt;3,1,0))</formula>
    </cfRule>
  </conditionalFormatting>
  <conditionalFormatting sqref="K27:M27 K112:M112">
    <cfRule type="expression" dxfId="1581" priority="148" stopIfTrue="1">
      <formula>IF(#REF!&lt;4,1,IF(#REF!&lt;3,1,0))</formula>
    </cfRule>
  </conditionalFormatting>
  <conditionalFormatting sqref="N27:P27 N112:P112">
    <cfRule type="expression" dxfId="1580" priority="149" stopIfTrue="1">
      <formula>IF(#REF!&lt;5,1,IF(#REF!&lt;3,1,0))</formula>
    </cfRule>
  </conditionalFormatting>
  <conditionalFormatting sqref="Q27:S27 Q112:S112">
    <cfRule type="expression" dxfId="1579" priority="150" stopIfTrue="1">
      <formula>IF(#REF!&lt;6,1,IF(#REF!&lt;3,1,0))</formula>
    </cfRule>
  </conditionalFormatting>
  <conditionalFormatting sqref="T27:V27 T112:V112">
    <cfRule type="expression" dxfId="1578" priority="151" stopIfTrue="1">
      <formula>IF(#REF!&lt;7,1,IF(#REF!&lt;3,1,0))</formula>
    </cfRule>
  </conditionalFormatting>
  <conditionalFormatting sqref="W27:Y27 W112:Y112">
    <cfRule type="expression" dxfId="1577" priority="152" stopIfTrue="1">
      <formula>IF(#REF!&lt;8,1,IF(#REF!&lt;3,1,0))</formula>
    </cfRule>
  </conditionalFormatting>
  <conditionalFormatting sqref="Z27:AB27 Z112:AB112">
    <cfRule type="expression" dxfId="1576" priority="153" stopIfTrue="1">
      <formula>IF(#REF!&lt;9,1,IF(#REF!&lt;3,1,0))</formula>
    </cfRule>
  </conditionalFormatting>
  <conditionalFormatting sqref="AC27:AE27 AC112:AE112">
    <cfRule type="expression" dxfId="1575" priority="154" stopIfTrue="1">
      <formula>IF(#REF!&lt;10,1,IF(#REF!&lt;3,1,0))</formula>
    </cfRule>
  </conditionalFormatting>
  <conditionalFormatting sqref="H28:J28 H113:J113">
    <cfRule type="expression" dxfId="1574" priority="155" stopIfTrue="1">
      <formula>IF(#REF!&lt;3,1,IF(#REF!&lt;4,1,0))</formula>
    </cfRule>
  </conditionalFormatting>
  <conditionalFormatting sqref="K28:M28 K113:M113">
    <cfRule type="expression" dxfId="1573" priority="156" stopIfTrue="1">
      <formula>IF(#REF!&lt;4,1,IF(#REF!&lt;4,1,0))</formula>
    </cfRule>
  </conditionalFormatting>
  <conditionalFormatting sqref="N28:P28 N113:P113">
    <cfRule type="expression" dxfId="1572" priority="157" stopIfTrue="1">
      <formula>IF(#REF!&lt;5,1,IF(#REF!&lt;4,1,0))</formula>
    </cfRule>
  </conditionalFormatting>
  <conditionalFormatting sqref="Q28:S28 Q113:S113">
    <cfRule type="expression" dxfId="1571" priority="158" stopIfTrue="1">
      <formula>IF(#REF!&lt;6,1,IF(#REF!&lt;4,1,0))</formula>
    </cfRule>
  </conditionalFormatting>
  <conditionalFormatting sqref="T28:V28 T113:V113">
    <cfRule type="expression" dxfId="1570" priority="159" stopIfTrue="1">
      <formula>IF(#REF!&lt;7,1,IF(#REF!&lt;4,1,0))</formula>
    </cfRule>
  </conditionalFormatting>
  <conditionalFormatting sqref="W28:Y28 W113:Y113">
    <cfRule type="expression" dxfId="1569" priority="160" stopIfTrue="1">
      <formula>IF(#REF!&lt;8,1,IF(#REF!&lt;4,1,0))</formula>
    </cfRule>
  </conditionalFormatting>
  <conditionalFormatting sqref="Z28:AB28 Z113:AB113">
    <cfRule type="expression" dxfId="1568" priority="161" stopIfTrue="1">
      <formula>IF(#REF!&lt;9,1,IF(#REF!&lt;4,1,0))</formula>
    </cfRule>
  </conditionalFormatting>
  <conditionalFormatting sqref="AC28:AE28 AC113:AE113">
    <cfRule type="expression" dxfId="1567" priority="162" stopIfTrue="1">
      <formula>IF(#REF!&lt;10,1,IF(#REF!&lt;4,1,0))</formula>
    </cfRule>
  </conditionalFormatting>
  <conditionalFormatting sqref="H29:J29 H114:J114">
    <cfRule type="expression" dxfId="1566" priority="163" stopIfTrue="1">
      <formula>IF(#REF!&lt;3,1,IF(#REF!&lt;5,1,0))</formula>
    </cfRule>
  </conditionalFormatting>
  <conditionalFormatting sqref="K29:M29 K114:M114">
    <cfRule type="expression" dxfId="1565" priority="164" stopIfTrue="1">
      <formula>IF(#REF!&lt;4,1,IF(#REF!&lt;5,1,0))</formula>
    </cfRule>
  </conditionalFormatting>
  <conditionalFormatting sqref="N29:P29 N114:P114">
    <cfRule type="expression" dxfId="1564" priority="165" stopIfTrue="1">
      <formula>IF(#REF!&lt;5,1,IF(#REF!&lt;5,1,0))</formula>
    </cfRule>
  </conditionalFormatting>
  <conditionalFormatting sqref="Q29:S29 Q114:S114">
    <cfRule type="expression" dxfId="1563" priority="166" stopIfTrue="1">
      <formula>IF(#REF!&lt;6,1,IF(#REF!&lt;5,1,0))</formula>
    </cfRule>
  </conditionalFormatting>
  <conditionalFormatting sqref="T29:V29 T114:V114">
    <cfRule type="expression" dxfId="1562" priority="167" stopIfTrue="1">
      <formula>IF(#REF!&lt;7,1,IF(#REF!&lt;5,1,0))</formula>
    </cfRule>
  </conditionalFormatting>
  <conditionalFormatting sqref="W29:Y29 W114:Y114">
    <cfRule type="expression" dxfId="1561" priority="168" stopIfTrue="1">
      <formula>IF(#REF!&lt;8,1,IF(#REF!&lt;5,1,0))</formula>
    </cfRule>
  </conditionalFormatting>
  <conditionalFormatting sqref="Z29:AB29 Z114:AB114">
    <cfRule type="expression" dxfId="1560" priority="169" stopIfTrue="1">
      <formula>IF(#REF!&lt;9,1,IF(#REF!&lt;5,1,0))</formula>
    </cfRule>
  </conditionalFormatting>
  <conditionalFormatting sqref="AC29:AE29 AC114:AE114">
    <cfRule type="expression" dxfId="1559" priority="170" stopIfTrue="1">
      <formula>IF(#REF!&lt;10,1,IF(#REF!&lt;5,1,0))</formula>
    </cfRule>
  </conditionalFormatting>
  <conditionalFormatting sqref="R14:AB15 AF14:AF15 L14:P15 R99:AB100 AF99:AF100 L99:P100 AG14 AG99">
    <cfRule type="expression" dxfId="1558" priority="171" stopIfTrue="1">
      <formula>IF(#REF!&gt;3,0,1)</formula>
    </cfRule>
  </conditionalFormatting>
  <conditionalFormatting sqref="R16:AB17 AF16:AF17 L16:P17 R101:AB102 AF101:AF102 L101:P102 AG16 AG101">
    <cfRule type="expression" dxfId="1557" priority="172" stopIfTrue="1">
      <formula>IF(#REF!&gt;4,0,1)</formula>
    </cfRule>
  </conditionalFormatting>
  <conditionalFormatting sqref="R8:AB9 AF8:AF9 L8:P9 R93:AB94 AF93:AF94 L93:P94 AG8 AG93">
    <cfRule type="expression" dxfId="1556" priority="173" stopIfTrue="1">
      <formula>IF($AK9&gt;0,0,1)</formula>
    </cfRule>
  </conditionalFormatting>
  <conditionalFormatting sqref="R10:AB11 AF10:AF11 L10:P11 R95:AB96 AF95:AF96 L95:P96 AG10 AG95">
    <cfRule type="expression" dxfId="1555" priority="174" stopIfTrue="1">
      <formula>IF(#REF!&gt;1,0,1)</formula>
    </cfRule>
  </conditionalFormatting>
  <conditionalFormatting sqref="R12:AB13 AF12:AF13 L12:P13 R97:AB98 AF97:AF98 L97:P98 AG12 AG97">
    <cfRule type="expression" dxfId="1554" priority="175" stopIfTrue="1">
      <formula>IF(#REF!&gt;2,0,1)</formula>
    </cfRule>
  </conditionalFormatting>
  <conditionalFormatting sqref="E24 E109">
    <cfRule type="expression" dxfId="1553" priority="176" stopIfTrue="1">
      <formula>IF(#REF!&gt;1,0,1)</formula>
    </cfRule>
  </conditionalFormatting>
  <conditionalFormatting sqref="H24 H109">
    <cfRule type="expression" dxfId="1552" priority="177" stopIfTrue="1">
      <formula>IF(#REF!&gt;2,0,1)</formula>
    </cfRule>
  </conditionalFormatting>
  <conditionalFormatting sqref="K24 K109">
    <cfRule type="expression" dxfId="1551" priority="178" stopIfTrue="1">
      <formula>IF(#REF!&gt;3,0,1)</formula>
    </cfRule>
  </conditionalFormatting>
  <conditionalFormatting sqref="N24 N109">
    <cfRule type="expression" dxfId="1550" priority="179" stopIfTrue="1">
      <formula>IF(#REF!&gt;4,0,1)</formula>
    </cfRule>
  </conditionalFormatting>
  <conditionalFormatting sqref="Q24 Q109">
    <cfRule type="expression" dxfId="1549" priority="180" stopIfTrue="1">
      <formula>IF(#REF!&gt;5,0,1)</formula>
    </cfRule>
  </conditionalFormatting>
  <conditionalFormatting sqref="T24 T109">
    <cfRule type="expression" dxfId="1548" priority="181" stopIfTrue="1">
      <formula>IF(#REF!&gt;6,0,1)</formula>
    </cfRule>
  </conditionalFormatting>
  <conditionalFormatting sqref="W24 W109">
    <cfRule type="expression" dxfId="1547" priority="182" stopIfTrue="1">
      <formula>IF(#REF!&gt;7,0,1)</formula>
    </cfRule>
  </conditionalFormatting>
  <conditionalFormatting sqref="Z24 Z109">
    <cfRule type="expression" dxfId="1546" priority="183" stopIfTrue="1">
      <formula>IF(#REF!&gt;8,0,1)</formula>
    </cfRule>
  </conditionalFormatting>
  <conditionalFormatting sqref="AC24 AC109">
    <cfRule type="expression" dxfId="1545" priority="184" stopIfTrue="1">
      <formula>IF(#REF!&gt;9,0,1)</formula>
    </cfRule>
  </conditionalFormatting>
  <conditionalFormatting sqref="AQ27 AQ112">
    <cfRule type="expression" dxfId="1544" priority="185" stopIfTrue="1">
      <formula>IF(#REF!&gt;3,0,1)</formula>
    </cfRule>
  </conditionalFormatting>
  <conditionalFormatting sqref="E25:G25 E110:G110">
    <cfRule type="expression" dxfId="1543" priority="186" stopIfTrue="1">
      <formula>IF(#REF!&gt;1,0,1)</formula>
    </cfRule>
  </conditionalFormatting>
  <conditionalFormatting sqref="B21:D21 B106:D106">
    <cfRule type="expression" dxfId="1542" priority="187" stopIfTrue="1">
      <formula>IF(#REF!&gt;0,0,1)</formula>
    </cfRule>
  </conditionalFormatting>
  <conditionalFormatting sqref="E21:G21 E106:G106">
    <cfRule type="expression" dxfId="1541" priority="188" stopIfTrue="1">
      <formula>IF(#REF!&gt;1,0,1)</formula>
    </cfRule>
  </conditionalFormatting>
  <conditionalFormatting sqref="H21:J21 H106:J106">
    <cfRule type="expression" dxfId="1540" priority="189" stopIfTrue="1">
      <formula>IF(#REF!&gt;2,0,1)</formula>
    </cfRule>
  </conditionalFormatting>
  <conditionalFormatting sqref="K21:M21 K106:M106">
    <cfRule type="expression" dxfId="1539" priority="190" stopIfTrue="1">
      <formula>IF(#REF!&gt;3,0,1)</formula>
    </cfRule>
  </conditionalFormatting>
  <conditionalFormatting sqref="N21:P21 N106:P106">
    <cfRule type="expression" dxfId="1538" priority="191" stopIfTrue="1">
      <formula>IF(#REF!&gt;4,0,1)</formula>
    </cfRule>
  </conditionalFormatting>
  <conditionalFormatting sqref="Q21:S21 Q106:S106">
    <cfRule type="expression" dxfId="1537" priority="192" stopIfTrue="1">
      <formula>IF(#REF!&gt;5,0,1)</formula>
    </cfRule>
  </conditionalFormatting>
  <conditionalFormatting sqref="T21:V21 T106:V106">
    <cfRule type="expression" dxfId="1536" priority="193" stopIfTrue="1">
      <formula>IF(#REF!&gt;6,0,1)</formula>
    </cfRule>
  </conditionalFormatting>
  <conditionalFormatting sqref="W21:Y21 W106:Y106">
    <cfRule type="expression" dxfId="1535" priority="194" stopIfTrue="1">
      <formula>IF(#REF!&gt;7,0,1)</formula>
    </cfRule>
  </conditionalFormatting>
  <conditionalFormatting sqref="Z21:AB21 Z106:AB106">
    <cfRule type="expression" dxfId="1534" priority="195" stopIfTrue="1">
      <formula>IF(#REF!&gt;8,0,1)</formula>
    </cfRule>
  </conditionalFormatting>
  <conditionalFormatting sqref="AC21:AE21 AC106:AE106">
    <cfRule type="expression" dxfId="1533" priority="196" stopIfTrue="1">
      <formula>IF(#REF!&gt;9,0,1)</formula>
    </cfRule>
  </conditionalFormatting>
  <conditionalFormatting sqref="X224:X225 W215:W216 X215:Y215 W218:Y223 Z219:AE222 AA223:AA225 I223:I225 C224:C225 B215:B216 C215:D215 B218:D223 E219:J222 F223:F225 AD223:AD225">
    <cfRule type="expression" dxfId="1532" priority="197" stopIfTrue="1">
      <formula>IF(#REF!&gt;0,0,1)</formula>
    </cfRule>
  </conditionalFormatting>
  <conditionalFormatting sqref="AA215:AB215 AB223 AA218:AB218 Z223 Z215:Z218 F215:G215 G223 F218:G218 E223 E215:E218">
    <cfRule type="expression" dxfId="1531" priority="198" stopIfTrue="1">
      <formula>IF(#REF!&gt;1,0,1)</formula>
    </cfRule>
  </conditionalFormatting>
  <conditionalFormatting sqref="AC215:AC218 AD215:AE215 AE223 AD218:AE218 AC223 H223 H215:H218 I215:J215 J223 I218:J218">
    <cfRule type="expression" dxfId="1530" priority="199" stopIfTrue="1">
      <formula>IF(#REF!&gt;2,0,1)</formula>
    </cfRule>
  </conditionalFormatting>
  <conditionalFormatting sqref="W224 Y224 B224 D224">
    <cfRule type="expression" dxfId="1529" priority="200" stopIfTrue="1">
      <formula>IF(#REF!&lt;1,1,IF(#REF!&lt;2,1,0))</formula>
    </cfRule>
  </conditionalFormatting>
  <conditionalFormatting sqref="Z224 AB224 E224 G224">
    <cfRule type="expression" dxfId="1528" priority="201" stopIfTrue="1">
      <formula>IF(#REF!&lt;2,1,IF(#REF!&lt;2,1,0))</formula>
    </cfRule>
  </conditionalFormatting>
  <conditionalFormatting sqref="AC224 AE224 H224 J224">
    <cfRule type="expression" dxfId="1527" priority="202" stopIfTrue="1">
      <formula>IF(#REF!&lt;3,1,IF(#REF!&lt;2,1,0))</formula>
    </cfRule>
  </conditionalFormatting>
  <conditionalFormatting sqref="Y225 B225 D225 W225">
    <cfRule type="expression" dxfId="1526" priority="203" stopIfTrue="1">
      <formula>IF(#REF!&lt;1,1,IF(#REF!&lt;3,1,0))</formula>
    </cfRule>
  </conditionalFormatting>
  <conditionalFormatting sqref="AB225 E225 G225 Z225">
    <cfRule type="expression" dxfId="1525" priority="204" stopIfTrue="1">
      <formula>IF(#REF!&lt;2,1,IF(#REF!&lt;3,1,0))</formula>
    </cfRule>
  </conditionalFormatting>
  <conditionalFormatting sqref="AE225 H225 J225 AC225">
    <cfRule type="expression" dxfId="1524" priority="205" stopIfTrue="1">
      <formula>IF(#REF!&lt;3,1,IF(#REF!&lt;3,1,0))</formula>
    </cfRule>
  </conditionalFormatting>
  <conditionalFormatting sqref="AG24:AP28 AG109:AP113">
    <cfRule type="cellIs" dxfId="1523" priority="206" stopIfTrue="1" operator="notBetween">
      <formula>-9999</formula>
      <formula>9999</formula>
    </cfRule>
  </conditionalFormatting>
  <conditionalFormatting sqref="AC7 AC92">
    <cfRule type="expression" dxfId="1522" priority="207" stopIfTrue="1">
      <formula>IF($AK$11=0,1,0)</formula>
    </cfRule>
  </conditionalFormatting>
  <conditionalFormatting sqref="B22:D23 B107:D108">
    <cfRule type="cellIs" dxfId="1521" priority="208" stopIfTrue="1" operator="equal">
      <formula>99</formula>
    </cfRule>
  </conditionalFormatting>
  <conditionalFormatting sqref="X226 AA226 C226 F226">
    <cfRule type="expression" dxfId="1520" priority="209" stopIfTrue="1">
      <formula>IF(#REF!&gt;0,0,1)</formula>
    </cfRule>
  </conditionalFormatting>
  <conditionalFormatting sqref="K215">
    <cfRule type="expression" dxfId="1519" priority="5" stopIfTrue="1">
      <formula>IF(#REF!&gt;2,0,1)</formula>
    </cfRule>
  </conditionalFormatting>
  <conditionalFormatting sqref="K215">
    <cfRule type="expression" dxfId="1518" priority="4" stopIfTrue="1">
      <formula>IF(ISNUMBER(K223),0,1)</formula>
    </cfRule>
  </conditionalFormatting>
  <conditionalFormatting sqref="AF215">
    <cfRule type="expression" dxfId="1517" priority="3" stopIfTrue="1">
      <formula>IF(ISNUMBER(AF223),0,1)</formula>
    </cfRule>
  </conditionalFormatting>
  <conditionalFormatting sqref="B18">
    <cfRule type="expression" dxfId="1516" priority="2" stopIfTrue="1">
      <formula>IF($AK$9&gt;0,0,1)</formula>
    </cfRule>
  </conditionalFormatting>
  <conditionalFormatting sqref="B103">
    <cfRule type="expression" dxfId="1515" priority="1" stopIfTrue="1">
      <formula>IF($AK$9&gt;0,0,1)</formula>
    </cfRule>
  </conditionalFormatting>
  <pageMargins left="0.25" right="0.25" top="0.25" bottom="0.25" header="0" footer="0"/>
  <pageSetup scale="80" fitToHeight="5" orientation="landscape"/>
  <headerFooter alignWithMargins="0"/>
  <rowBreaks count="2" manualBreakCount="2">
    <brk id="90" max="42" man="1"/>
    <brk id="181" max="42" man="1"/>
  </rowBreaks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2">
    <tabColor indexed="11"/>
  </sheetPr>
  <dimension ref="A1:BY430"/>
  <sheetViews>
    <sheetView topLeftCell="H1" zoomScale="70" zoomScaleNormal="70" workbookViewId="0">
      <selection activeCell="AW3" sqref="AW3"/>
    </sheetView>
  </sheetViews>
  <sheetFormatPr defaultColWidth="8.7109375" defaultRowHeight="12.75" x14ac:dyDescent="0.2"/>
  <cols>
    <col min="1" max="1" width="8.7109375" style="134"/>
    <col min="2" max="2" width="3.7109375" style="134" customWidth="1"/>
    <col min="3" max="3" width="2.28515625" style="134" customWidth="1"/>
    <col min="4" max="5" width="3.7109375" style="134" customWidth="1"/>
    <col min="6" max="6" width="2.28515625" style="134" customWidth="1"/>
    <col min="7" max="8" width="3.7109375" style="134" customWidth="1"/>
    <col min="9" max="9" width="2.28515625" style="134" customWidth="1"/>
    <col min="10" max="11" width="3.7109375" style="134" customWidth="1"/>
    <col min="12" max="12" width="2.28515625" style="134" customWidth="1"/>
    <col min="13" max="14" width="3.7109375" style="134" customWidth="1"/>
    <col min="15" max="15" width="2.28515625" style="134" customWidth="1"/>
    <col min="16" max="17" width="3.7109375" style="134" customWidth="1"/>
    <col min="18" max="18" width="2.28515625" style="134" customWidth="1"/>
    <col min="19" max="20" width="3.7109375" style="134" customWidth="1"/>
    <col min="21" max="21" width="2.28515625" style="134" customWidth="1"/>
    <col min="22" max="23" width="3.7109375" style="134" customWidth="1"/>
    <col min="24" max="24" width="2.28515625" style="134" customWidth="1"/>
    <col min="25" max="26" width="3.7109375" style="134" customWidth="1"/>
    <col min="27" max="27" width="2.28515625" style="134" customWidth="1"/>
    <col min="28" max="29" width="3.7109375" style="134" customWidth="1"/>
    <col min="30" max="30" width="2.28515625" style="134" customWidth="1"/>
    <col min="31" max="31" width="3.7109375" style="134" customWidth="1"/>
    <col min="32" max="32" width="9.7109375" style="134" customWidth="1"/>
    <col min="33" max="42" width="3.7109375" style="134" customWidth="1"/>
    <col min="43" max="43" width="11" style="134" customWidth="1"/>
    <col min="44" max="46" width="8.7109375" style="134"/>
    <col min="47" max="47" width="21" style="134" customWidth="1"/>
    <col min="48" max="48" width="24.42578125" style="134" customWidth="1"/>
    <col min="49" max="49" width="14.28515625" style="134" bestFit="1" customWidth="1"/>
    <col min="50" max="50" width="10" style="134" customWidth="1"/>
    <col min="51" max="51" width="10.42578125" style="134" customWidth="1"/>
    <col min="52" max="52" width="25" style="134" customWidth="1"/>
    <col min="53" max="53" width="6" style="134" customWidth="1"/>
    <col min="54" max="16384" width="8.7109375" style="134"/>
  </cols>
  <sheetData>
    <row r="1" spans="1:53" ht="13.5" thickBot="1" x14ac:dyDescent="0.25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131"/>
      <c r="AK1" s="131"/>
      <c r="AL1" s="131"/>
      <c r="AM1" s="131"/>
      <c r="AN1" s="131"/>
      <c r="AO1" s="131"/>
      <c r="AP1" s="131"/>
      <c r="AQ1" s="132" t="s">
        <v>1</v>
      </c>
      <c r="AR1" s="133"/>
      <c r="AT1" s="579" t="s">
        <v>2</v>
      </c>
      <c r="AU1" s="580"/>
      <c r="AV1" s="581"/>
      <c r="AW1" s="135"/>
      <c r="AX1" s="312" t="s">
        <v>3</v>
      </c>
      <c r="AY1" s="313"/>
      <c r="AZ1" s="136" t="s">
        <v>4</v>
      </c>
      <c r="BA1" s="137">
        <v>32</v>
      </c>
    </row>
    <row r="2" spans="1:53" ht="18.75" customHeight="1" thickBot="1" x14ac:dyDescent="0.3">
      <c r="A2" s="314" t="s">
        <v>5</v>
      </c>
      <c r="B2" s="315"/>
      <c r="C2" s="315"/>
      <c r="D2" s="315"/>
      <c r="E2" s="315"/>
      <c r="F2" s="315"/>
      <c r="G2" s="315"/>
      <c r="H2" s="315"/>
      <c r="I2" s="316"/>
      <c r="J2" s="317" t="s">
        <v>6</v>
      </c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9"/>
      <c r="Y2" s="320" t="s">
        <v>7</v>
      </c>
      <c r="Z2" s="321"/>
      <c r="AA2" s="321"/>
      <c r="AB2" s="321"/>
      <c r="AC2" s="322"/>
      <c r="AD2" s="323" t="s">
        <v>168</v>
      </c>
      <c r="AE2" s="323"/>
      <c r="AF2" s="323"/>
      <c r="AG2" s="323"/>
      <c r="AH2" s="323"/>
      <c r="AI2" s="324"/>
      <c r="AJ2" s="138"/>
      <c r="AK2" s="138"/>
      <c r="AL2" s="138"/>
      <c r="AM2" s="138"/>
      <c r="AN2" s="138"/>
      <c r="AO2" s="138"/>
      <c r="AP2" s="138"/>
      <c r="AQ2" s="138"/>
      <c r="AR2" s="133"/>
      <c r="AT2" s="139" t="s">
        <v>9</v>
      </c>
      <c r="AU2" s="140" t="s">
        <v>10</v>
      </c>
      <c r="AV2" s="141" t="s">
        <v>11</v>
      </c>
      <c r="AW2" s="142" t="s">
        <v>12</v>
      </c>
      <c r="AX2" s="143" t="s">
        <v>13</v>
      </c>
      <c r="AY2" s="142" t="s">
        <v>14</v>
      </c>
      <c r="AZ2" s="136" t="s">
        <v>15</v>
      </c>
      <c r="BA2" s="137">
        <v>16</v>
      </c>
    </row>
    <row r="3" spans="1:53" ht="18.75" customHeight="1" thickBot="1" x14ac:dyDescent="0.3">
      <c r="A3" s="144" t="s">
        <v>16</v>
      </c>
      <c r="B3" s="325" t="s">
        <v>185</v>
      </c>
      <c r="C3" s="326"/>
      <c r="D3" s="326"/>
      <c r="E3" s="326"/>
      <c r="F3" s="326"/>
      <c r="G3" s="326"/>
      <c r="H3" s="326"/>
      <c r="I3" s="326"/>
      <c r="J3" s="326"/>
      <c r="K3" s="326"/>
      <c r="L3" s="326"/>
      <c r="M3" s="326"/>
      <c r="N3" s="326"/>
      <c r="O3" s="327"/>
      <c r="P3" s="328" t="s">
        <v>18</v>
      </c>
      <c r="Q3" s="329"/>
      <c r="R3" s="329"/>
      <c r="S3" s="330">
        <v>15</v>
      </c>
      <c r="T3" s="331"/>
      <c r="U3" s="331"/>
      <c r="V3" s="331"/>
      <c r="W3" s="331"/>
      <c r="X3" s="332"/>
      <c r="Y3" s="333" t="s">
        <v>19</v>
      </c>
      <c r="Z3" s="334"/>
      <c r="AA3" s="334"/>
      <c r="AB3" s="334"/>
      <c r="AC3" s="334"/>
      <c r="AD3" s="335"/>
      <c r="AE3" s="336" t="s">
        <v>20</v>
      </c>
      <c r="AF3" s="337"/>
      <c r="AG3" s="338" t="s">
        <v>21</v>
      </c>
      <c r="AH3" s="338"/>
      <c r="AI3" s="339"/>
      <c r="AJ3" s="138"/>
      <c r="AK3" s="138"/>
      <c r="AL3" s="138"/>
      <c r="AM3" s="138"/>
      <c r="AN3" s="138"/>
      <c r="AO3" s="138"/>
      <c r="AP3" s="138"/>
      <c r="AQ3" s="138"/>
      <c r="AR3" s="133"/>
      <c r="AT3" s="145">
        <v>1</v>
      </c>
      <c r="AU3" s="146" t="s">
        <v>186</v>
      </c>
      <c r="AV3" s="146" t="s">
        <v>187</v>
      </c>
      <c r="AW3" s="147">
        <f>VLOOKUP(AV3,Initial!G:K,5,FALSE)</f>
        <v>1967.5899225540977</v>
      </c>
      <c r="AX3" s="148">
        <f>VLOOKUP(AU3,AT$79:AU$83,2,FALSE)</f>
        <v>1894.4161089397094</v>
      </c>
      <c r="AY3" s="149">
        <f>IF(ISNA(VLOOKUP(AU3,AT$96:AU$148,2,FALSE)),AX3,VLOOKUP(AU3,AT$96:AU$148,2,FALSE))</f>
        <v>1882.3588043028437</v>
      </c>
    </row>
    <row r="4" spans="1:53" ht="24" customHeight="1" thickBot="1" x14ac:dyDescent="0.25">
      <c r="A4" s="340" t="s">
        <v>24</v>
      </c>
      <c r="B4" s="341"/>
      <c r="C4" s="341"/>
      <c r="D4" s="342"/>
      <c r="E4" s="343" t="s">
        <v>25</v>
      </c>
      <c r="F4" s="344"/>
      <c r="G4" s="344"/>
      <c r="H4" s="344"/>
      <c r="I4" s="344"/>
      <c r="J4" s="344"/>
      <c r="K4" s="344"/>
      <c r="L4" s="344"/>
      <c r="M4" s="345"/>
      <c r="N4" s="340" t="s">
        <v>26</v>
      </c>
      <c r="O4" s="341"/>
      <c r="P4" s="341"/>
      <c r="Q4" s="342"/>
      <c r="R4" s="346"/>
      <c r="S4" s="323"/>
      <c r="T4" s="323"/>
      <c r="U4" s="323"/>
      <c r="V4" s="323"/>
      <c r="W4" s="323"/>
      <c r="X4" s="323"/>
      <c r="Y4" s="323"/>
      <c r="Z4" s="323"/>
      <c r="AA4" s="324"/>
      <c r="AB4" s="340" t="s">
        <v>27</v>
      </c>
      <c r="AC4" s="341"/>
      <c r="AD4" s="341"/>
      <c r="AE4" s="342"/>
      <c r="AF4" s="346"/>
      <c r="AG4" s="323"/>
      <c r="AH4" s="323"/>
      <c r="AI4" s="324"/>
      <c r="AJ4" s="138"/>
      <c r="AK4" s="138"/>
      <c r="AL4" s="138"/>
      <c r="AM4" s="138"/>
      <c r="AN4" s="138"/>
      <c r="AO4" s="138"/>
      <c r="AP4" s="138"/>
      <c r="AQ4" s="138"/>
      <c r="AR4" s="133"/>
      <c r="AT4" s="150">
        <v>2</v>
      </c>
      <c r="AU4" s="146" t="s">
        <v>188</v>
      </c>
      <c r="AV4" s="146" t="s">
        <v>189</v>
      </c>
      <c r="AW4" s="147">
        <f>VLOOKUP(AV4,Initial!G:K,5,FALSE)</f>
        <v>1962.7309363652487</v>
      </c>
      <c r="AX4" s="151">
        <f>VLOOKUP(AU4,AT$79:AU$83,2,FALSE)</f>
        <v>1969.1203307647224</v>
      </c>
      <c r="AY4" s="152">
        <f>IF(ISNA(VLOOKUP(AU4,AT$96:AU$148,2,FALSE)),AX4,VLOOKUP(AU4,AT$96:AU$148,2,FALSE))</f>
        <v>1968.6719369166094</v>
      </c>
    </row>
    <row r="5" spans="1:53" ht="15.75" thickBot="1" x14ac:dyDescent="0.25">
      <c r="A5" s="131" t="s">
        <v>30</v>
      </c>
      <c r="B5" s="347" t="s">
        <v>30</v>
      </c>
      <c r="C5" s="348"/>
      <c r="D5" s="348"/>
      <c r="E5" s="348"/>
      <c r="F5" s="348"/>
      <c r="G5" s="348"/>
      <c r="H5" s="348"/>
      <c r="I5" s="348"/>
      <c r="J5" s="348"/>
      <c r="K5" s="349" t="s">
        <v>30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49"/>
      <c r="AD5" s="349"/>
      <c r="AE5" s="349"/>
      <c r="AF5" s="131"/>
      <c r="AG5" s="131"/>
      <c r="AH5" s="131"/>
      <c r="AI5" s="131"/>
      <c r="AJ5" s="131"/>
      <c r="AK5" s="131"/>
      <c r="AL5" s="131"/>
      <c r="AM5" s="131"/>
      <c r="AN5" s="131"/>
      <c r="AO5" s="131"/>
      <c r="AP5" s="131"/>
      <c r="AQ5" s="131"/>
      <c r="AR5" s="133"/>
      <c r="AT5" s="150">
        <v>3</v>
      </c>
      <c r="AU5" s="146" t="s">
        <v>190</v>
      </c>
      <c r="AV5" s="146" t="s">
        <v>191</v>
      </c>
      <c r="AW5" s="147">
        <f>VLOOKUP(AV5,Initial!G:K,5,FALSE)</f>
        <v>1937.3837972359004</v>
      </c>
      <c r="AX5" s="151">
        <f>VLOOKUP(AU5,AT$79:AU$83,2,FALSE)</f>
        <v>1981.8295574852148</v>
      </c>
      <c r="AY5" s="152">
        <f>IF(ISNA(VLOOKUP(AU5,AT$96:AU$148,2,FALSE)),AX5,VLOOKUP(AU5,AT$96:AU$148,2,FALSE))</f>
        <v>2009.442133194488</v>
      </c>
    </row>
    <row r="6" spans="1:53" ht="24" customHeight="1" thickBot="1" x14ac:dyDescent="0.25">
      <c r="A6" s="153" t="s">
        <v>33</v>
      </c>
      <c r="B6" s="154" t="s">
        <v>34</v>
      </c>
      <c r="C6" s="350" t="s">
        <v>35</v>
      </c>
      <c r="D6" s="351"/>
      <c r="E6" s="351"/>
      <c r="F6" s="351"/>
      <c r="G6" s="351"/>
      <c r="H6" s="352"/>
      <c r="I6" s="353">
        <v>2</v>
      </c>
      <c r="J6" s="354"/>
      <c r="K6" s="355" t="str">
        <f>"Pool "&amp;B6&amp;" - Round 1 - Court "&amp;I6</f>
        <v>Pool A - Round 1 - Court 2</v>
      </c>
      <c r="L6" s="356"/>
      <c r="M6" s="356"/>
      <c r="N6" s="356"/>
      <c r="O6" s="356"/>
      <c r="P6" s="356"/>
      <c r="Q6" s="356"/>
      <c r="R6" s="356"/>
      <c r="S6" s="356"/>
      <c r="T6" s="356"/>
      <c r="U6" s="356"/>
      <c r="V6" s="356"/>
      <c r="W6" s="356"/>
      <c r="X6" s="356"/>
      <c r="Y6" s="356"/>
      <c r="Z6" s="356"/>
      <c r="AA6" s="356"/>
      <c r="AB6" s="356"/>
      <c r="AC6" s="356"/>
      <c r="AD6" s="356"/>
      <c r="AE6" s="356"/>
      <c r="AF6" s="356"/>
      <c r="AG6" s="356"/>
      <c r="AH6" s="356"/>
      <c r="AI6" s="357"/>
      <c r="AJ6" s="138"/>
      <c r="AK6" s="138"/>
      <c r="AL6" s="138"/>
      <c r="AM6" s="138"/>
      <c r="AN6" s="138"/>
      <c r="AO6" s="138"/>
      <c r="AP6" s="138"/>
      <c r="AQ6" s="138"/>
      <c r="AT6" s="150">
        <v>4</v>
      </c>
      <c r="AU6" s="146" t="s">
        <v>192</v>
      </c>
      <c r="AV6" s="146" t="s">
        <v>193</v>
      </c>
      <c r="AW6" s="147">
        <f>VLOOKUP(AV6,Initial!G:K,5,FALSE)</f>
        <v>1881.9594079860281</v>
      </c>
      <c r="AX6" s="151">
        <f>VLOOKUP(AU6,AT$79:AU$83,2,FALSE)</f>
        <v>1949.7062352518919</v>
      </c>
      <c r="AY6" s="152">
        <f>IF(ISNA(VLOOKUP(AU6,AT$96:AU$148,2,FALSE)),AX6,VLOOKUP(AU6,AT$96:AU$148,2,FALSE))</f>
        <v>1934.5993580275974</v>
      </c>
    </row>
    <row r="7" spans="1:53" ht="27" customHeight="1" thickBot="1" x14ac:dyDescent="0.25">
      <c r="A7" s="155" t="s">
        <v>38</v>
      </c>
      <c r="B7" s="358" t="s">
        <v>10</v>
      </c>
      <c r="C7" s="359"/>
      <c r="D7" s="359"/>
      <c r="E7" s="359"/>
      <c r="F7" s="359"/>
      <c r="G7" s="359"/>
      <c r="H7" s="359"/>
      <c r="I7" s="359"/>
      <c r="J7" s="359"/>
      <c r="K7" s="359"/>
      <c r="L7" s="358" t="str">
        <f>IF($AK10=0,"Games Won","Matches Won")</f>
        <v>Games Won</v>
      </c>
      <c r="M7" s="359"/>
      <c r="N7" s="359"/>
      <c r="O7" s="359"/>
      <c r="P7" s="359"/>
      <c r="Q7" s="360"/>
      <c r="R7" s="358" t="str">
        <f>IF($AK10=0,"Games Lost","Matches Lost")</f>
        <v>Games Lost</v>
      </c>
      <c r="S7" s="361"/>
      <c r="T7" s="361"/>
      <c r="U7" s="361"/>
      <c r="V7" s="362"/>
      <c r="W7" s="363" t="s">
        <v>39</v>
      </c>
      <c r="X7" s="364"/>
      <c r="Y7" s="365"/>
      <c r="Z7" s="363" t="s">
        <v>40</v>
      </c>
      <c r="AA7" s="364"/>
      <c r="AB7" s="365"/>
      <c r="AC7" s="366" t="s">
        <v>41</v>
      </c>
      <c r="AD7" s="367"/>
      <c r="AE7" s="368"/>
      <c r="AF7" s="156" t="s">
        <v>42</v>
      </c>
      <c r="AG7" s="157" t="s">
        <v>9</v>
      </c>
      <c r="AH7" s="369" t="s">
        <v>43</v>
      </c>
      <c r="AI7" s="370"/>
      <c r="AJ7" s="158"/>
      <c r="AK7" s="159">
        <v>2</v>
      </c>
      <c r="AL7" s="160" t="s">
        <v>44</v>
      </c>
      <c r="AM7" s="160"/>
      <c r="AN7" s="160"/>
      <c r="AO7" s="160"/>
      <c r="AP7" s="160"/>
      <c r="AQ7" s="160"/>
      <c r="AR7" s="161"/>
      <c r="AT7" s="162">
        <v>5</v>
      </c>
      <c r="AU7" s="146" t="s">
        <v>194</v>
      </c>
      <c r="AV7" s="146" t="s">
        <v>195</v>
      </c>
      <c r="AW7" s="147">
        <f>VLOOKUP(AV7,Initial!G:K,5,FALSE)</f>
        <v>1815.1405956068922</v>
      </c>
      <c r="AX7" s="163">
        <f>VLOOKUP(AU7,AT$79:AU$83,2,FALSE)</f>
        <v>1769.7324273066286</v>
      </c>
      <c r="AY7" s="164">
        <f>IF(ISNA(VLOOKUP(AU7,AT$96:AU$148,2,FALSE)),AX7,VLOOKUP(AU7,AT$96:AU$148,2,FALSE))</f>
        <v>1769.7324273066286</v>
      </c>
    </row>
    <row r="8" spans="1:53" ht="18.75" customHeight="1" x14ac:dyDescent="0.2">
      <c r="A8" s="371" t="str">
        <f>IF($AK9&gt;0,"1","")</f>
        <v>1</v>
      </c>
      <c r="B8" s="373" t="s">
        <v>10</v>
      </c>
      <c r="C8" s="374"/>
      <c r="D8" s="375"/>
      <c r="E8" s="376" t="str">
        <f>AU3</f>
        <v>OLC 15s Purple</v>
      </c>
      <c r="F8" s="377"/>
      <c r="G8" s="377"/>
      <c r="H8" s="377"/>
      <c r="I8" s="377"/>
      <c r="J8" s="377"/>
      <c r="K8" s="378"/>
      <c r="L8" s="379">
        <f>IF($AK10=0,AF64,AF46)</f>
        <v>2</v>
      </c>
      <c r="M8" s="380"/>
      <c r="N8" s="380"/>
      <c r="O8" s="380"/>
      <c r="P8" s="380"/>
      <c r="Q8" s="360"/>
      <c r="R8" s="379">
        <f>IF($AK10=0,AG64,AG46)</f>
        <v>6</v>
      </c>
      <c r="S8" s="380"/>
      <c r="T8" s="380"/>
      <c r="U8" s="380"/>
      <c r="V8" s="380"/>
      <c r="W8" s="379">
        <f>AQ24</f>
        <v>-18</v>
      </c>
      <c r="X8" s="380"/>
      <c r="Y8" s="380"/>
      <c r="Z8" s="383">
        <f>IF(AF58&gt;0,(AQ24/AF58),0)</f>
        <v>-8.8669950738916259E-2</v>
      </c>
      <c r="AA8" s="384"/>
      <c r="AB8" s="384"/>
      <c r="AC8" s="387">
        <f>IF(AF72=0,0,(AF64/AF72))</f>
        <v>0.25</v>
      </c>
      <c r="AD8" s="388"/>
      <c r="AE8" s="389"/>
      <c r="AF8" s="393">
        <v>4</v>
      </c>
      <c r="AG8" s="393">
        <v>1</v>
      </c>
      <c r="AH8" s="395">
        <v>1</v>
      </c>
      <c r="AI8" s="396"/>
      <c r="AJ8" s="158"/>
      <c r="AK8" s="159">
        <v>10</v>
      </c>
      <c r="AL8" s="160" t="s">
        <v>47</v>
      </c>
      <c r="AM8" s="160"/>
      <c r="AN8" s="160"/>
      <c r="AO8" s="160"/>
      <c r="AP8" s="160"/>
      <c r="AQ8" s="160"/>
      <c r="AR8" s="161"/>
      <c r="AT8" s="408" t="s">
        <v>62</v>
      </c>
      <c r="AU8" s="409"/>
      <c r="AV8" s="409"/>
      <c r="AW8" s="409"/>
      <c r="AX8" s="409"/>
      <c r="AY8" s="410"/>
    </row>
    <row r="9" spans="1:53" ht="18.75" customHeight="1" thickBot="1" x14ac:dyDescent="0.25">
      <c r="A9" s="372"/>
      <c r="B9" s="399" t="s">
        <v>11</v>
      </c>
      <c r="C9" s="400"/>
      <c r="D9" s="401"/>
      <c r="E9" s="402" t="str">
        <f>AV3</f>
        <v>fj5ladyc1pm</v>
      </c>
      <c r="F9" s="403"/>
      <c r="G9" s="403"/>
      <c r="H9" s="403"/>
      <c r="I9" s="403"/>
      <c r="J9" s="403"/>
      <c r="K9" s="403"/>
      <c r="L9" s="381"/>
      <c r="M9" s="382"/>
      <c r="N9" s="382"/>
      <c r="O9" s="382"/>
      <c r="P9" s="382"/>
      <c r="Q9" s="360"/>
      <c r="R9" s="381"/>
      <c r="S9" s="382"/>
      <c r="T9" s="382"/>
      <c r="U9" s="382"/>
      <c r="V9" s="382"/>
      <c r="W9" s="381"/>
      <c r="X9" s="382"/>
      <c r="Y9" s="382"/>
      <c r="Z9" s="385"/>
      <c r="AA9" s="386"/>
      <c r="AB9" s="386"/>
      <c r="AC9" s="390"/>
      <c r="AD9" s="391"/>
      <c r="AE9" s="392"/>
      <c r="AF9" s="394"/>
      <c r="AG9" s="394"/>
      <c r="AH9" s="397"/>
      <c r="AI9" s="398"/>
      <c r="AJ9" s="158"/>
      <c r="AK9" s="159">
        <v>5</v>
      </c>
      <c r="AL9" s="160" t="s">
        <v>50</v>
      </c>
      <c r="AM9" s="158"/>
      <c r="AN9" s="158"/>
      <c r="AO9" s="158"/>
      <c r="AP9" s="158"/>
      <c r="AQ9" s="158"/>
      <c r="AR9" s="133"/>
      <c r="AT9" s="411"/>
      <c r="AU9" s="412"/>
      <c r="AV9" s="412"/>
      <c r="AW9" s="412"/>
      <c r="AX9" s="412"/>
      <c r="AY9" s="413"/>
    </row>
    <row r="10" spans="1:53" ht="18.75" customHeight="1" x14ac:dyDescent="0.2">
      <c r="A10" s="371" t="str">
        <f>IF($AK9&gt;1,"2","")</f>
        <v>2</v>
      </c>
      <c r="B10" s="373" t="s">
        <v>10</v>
      </c>
      <c r="C10" s="374"/>
      <c r="D10" s="375"/>
      <c r="E10" s="376" t="str">
        <f>AU4</f>
        <v>Kershaw 15 Black</v>
      </c>
      <c r="F10" s="377"/>
      <c r="G10" s="377"/>
      <c r="H10" s="377"/>
      <c r="I10" s="377"/>
      <c r="J10" s="377"/>
      <c r="K10" s="378"/>
      <c r="L10" s="379">
        <f>IF($AK10=0,AF65,AF47)</f>
        <v>5</v>
      </c>
      <c r="M10" s="380"/>
      <c r="N10" s="380"/>
      <c r="O10" s="380"/>
      <c r="P10" s="380"/>
      <c r="Q10" s="360"/>
      <c r="R10" s="379">
        <f>IF($AK10=0,AG65,AG47)</f>
        <v>3</v>
      </c>
      <c r="S10" s="380"/>
      <c r="T10" s="380"/>
      <c r="U10" s="380"/>
      <c r="V10" s="380"/>
      <c r="W10" s="379">
        <f>AQ25</f>
        <v>-1</v>
      </c>
      <c r="X10" s="380"/>
      <c r="Y10" s="380"/>
      <c r="Z10" s="383">
        <f>IF(AF59&gt;0,(AQ25/AF59),0)</f>
        <v>-4.9261083743842365E-3</v>
      </c>
      <c r="AA10" s="384"/>
      <c r="AB10" s="384"/>
      <c r="AC10" s="387">
        <f>IF(AF73=0,0,(AF65/AF73))</f>
        <v>0.625</v>
      </c>
      <c r="AD10" s="388"/>
      <c r="AE10" s="389"/>
      <c r="AF10" s="393">
        <v>3</v>
      </c>
      <c r="AG10" s="393">
        <v>1</v>
      </c>
      <c r="AH10" s="395">
        <v>2</v>
      </c>
      <c r="AI10" s="396"/>
      <c r="AJ10" s="158"/>
      <c r="AK10" s="159">
        <v>0</v>
      </c>
      <c r="AL10" s="160" t="s">
        <v>53</v>
      </c>
      <c r="AM10" s="160"/>
      <c r="AN10" s="160"/>
      <c r="AO10" s="160"/>
      <c r="AP10" s="160"/>
      <c r="AQ10" s="160"/>
      <c r="AR10" s="161"/>
    </row>
    <row r="11" spans="1:53" ht="18.75" customHeight="1" thickBot="1" x14ac:dyDescent="0.25">
      <c r="A11" s="372"/>
      <c r="B11" s="404" t="s">
        <v>11</v>
      </c>
      <c r="C11" s="405"/>
      <c r="D11" s="405"/>
      <c r="E11" s="402" t="str">
        <f>AV4</f>
        <v>fj5kersh1pm</v>
      </c>
      <c r="F11" s="403"/>
      <c r="G11" s="403"/>
      <c r="H11" s="403"/>
      <c r="I11" s="403"/>
      <c r="J11" s="403"/>
      <c r="K11" s="403"/>
      <c r="L11" s="381"/>
      <c r="M11" s="382"/>
      <c r="N11" s="382"/>
      <c r="O11" s="382"/>
      <c r="P11" s="382"/>
      <c r="Q11" s="360"/>
      <c r="R11" s="381"/>
      <c r="S11" s="382"/>
      <c r="T11" s="382"/>
      <c r="U11" s="382"/>
      <c r="V11" s="382"/>
      <c r="W11" s="381"/>
      <c r="X11" s="382"/>
      <c r="Y11" s="382"/>
      <c r="Z11" s="385"/>
      <c r="AA11" s="386"/>
      <c r="AB11" s="386"/>
      <c r="AC11" s="390"/>
      <c r="AD11" s="391"/>
      <c r="AE11" s="392"/>
      <c r="AF11" s="394"/>
      <c r="AG11" s="394"/>
      <c r="AH11" s="397"/>
      <c r="AI11" s="398"/>
      <c r="AJ11" s="158"/>
      <c r="AK11" s="159">
        <v>1</v>
      </c>
      <c r="AL11" s="160" t="s">
        <v>56</v>
      </c>
      <c r="AM11" s="158"/>
      <c r="AN11" s="158"/>
      <c r="AO11" s="158"/>
      <c r="AP11" s="158"/>
      <c r="AQ11" s="158"/>
      <c r="AR11" s="133"/>
      <c r="AT11" s="165"/>
      <c r="AU11" s="166"/>
      <c r="AV11" s="166"/>
    </row>
    <row r="12" spans="1:53" ht="18.75" customHeight="1" x14ac:dyDescent="0.2">
      <c r="A12" s="371" t="str">
        <f>IF($AK9&gt;2,"3","")</f>
        <v>3</v>
      </c>
      <c r="B12" s="406" t="s">
        <v>10</v>
      </c>
      <c r="C12" s="407"/>
      <c r="D12" s="407"/>
      <c r="E12" s="376" t="str">
        <f>AU5</f>
        <v>Intense 15 Regional Elite</v>
      </c>
      <c r="F12" s="377"/>
      <c r="G12" s="377"/>
      <c r="H12" s="377"/>
      <c r="I12" s="377"/>
      <c r="J12" s="377"/>
      <c r="K12" s="378"/>
      <c r="L12" s="379">
        <f>IF($AK10=0,AF66,AF48)</f>
        <v>6</v>
      </c>
      <c r="M12" s="380"/>
      <c r="N12" s="380"/>
      <c r="O12" s="380"/>
      <c r="P12" s="380"/>
      <c r="Q12" s="360"/>
      <c r="R12" s="379">
        <f>IF($AK10=0,AG66,AG48)</f>
        <v>2</v>
      </c>
      <c r="S12" s="380"/>
      <c r="T12" s="380"/>
      <c r="U12" s="380"/>
      <c r="V12" s="380"/>
      <c r="W12" s="379">
        <f>AQ26</f>
        <v>24</v>
      </c>
      <c r="X12" s="380"/>
      <c r="Y12" s="380"/>
      <c r="Z12" s="383">
        <f>IF(AF60&gt;0,(AQ26/AF60),0)</f>
        <v>0.12</v>
      </c>
      <c r="AA12" s="384"/>
      <c r="AB12" s="384"/>
      <c r="AC12" s="387">
        <f>IF(AF74=0,0,(AF66/AF74))</f>
        <v>0.75</v>
      </c>
      <c r="AD12" s="388"/>
      <c r="AE12" s="389"/>
      <c r="AF12" s="393">
        <v>1</v>
      </c>
      <c r="AG12" s="393">
        <v>3</v>
      </c>
      <c r="AH12" s="395"/>
      <c r="AI12" s="396"/>
      <c r="AJ12" s="167"/>
      <c r="AK12" s="159">
        <v>8</v>
      </c>
      <c r="AL12" s="168" t="s">
        <v>59</v>
      </c>
      <c r="AM12" s="160"/>
      <c r="AN12" s="160"/>
      <c r="AO12" s="160"/>
      <c r="AP12" s="160"/>
      <c r="AQ12" s="160"/>
      <c r="AR12" s="161"/>
      <c r="AT12" s="165"/>
      <c r="AU12" s="166"/>
      <c r="AV12" s="166"/>
    </row>
    <row r="13" spans="1:53" ht="18.75" customHeight="1" thickBot="1" x14ac:dyDescent="0.25">
      <c r="A13" s="372"/>
      <c r="B13" s="404" t="s">
        <v>11</v>
      </c>
      <c r="C13" s="405"/>
      <c r="D13" s="405"/>
      <c r="E13" s="402" t="str">
        <f>AV5</f>
        <v>fj5inten2pm</v>
      </c>
      <c r="F13" s="403"/>
      <c r="G13" s="403"/>
      <c r="H13" s="403"/>
      <c r="I13" s="403"/>
      <c r="J13" s="403"/>
      <c r="K13" s="403"/>
      <c r="L13" s="381"/>
      <c r="M13" s="382"/>
      <c r="N13" s="382"/>
      <c r="O13" s="382"/>
      <c r="P13" s="382"/>
      <c r="Q13" s="360"/>
      <c r="R13" s="381"/>
      <c r="S13" s="382"/>
      <c r="T13" s="382"/>
      <c r="U13" s="382"/>
      <c r="V13" s="382"/>
      <c r="W13" s="381"/>
      <c r="X13" s="382"/>
      <c r="Y13" s="382"/>
      <c r="Z13" s="385"/>
      <c r="AA13" s="386"/>
      <c r="AB13" s="386"/>
      <c r="AC13" s="390"/>
      <c r="AD13" s="391"/>
      <c r="AE13" s="392"/>
      <c r="AF13" s="394"/>
      <c r="AG13" s="394"/>
      <c r="AH13" s="397"/>
      <c r="AI13" s="398"/>
      <c r="AJ13" s="167"/>
      <c r="AK13" s="169"/>
      <c r="AL13" s="170"/>
      <c r="AM13" s="170"/>
      <c r="AN13" s="170"/>
      <c r="AO13" s="170"/>
      <c r="AP13" s="170"/>
      <c r="AQ13" s="158"/>
      <c r="AR13" s="133"/>
      <c r="AT13" s="165"/>
      <c r="AU13" s="166"/>
      <c r="AV13" s="166"/>
    </row>
    <row r="14" spans="1:53" ht="18.75" customHeight="1" x14ac:dyDescent="0.2">
      <c r="A14" s="371" t="str">
        <f>IF($AK9&gt;3,"4","")</f>
        <v>4</v>
      </c>
      <c r="B14" s="406" t="s">
        <v>10</v>
      </c>
      <c r="C14" s="407"/>
      <c r="D14" s="407"/>
      <c r="E14" s="376" t="str">
        <f>AU6</f>
        <v>Augusta Elite 15U</v>
      </c>
      <c r="F14" s="377"/>
      <c r="G14" s="377"/>
      <c r="H14" s="377"/>
      <c r="I14" s="377"/>
      <c r="J14" s="377"/>
      <c r="K14" s="378"/>
      <c r="L14" s="379">
        <f>IF($AK10=0,AF67,AF49)</f>
        <v>6</v>
      </c>
      <c r="M14" s="380"/>
      <c r="N14" s="380"/>
      <c r="O14" s="380"/>
      <c r="P14" s="380"/>
      <c r="Q14" s="360"/>
      <c r="R14" s="379">
        <f>IF($AK10=0,AG67,AG49)</f>
        <v>2</v>
      </c>
      <c r="S14" s="380"/>
      <c r="T14" s="380"/>
      <c r="U14" s="380"/>
      <c r="V14" s="380"/>
      <c r="W14" s="379">
        <f>AQ27</f>
        <v>19</v>
      </c>
      <c r="X14" s="380"/>
      <c r="Y14" s="380"/>
      <c r="Z14" s="383">
        <f>IF(AF61&gt;0,(AQ27/AF61),0)</f>
        <v>9.5000000000000001E-2</v>
      </c>
      <c r="AA14" s="384"/>
      <c r="AB14" s="384"/>
      <c r="AC14" s="387">
        <f>IF(AF75=0,0,(AF67/AF75))</f>
        <v>0.75</v>
      </c>
      <c r="AD14" s="388"/>
      <c r="AE14" s="389"/>
      <c r="AF14" s="393">
        <v>2</v>
      </c>
      <c r="AG14" s="393">
        <v>3</v>
      </c>
      <c r="AH14" s="395"/>
      <c r="AI14" s="396"/>
      <c r="AJ14" s="138"/>
      <c r="AK14" s="170"/>
      <c r="AL14" s="170"/>
      <c r="AM14" s="170"/>
      <c r="AN14" s="170"/>
      <c r="AO14" s="170"/>
      <c r="AP14" s="170"/>
      <c r="AQ14" s="160"/>
      <c r="AR14" s="161"/>
      <c r="AT14" s="165"/>
      <c r="AU14" s="166"/>
      <c r="AV14" s="166"/>
    </row>
    <row r="15" spans="1:53" ht="18.75" customHeight="1" thickBot="1" x14ac:dyDescent="0.25">
      <c r="A15" s="372"/>
      <c r="B15" s="404" t="s">
        <v>11</v>
      </c>
      <c r="C15" s="405"/>
      <c r="D15" s="405"/>
      <c r="E15" s="402" t="str">
        <f>AV6</f>
        <v>fj5aelit1pm</v>
      </c>
      <c r="F15" s="403"/>
      <c r="G15" s="403"/>
      <c r="H15" s="403"/>
      <c r="I15" s="403"/>
      <c r="J15" s="403"/>
      <c r="K15" s="403"/>
      <c r="L15" s="381"/>
      <c r="M15" s="382"/>
      <c r="N15" s="382"/>
      <c r="O15" s="382"/>
      <c r="P15" s="382"/>
      <c r="Q15" s="360"/>
      <c r="R15" s="381"/>
      <c r="S15" s="382"/>
      <c r="T15" s="382"/>
      <c r="U15" s="382"/>
      <c r="V15" s="382"/>
      <c r="W15" s="381"/>
      <c r="X15" s="382"/>
      <c r="Y15" s="382"/>
      <c r="Z15" s="385"/>
      <c r="AA15" s="386"/>
      <c r="AB15" s="386"/>
      <c r="AC15" s="390"/>
      <c r="AD15" s="391"/>
      <c r="AE15" s="392"/>
      <c r="AF15" s="394"/>
      <c r="AG15" s="394"/>
      <c r="AH15" s="397"/>
      <c r="AI15" s="398"/>
      <c r="AJ15" s="138"/>
      <c r="AK15" s="170"/>
      <c r="AL15" s="170"/>
      <c r="AM15" s="170"/>
      <c r="AN15" s="170"/>
      <c r="AO15" s="170"/>
      <c r="AP15" s="170"/>
      <c r="AQ15" s="138"/>
      <c r="AR15" s="133"/>
      <c r="AT15" s="165"/>
      <c r="AU15" s="166"/>
      <c r="AV15" s="166"/>
    </row>
    <row r="16" spans="1:53" ht="18.75" customHeight="1" x14ac:dyDescent="0.2">
      <c r="A16" s="371" t="str">
        <f>IF($AK9&gt;4,"5","")</f>
        <v>5</v>
      </c>
      <c r="B16" s="406" t="s">
        <v>10</v>
      </c>
      <c r="C16" s="407"/>
      <c r="D16" s="407"/>
      <c r="E16" s="376" t="str">
        <f>AU7</f>
        <v>CSRA Heat 15 Red</v>
      </c>
      <c r="F16" s="377"/>
      <c r="G16" s="377"/>
      <c r="H16" s="377"/>
      <c r="I16" s="377"/>
      <c r="J16" s="377"/>
      <c r="K16" s="378"/>
      <c r="L16" s="379">
        <f>IF($AK10=0,AF68,AF50)</f>
        <v>1</v>
      </c>
      <c r="M16" s="380"/>
      <c r="N16" s="380"/>
      <c r="O16" s="380"/>
      <c r="P16" s="380"/>
      <c r="Q16" s="360"/>
      <c r="R16" s="379">
        <f>IF($AK10=0,AG68,AG50)</f>
        <v>7</v>
      </c>
      <c r="S16" s="380"/>
      <c r="T16" s="380"/>
      <c r="U16" s="380"/>
      <c r="V16" s="380"/>
      <c r="W16" s="379">
        <f>AQ28</f>
        <v>-24</v>
      </c>
      <c r="X16" s="380"/>
      <c r="Y16" s="380"/>
      <c r="Z16" s="383">
        <f>IF(AF62&gt;0,(AQ28/AF62),0)</f>
        <v>-0.12</v>
      </c>
      <c r="AA16" s="384"/>
      <c r="AB16" s="384"/>
      <c r="AC16" s="387">
        <f>IF(AF76=0,0,(AF68/AF76))</f>
        <v>0.125</v>
      </c>
      <c r="AD16" s="388"/>
      <c r="AE16" s="389"/>
      <c r="AF16" s="393">
        <v>5</v>
      </c>
      <c r="AG16" s="393">
        <v>1</v>
      </c>
      <c r="AH16" s="395"/>
      <c r="AI16" s="396"/>
      <c r="AJ16" s="138"/>
      <c r="AK16" s="170"/>
      <c r="AL16" s="170"/>
      <c r="AM16" s="170"/>
      <c r="AN16" s="170"/>
      <c r="AO16" s="170"/>
      <c r="AP16" s="170"/>
      <c r="AQ16" s="138"/>
      <c r="AR16" s="133"/>
      <c r="AT16" s="165"/>
      <c r="AU16" s="166"/>
      <c r="AV16" s="166"/>
    </row>
    <row r="17" spans="1:48" ht="18.75" customHeight="1" thickBot="1" x14ac:dyDescent="0.25">
      <c r="A17" s="372"/>
      <c r="B17" s="424" t="s">
        <v>11</v>
      </c>
      <c r="C17" s="425"/>
      <c r="D17" s="425"/>
      <c r="E17" s="426" t="str">
        <f>AV7</f>
        <v>fj5csrah3pm</v>
      </c>
      <c r="F17" s="427"/>
      <c r="G17" s="427"/>
      <c r="H17" s="427"/>
      <c r="I17" s="427"/>
      <c r="J17" s="427"/>
      <c r="K17" s="427"/>
      <c r="L17" s="414"/>
      <c r="M17" s="415"/>
      <c r="N17" s="415"/>
      <c r="O17" s="415"/>
      <c r="P17" s="415"/>
      <c r="Q17" s="360"/>
      <c r="R17" s="414"/>
      <c r="S17" s="415"/>
      <c r="T17" s="415"/>
      <c r="U17" s="415"/>
      <c r="V17" s="415"/>
      <c r="W17" s="414"/>
      <c r="X17" s="415"/>
      <c r="Y17" s="415"/>
      <c r="Z17" s="416"/>
      <c r="AA17" s="417"/>
      <c r="AB17" s="417"/>
      <c r="AC17" s="418"/>
      <c r="AD17" s="419"/>
      <c r="AE17" s="420"/>
      <c r="AF17" s="421"/>
      <c r="AG17" s="421"/>
      <c r="AH17" s="422"/>
      <c r="AI17" s="423"/>
      <c r="AJ17" s="138"/>
      <c r="AK17" s="170"/>
      <c r="AL17" s="170"/>
      <c r="AM17" s="170"/>
      <c r="AN17" s="170"/>
      <c r="AO17" s="170"/>
      <c r="AP17" s="170"/>
      <c r="AQ17" s="138"/>
      <c r="AR17" s="133"/>
      <c r="AT17" s="171"/>
      <c r="AU17" s="166"/>
      <c r="AV17" s="166"/>
    </row>
    <row r="18" spans="1:48" ht="21" customHeight="1" thickTop="1" thickBot="1" x14ac:dyDescent="0.25">
      <c r="A18" s="172"/>
      <c r="B18" s="428" t="s">
        <v>63</v>
      </c>
      <c r="C18" s="429"/>
      <c r="D18" s="429"/>
      <c r="E18" s="429"/>
      <c r="F18" s="429"/>
      <c r="G18" s="429"/>
      <c r="H18" s="429"/>
      <c r="I18" s="429"/>
      <c r="J18" s="429"/>
      <c r="K18" s="429"/>
      <c r="L18" s="429"/>
      <c r="M18" s="429"/>
      <c r="N18" s="429"/>
      <c r="O18" s="429"/>
      <c r="P18" s="429"/>
      <c r="Q18" s="429"/>
      <c r="R18" s="429"/>
      <c r="S18" s="429"/>
      <c r="T18" s="429"/>
      <c r="U18" s="429"/>
      <c r="V18" s="429"/>
      <c r="W18" s="429"/>
      <c r="X18" s="429"/>
      <c r="Y18" s="429"/>
      <c r="Z18" s="429"/>
      <c r="AA18" s="429"/>
      <c r="AB18" s="429"/>
      <c r="AC18" s="429"/>
      <c r="AD18" s="429"/>
      <c r="AE18" s="429"/>
      <c r="AF18" s="429"/>
      <c r="AG18" s="429"/>
      <c r="AH18" s="429"/>
      <c r="AI18" s="430"/>
      <c r="AJ18" s="138"/>
      <c r="AK18" s="170"/>
      <c r="AL18" s="170"/>
      <c r="AM18" s="170"/>
      <c r="AN18" s="170"/>
      <c r="AO18" s="170"/>
      <c r="AP18" s="170"/>
      <c r="AQ18" s="138"/>
      <c r="AR18" s="133"/>
      <c r="AT18" s="171"/>
      <c r="AU18" s="166"/>
      <c r="AV18" s="166"/>
    </row>
    <row r="19" spans="1:48" ht="13.5" thickTop="1" x14ac:dyDescent="0.2">
      <c r="A19" s="134" t="s">
        <v>64</v>
      </c>
      <c r="B19" s="431">
        <v>0.35416666666666669</v>
      </c>
      <c r="C19" s="432"/>
      <c r="D19" s="433"/>
      <c r="E19" s="431">
        <v>0.38541666666666669</v>
      </c>
      <c r="F19" s="432"/>
      <c r="G19" s="433"/>
      <c r="H19" s="431">
        <v>0.41666666666666669</v>
      </c>
      <c r="I19" s="432"/>
      <c r="J19" s="433"/>
      <c r="K19" s="431">
        <v>0.44791666666666669</v>
      </c>
      <c r="L19" s="432"/>
      <c r="M19" s="433"/>
      <c r="N19" s="431">
        <v>0.47916666666666669</v>
      </c>
      <c r="O19" s="432"/>
      <c r="P19" s="433"/>
      <c r="Q19" s="431">
        <v>0.51041666666666663</v>
      </c>
      <c r="R19" s="432"/>
      <c r="S19" s="433"/>
      <c r="T19" s="431">
        <v>4.1666666666666664E-2</v>
      </c>
      <c r="U19" s="432"/>
      <c r="V19" s="433"/>
      <c r="W19" s="431">
        <v>7.2916666666666671E-2</v>
      </c>
      <c r="X19" s="432"/>
      <c r="Y19" s="433"/>
      <c r="Z19" s="431">
        <v>0.10416666666666667</v>
      </c>
      <c r="AA19" s="432"/>
      <c r="AB19" s="433"/>
      <c r="AC19" s="431">
        <v>0.13541666666666666</v>
      </c>
      <c r="AD19" s="432"/>
      <c r="AE19" s="433"/>
      <c r="AF19" s="434" t="s">
        <v>65</v>
      </c>
      <c r="AG19" s="435"/>
      <c r="AH19" s="435"/>
      <c r="AI19" s="435"/>
      <c r="AJ19" s="436"/>
      <c r="AK19" s="436"/>
      <c r="AL19" s="436"/>
      <c r="AM19" s="436"/>
      <c r="AN19" s="436"/>
      <c r="AO19" s="436"/>
      <c r="AP19" s="436"/>
      <c r="AQ19" s="437"/>
      <c r="AT19" s="171"/>
      <c r="AU19" s="166"/>
      <c r="AV19" s="166"/>
    </row>
    <row r="20" spans="1:48" x14ac:dyDescent="0.2">
      <c r="A20" s="173" t="s">
        <v>66</v>
      </c>
      <c r="B20" s="442">
        <v>0.36041666666666666</v>
      </c>
      <c r="C20" s="443"/>
      <c r="D20" s="444"/>
      <c r="E20" s="442">
        <v>0.3923611111111111</v>
      </c>
      <c r="F20" s="443"/>
      <c r="G20" s="444"/>
      <c r="H20" s="442">
        <v>0.42569444444444443</v>
      </c>
      <c r="I20" s="443"/>
      <c r="J20" s="444"/>
      <c r="K20" s="442"/>
      <c r="L20" s="443"/>
      <c r="M20" s="444"/>
      <c r="N20" s="442">
        <v>0.47916666666666669</v>
      </c>
      <c r="O20" s="443"/>
      <c r="P20" s="444"/>
      <c r="Q20" s="442">
        <v>0.52013888888888882</v>
      </c>
      <c r="R20" s="443"/>
      <c r="S20" s="444"/>
      <c r="T20" s="442">
        <v>4.6527777777777779E-2</v>
      </c>
      <c r="U20" s="443"/>
      <c r="V20" s="444"/>
      <c r="W20" s="442"/>
      <c r="X20" s="443"/>
      <c r="Y20" s="444"/>
      <c r="Z20" s="442"/>
      <c r="AA20" s="443"/>
      <c r="AB20" s="444"/>
      <c r="AC20" s="442">
        <v>0.13333333333333333</v>
      </c>
      <c r="AD20" s="443"/>
      <c r="AE20" s="444"/>
      <c r="AF20" s="434"/>
      <c r="AG20" s="435"/>
      <c r="AH20" s="435"/>
      <c r="AI20" s="435"/>
      <c r="AJ20" s="435"/>
      <c r="AK20" s="435"/>
      <c r="AL20" s="435"/>
      <c r="AM20" s="435"/>
      <c r="AN20" s="435"/>
      <c r="AO20" s="435"/>
      <c r="AP20" s="435"/>
      <c r="AQ20" s="438"/>
      <c r="AT20" s="171"/>
      <c r="AU20" s="166"/>
      <c r="AV20" s="166"/>
    </row>
    <row r="21" spans="1:48" x14ac:dyDescent="0.2">
      <c r="A21" s="173" t="s">
        <v>67</v>
      </c>
      <c r="B21" s="442">
        <v>0.38194444444444442</v>
      </c>
      <c r="C21" s="443"/>
      <c r="D21" s="444"/>
      <c r="E21" s="442">
        <v>0.41736111111111113</v>
      </c>
      <c r="F21" s="443"/>
      <c r="G21" s="444"/>
      <c r="H21" s="442">
        <v>0.45</v>
      </c>
      <c r="I21" s="443"/>
      <c r="J21" s="444"/>
      <c r="K21" s="442"/>
      <c r="L21" s="443"/>
      <c r="M21" s="444"/>
      <c r="N21" s="442">
        <v>0.51388888888888895</v>
      </c>
      <c r="O21" s="443"/>
      <c r="P21" s="444"/>
      <c r="Q21" s="442">
        <v>0.53749999999999998</v>
      </c>
      <c r="R21" s="443"/>
      <c r="S21" s="444"/>
      <c r="T21" s="442">
        <v>7.3611111111111113E-2</v>
      </c>
      <c r="U21" s="443"/>
      <c r="V21" s="444"/>
      <c r="W21" s="442"/>
      <c r="X21" s="443"/>
      <c r="Y21" s="444"/>
      <c r="Z21" s="442"/>
      <c r="AA21" s="443"/>
      <c r="AB21" s="444"/>
      <c r="AC21" s="442">
        <v>0.16319444444444445</v>
      </c>
      <c r="AD21" s="443"/>
      <c r="AE21" s="444"/>
      <c r="AF21" s="434"/>
      <c r="AG21" s="435"/>
      <c r="AH21" s="435"/>
      <c r="AI21" s="435"/>
      <c r="AJ21" s="435"/>
      <c r="AK21" s="435"/>
      <c r="AL21" s="435"/>
      <c r="AM21" s="435"/>
      <c r="AN21" s="435"/>
      <c r="AO21" s="435"/>
      <c r="AP21" s="435"/>
      <c r="AQ21" s="438"/>
    </row>
    <row r="22" spans="1:48" ht="13.5" thickBot="1" x14ac:dyDescent="0.25">
      <c r="A22" s="138"/>
      <c r="B22" s="445" t="s">
        <v>68</v>
      </c>
      <c r="C22" s="446"/>
      <c r="D22" s="447"/>
      <c r="E22" s="445" t="str">
        <f>IF(AK8&gt;1,"Match 2","")</f>
        <v>Match 2</v>
      </c>
      <c r="F22" s="446"/>
      <c r="G22" s="447"/>
      <c r="H22" s="445" t="str">
        <f>IF(AK8&gt;2,"Match 3","")</f>
        <v>Match 3</v>
      </c>
      <c r="I22" s="446"/>
      <c r="J22" s="447"/>
      <c r="K22" s="445" t="str">
        <f>IF(AK8&gt;3,"Match 4","")</f>
        <v>Match 4</v>
      </c>
      <c r="L22" s="446"/>
      <c r="M22" s="447"/>
      <c r="N22" s="445" t="str">
        <f>IF(AK8&gt;4,"Match 5","")</f>
        <v>Match 5</v>
      </c>
      <c r="O22" s="446"/>
      <c r="P22" s="447"/>
      <c r="Q22" s="445" t="str">
        <f>IF(AK8&gt;5,"Match 6","")</f>
        <v>Match 6</v>
      </c>
      <c r="R22" s="446"/>
      <c r="S22" s="447"/>
      <c r="T22" s="445" t="str">
        <f>IF(AK8&gt;6,"Match 7","")</f>
        <v>Match 7</v>
      </c>
      <c r="U22" s="446"/>
      <c r="V22" s="447"/>
      <c r="W22" s="445" t="str">
        <f>IF(AK8&gt;7,"Match 8","")</f>
        <v>Match 8</v>
      </c>
      <c r="X22" s="446"/>
      <c r="Y22" s="447"/>
      <c r="Z22" s="445" t="str">
        <f>IF(AK8&gt;8,"Match 9","")</f>
        <v>Match 9</v>
      </c>
      <c r="AA22" s="446"/>
      <c r="AB22" s="447"/>
      <c r="AC22" s="445" t="str">
        <f>IF(AK8&gt;9,"Match 10","")</f>
        <v>Match 10</v>
      </c>
      <c r="AD22" s="446"/>
      <c r="AE22" s="447"/>
      <c r="AF22" s="439"/>
      <c r="AG22" s="440"/>
      <c r="AH22" s="440"/>
      <c r="AI22" s="440"/>
      <c r="AJ22" s="440"/>
      <c r="AK22" s="440"/>
      <c r="AL22" s="440"/>
      <c r="AM22" s="440"/>
      <c r="AN22" s="440"/>
      <c r="AO22" s="440"/>
      <c r="AP22" s="440"/>
      <c r="AQ22" s="441"/>
      <c r="AT22" s="171"/>
      <c r="AU22" s="166"/>
      <c r="AV22" s="166"/>
    </row>
    <row r="23" spans="1:48" ht="15.75" x14ac:dyDescent="0.25">
      <c r="A23" s="138"/>
      <c r="B23" s="448" t="s">
        <v>69</v>
      </c>
      <c r="C23" s="449"/>
      <c r="D23" s="450"/>
      <c r="E23" s="448" t="s">
        <v>70</v>
      </c>
      <c r="F23" s="449"/>
      <c r="G23" s="450"/>
      <c r="H23" s="448" t="s">
        <v>71</v>
      </c>
      <c r="I23" s="449"/>
      <c r="J23" s="450"/>
      <c r="K23" s="448" t="s">
        <v>72</v>
      </c>
      <c r="L23" s="449"/>
      <c r="M23" s="450"/>
      <c r="N23" s="448" t="s">
        <v>73</v>
      </c>
      <c r="O23" s="449"/>
      <c r="P23" s="450"/>
      <c r="Q23" s="448" t="s">
        <v>71</v>
      </c>
      <c r="R23" s="449"/>
      <c r="S23" s="450"/>
      <c r="T23" s="448" t="s">
        <v>69</v>
      </c>
      <c r="U23" s="449"/>
      <c r="V23" s="450"/>
      <c r="W23" s="448" t="s">
        <v>73</v>
      </c>
      <c r="X23" s="449"/>
      <c r="Y23" s="450"/>
      <c r="Z23" s="448" t="s">
        <v>72</v>
      </c>
      <c r="AA23" s="449"/>
      <c r="AB23" s="450"/>
      <c r="AC23" s="448" t="s">
        <v>70</v>
      </c>
      <c r="AD23" s="449"/>
      <c r="AE23" s="450"/>
      <c r="AF23" s="174" t="s">
        <v>74</v>
      </c>
      <c r="AG23" s="175">
        <v>1</v>
      </c>
      <c r="AH23" s="175">
        <v>2</v>
      </c>
      <c r="AI23" s="175">
        <v>3</v>
      </c>
      <c r="AJ23" s="175">
        <v>4</v>
      </c>
      <c r="AK23" s="175">
        <v>5</v>
      </c>
      <c r="AL23" s="175">
        <v>6</v>
      </c>
      <c r="AM23" s="175">
        <v>7</v>
      </c>
      <c r="AN23" s="175">
        <v>8</v>
      </c>
      <c r="AO23" s="175">
        <v>9</v>
      </c>
      <c r="AP23" s="175">
        <v>10</v>
      </c>
      <c r="AQ23" s="176" t="s">
        <v>75</v>
      </c>
      <c r="AT23" s="171"/>
      <c r="AU23" s="166"/>
      <c r="AV23" s="166"/>
    </row>
    <row r="24" spans="1:48" ht="15.75" x14ac:dyDescent="0.25">
      <c r="A24" s="138"/>
      <c r="B24" s="177">
        <v>2</v>
      </c>
      <c r="C24" s="178" t="s">
        <v>76</v>
      </c>
      <c r="D24" s="179">
        <v>5</v>
      </c>
      <c r="E24" s="177">
        <v>1</v>
      </c>
      <c r="F24" s="178" t="str">
        <f>IF(AK8&gt;1,"v","")</f>
        <v>v</v>
      </c>
      <c r="G24" s="179">
        <v>4</v>
      </c>
      <c r="H24" s="177">
        <v>3</v>
      </c>
      <c r="I24" s="178" t="str">
        <f>IF(AK8&gt;2,"v","")</f>
        <v>v</v>
      </c>
      <c r="J24" s="179">
        <v>5</v>
      </c>
      <c r="K24" s="177">
        <v>2</v>
      </c>
      <c r="L24" s="178" t="str">
        <f>IF(AK8&gt;3,"v","")</f>
        <v>v</v>
      </c>
      <c r="M24" s="179">
        <v>4</v>
      </c>
      <c r="N24" s="177">
        <v>1</v>
      </c>
      <c r="O24" s="178" t="str">
        <f>IF(AK8&gt;4,"v","")</f>
        <v>v</v>
      </c>
      <c r="P24" s="179">
        <v>3</v>
      </c>
      <c r="Q24" s="177">
        <v>4</v>
      </c>
      <c r="R24" s="178" t="str">
        <f>IF(AK8&gt;5,"v","")</f>
        <v>v</v>
      </c>
      <c r="S24" s="179">
        <v>5</v>
      </c>
      <c r="T24" s="177">
        <v>2</v>
      </c>
      <c r="U24" s="178" t="str">
        <f>IF(AK8&gt;6,"v","")</f>
        <v>v</v>
      </c>
      <c r="V24" s="179">
        <v>3</v>
      </c>
      <c r="W24" s="177">
        <v>1</v>
      </c>
      <c r="X24" s="178" t="str">
        <f>IF(AK8&gt;7,"v","")</f>
        <v>v</v>
      </c>
      <c r="Y24" s="179">
        <v>5</v>
      </c>
      <c r="Z24" s="177">
        <v>3</v>
      </c>
      <c r="AA24" s="178" t="str">
        <f>IF(AK8&gt;8,"v","")</f>
        <v>v</v>
      </c>
      <c r="AB24" s="179">
        <v>4</v>
      </c>
      <c r="AC24" s="177">
        <v>1</v>
      </c>
      <c r="AD24" s="178" t="str">
        <f>IF(AK8&gt;9,"v","")</f>
        <v>v</v>
      </c>
      <c r="AE24" s="179">
        <v>2</v>
      </c>
      <c r="AF24" s="174" t="str">
        <f>IF(AK9&gt;0,"Team 1","")</f>
        <v>Team 1</v>
      </c>
      <c r="AG24" s="180" t="str">
        <f>IF(AK9&lt;1,"",IF(AK8&lt;1,"",IF(B24=1,B30-D30,IF(D24=1,D30-B30,""))))</f>
        <v/>
      </c>
      <c r="AH24" s="180">
        <f>IF(AK9&lt;1,"",IF(AK8&lt;2,"",IF(E24=1,E30-G30,IF(G24=1,G30-E30,""))))</f>
        <v>-8</v>
      </c>
      <c r="AI24" s="180" t="str">
        <f>IF(AK9&lt;1,"",IF(AK8&lt;3,"",IF(H24=1,H30-J30,IF(J24=1,J30-H30,""))))</f>
        <v/>
      </c>
      <c r="AJ24" s="180" t="str">
        <f>IF(AK9&lt;1,"",IF(AK8&lt;4,"",IF(K24=1,K30-M30,IF(M24=1,M30-K30,""))))</f>
        <v/>
      </c>
      <c r="AK24" s="180">
        <f>IF(AK9&lt;1,"",IF(AK8&lt;5,"",IF(N24=1,N30-P30,IF(P24=1,P30-N30,""))))</f>
        <v>-8</v>
      </c>
      <c r="AL24" s="180" t="str">
        <f>IF(AK9&lt;1,"",IF(AK8&lt;6,"",IF(Q24=1,Q30-S30,IF(S24=1,S30-Q30,""))))</f>
        <v/>
      </c>
      <c r="AM24" s="180" t="str">
        <f>IF(AK9&lt;1,"",IF(AK8&lt;7,"",IF(T24=1,T30-V30,IF(V24=1,V30-T30,""))))</f>
        <v/>
      </c>
      <c r="AN24" s="180">
        <f>IF(AK9&lt;1,"",IF(AK8&lt;8,"",IF(W24=1,W30-Y30,IF(Y24=1,Y30-W30,""))))</f>
        <v>-2</v>
      </c>
      <c r="AO24" s="180" t="str">
        <f>IF(AK9&lt;1,"",IF(AK8&lt;9,"",IF(Z24=1,Z30-AB30,IF(AB24=1,AB30-Z30,""))))</f>
        <v/>
      </c>
      <c r="AP24" s="180">
        <f>IF(AK9&lt;1,"",IF(AK8&lt;10,"",IF(AC24=1,AC30-AE30,IF(AE24=1,AE30-AC30,""))))</f>
        <v>0</v>
      </c>
      <c r="AQ24" s="176">
        <f>SUM(AG24:AP24)</f>
        <v>-18</v>
      </c>
      <c r="AT24" s="171"/>
      <c r="AU24" s="166"/>
      <c r="AV24" s="166"/>
    </row>
    <row r="25" spans="1:48" ht="15" x14ac:dyDescent="0.2">
      <c r="A25" s="134" t="s">
        <v>77</v>
      </c>
      <c r="B25" s="181">
        <v>25</v>
      </c>
      <c r="C25" s="182" t="s">
        <v>78</v>
      </c>
      <c r="D25" s="183">
        <v>23</v>
      </c>
      <c r="E25" s="181">
        <v>19</v>
      </c>
      <c r="F25" s="182" t="str">
        <f>IF(AK8&gt;1,"/","")</f>
        <v>/</v>
      </c>
      <c r="G25" s="183">
        <v>25</v>
      </c>
      <c r="H25" s="181">
        <v>25</v>
      </c>
      <c r="I25" s="182" t="str">
        <f>IF(AK8&gt;2,"/","")</f>
        <v>/</v>
      </c>
      <c r="J25" s="183">
        <v>20</v>
      </c>
      <c r="K25" s="181">
        <v>25</v>
      </c>
      <c r="L25" s="182" t="str">
        <f>IF(AK8&gt;3,"/","")</f>
        <v>/</v>
      </c>
      <c r="M25" s="183">
        <v>20</v>
      </c>
      <c r="N25" s="181">
        <v>21</v>
      </c>
      <c r="O25" s="182" t="str">
        <f>IF(AK8&gt;4,"/","")</f>
        <v>/</v>
      </c>
      <c r="P25" s="183">
        <v>25</v>
      </c>
      <c r="Q25" s="181">
        <v>25</v>
      </c>
      <c r="R25" s="182" t="str">
        <f>IF(AK8&gt;5,"/","")</f>
        <v>/</v>
      </c>
      <c r="S25" s="183">
        <v>20</v>
      </c>
      <c r="T25" s="181">
        <v>25</v>
      </c>
      <c r="U25" s="182" t="str">
        <f>IF(AK8&gt;6,"/","")</f>
        <v>/</v>
      </c>
      <c r="V25" s="183">
        <v>23</v>
      </c>
      <c r="W25" s="181">
        <v>25</v>
      </c>
      <c r="X25" s="182" t="str">
        <f>IF(AK8&gt;7,"/","")</f>
        <v>/</v>
      </c>
      <c r="Y25" s="183">
        <v>21</v>
      </c>
      <c r="Z25" s="181">
        <v>25</v>
      </c>
      <c r="AA25" s="182" t="str">
        <f>IF(AK8&gt;8,"/","")</f>
        <v>/</v>
      </c>
      <c r="AB25" s="183">
        <v>18</v>
      </c>
      <c r="AC25" s="181">
        <v>25</v>
      </c>
      <c r="AD25" s="182" t="str">
        <f>IF(AK8&gt;9,"/","")</f>
        <v>/</v>
      </c>
      <c r="AE25" s="183">
        <v>27</v>
      </c>
      <c r="AF25" s="174" t="str">
        <f>IF(AK9&gt;1,"Team 2","")</f>
        <v>Team 2</v>
      </c>
      <c r="AG25" s="180">
        <f>IF(AK9&lt;2,"",IF(AK8&lt;1,"",IF(B24=2,B30-D30,IF(D24=2,D30-B30,""))))</f>
        <v>5</v>
      </c>
      <c r="AH25" s="180" t="str">
        <f>IF(AK9&lt;2,"",IF(AK8&lt;2,"",IF(E24=2,E30-G30,IF(G24=2,G30-E30,""))))</f>
        <v/>
      </c>
      <c r="AI25" s="180" t="str">
        <f>IF(AK9&lt;2,"",IF(AK8&lt;3,"",IF(H24=2,H30-J30,IF(J24=2,J30-H30,""))))</f>
        <v/>
      </c>
      <c r="AJ25" s="180">
        <f>IF(AK9&lt;2,"",IF(AK8&lt;4,"",IF(K24=2,K30-M30,IF(M24=2,M30-K30,""))))</f>
        <v>-4</v>
      </c>
      <c r="AK25" s="180" t="str">
        <f>IF(AK9&lt;2,"",IF(AK8&lt;5,"",IF(N24=2,N30-P30,IF(P24=2,P30-N30,""))))</f>
        <v/>
      </c>
      <c r="AL25" s="180" t="str">
        <f>IF(AK9&lt;2,"",IF(AK8&lt;6,"",IF(Q24=2,Q30-S30,IF(S24=2,S30-Q30,""))))</f>
        <v/>
      </c>
      <c r="AM25" s="180">
        <f>IF(AK9&lt;2,"",IF(AK8&lt;7,"",IF(T24=2,T30-V30,IF(V24=2,V30-T30,""))))</f>
        <v>-2</v>
      </c>
      <c r="AN25" s="180" t="str">
        <f>IF(AK9&lt;2,"",IF(AK8&lt;8,"",IF(W24=2,W30-Y30,IF(Y24=2,Y30-W30,""))))</f>
        <v/>
      </c>
      <c r="AO25" s="180" t="str">
        <f>IF(AK9&lt;2,"",IF(AK8&lt;9,"",IF(Z24=2,Z30-AB30,IF(AB24=2,AB30-Z30,""))))</f>
        <v/>
      </c>
      <c r="AP25" s="180">
        <f>IF(AK9&lt;2,"",IF(AK8&lt;10,"",IF(AC24=2,AC30-AE30,IF(AE24=2,AE30-AC30,""))))</f>
        <v>0</v>
      </c>
      <c r="AQ25" s="176">
        <f>SUM(AG25:AP25)</f>
        <v>-1</v>
      </c>
    </row>
    <row r="26" spans="1:48" ht="15" x14ac:dyDescent="0.2">
      <c r="A26" s="133" t="str">
        <f>IF(AK7&gt;1,"Game 2","")</f>
        <v>Game 2</v>
      </c>
      <c r="B26" s="181">
        <v>25</v>
      </c>
      <c r="C26" s="182" t="s">
        <v>78</v>
      </c>
      <c r="D26" s="183">
        <v>22</v>
      </c>
      <c r="E26" s="181">
        <v>23</v>
      </c>
      <c r="F26" s="182" t="str">
        <f>IF(AK8&gt;1,IF(AK7&gt;1,"/",""),"")</f>
        <v>/</v>
      </c>
      <c r="G26" s="183">
        <v>25</v>
      </c>
      <c r="H26" s="181">
        <v>25</v>
      </c>
      <c r="I26" s="182" t="str">
        <f>IF(AK8&gt;2,IF(AK7&gt;1,"/",""),"")</f>
        <v>/</v>
      </c>
      <c r="J26" s="183">
        <v>21</v>
      </c>
      <c r="K26" s="181">
        <v>16</v>
      </c>
      <c r="L26" s="182" t="str">
        <f>IF(AK8&gt;3,IF(AK7&gt;1,"/",""),"")</f>
        <v>/</v>
      </c>
      <c r="M26" s="183">
        <v>25</v>
      </c>
      <c r="N26" s="181">
        <v>21</v>
      </c>
      <c r="O26" s="182" t="str">
        <f>IF(AK8&gt;4,IF(AK7&gt;1,"/",""),"")</f>
        <v>/</v>
      </c>
      <c r="P26" s="183">
        <v>25</v>
      </c>
      <c r="Q26" s="181">
        <v>25</v>
      </c>
      <c r="R26" s="182" t="str">
        <f>IF(AK8&gt;5,IF(AK7&gt;1,"/",""),"")</f>
        <v>/</v>
      </c>
      <c r="S26" s="183">
        <v>18</v>
      </c>
      <c r="T26" s="181">
        <v>21</v>
      </c>
      <c r="U26" s="182" t="str">
        <f>IF(AK8&gt;6,IF(AK7&gt;1,"/",""),"")</f>
        <v>/</v>
      </c>
      <c r="V26" s="183">
        <v>25</v>
      </c>
      <c r="W26" s="181">
        <v>19</v>
      </c>
      <c r="X26" s="182" t="str">
        <f>IF(AK8&gt;7,IF(AK7&gt;1,"/",""),"")</f>
        <v>/</v>
      </c>
      <c r="Y26" s="183">
        <v>25</v>
      </c>
      <c r="Z26" s="181">
        <v>23</v>
      </c>
      <c r="AA26" s="182" t="str">
        <f>IF(AK8&gt;8,IF(AK7&gt;1,"/",""),"")</f>
        <v>/</v>
      </c>
      <c r="AB26" s="183">
        <v>25</v>
      </c>
      <c r="AC26" s="181">
        <v>26</v>
      </c>
      <c r="AD26" s="182" t="str">
        <f>IF(AK8&gt;9,IF(AK7&gt;1,"/",""),"")</f>
        <v>/</v>
      </c>
      <c r="AE26" s="183">
        <v>24</v>
      </c>
      <c r="AF26" s="174" t="str">
        <f>IF(AK9&gt;2,"Team 3","")</f>
        <v>Team 3</v>
      </c>
      <c r="AG26" s="180" t="str">
        <f>IF(AK9&lt;3,"",IF(AK8&lt;1,"",IF(B24=3,B30-D30,IF(D24=3,D30-B30,""))))</f>
        <v/>
      </c>
      <c r="AH26" s="180" t="str">
        <f>IF(AK9&lt;3,"",IF(AK8&lt;2,"",IF(E24=3,E30-G30,IF(G24=3,G30-E30,""))))</f>
        <v/>
      </c>
      <c r="AI26" s="180">
        <f>IF(AK9&lt;3,"",IF(AK8&lt;3,"",IF(H24=3,H30-J30,IF(J24=3,J30-H30,""))))</f>
        <v>9</v>
      </c>
      <c r="AJ26" s="180" t="str">
        <f>IF(AK9&lt;3,"",IF(AK8&lt;4,"",IF(K24=3,K30-M30,IF(M24=3,M30-K30,""))))</f>
        <v/>
      </c>
      <c r="AK26" s="180">
        <f>IF(AK9&lt;3,"",IF(AK8&lt;5,"",IF(N24=3,N30-P30,IF(P24=3,P30-N30,""))))</f>
        <v>8</v>
      </c>
      <c r="AL26" s="180" t="str">
        <f>IF(AK9&lt;3,"",IF(AK8&lt;6,"",IF(Q24=3,Q30-S30,IF(S24=3,S30-Q30,""))))</f>
        <v/>
      </c>
      <c r="AM26" s="180">
        <f>IF(AK9&lt;3,"",IF(AK8&lt;7,"",IF(T24=3,T30-V30,IF(V24=3,V30-T30,""))))</f>
        <v>2</v>
      </c>
      <c r="AN26" s="180" t="str">
        <f>IF(AK9&lt;3,"",IF(AK8&lt;8,"",IF(W24=3,W30-Y30,IF(Y24=3,Y30-W30,""))))</f>
        <v/>
      </c>
      <c r="AO26" s="180">
        <f>IF(AK9&lt;3,"",IF(AK8&lt;9,"",IF(Z24=3,Z30-AB30,IF(AB24=3,AB30-Z30,""))))</f>
        <v>5</v>
      </c>
      <c r="AP26" s="180" t="str">
        <f>IF(AK9&lt;3,"",IF(AK8&lt;9,"",IF(AC24=3,AC30-AE30,IF(AE24=3,AE30-AC30,""))))</f>
        <v/>
      </c>
      <c r="AQ26" s="176">
        <f>SUM(AG26:AP26)</f>
        <v>24</v>
      </c>
    </row>
    <row r="27" spans="1:48" ht="15" x14ac:dyDescent="0.2">
      <c r="A27" s="133" t="str">
        <f>IF(AK7&gt;2,"Game 3","")</f>
        <v/>
      </c>
      <c r="B27" s="181"/>
      <c r="C27" s="182" t="s">
        <v>78</v>
      </c>
      <c r="D27" s="183"/>
      <c r="E27" s="181"/>
      <c r="F27" s="182" t="str">
        <f>IF(AK8&gt;1,IF(AK7&gt;2,"/",""),"")</f>
        <v/>
      </c>
      <c r="G27" s="183"/>
      <c r="H27" s="181"/>
      <c r="I27" s="182" t="str">
        <f>IF(AK8&gt;2,IF(AK7&gt;2,"/",""),"")</f>
        <v/>
      </c>
      <c r="J27" s="183"/>
      <c r="K27" s="181"/>
      <c r="L27" s="182" t="str">
        <f>IF(AK8&gt;3,IF(AK7&gt;2,"/",""),"")</f>
        <v/>
      </c>
      <c r="M27" s="183"/>
      <c r="N27" s="181"/>
      <c r="O27" s="182" t="str">
        <f>IF(AK8&gt;4,IF(AK7&gt;2,"/",""),"")</f>
        <v/>
      </c>
      <c r="P27" s="183"/>
      <c r="Q27" s="181"/>
      <c r="R27" s="182" t="str">
        <f>IF(AK8&gt;5,IF(AK7&gt;2,"/",""),"")</f>
        <v/>
      </c>
      <c r="S27" s="183"/>
      <c r="T27" s="181"/>
      <c r="U27" s="182" t="str">
        <f>IF(AK8&gt;6,IF(AK7&gt;2,"/",""),"")</f>
        <v/>
      </c>
      <c r="V27" s="183"/>
      <c r="W27" s="181"/>
      <c r="X27" s="182" t="str">
        <f>IF(AK8&gt;7,IF(AK7&gt;2,"/",""),"")</f>
        <v/>
      </c>
      <c r="Y27" s="183"/>
      <c r="Z27" s="181"/>
      <c r="AA27" s="182" t="str">
        <f>IF(AK8&gt;8,IF(AK7&gt;2,"/",""),"")</f>
        <v/>
      </c>
      <c r="AB27" s="183"/>
      <c r="AC27" s="181"/>
      <c r="AD27" s="182" t="str">
        <f>IF(AK8&gt;9,IF(AK7&gt;2,"/",""),"")</f>
        <v/>
      </c>
      <c r="AE27" s="183"/>
      <c r="AF27" s="174" t="str">
        <f>IF(AK9&gt;3,"Team 4","")</f>
        <v>Team 4</v>
      </c>
      <c r="AG27" s="180" t="str">
        <f>IF(AK9&lt;4,"",IF(AK8&lt;1,"",IF(B24=4,B30-D30,IF(D24=4,D30-B30,""))))</f>
        <v/>
      </c>
      <c r="AH27" s="180">
        <f>IF(AK9&lt;4,"",IF(AK8&lt;2,"",IF(E24=4,E30-G30,IF(G24=4,G30-E30,""))))</f>
        <v>8</v>
      </c>
      <c r="AI27" s="180" t="str">
        <f>IF(AK9&lt;4,"",IF(AK8&lt;3,"",IF(H24=4,H30-J30,IF(J24=4,J30-H30,""))))</f>
        <v/>
      </c>
      <c r="AJ27" s="180">
        <f>IF(AK9&lt;4,"",IF(AK8&lt;4,"",IF(K24=4,K30-M30,IF(M24=4,M30-K30,""))))</f>
        <v>4</v>
      </c>
      <c r="AK27" s="180" t="str">
        <f>IF(AK9&lt;4,"",IF(AK8&lt;5,"",IF(N24=4,N30-P30,IF(P24=4,P30-N30,""))))</f>
        <v/>
      </c>
      <c r="AL27" s="180">
        <f>IF(AK9&lt;4,"",IF(AK8&lt;6,"",IF(Q24=4,Q30-S30,IF(S24=4,S30-Q30,""))))</f>
        <v>12</v>
      </c>
      <c r="AM27" s="180" t="str">
        <f>IF(AK9&lt;4,"",IF(AK8&lt;7,"",IF(T24=4,T30-V30,IF(V24=4,V30-T30,""))))</f>
        <v/>
      </c>
      <c r="AN27" s="180" t="str">
        <f>IF(AK9&lt;4,"",IF(AK8&lt;8,"",IF(W24=4,W30-Y30,IF(Y24=4,Y30-W30,""))))</f>
        <v/>
      </c>
      <c r="AO27" s="180">
        <f>IF(AK9&lt;4,"",IF(AK8&lt;9,"",IF(Z24=4,Z30-AB30,IF(AB24=4,AB30-Z30,""))))</f>
        <v>-5</v>
      </c>
      <c r="AP27" s="180" t="str">
        <f>IF(AK9&lt;4,"",IF(AK8&lt;10,"",IF(AC24=4,AC30-AE30,IF(AE24=4,AE30-AC30,""))))</f>
        <v/>
      </c>
      <c r="AQ27" s="176">
        <f>SUM(AG27:AP27)</f>
        <v>19</v>
      </c>
    </row>
    <row r="28" spans="1:48" ht="15" x14ac:dyDescent="0.2">
      <c r="A28" s="133" t="str">
        <f>IF(AK7&gt;3,"Game 4","")</f>
        <v/>
      </c>
      <c r="B28" s="181"/>
      <c r="C28" s="182" t="s">
        <v>78</v>
      </c>
      <c r="D28" s="183"/>
      <c r="E28" s="181"/>
      <c r="F28" s="182" t="str">
        <f>IF(AK8&gt;1,IF(AK7&gt;3,"/",""),"")</f>
        <v/>
      </c>
      <c r="G28" s="183"/>
      <c r="H28" s="181"/>
      <c r="I28" s="182" t="str">
        <f>IF(AK8&gt;2,IF(AK7&gt;3,"/",""),"")</f>
        <v/>
      </c>
      <c r="J28" s="183"/>
      <c r="K28" s="181"/>
      <c r="L28" s="182" t="str">
        <f>IF(AK8&gt;3,IF(AK7&gt;3,"/",""),"")</f>
        <v/>
      </c>
      <c r="M28" s="183"/>
      <c r="N28" s="181"/>
      <c r="O28" s="182" t="str">
        <f>IF(AK8&gt;4,IF(AK7&gt;3,"/",""),"")</f>
        <v/>
      </c>
      <c r="P28" s="183"/>
      <c r="Q28" s="181"/>
      <c r="R28" s="182" t="str">
        <f>IF(AK8&gt;5,IF(AK7&gt;3,"/",""),"")</f>
        <v/>
      </c>
      <c r="S28" s="183"/>
      <c r="T28" s="181"/>
      <c r="U28" s="182" t="str">
        <f>IF(AK8&gt;6,IF(AK7&gt;3,"/",""),"")</f>
        <v/>
      </c>
      <c r="V28" s="183"/>
      <c r="W28" s="181"/>
      <c r="X28" s="182" t="str">
        <f>IF(AK8&gt;7,IF(AK7&gt;3,"/",""),"")</f>
        <v/>
      </c>
      <c r="Y28" s="183"/>
      <c r="Z28" s="181"/>
      <c r="AA28" s="182" t="str">
        <f>IF(AK8&gt;8,IF(AK7&gt;3,"/",""),"")</f>
        <v/>
      </c>
      <c r="AB28" s="183"/>
      <c r="AC28" s="181"/>
      <c r="AD28" s="182" t="str">
        <f>IF(AK8&gt;9,IF(AK7&gt;3,"/",""),"")</f>
        <v/>
      </c>
      <c r="AE28" s="183"/>
      <c r="AF28" s="174" t="str">
        <f>IF(AK9&gt;4,"Team 5","")</f>
        <v>Team 5</v>
      </c>
      <c r="AG28" s="184">
        <f>IF(AK9&lt;5,"",IF(AK8&lt;1,"",IF(B24=5,B30-D30,IF(D24=5,D30-B30,""))))</f>
        <v>-5</v>
      </c>
      <c r="AH28" s="180" t="str">
        <f>IF(AK9&lt;5,"",IF(AK8&lt;2,"",IF(E24=5,E30-G30,IF(G24=5,G30-E30,""))))</f>
        <v/>
      </c>
      <c r="AI28" s="180">
        <f>IF(AK9&lt;5,"",IF(AK8&lt;3,"",IF(H24=5,H30-J30,IF(J24=5,J30-H30,""))))</f>
        <v>-9</v>
      </c>
      <c r="AJ28" s="180" t="str">
        <f>IF(AK9&lt;5,"",IF(AK8&lt;4,"",IF(K24=5,K30-M30,IF(M24=5,M30-K30,""))))</f>
        <v/>
      </c>
      <c r="AK28" s="180" t="str">
        <f>IF(AK9&lt;5,"",IF(AK8&lt;5,"",IF(N24=5,N30-P30,IF(P24=5,P30-N30,""))))</f>
        <v/>
      </c>
      <c r="AL28" s="180">
        <f>IF(AK9&lt;5,"",IF(AK8&lt;6,"",IF(Q24=5,Q30-S30,IF(S24=5,S30-Q30,""))))</f>
        <v>-12</v>
      </c>
      <c r="AM28" s="180" t="str">
        <f>IF(AK9&lt;5,"",IF(AK8&lt;7,"",IF(T24=5,T30-V30,IF(V24=5,V30-T30,""))))</f>
        <v/>
      </c>
      <c r="AN28" s="180">
        <f>IF(AK9&lt;5,"",IF(AK8&lt;8,"",IF(W24=5,W30-Y30,IF(Y24=5,Y30-W30,""))))</f>
        <v>2</v>
      </c>
      <c r="AO28" s="180" t="str">
        <f>IF(AK9&lt;5,"",IF(AK8&lt;9,"",IF(Z24=5,Z30-AB30,IF(AB24=5,AB30-Z30,""))))</f>
        <v/>
      </c>
      <c r="AP28" s="180" t="str">
        <f>IF(AK9&lt;5,"",IF(AK8&lt;10,"",IF(AC24=5,AC30-AE30,IF(AE24=5,AE30-AC30,""))))</f>
        <v/>
      </c>
      <c r="AQ28" s="176">
        <f>SUM(AG28:AP28)</f>
        <v>-24</v>
      </c>
    </row>
    <row r="29" spans="1:48" ht="15" x14ac:dyDescent="0.2">
      <c r="A29" s="133" t="str">
        <f>IF(AK7&gt;4,"Game 5","")</f>
        <v/>
      </c>
      <c r="B29" s="181"/>
      <c r="C29" s="182" t="s">
        <v>78</v>
      </c>
      <c r="D29" s="183"/>
      <c r="E29" s="181"/>
      <c r="F29" s="182" t="str">
        <f>IF(AK8&gt;1,IF(AK7&gt;4,"/",""),"")</f>
        <v/>
      </c>
      <c r="G29" s="183"/>
      <c r="H29" s="181"/>
      <c r="I29" s="182" t="str">
        <f>IF(AK8&gt;2,IF(AK7&gt;4,"/",""),"")</f>
        <v/>
      </c>
      <c r="J29" s="183"/>
      <c r="K29" s="181"/>
      <c r="L29" s="182" t="str">
        <f>IF(AK8&gt;3,IF(AK7&gt;4,"/",""),"")</f>
        <v/>
      </c>
      <c r="M29" s="183"/>
      <c r="N29" s="181"/>
      <c r="O29" s="182" t="str">
        <f>IF(AK8&gt;4,IF(AK7&gt;4,"/",""),"")</f>
        <v/>
      </c>
      <c r="P29" s="183"/>
      <c r="Q29" s="181"/>
      <c r="R29" s="182" t="str">
        <f>IF(AK8&gt;5,IF(AK7&gt;4,"/",""),"")</f>
        <v/>
      </c>
      <c r="S29" s="183"/>
      <c r="T29" s="181"/>
      <c r="U29" s="182" t="str">
        <f>IF(AK8&gt;6,IF(AK7&gt;4,"/",""),"")</f>
        <v/>
      </c>
      <c r="V29" s="183"/>
      <c r="W29" s="181"/>
      <c r="X29" s="182" t="str">
        <f>IF(AK8&gt;7,IF(AK7&gt;4,"/",""),"")</f>
        <v/>
      </c>
      <c r="Y29" s="183"/>
      <c r="Z29" s="181"/>
      <c r="AA29" s="182" t="str">
        <f>IF(AK8&gt;8,IF(AK7&gt;4,"/",""),"")</f>
        <v/>
      </c>
      <c r="AB29" s="183"/>
      <c r="AC29" s="181"/>
      <c r="AD29" s="182" t="str">
        <f>IF(AK8&gt;9,IF(AK7&gt;4,"/",""),"")</f>
        <v/>
      </c>
      <c r="AE29" s="183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</row>
    <row r="30" spans="1:48" hidden="1" x14ac:dyDescent="0.2">
      <c r="A30" s="185"/>
      <c r="B30" s="185">
        <f>IF($AK7=5,SUM(B25:B29),IF($AK7=4,SUM(B25:B28),IF($AK7=3,SUM(B25:B27),IF($AK7=2,SUM(B25:B26),B25))))</f>
        <v>50</v>
      </c>
      <c r="C30" s="185"/>
      <c r="D30" s="185">
        <f>IF($AK7=5,SUM(D25:D29),IF($AK7=4,SUM(D25:D28),IF($AK7=3,SUM(D25:D27),IF($AK7=2,SUM(D25:D26),D25))))</f>
        <v>45</v>
      </c>
      <c r="E30" s="185">
        <f>IF($AK7=5,SUM(E25:E29),IF($AK7=4,SUM(E25:E28),IF($AK7=3,SUM(E25:E27),IF($AK7=2,SUM(E25:E26),E25))))</f>
        <v>42</v>
      </c>
      <c r="F30" s="185"/>
      <c r="G30" s="185">
        <f>IF($AK7=5,SUM(G25:G29),IF($AK7=4,SUM(G25:G28),IF($AK7=3,SUM(G25:G27),IF($AK7=2,SUM(G25:G26),G25))))</f>
        <v>50</v>
      </c>
      <c r="H30" s="185">
        <f>IF($AK7=5,SUM(H25:H29),IF($AK7=4,SUM(H25:H28),IF($AK7=3,SUM(H25:H27),IF($AK7=2,SUM(H25:H26),H25))))</f>
        <v>50</v>
      </c>
      <c r="I30" s="185"/>
      <c r="J30" s="185">
        <f>IF($AK7=5,SUM(J25:J29),IF($AK7=4,SUM(J25:J28),IF($AK7=3,SUM(J25:J27),IF($AK7=2,SUM(J25:J26),J25))))</f>
        <v>41</v>
      </c>
      <c r="K30" s="185">
        <f>IF($AK7=5,SUM(K25:K29),IF($AK7=4,SUM(K25:K28),IF($AK7=3,SUM(K25:K27),IF($AK7=2,SUM(K25:K26),K25))))</f>
        <v>41</v>
      </c>
      <c r="L30" s="185"/>
      <c r="M30" s="185">
        <f>IF($AK7=5,SUM(M25:M29),IF($AK7=4,SUM(M25:M28),IF($AK7=3,SUM(M25:M27),IF($AK7=2,SUM(M25:M26),M25))))</f>
        <v>45</v>
      </c>
      <c r="N30" s="185">
        <f>IF($AK7=5,SUM(N25:N29),IF($AK7=4,SUM(N25:N28),IF($AK7=3,SUM(N25:N27),IF($AK7=2,SUM(N25:N26),N25))))</f>
        <v>42</v>
      </c>
      <c r="O30" s="185"/>
      <c r="P30" s="185">
        <f>IF($AK7=5,SUM(P25:P29),IF($AK7=4,SUM(P25:P28),IF($AK7=3,SUM(P25:P27),IF($AK7=2,SUM(P25:P26),P25))))</f>
        <v>50</v>
      </c>
      <c r="Q30" s="185">
        <f>IF($AK7=5,SUM(Q25:Q29),IF($AK7=4,SUM(Q25:Q28),IF($AK7=3,SUM(Q25:Q27),IF($AK7=2,SUM(Q25:Q26),Q25))))</f>
        <v>50</v>
      </c>
      <c r="R30" s="185"/>
      <c r="S30" s="185">
        <f>IF($AK7=5,SUM(S25:S29),IF($AK7=4,SUM(S25:S28),IF($AK7=3,SUM(S25:S27),IF($AK7=2,SUM(S25:S26),S25))))</f>
        <v>38</v>
      </c>
      <c r="T30" s="185">
        <f>IF($AK7=5,SUM(T25:T29),IF($AK7=4,SUM(T25:T28),IF($AK7=3,SUM(T25:T27),IF($AK7=2,SUM(T25:T26),T25))))</f>
        <v>46</v>
      </c>
      <c r="U30" s="185"/>
      <c r="V30" s="185">
        <f>IF($AK7=5,SUM(V25:V29),IF($AK7=4,SUM(V25:V28),IF($AK7=3,SUM(V25:V27),IF($AK7=2,SUM(V25:V26),V25))))</f>
        <v>48</v>
      </c>
      <c r="W30" s="185">
        <f>IF($AK7=5,SUM(W25:W29),IF($AK7=4,SUM(W25:W28),IF($AK7=3,SUM(W25:W27),IF($AK7=2,SUM(W25:W26),W25))))</f>
        <v>44</v>
      </c>
      <c r="X30" s="185"/>
      <c r="Y30" s="185">
        <f>IF($AK7=5,SUM(Y25:Y29),IF($AK7=4,SUM(Y25:Y28),IF($AK7=3,SUM(Y25:Y27),IF($AK7=2,SUM(Y25:Y26),Y25))))</f>
        <v>46</v>
      </c>
      <c r="Z30" s="185">
        <f>IF($AK7=5,SUM(Z25:Z29),IF($AK7=4,SUM(Z25:Z28),IF($AK7=3,SUM(Z25:Z27),IF($AK7=2,SUM(Z25:Z26),Z25))))</f>
        <v>48</v>
      </c>
      <c r="AA30" s="185"/>
      <c r="AB30" s="185">
        <f>IF($AK7=5,SUM(AB25:AB29),IF($AK7=4,SUM(AB25:AB28),IF($AK7=3,SUM(AB25:AB27),IF($AK7=2,SUM(AB25:AB26),AB25))))</f>
        <v>43</v>
      </c>
      <c r="AC30" s="185">
        <f>IF($AK7=5,SUM(AC25:AC29),IF($AK7=4,SUM(AC25:AC28),IF($AK7=3,SUM(AC25:AC27),IF($AK7=2,SUM(AC25:AC26),AC25))))</f>
        <v>51</v>
      </c>
      <c r="AD30" s="185"/>
      <c r="AE30" s="185">
        <f>IF($AK7=5,SUM(AE25:AE29),IF($AK7=4,SUM(AE25:AE28),IF($AK7=3,SUM(AE25:AE27),IF($AK7=2,SUM(AE25:AE26),AE25))))</f>
        <v>51</v>
      </c>
      <c r="AF30" s="138"/>
      <c r="AG30" s="138"/>
      <c r="AH30" s="138"/>
      <c r="AI30" s="138"/>
      <c r="AJ30" s="138"/>
      <c r="AK30" s="138"/>
      <c r="AL30" s="138"/>
      <c r="AM30" s="138"/>
      <c r="AN30" s="138"/>
      <c r="AO30" s="138"/>
      <c r="AP30" s="138"/>
      <c r="AQ30" s="138"/>
    </row>
    <row r="31" spans="1:48" s="186" customFormat="1" ht="12.75" hidden="1" customHeight="1" x14ac:dyDescent="0.2">
      <c r="A31" s="186" t="s">
        <v>79</v>
      </c>
      <c r="B31" s="187">
        <f>IF(AND(B25&gt;D25,$AK8&gt;0,ISNUMBER(B25),ISNUMBER(D25)),1,0)</f>
        <v>1</v>
      </c>
      <c r="C31" s="187"/>
      <c r="D31" s="188">
        <f>IF(AND(D25&gt;B25,$AK8&gt;0,ISNUMBER(B25),ISNUMBER(D25)),1,0)</f>
        <v>0</v>
      </c>
      <c r="E31" s="187">
        <f>IF(AND(E25&gt;G25,$AK8&gt;1,ISNUMBER(E25),ISNUMBER(G25)),1,0)</f>
        <v>0</v>
      </c>
      <c r="F31" s="187"/>
      <c r="G31" s="188">
        <f>IF(AND(G25&gt;E25,$AK8&gt;1,ISNUMBER(E25),ISNUMBER(G25)),1,0)</f>
        <v>1</v>
      </c>
      <c r="H31" s="187">
        <f>IF(AND(H25&gt;J25,$AK8&gt;2,ISNUMBER(H25),ISNUMBER(J25)),1,0)</f>
        <v>1</v>
      </c>
      <c r="I31" s="187"/>
      <c r="J31" s="188">
        <f>IF(AND(J25&gt;H25,$AK8&gt;2,ISNUMBER(H25),ISNUMBER(J25)),1,0)</f>
        <v>0</v>
      </c>
      <c r="K31" s="187">
        <f>IF(AND(K25&gt;M25,$AK8&gt;3,ISNUMBER(K25),ISNUMBER(M25)),1,0)</f>
        <v>1</v>
      </c>
      <c r="L31" s="187"/>
      <c r="M31" s="188">
        <f>IF(AND(M25&gt;K25,$AK8&gt;3,ISNUMBER(K25),ISNUMBER(M25)),1,0)</f>
        <v>0</v>
      </c>
      <c r="N31" s="187">
        <f>IF(AND(N25&gt;P25,$AK8&gt;4,ISNUMBER(N25),ISNUMBER(P25)),1,0)</f>
        <v>0</v>
      </c>
      <c r="O31" s="187"/>
      <c r="P31" s="188">
        <f>IF(AND(P25&gt;N25,$AK8&gt;4,ISNUMBER(N25),ISNUMBER(P25)),1,0)</f>
        <v>1</v>
      </c>
      <c r="Q31" s="187">
        <f>IF(AND(Q25&gt;S25,$AK8&gt;5,ISNUMBER(Q25),ISNUMBER(S25)),1,0)</f>
        <v>1</v>
      </c>
      <c r="R31" s="187"/>
      <c r="S31" s="188">
        <f>IF(AND(S25&gt;Q25,$AK8&gt;5,ISNUMBER(Q25),ISNUMBER(S25)),1,0)</f>
        <v>0</v>
      </c>
      <c r="T31" s="187">
        <f>IF(AND(T25&gt;V25,$AK8&gt;6,ISNUMBER(T25),ISNUMBER(V25)),1,0)</f>
        <v>1</v>
      </c>
      <c r="U31" s="187"/>
      <c r="V31" s="188">
        <f>IF(AND(V25&gt;T25,$AK8&gt;6,ISNUMBER(T25),ISNUMBER(V25)),1,0)</f>
        <v>0</v>
      </c>
      <c r="W31" s="187">
        <f>IF(AND(W25&gt;Y25,$AK8&gt;7,ISNUMBER(W25),ISNUMBER(Y25)),1,0)</f>
        <v>1</v>
      </c>
      <c r="X31" s="187"/>
      <c r="Y31" s="188">
        <f>IF(AND(Y25&gt;W25,$AK8&gt;7,ISNUMBER(W25),ISNUMBER(Y25)),1,0)</f>
        <v>0</v>
      </c>
      <c r="Z31" s="187">
        <f>IF(AND(Z25&gt;AB25,$AK8&gt;8,ISNUMBER(Z25),ISNUMBER(AB25)),1,0)</f>
        <v>1</v>
      </c>
      <c r="AA31" s="187"/>
      <c r="AB31" s="188">
        <f>IF(AND(AB25&gt;Z25,$AK8&gt;8,ISNUMBER(Z25),ISNUMBER(AB25)),1,0)</f>
        <v>0</v>
      </c>
      <c r="AC31" s="187">
        <f>IF(AND(AC25&gt;AE25,$AK8&gt;9,ISNUMBER(AC25),ISNUMBER(AE25)),1,0)</f>
        <v>0</v>
      </c>
      <c r="AD31" s="187"/>
      <c r="AE31" s="188">
        <f>IF(AND(AE25&gt;AC25,$AK8&gt;9,ISNUMBER(AC25),ISNUMBER(AE25)),1,0)</f>
        <v>1</v>
      </c>
    </row>
    <row r="32" spans="1:48" s="186" customFormat="1" ht="12.75" hidden="1" customHeight="1" x14ac:dyDescent="0.2">
      <c r="A32" s="186" t="s">
        <v>80</v>
      </c>
      <c r="B32" s="187">
        <f>IF(AND(B26&gt;D26,$AK8&gt;0,$AK7&gt;1,ISNUMBER(B26),ISNUMBER(D26)),1,0)</f>
        <v>1</v>
      </c>
      <c r="C32" s="187"/>
      <c r="D32" s="188">
        <f>IF(AND(D26&gt;B26,$AK8&gt;0,$AK7&gt;1,ISNUMBER(B26),ISNUMBER(D26)),1,0)</f>
        <v>0</v>
      </c>
      <c r="E32" s="187">
        <f>IF(AND(E26&gt;G26,$AK8&gt;1,$AK7&gt;1,ISNUMBER(E26),ISNUMBER(G26)),1,0)</f>
        <v>0</v>
      </c>
      <c r="F32" s="187"/>
      <c r="G32" s="188">
        <f>IF(AND(G26&gt;E26,$AK8&gt;1,$AK7&gt;1,ISNUMBER(E26),ISNUMBER(G26)),1,0)</f>
        <v>1</v>
      </c>
      <c r="H32" s="187">
        <f>IF(AND(H26&gt;J26,$AK8&gt;2,$AK7&gt;1,ISNUMBER(H26),ISNUMBER(J26)),1,0)</f>
        <v>1</v>
      </c>
      <c r="I32" s="187"/>
      <c r="J32" s="188">
        <f>IF(AND(J26&gt;H26,$AK8&gt;2,$AK7&gt;1,ISNUMBER(H26),ISNUMBER(J26)),1,0)</f>
        <v>0</v>
      </c>
      <c r="K32" s="187">
        <f>IF(AND(K26&gt;M26,$AK8&gt;3,$AK7&gt;1,ISNUMBER(K26),ISNUMBER(M26)),1,0)</f>
        <v>0</v>
      </c>
      <c r="L32" s="187"/>
      <c r="M32" s="188">
        <f>IF(AND(M26&gt;K26,$AK8&gt;3,$AK7&gt;1,ISNUMBER(K26),ISNUMBER(M26)),1,0)</f>
        <v>1</v>
      </c>
      <c r="N32" s="187">
        <f>IF(AND(N26&gt;P26,$AK8&gt;4,$AK7&gt;1,ISNUMBER(N26),ISNUMBER(P26)),1,0)</f>
        <v>0</v>
      </c>
      <c r="O32" s="187"/>
      <c r="P32" s="188">
        <f>IF(AND(P26&gt;N26,$AK8&gt;4,$AK7&gt;1,ISNUMBER(N26),ISNUMBER(P26)),1,0)</f>
        <v>1</v>
      </c>
      <c r="Q32" s="187">
        <f>IF(AND(Q26&gt;S26,$AK8&gt;5,$AK7&gt;1,ISNUMBER(Q26),ISNUMBER(S26)),1,0)</f>
        <v>1</v>
      </c>
      <c r="R32" s="187"/>
      <c r="S32" s="188">
        <f>IF(AND(S26&gt;Q26,$AK8&gt;5,$AK7&gt;1,ISNUMBER(Q26),ISNUMBER(S26)),1,0)</f>
        <v>0</v>
      </c>
      <c r="T32" s="187">
        <f>IF(AND(T26&gt;V26,$AK8&gt;6,$AK7&gt;1,ISNUMBER(T26),ISNUMBER(V26)),1,0)</f>
        <v>0</v>
      </c>
      <c r="U32" s="187"/>
      <c r="V32" s="188">
        <f>IF(AND(V26&gt;T26,$AK8&gt;6,$AK7&gt;1,ISNUMBER(T26),ISNUMBER(V26)),1,0)</f>
        <v>1</v>
      </c>
      <c r="W32" s="187">
        <f>IF(AND(W26&gt;Y26,$AK8&gt;7,$AK7&gt;1,ISNUMBER(W26),ISNUMBER(Y26)),1,0)</f>
        <v>0</v>
      </c>
      <c r="X32" s="187"/>
      <c r="Y32" s="188">
        <f>IF(AND(Y26&gt;W26,$AK8&gt;7,$AK7&gt;1,ISNUMBER(W26),ISNUMBER(Y26)),1,0)</f>
        <v>1</v>
      </c>
      <c r="Z32" s="187">
        <f>IF(AND(Z26&gt;AB26,$AK8&gt;8,$AK7&gt;1,ISNUMBER(Z26),ISNUMBER(AB26)),1,0)</f>
        <v>0</v>
      </c>
      <c r="AA32" s="187"/>
      <c r="AB32" s="188">
        <f>IF(AND(AB26&gt;Z26,$AK8&gt;8,$AK7&gt;1,ISNUMBER(Z26),ISNUMBER(AB26)),1,0)</f>
        <v>1</v>
      </c>
      <c r="AC32" s="187">
        <f>IF(AND(AC26&gt;AE26,$AK8&gt;9,$AK7&gt;1,ISNUMBER(AC26),ISNUMBER(AE26)),1,0)</f>
        <v>1</v>
      </c>
      <c r="AD32" s="187"/>
      <c r="AE32" s="188">
        <f>IF(AND(AE26&gt;AC26,$AK8&gt;9,$AK7&gt;1,ISNUMBER(AC26),ISNUMBER(AE26)),1,0)</f>
        <v>0</v>
      </c>
    </row>
    <row r="33" spans="1:33" s="186" customFormat="1" ht="12.75" hidden="1" customHeight="1" x14ac:dyDescent="0.2">
      <c r="A33" s="186" t="s">
        <v>81</v>
      </c>
      <c r="B33" s="187">
        <f>IF(AND(B27&gt;D27,$AK8&gt;0,$AK7&gt;2,ISNUMBER(B27),ISNUMBER(D27)),1,0)</f>
        <v>0</v>
      </c>
      <c r="C33" s="187"/>
      <c r="D33" s="188">
        <f>IF(AND(D27&gt;B27,$AK8&gt;0,$AK7&gt;2,ISNUMBER(B27),ISNUMBER(D27)),1,0)</f>
        <v>0</v>
      </c>
      <c r="E33" s="187">
        <f>IF(AND(E27&gt;G27,$AK8&gt;1,$AK7&gt;2,ISNUMBER(E27),ISNUMBER(G27)),1,0)</f>
        <v>0</v>
      </c>
      <c r="F33" s="187"/>
      <c r="G33" s="188">
        <f>IF(AND(G27&gt;E27,$AK8&gt;1,$AK7&gt;2,ISNUMBER(E27),ISNUMBER(G27)),1,0)</f>
        <v>0</v>
      </c>
      <c r="H33" s="187">
        <f>IF(AND(H27&gt;J27,$AK8&gt;2,$AK7&gt;2,ISNUMBER(H27),ISNUMBER(J27)),1,0)</f>
        <v>0</v>
      </c>
      <c r="I33" s="187"/>
      <c r="J33" s="188">
        <f>IF(AND(J27&gt;H27,$AK8&gt;2,$AK7&gt;2,ISNUMBER(H27),ISNUMBER(J27)),1,0)</f>
        <v>0</v>
      </c>
      <c r="K33" s="187">
        <f>IF(AND(K27&gt;M27,$AK8&gt;3,$AK7&gt;2,ISNUMBER(K27),ISNUMBER(M27)),1,0)</f>
        <v>0</v>
      </c>
      <c r="L33" s="187"/>
      <c r="M33" s="188">
        <f>IF(AND(M27&gt;K27,$AK8&gt;3,$AK7&gt;2,ISNUMBER(K27),ISNUMBER(M27)),1,0)</f>
        <v>0</v>
      </c>
      <c r="N33" s="187">
        <f>IF(AND(N27&gt;P27,$AK8&gt;4,$AK7&gt;2,ISNUMBER(N27),ISNUMBER(P27)),1,0)</f>
        <v>0</v>
      </c>
      <c r="O33" s="187"/>
      <c r="P33" s="188">
        <f>IF(AND(P27&gt;N27,$AK8&gt;4,$AK7&gt;2,ISNUMBER(N27),ISNUMBER(P27)),1,0)</f>
        <v>0</v>
      </c>
      <c r="Q33" s="187">
        <f>IF(AND(Q27&gt;S27,$AK8&gt;5,$AK7&gt;2,ISNUMBER(Q27),ISNUMBER(S27)),1,0)</f>
        <v>0</v>
      </c>
      <c r="R33" s="187"/>
      <c r="S33" s="188">
        <f>IF(AND(S27&gt;Q27,$AK8&gt;5,$AK7&gt;2,ISNUMBER(Q27),ISNUMBER(S27)),1,0)</f>
        <v>0</v>
      </c>
      <c r="T33" s="187">
        <f>IF(AND(T27&gt;V27,$AK8&gt;6,$AK7&gt;2,ISNUMBER(T27),ISNUMBER(V27)),1,0)</f>
        <v>0</v>
      </c>
      <c r="U33" s="187"/>
      <c r="V33" s="188">
        <f>IF(AND(V27&gt;T27,$AK8&gt;6,$AK7&gt;2,ISNUMBER(T27),ISNUMBER(V27)),1,0)</f>
        <v>0</v>
      </c>
      <c r="W33" s="187">
        <f>IF(AND(W27&gt;Y27,$AK8&gt;7,$AK7&gt;2,ISNUMBER(W27),ISNUMBER(Y27)),1,0)</f>
        <v>0</v>
      </c>
      <c r="X33" s="187"/>
      <c r="Y33" s="188">
        <f>IF(AND(Y27&gt;W27,$AK8&gt;7,$AK7&gt;2,ISNUMBER(W27),ISNUMBER(Y27)),1,0)</f>
        <v>0</v>
      </c>
      <c r="Z33" s="187">
        <f>IF(AND(Z27&gt;AB27,$AK8&gt;8,$AK7&gt;2,ISNUMBER(Z27),ISNUMBER(AB27)),1,0)</f>
        <v>0</v>
      </c>
      <c r="AA33" s="187"/>
      <c r="AB33" s="188">
        <f>IF(AND(AB27&gt;Z27,$AK8&gt;8,$AK7&gt;2,ISNUMBER(Z27),ISNUMBER(AB27)),1,0)</f>
        <v>0</v>
      </c>
      <c r="AC33" s="187">
        <f>IF(AND(AC27&gt;AE27,$AK8&gt;9,$AK7&gt;2,ISNUMBER(AC27),ISNUMBER(AE27)),1,0)</f>
        <v>0</v>
      </c>
      <c r="AD33" s="187"/>
      <c r="AE33" s="188">
        <f>IF(AND(AE27&gt;AC27,$AK8&gt;9,$AK7&gt;2,ISNUMBER(AC27),ISNUMBER(AE27)),1,0)</f>
        <v>0</v>
      </c>
    </row>
    <row r="34" spans="1:33" s="186" customFormat="1" ht="12.75" hidden="1" customHeight="1" x14ac:dyDescent="0.2">
      <c r="A34" s="186" t="s">
        <v>82</v>
      </c>
      <c r="B34" s="187">
        <f>IF(AND(B28&gt;D28,$AK8&gt;0,$AK7&gt;3,ISNUMBER(B28),ISNUMBER(D28)),1,0)</f>
        <v>0</v>
      </c>
      <c r="C34" s="187"/>
      <c r="D34" s="188">
        <f>IF(AND(D28&gt;B28,$AK8&gt;0,$AK7&gt;3,ISNUMBER(B28),ISNUMBER(D28)),1,0)</f>
        <v>0</v>
      </c>
      <c r="E34" s="187">
        <f>IF(AND(E28&gt;G28,$AK8&gt;1,$AK7&gt;3,ISNUMBER(E28),ISNUMBER(G28)),1,0)</f>
        <v>0</v>
      </c>
      <c r="F34" s="187"/>
      <c r="G34" s="188">
        <f>IF(AND(G28&gt;E28,$AK8&gt;1,$AK7&gt;3,ISNUMBER(E28),ISNUMBER(G28)),1,0)</f>
        <v>0</v>
      </c>
      <c r="H34" s="187">
        <f>IF(AND(H28&gt;J28,$AK8&gt;2,$AK7&gt;3,ISNUMBER(H28),ISNUMBER(J28)),1,0)</f>
        <v>0</v>
      </c>
      <c r="I34" s="187"/>
      <c r="J34" s="188">
        <f>IF(AND(J28&gt;H28,$AK8&gt;2,$AK7&gt;3,ISNUMBER(H28),ISNUMBER(J28)),1,0)</f>
        <v>0</v>
      </c>
      <c r="K34" s="187">
        <f>IF(AND(K28&gt;M28,$AK8&gt;3,$AK7&gt;3,ISNUMBER(K28),ISNUMBER(M28)),1,0)</f>
        <v>0</v>
      </c>
      <c r="L34" s="187"/>
      <c r="M34" s="188">
        <f>IF(AND(M28&gt;K28,$AK8&gt;3,$AK7&gt;3,ISNUMBER(K28),ISNUMBER(M28)),1,0)</f>
        <v>0</v>
      </c>
      <c r="N34" s="187">
        <f>IF(AND(N28&gt;P28,$AK8&gt;4,$AK7&gt;3,ISNUMBER(N28),ISNUMBER(P28)),1,0)</f>
        <v>0</v>
      </c>
      <c r="O34" s="187"/>
      <c r="P34" s="188">
        <f>IF(AND(P28&gt;N28,$AK8&gt;4,$AK7&gt;3,ISNUMBER(N28),ISNUMBER(P28)),1,0)</f>
        <v>0</v>
      </c>
      <c r="Q34" s="187">
        <f>IF(AND(Q28&gt;S28,$AK8&gt;5,$AK7&gt;3,ISNUMBER(Q28),ISNUMBER(S28)),1,0)</f>
        <v>0</v>
      </c>
      <c r="R34" s="187"/>
      <c r="S34" s="188">
        <f>IF(AND(S28&gt;Q28,$AK8&gt;5,$AK7&gt;3,ISNUMBER(Q28),ISNUMBER(S28)),1,0)</f>
        <v>0</v>
      </c>
      <c r="T34" s="187">
        <f>IF(AND(T28&gt;V28,$AK8&gt;6,$AK7&gt;3,ISNUMBER(T28),ISNUMBER(V28)),1,0)</f>
        <v>0</v>
      </c>
      <c r="U34" s="187"/>
      <c r="V34" s="188">
        <f>IF(AND(V28&gt;T28,$AK8&gt;6,$AK7&gt;3,ISNUMBER(T28),ISNUMBER(V28)),1,0)</f>
        <v>0</v>
      </c>
      <c r="W34" s="187">
        <f>IF(AND(W28&gt;Y28,$AK8&gt;7,$AK7&gt;3,ISNUMBER(W28),ISNUMBER(Y28)),1,0)</f>
        <v>0</v>
      </c>
      <c r="X34" s="187"/>
      <c r="Y34" s="188">
        <f>IF(AND(Y28&gt;W28,$AK8&gt;7,$AK7&gt;3,ISNUMBER(W28),ISNUMBER(Y28)),1,0)</f>
        <v>0</v>
      </c>
      <c r="Z34" s="187">
        <f>IF(AND(Z28&gt;AB28,$AK8&gt;8,$AK7&gt;3,ISNUMBER(Z28),ISNUMBER(AB28)),1,0)</f>
        <v>0</v>
      </c>
      <c r="AA34" s="187"/>
      <c r="AB34" s="188">
        <f>IF(AND(AB28&gt;Z28,$AK8&gt;8,$AK7&gt;3,ISNUMBER(Z28),ISNUMBER(AB28)),1,0)</f>
        <v>0</v>
      </c>
      <c r="AC34" s="187">
        <f>IF(AND(AC28&gt;AE28,$AK8&gt;9,$AK7&gt;3,ISNUMBER(AC28),ISNUMBER(AE28)),1,0)</f>
        <v>0</v>
      </c>
      <c r="AD34" s="187"/>
      <c r="AE34" s="188">
        <f>IF(AND(AE28&gt;AC28,$AK8&gt;9,$AK7&gt;3,ISNUMBER(AC28),ISNUMBER(AE28)),1,0)</f>
        <v>0</v>
      </c>
    </row>
    <row r="35" spans="1:33" s="186" customFormat="1" ht="12.75" hidden="1" customHeight="1" x14ac:dyDescent="0.2">
      <c r="A35" s="186" t="s">
        <v>83</v>
      </c>
      <c r="B35" s="187">
        <f>IF(AND(B29&gt;D29,$AK8&gt;0,$AK7&gt;4,ISNUMBER(B29),ISNUMBER(D29)),1,0)</f>
        <v>0</v>
      </c>
      <c r="C35" s="187"/>
      <c r="D35" s="188">
        <f>IF(AND(D29&gt;B29,$AK8&gt;0,$AK7&gt;4,ISNUMBER(B29),ISNUMBER(D29)),1,0)</f>
        <v>0</v>
      </c>
      <c r="E35" s="187">
        <f>IF(AND(E29&gt;G29,$AK8&gt;1,$AK7&gt;4,ISNUMBER(E29),ISNUMBER(G29)),1,0)</f>
        <v>0</v>
      </c>
      <c r="F35" s="187"/>
      <c r="G35" s="188">
        <f>IF(AND(G29&gt;E29,$AK8&gt;1,$AK7&gt;4,ISNUMBER(E29),ISNUMBER(G29)),1,0)</f>
        <v>0</v>
      </c>
      <c r="H35" s="187">
        <f>IF(AND(H29&gt;J29,$AK8&gt;2,$AK7&gt;4,ISNUMBER(H29),ISNUMBER(J29)),1,0)</f>
        <v>0</v>
      </c>
      <c r="I35" s="187"/>
      <c r="J35" s="188">
        <f>IF(AND(J29&gt;H29,$AK8&gt;2,$AK7&gt;4,ISNUMBER(H29),ISNUMBER(J29)),1,0)</f>
        <v>0</v>
      </c>
      <c r="K35" s="187">
        <f>IF(AND(K29&gt;M29,$AK8&gt;3,$AK7&gt;4,ISNUMBER(K29),ISNUMBER(M29)),1,0)</f>
        <v>0</v>
      </c>
      <c r="L35" s="187"/>
      <c r="M35" s="188">
        <f>IF(AND(M29&gt;K29,$AK8&gt;3,$AK7&gt;4,ISNUMBER(K29),ISNUMBER(M29)),1,0)</f>
        <v>0</v>
      </c>
      <c r="N35" s="187">
        <f>IF(AND(N29&gt;P29,$AK8&gt;4,$AK7&gt;4,ISNUMBER(N29),ISNUMBER(P29)),1,0)</f>
        <v>0</v>
      </c>
      <c r="O35" s="187"/>
      <c r="P35" s="188">
        <f>IF(AND(P29&gt;N29,$AK8&gt;4,$AK7&gt;4,ISNUMBER(N29),ISNUMBER(P29)),1,0)</f>
        <v>0</v>
      </c>
      <c r="Q35" s="187">
        <f>IF(AND(Q29&gt;S29,$AK8&gt;5,$AK7&gt;4,ISNUMBER(Q29),ISNUMBER(S29)),1,0)</f>
        <v>0</v>
      </c>
      <c r="R35" s="187"/>
      <c r="S35" s="188">
        <f>IF(AND(S29&gt;Q29,$AK8&gt;5,$AK7&gt;4,ISNUMBER(Q29),ISNUMBER(S29)),1,0)</f>
        <v>0</v>
      </c>
      <c r="T35" s="187">
        <f>IF(AND(T29&gt;V29,$AK8&gt;6,$AK7&gt;4,ISNUMBER(T29),ISNUMBER(V29)),1,0)</f>
        <v>0</v>
      </c>
      <c r="U35" s="187"/>
      <c r="V35" s="188">
        <f>IF(AND(V29&gt;T29,$AK8&gt;6,$AK7&gt;4,ISNUMBER(T29),ISNUMBER(V29)),1,0)</f>
        <v>0</v>
      </c>
      <c r="W35" s="187">
        <f>IF(AND(W29&gt;Y29,$AK8&gt;7,$AK7&gt;4,ISNUMBER(W29),ISNUMBER(Y29)),1,0)</f>
        <v>0</v>
      </c>
      <c r="X35" s="187"/>
      <c r="Y35" s="188">
        <f>IF(AND(Y29&gt;W29,$AK8&gt;7,$AK7&gt;4,ISNUMBER(W29),ISNUMBER(Y29)),1,0)</f>
        <v>0</v>
      </c>
      <c r="Z35" s="187">
        <f>IF(AND(Z29&gt;AB29,$AK8&gt;8,$AK7&gt;4,ISNUMBER(Z29),ISNUMBER(AB29)),1,0)</f>
        <v>0</v>
      </c>
      <c r="AA35" s="187"/>
      <c r="AB35" s="188">
        <f>IF(AND(AB29&gt;Z29,$AK8&gt;8,$AK7&gt;4,ISNUMBER(Z29),ISNUMBER(AB29)),1,0)</f>
        <v>0</v>
      </c>
      <c r="AC35" s="187">
        <f>IF(AND(AC29&gt;AE29,$AK8&gt;9,$AK7&gt;4,ISNUMBER(AC29),ISNUMBER(AE29)),1,0)</f>
        <v>0</v>
      </c>
      <c r="AD35" s="187"/>
      <c r="AE35" s="188">
        <f>IF(AND(AE29&gt;AC29,$AK8&gt;9,$AK7&gt;4,ISNUMBER(AC29),ISNUMBER(AE29)),1,0)</f>
        <v>0</v>
      </c>
    </row>
    <row r="36" spans="1:33" s="186" customFormat="1" ht="38.25" hidden="1" customHeight="1" x14ac:dyDescent="0.2">
      <c r="A36" s="189" t="s">
        <v>84</v>
      </c>
      <c r="B36" s="186">
        <f>SUM(B31:B35)</f>
        <v>2</v>
      </c>
      <c r="D36" s="190">
        <f>SUM(D31:D35)</f>
        <v>0</v>
      </c>
      <c r="E36" s="186">
        <f>SUM(E31:E35)</f>
        <v>0</v>
      </c>
      <c r="G36" s="190">
        <f>SUM(G31:G35)</f>
        <v>2</v>
      </c>
      <c r="H36" s="186">
        <f>SUM(H31:H35)</f>
        <v>2</v>
      </c>
      <c r="J36" s="190">
        <f>SUM(J31:J35)</f>
        <v>0</v>
      </c>
      <c r="K36" s="186">
        <f>SUM(K31:K35)</f>
        <v>1</v>
      </c>
      <c r="M36" s="190">
        <f>SUM(M31:M35)</f>
        <v>1</v>
      </c>
      <c r="N36" s="186">
        <f>SUM(N31:N35)</f>
        <v>0</v>
      </c>
      <c r="P36" s="190">
        <f>SUM(P31:P35)</f>
        <v>2</v>
      </c>
      <c r="Q36" s="186">
        <f>SUM(Q31:Q35)</f>
        <v>2</v>
      </c>
      <c r="S36" s="190">
        <f>SUM(S31:S35)</f>
        <v>0</v>
      </c>
      <c r="T36" s="186">
        <f>SUM(T31:T35)</f>
        <v>1</v>
      </c>
      <c r="V36" s="190">
        <f>SUM(V31:V35)</f>
        <v>1</v>
      </c>
      <c r="W36" s="186">
        <f>SUM(W31:W35)</f>
        <v>1</v>
      </c>
      <c r="Y36" s="190">
        <f>SUM(Y31:Y35)</f>
        <v>1</v>
      </c>
      <c r="Z36" s="186">
        <f>SUM(Z31:Z35)</f>
        <v>1</v>
      </c>
      <c r="AB36" s="190">
        <f>SUM(AB31:AB35)</f>
        <v>1</v>
      </c>
      <c r="AC36" s="186">
        <f>SUM(AC31:AC35)</f>
        <v>1</v>
      </c>
      <c r="AE36" s="190">
        <f>SUM(AE31:AE35)</f>
        <v>1</v>
      </c>
    </row>
    <row r="37" spans="1:33" s="186" customFormat="1" ht="25.5" hidden="1" customHeight="1" x14ac:dyDescent="0.2">
      <c r="A37" s="189" t="s">
        <v>85</v>
      </c>
      <c r="B37" s="186">
        <f>IF(B36&gt;D36,IF(C71=AK7,1,IF(C71=AK7-1,1,0)),0)</f>
        <v>1</v>
      </c>
      <c r="C37" s="186">
        <f>B37+D37</f>
        <v>1</v>
      </c>
      <c r="D37" s="190">
        <f>IF(D36&gt;B36,IF(C71=AK7,1,IF(C71=AK7-1,1,0)),0)</f>
        <v>0</v>
      </c>
      <c r="E37" s="186">
        <f>IF(E36&gt;G36,IF(F71=AK7,1,IF(F71=AK7-1,1,0)),0)</f>
        <v>0</v>
      </c>
      <c r="F37" s="186">
        <f>E37+G37</f>
        <v>1</v>
      </c>
      <c r="G37" s="190">
        <f>IF(G36&gt;E36,IF(F71=AK7,1,IF(F71=AK7-1,1,0)),0)</f>
        <v>1</v>
      </c>
      <c r="H37" s="186">
        <f>IF(H36&gt;J36,IF(I71=AK7,1,IF(I71=AK7-1,1,0)),0)</f>
        <v>1</v>
      </c>
      <c r="I37" s="186">
        <f>H37+J37</f>
        <v>1</v>
      </c>
      <c r="J37" s="190">
        <f>IF(J36&gt;H36,IF(I71=AK7,1,IF(I71=AK7-1,1,0)),0)</f>
        <v>0</v>
      </c>
      <c r="K37" s="186">
        <f>IF(K36&gt;M36,IF(L71=AK7,1,IF(L71=AK7-1,1,0)),0)</f>
        <v>0</v>
      </c>
      <c r="L37" s="186">
        <f>K37+M37</f>
        <v>0</v>
      </c>
      <c r="M37" s="190">
        <f>IF(M36&gt;K36,IF(L71=AK7,1,IF(L71=AK7-1,1,0)),0)</f>
        <v>0</v>
      </c>
      <c r="N37" s="186">
        <f>IF(N36&gt;P36,IF(O71=AK7,1,IF(O71=AK7-1,1,0)),0)</f>
        <v>0</v>
      </c>
      <c r="O37" s="186">
        <f>N37+P37</f>
        <v>1</v>
      </c>
      <c r="P37" s="190">
        <f>IF(P36&gt;N36,IF(O71=AK7,1,IF(O71=AK7-1,1,0)),0)</f>
        <v>1</v>
      </c>
      <c r="Q37" s="186">
        <f>IF(Q36&gt;S36,IF(R71=AK7,1,IF(R71=AK7-1,1,0)),0)</f>
        <v>1</v>
      </c>
      <c r="R37" s="186">
        <f>Q37+S37</f>
        <v>1</v>
      </c>
      <c r="S37" s="190">
        <f>IF(S36&gt;Q36,IF(R71=AK7,1,IF(R71=AK7-1,1,0)),0)</f>
        <v>0</v>
      </c>
      <c r="T37" s="186">
        <f>IF(T36&gt;V36,IF(U71=AK7,1,IF(U71=AK7-1,1,0)),0)</f>
        <v>0</v>
      </c>
      <c r="U37" s="186">
        <f>T37+V37</f>
        <v>0</v>
      </c>
      <c r="V37" s="190">
        <f>IF(V36&gt;T36,IF(U71=AK7,1,IF(U71=AK7-1,1,0)),0)</f>
        <v>0</v>
      </c>
      <c r="W37" s="186">
        <f>IF(W36&gt;Y36,IF(X71=AK7,1,IF(X71=AK7-1,1,0)),0)</f>
        <v>0</v>
      </c>
      <c r="X37" s="186">
        <f>W37+Y37</f>
        <v>0</v>
      </c>
      <c r="Y37" s="190">
        <f>IF(Y36&gt;W36,IF(X71=AK7,1,IF(X71=AK7-1,1,0)),0)</f>
        <v>0</v>
      </c>
      <c r="Z37" s="186">
        <f>IF(Z36&gt;AB36,IF(AA71=AK7,1,IF(AA71=AK7-1,1,0)),0)</f>
        <v>0</v>
      </c>
      <c r="AA37" s="186">
        <f>Z37+AB37</f>
        <v>0</v>
      </c>
      <c r="AB37" s="190">
        <f>IF(AB36&gt;Z36,IF(AA71=AK7,1,IF(AA71=AK7-1,1,0)),0)</f>
        <v>0</v>
      </c>
      <c r="AC37" s="186">
        <f>IF(AC36&gt;AE36,IF(AD71=AK7,1,IF(AD71=AK7-1,1,0)),0)</f>
        <v>0</v>
      </c>
      <c r="AD37" s="186">
        <f>AC37+AE37</f>
        <v>0</v>
      </c>
      <c r="AE37" s="190">
        <f>IF(AE36&gt;AC36,IF(AD71=AK7,1,IF(AD71=AK7-1,1,0)),0)</f>
        <v>0</v>
      </c>
    </row>
    <row r="38" spans="1:33" s="186" customFormat="1" ht="25.5" hidden="1" customHeight="1" x14ac:dyDescent="0.2">
      <c r="A38" s="189"/>
      <c r="D38" s="190"/>
      <c r="G38" s="190"/>
      <c r="J38" s="190"/>
      <c r="M38" s="190"/>
      <c r="P38" s="190"/>
      <c r="S38" s="190"/>
      <c r="V38" s="190"/>
      <c r="Y38" s="190"/>
      <c r="AB38" s="190"/>
      <c r="AE38" s="190"/>
    </row>
    <row r="39" spans="1:33" s="186" customFormat="1" ht="12.75" hidden="1" customHeight="1" x14ac:dyDescent="0.2">
      <c r="A39" s="186" t="s">
        <v>86</v>
      </c>
      <c r="B39" s="186">
        <f>IF(B31=1,B25,0)</f>
        <v>25</v>
      </c>
      <c r="D39" s="190">
        <f t="shared" ref="D39:E43" si="0">IF(D31=1,D25,0)</f>
        <v>0</v>
      </c>
      <c r="E39" s="186">
        <f t="shared" si="0"/>
        <v>0</v>
      </c>
      <c r="G39" s="190">
        <f t="shared" ref="G39:H43" si="1">IF(G31=1,G25,0)</f>
        <v>25</v>
      </c>
      <c r="H39" s="186">
        <f t="shared" si="1"/>
        <v>25</v>
      </c>
      <c r="J39" s="190">
        <f t="shared" ref="J39:K43" si="2">IF(J31=1,J25,0)</f>
        <v>0</v>
      </c>
      <c r="K39" s="186">
        <f t="shared" si="2"/>
        <v>25</v>
      </c>
      <c r="M39" s="190">
        <f t="shared" ref="M39:N43" si="3">IF(M31=1,M25,0)</f>
        <v>0</v>
      </c>
      <c r="N39" s="186">
        <f t="shared" si="3"/>
        <v>0</v>
      </c>
      <c r="P39" s="190">
        <f t="shared" ref="P39:Q43" si="4">IF(P31=1,P25,0)</f>
        <v>25</v>
      </c>
      <c r="Q39" s="186">
        <f t="shared" si="4"/>
        <v>25</v>
      </c>
      <c r="S39" s="190">
        <f t="shared" ref="S39:T43" si="5">IF(S31=1,S25,0)</f>
        <v>0</v>
      </c>
      <c r="T39" s="186">
        <f t="shared" si="5"/>
        <v>25</v>
      </c>
      <c r="V39" s="190">
        <f t="shared" ref="V39:W43" si="6">IF(V31=1,V25,0)</f>
        <v>0</v>
      </c>
      <c r="W39" s="186">
        <f t="shared" si="6"/>
        <v>25</v>
      </c>
      <c r="Y39" s="190">
        <f t="shared" ref="Y39:Z43" si="7">IF(Y31=1,Y25,0)</f>
        <v>0</v>
      </c>
      <c r="Z39" s="186">
        <f t="shared" si="7"/>
        <v>25</v>
      </c>
      <c r="AB39" s="190">
        <f t="shared" ref="AB39:AC43" si="8">IF(AB31=1,AB25,0)</f>
        <v>0</v>
      </c>
      <c r="AC39" s="186">
        <f t="shared" si="8"/>
        <v>0</v>
      </c>
      <c r="AE39" s="190">
        <f>IF(AE31=1,AE25,0)</f>
        <v>27</v>
      </c>
    </row>
    <row r="40" spans="1:33" s="186" customFormat="1" ht="12.75" hidden="1" customHeight="1" x14ac:dyDescent="0.2">
      <c r="A40" s="186" t="s">
        <v>87</v>
      </c>
      <c r="B40" s="186">
        <f>IF(B32=1,B26,0)</f>
        <v>25</v>
      </c>
      <c r="D40" s="190">
        <f t="shared" si="0"/>
        <v>0</v>
      </c>
      <c r="E40" s="186">
        <f t="shared" si="0"/>
        <v>0</v>
      </c>
      <c r="G40" s="190">
        <f t="shared" si="1"/>
        <v>25</v>
      </c>
      <c r="H40" s="186">
        <f t="shared" si="1"/>
        <v>25</v>
      </c>
      <c r="J40" s="190">
        <f t="shared" si="2"/>
        <v>0</v>
      </c>
      <c r="K40" s="186">
        <f t="shared" si="2"/>
        <v>0</v>
      </c>
      <c r="M40" s="190">
        <f t="shared" si="3"/>
        <v>25</v>
      </c>
      <c r="N40" s="186">
        <f t="shared" si="3"/>
        <v>0</v>
      </c>
      <c r="P40" s="190">
        <f t="shared" si="4"/>
        <v>25</v>
      </c>
      <c r="Q40" s="186">
        <f t="shared" si="4"/>
        <v>25</v>
      </c>
      <c r="S40" s="190">
        <f t="shared" si="5"/>
        <v>0</v>
      </c>
      <c r="T40" s="186">
        <f t="shared" si="5"/>
        <v>0</v>
      </c>
      <c r="V40" s="190">
        <f t="shared" si="6"/>
        <v>25</v>
      </c>
      <c r="W40" s="186">
        <f t="shared" si="6"/>
        <v>0</v>
      </c>
      <c r="Y40" s="190">
        <f t="shared" si="7"/>
        <v>25</v>
      </c>
      <c r="Z40" s="186">
        <f t="shared" si="7"/>
        <v>0</v>
      </c>
      <c r="AB40" s="190">
        <f t="shared" si="8"/>
        <v>25</v>
      </c>
      <c r="AC40" s="186">
        <f t="shared" si="8"/>
        <v>26</v>
      </c>
      <c r="AE40" s="190">
        <f>IF(AE32=1,AE26,0)</f>
        <v>0</v>
      </c>
    </row>
    <row r="41" spans="1:33" s="186" customFormat="1" ht="12.75" hidden="1" customHeight="1" x14ac:dyDescent="0.2">
      <c r="A41" s="186" t="s">
        <v>88</v>
      </c>
      <c r="B41" s="186">
        <f>IF(B33=1,B27,0)</f>
        <v>0</v>
      </c>
      <c r="D41" s="190">
        <f t="shared" si="0"/>
        <v>0</v>
      </c>
      <c r="E41" s="186">
        <f t="shared" si="0"/>
        <v>0</v>
      </c>
      <c r="G41" s="190">
        <f t="shared" si="1"/>
        <v>0</v>
      </c>
      <c r="H41" s="186">
        <f t="shared" si="1"/>
        <v>0</v>
      </c>
      <c r="J41" s="190">
        <f t="shared" si="2"/>
        <v>0</v>
      </c>
      <c r="K41" s="186">
        <f t="shared" si="2"/>
        <v>0</v>
      </c>
      <c r="M41" s="190">
        <f t="shared" si="3"/>
        <v>0</v>
      </c>
      <c r="N41" s="186">
        <f t="shared" si="3"/>
        <v>0</v>
      </c>
      <c r="P41" s="190">
        <f t="shared" si="4"/>
        <v>0</v>
      </c>
      <c r="Q41" s="186">
        <f t="shared" si="4"/>
        <v>0</v>
      </c>
      <c r="S41" s="190">
        <f t="shared" si="5"/>
        <v>0</v>
      </c>
      <c r="T41" s="186">
        <f t="shared" si="5"/>
        <v>0</v>
      </c>
      <c r="V41" s="190">
        <f t="shared" si="6"/>
        <v>0</v>
      </c>
      <c r="W41" s="186">
        <f t="shared" si="6"/>
        <v>0</v>
      </c>
      <c r="Y41" s="190">
        <f t="shared" si="7"/>
        <v>0</v>
      </c>
      <c r="Z41" s="186">
        <f t="shared" si="7"/>
        <v>0</v>
      </c>
      <c r="AB41" s="190">
        <f t="shared" si="8"/>
        <v>0</v>
      </c>
      <c r="AC41" s="186">
        <f t="shared" si="8"/>
        <v>0</v>
      </c>
      <c r="AE41" s="190">
        <f>IF(AE33=1,AE27,0)</f>
        <v>0</v>
      </c>
    </row>
    <row r="42" spans="1:33" s="186" customFormat="1" ht="12.75" hidden="1" customHeight="1" x14ac:dyDescent="0.2">
      <c r="A42" s="186" t="s">
        <v>89</v>
      </c>
      <c r="B42" s="186">
        <f>IF(B34=1,B28,0)</f>
        <v>0</v>
      </c>
      <c r="D42" s="190">
        <f t="shared" si="0"/>
        <v>0</v>
      </c>
      <c r="E42" s="186">
        <f t="shared" si="0"/>
        <v>0</v>
      </c>
      <c r="G42" s="190">
        <f t="shared" si="1"/>
        <v>0</v>
      </c>
      <c r="H42" s="186">
        <f t="shared" si="1"/>
        <v>0</v>
      </c>
      <c r="J42" s="190">
        <f t="shared" si="2"/>
        <v>0</v>
      </c>
      <c r="K42" s="186">
        <f t="shared" si="2"/>
        <v>0</v>
      </c>
      <c r="M42" s="190">
        <f t="shared" si="3"/>
        <v>0</v>
      </c>
      <c r="N42" s="186">
        <f t="shared" si="3"/>
        <v>0</v>
      </c>
      <c r="P42" s="190">
        <f t="shared" si="4"/>
        <v>0</v>
      </c>
      <c r="Q42" s="186">
        <f t="shared" si="4"/>
        <v>0</v>
      </c>
      <c r="S42" s="190">
        <f t="shared" si="5"/>
        <v>0</v>
      </c>
      <c r="T42" s="186">
        <f t="shared" si="5"/>
        <v>0</v>
      </c>
      <c r="V42" s="190">
        <f t="shared" si="6"/>
        <v>0</v>
      </c>
      <c r="W42" s="186">
        <f t="shared" si="6"/>
        <v>0</v>
      </c>
      <c r="Y42" s="190">
        <f t="shared" si="7"/>
        <v>0</v>
      </c>
      <c r="Z42" s="186">
        <f t="shared" si="7"/>
        <v>0</v>
      </c>
      <c r="AB42" s="190">
        <f t="shared" si="8"/>
        <v>0</v>
      </c>
      <c r="AC42" s="186">
        <f t="shared" si="8"/>
        <v>0</v>
      </c>
      <c r="AE42" s="190">
        <f>IF(AE34=1,AE28,0)</f>
        <v>0</v>
      </c>
    </row>
    <row r="43" spans="1:33" s="186" customFormat="1" ht="12.75" hidden="1" customHeight="1" x14ac:dyDescent="0.2">
      <c r="A43" s="186" t="s">
        <v>90</v>
      </c>
      <c r="B43" s="186">
        <f>IF(B35=1,B29,0)</f>
        <v>0</v>
      </c>
      <c r="D43" s="190">
        <f t="shared" si="0"/>
        <v>0</v>
      </c>
      <c r="E43" s="186">
        <f t="shared" si="0"/>
        <v>0</v>
      </c>
      <c r="G43" s="190">
        <f t="shared" si="1"/>
        <v>0</v>
      </c>
      <c r="H43" s="186">
        <f t="shared" si="1"/>
        <v>0</v>
      </c>
      <c r="J43" s="190">
        <f t="shared" si="2"/>
        <v>0</v>
      </c>
      <c r="K43" s="186">
        <f t="shared" si="2"/>
        <v>0</v>
      </c>
      <c r="M43" s="190">
        <f t="shared" si="3"/>
        <v>0</v>
      </c>
      <c r="N43" s="186">
        <f t="shared" si="3"/>
        <v>0</v>
      </c>
      <c r="P43" s="190">
        <f t="shared" si="4"/>
        <v>0</v>
      </c>
      <c r="Q43" s="186">
        <f t="shared" si="4"/>
        <v>0</v>
      </c>
      <c r="S43" s="190">
        <f t="shared" si="5"/>
        <v>0</v>
      </c>
      <c r="T43" s="186">
        <f t="shared" si="5"/>
        <v>0</v>
      </c>
      <c r="V43" s="190">
        <f t="shared" si="6"/>
        <v>0</v>
      </c>
      <c r="W43" s="186">
        <f t="shared" si="6"/>
        <v>0</v>
      </c>
      <c r="Y43" s="190">
        <f t="shared" si="7"/>
        <v>0</v>
      </c>
      <c r="Z43" s="186">
        <f t="shared" si="7"/>
        <v>0</v>
      </c>
      <c r="AB43" s="190">
        <f t="shared" si="8"/>
        <v>0</v>
      </c>
      <c r="AC43" s="186">
        <f t="shared" si="8"/>
        <v>0</v>
      </c>
      <c r="AE43" s="190">
        <f>IF(AE35=1,AE29,0)</f>
        <v>0</v>
      </c>
    </row>
    <row r="44" spans="1:33" s="186" customFormat="1" ht="38.25" hidden="1" customHeight="1" x14ac:dyDescent="0.2">
      <c r="A44" s="189" t="s">
        <v>91</v>
      </c>
      <c r="B44" s="186">
        <f>SUM(B39:D43)</f>
        <v>50</v>
      </c>
      <c r="D44" s="190"/>
      <c r="E44" s="186">
        <f>SUM(E39:G43)</f>
        <v>50</v>
      </c>
      <c r="G44" s="190"/>
      <c r="H44" s="186">
        <f>SUM(H39:J43)</f>
        <v>50</v>
      </c>
      <c r="J44" s="190"/>
      <c r="K44" s="186">
        <f>SUM(K39:M43)</f>
        <v>50</v>
      </c>
      <c r="M44" s="190"/>
      <c r="N44" s="186">
        <f>SUM(N39:P43)</f>
        <v>50</v>
      </c>
      <c r="P44" s="190"/>
      <c r="Q44" s="186">
        <f>SUM(Q39:S43)</f>
        <v>50</v>
      </c>
      <c r="S44" s="190"/>
      <c r="T44" s="186">
        <f>SUM(T39:V43)</f>
        <v>50</v>
      </c>
      <c r="V44" s="190"/>
      <c r="W44" s="186">
        <f>SUM(W39:Y43)</f>
        <v>50</v>
      </c>
      <c r="Y44" s="190"/>
      <c r="Z44" s="186">
        <f>SUM(Z39:AB43)</f>
        <v>50</v>
      </c>
      <c r="AB44" s="190"/>
      <c r="AC44" s="186">
        <f>SUM(AC39:AE43)</f>
        <v>53</v>
      </c>
      <c r="AE44" s="190"/>
    </row>
    <row r="45" spans="1:33" s="186" customFormat="1" ht="38.25" hidden="1" customHeight="1" x14ac:dyDescent="0.2">
      <c r="A45" s="186" t="s">
        <v>92</v>
      </c>
      <c r="D45" s="190"/>
      <c r="G45" s="190"/>
      <c r="J45" s="190"/>
      <c r="M45" s="190"/>
      <c r="P45" s="190"/>
      <c r="S45" s="190"/>
      <c r="V45" s="190"/>
      <c r="Y45" s="190"/>
      <c r="AB45" s="190"/>
      <c r="AE45" s="190"/>
      <c r="AF45" s="189" t="s">
        <v>93</v>
      </c>
      <c r="AG45" s="186" t="s">
        <v>94</v>
      </c>
    </row>
    <row r="46" spans="1:33" s="186" customFormat="1" ht="12.75" hidden="1" customHeight="1" x14ac:dyDescent="0.2">
      <c r="A46" s="186" t="s">
        <v>95</v>
      </c>
      <c r="B46" s="186">
        <f>IF(B24=1,IF(B37=1,1,0),0)</f>
        <v>0</v>
      </c>
      <c r="D46" s="190">
        <f>IF(D24=1,IF(D37=1,1,0),0)</f>
        <v>0</v>
      </c>
      <c r="E46" s="186">
        <f>IF(E24=1,IF(E37=1,1,0),0)</f>
        <v>0</v>
      </c>
      <c r="G46" s="190">
        <f>IF(G24=1,IF(G37=1,1,0),0)</f>
        <v>0</v>
      </c>
      <c r="H46" s="186">
        <f>IF(H24=1,IF(H37=1,1,0),0)</f>
        <v>0</v>
      </c>
      <c r="J46" s="190">
        <f>IF(J24=1,IF(J37=1,1,0),0)</f>
        <v>0</v>
      </c>
      <c r="K46" s="186">
        <f>IF(K24=1,IF(K37=1,1,0),0)</f>
        <v>0</v>
      </c>
      <c r="M46" s="190">
        <f>IF(M24=1,IF(M37=1,1,0),0)</f>
        <v>0</v>
      </c>
      <c r="N46" s="186">
        <f>IF(N24=1,IF(N37=1,1,0),0)</f>
        <v>0</v>
      </c>
      <c r="P46" s="190">
        <f>IF(P24=1,IF(P37=1,1,0),0)</f>
        <v>0</v>
      </c>
      <c r="Q46" s="186">
        <f>IF(Q24=1,IF(Q37=1,1,0),0)</f>
        <v>0</v>
      </c>
      <c r="S46" s="190">
        <f>IF(S24=1,IF(S37=1,1,0),0)</f>
        <v>0</v>
      </c>
      <c r="T46" s="186">
        <f>IF(T24=1,IF(T37=1,1,0),0)</f>
        <v>0</v>
      </c>
      <c r="V46" s="190">
        <f>IF(V24=1,IF(V37=1,1,0),0)</f>
        <v>0</v>
      </c>
      <c r="W46" s="186">
        <f>IF(W24=1,IF(W37=1,1,0),0)</f>
        <v>0</v>
      </c>
      <c r="Y46" s="190">
        <f>IF(Y24=1,IF(Y37=1,1,0),0)</f>
        <v>0</v>
      </c>
      <c r="Z46" s="186">
        <f>IF(Z24=1,IF(Z37=1,1,0),0)</f>
        <v>0</v>
      </c>
      <c r="AB46" s="190">
        <f>IF(AB24=1,IF(AB37=1,1,0),0)</f>
        <v>0</v>
      </c>
      <c r="AC46" s="186">
        <f>IF(AC24=1,IF(AC37=1,1,0),0)</f>
        <v>0</v>
      </c>
      <c r="AE46" s="190">
        <f>IF(AE24=1,IF(AE37=1,1,0),0)</f>
        <v>0</v>
      </c>
      <c r="AF46" s="186">
        <f>SUM(B46:AE46)</f>
        <v>0</v>
      </c>
      <c r="AG46" s="186">
        <f>AF52-AF46</f>
        <v>2</v>
      </c>
    </row>
    <row r="47" spans="1:33" s="186" customFormat="1" ht="12.75" hidden="1" customHeight="1" x14ac:dyDescent="0.2">
      <c r="A47" s="186" t="s">
        <v>96</v>
      </c>
      <c r="B47" s="186">
        <f>IF(B24=2,IF(B37=1,1,0),0)</f>
        <v>1</v>
      </c>
      <c r="D47" s="190">
        <f>IF(D24=2,IF(D37=1,1,0),0)</f>
        <v>0</v>
      </c>
      <c r="E47" s="186">
        <f>IF(E24=2,IF(E37=1,1,0),0)</f>
        <v>0</v>
      </c>
      <c r="G47" s="190">
        <f>IF(G24=2,IF(G37=1,1,0),0)</f>
        <v>0</v>
      </c>
      <c r="H47" s="186">
        <f>IF(H24=2,IF(H37=1,1,0),0)</f>
        <v>0</v>
      </c>
      <c r="J47" s="190">
        <f>IF(J24=2,IF(J37=1,1,0),0)</f>
        <v>0</v>
      </c>
      <c r="K47" s="186">
        <f>IF(K24=2,IF(K37=1,1,0),0)</f>
        <v>0</v>
      </c>
      <c r="M47" s="190">
        <f>IF(M24=2,IF(M37=1,1,0),0)</f>
        <v>0</v>
      </c>
      <c r="N47" s="186">
        <f>IF(N24=2,IF(N37=1,1,0),0)</f>
        <v>0</v>
      </c>
      <c r="P47" s="190">
        <f>IF(P24=2,IF(P37=1,1,0),0)</f>
        <v>0</v>
      </c>
      <c r="Q47" s="186">
        <f>IF(Q24=2,IF(Q37=1,1,0),0)</f>
        <v>0</v>
      </c>
      <c r="S47" s="190">
        <f>IF(S24=2,IF(S37=1,1,0),0)</f>
        <v>0</v>
      </c>
      <c r="T47" s="186">
        <f>IF(T24=2,IF(T37=1,1,0),0)</f>
        <v>0</v>
      </c>
      <c r="V47" s="190">
        <f>IF(V24=2,IF(V37=1,1,0),0)</f>
        <v>0</v>
      </c>
      <c r="W47" s="186">
        <f>IF(W24=2,IF(W37=1,1,0),0)</f>
        <v>0</v>
      </c>
      <c r="Y47" s="190">
        <f>IF(Y24=2,IF(Y37=1,1,0),0)</f>
        <v>0</v>
      </c>
      <c r="Z47" s="186">
        <f>IF(Z24=2,IF(Z37=1,1,0),0)</f>
        <v>0</v>
      </c>
      <c r="AB47" s="190">
        <f>IF(AB24=2,IF(AB37=1,1,0),0)</f>
        <v>0</v>
      </c>
      <c r="AC47" s="186">
        <f>IF(AC24=2,IF(AC37=1,1,0),0)</f>
        <v>0</v>
      </c>
      <c r="AE47" s="190">
        <f>IF(AE24=2,IF(AE37=1,1,0),0)</f>
        <v>0</v>
      </c>
      <c r="AF47" s="186">
        <f>SUM(B47:AE47)</f>
        <v>1</v>
      </c>
      <c r="AG47" s="186">
        <f>AF53-AF47</f>
        <v>0</v>
      </c>
    </row>
    <row r="48" spans="1:33" s="186" customFormat="1" ht="12.75" hidden="1" customHeight="1" x14ac:dyDescent="0.2">
      <c r="A48" s="186" t="s">
        <v>97</v>
      </c>
      <c r="B48" s="186">
        <f>IF(B24=3,IF(B37=1,1,0),0)</f>
        <v>0</v>
      </c>
      <c r="D48" s="190">
        <f>IF(D24=3,IF(D37=1,1,0),0)</f>
        <v>0</v>
      </c>
      <c r="E48" s="186">
        <f>IF(E24=3,IF(E37=1,1,0),0)</f>
        <v>0</v>
      </c>
      <c r="G48" s="190">
        <f>IF(G24=3,IF(G37=1,1,0),0)</f>
        <v>0</v>
      </c>
      <c r="H48" s="186">
        <f>IF(H24=3,IF(H37=1,1,0),0)</f>
        <v>1</v>
      </c>
      <c r="J48" s="190">
        <f>IF(J24=3,IF(J37=1,1,0),0)</f>
        <v>0</v>
      </c>
      <c r="K48" s="186">
        <f>IF(K24=3,IF(K37=1,1,0),0)</f>
        <v>0</v>
      </c>
      <c r="M48" s="190">
        <f>IF(M24=3,IF(M37=1,1,0),0)</f>
        <v>0</v>
      </c>
      <c r="N48" s="186">
        <f>IF(N24=3,IF(N37=1,1,0),0)</f>
        <v>0</v>
      </c>
      <c r="P48" s="190">
        <f>IF(P24=3,IF(P37=1,1,0),0)</f>
        <v>1</v>
      </c>
      <c r="Q48" s="186">
        <f>IF(Q24=3,IF(Q37=1,1,0),0)</f>
        <v>0</v>
      </c>
      <c r="S48" s="190">
        <f>IF(S24=3,IF(S37=1,1,0),0)</f>
        <v>0</v>
      </c>
      <c r="T48" s="186">
        <f>IF(T24=3,IF(T37=1,1,0),0)</f>
        <v>0</v>
      </c>
      <c r="V48" s="190">
        <f>IF(V24=3,IF(V37=1,1,0),0)</f>
        <v>0</v>
      </c>
      <c r="W48" s="186">
        <f>IF(W24=3,IF(W37=1,1,0),0)</f>
        <v>0</v>
      </c>
      <c r="Y48" s="190">
        <f>IF(Y24=3,IF(Y37=1,1,0),0)</f>
        <v>0</v>
      </c>
      <c r="Z48" s="186">
        <f>IF(Z24=3,IF(Z37=1,1,0),0)</f>
        <v>0</v>
      </c>
      <c r="AB48" s="190">
        <f>IF(AB24=3,IF(AB37=1,1,0),0)</f>
        <v>0</v>
      </c>
      <c r="AC48" s="186">
        <f>IF(AC24=3,IF(AC37=1,1,0),0)</f>
        <v>0</v>
      </c>
      <c r="AE48" s="190">
        <f>IF(AE24=3,IF(AE37=1,1,0),0)</f>
        <v>0</v>
      </c>
      <c r="AF48" s="186">
        <f>SUM(B48:AE48)</f>
        <v>2</v>
      </c>
      <c r="AG48" s="186">
        <f>AF54-AF48</f>
        <v>0</v>
      </c>
    </row>
    <row r="49" spans="1:37" s="186" customFormat="1" ht="12.75" hidden="1" customHeight="1" x14ac:dyDescent="0.2">
      <c r="A49" s="186" t="s">
        <v>98</v>
      </c>
      <c r="B49" s="186">
        <f>IF(B24=4,IF(B37=1,1,0),0)</f>
        <v>0</v>
      </c>
      <c r="D49" s="190">
        <f>IF(D24=4,IF(D37=1,1,0),0)</f>
        <v>0</v>
      </c>
      <c r="E49" s="186">
        <f>IF(E24=4,IF(E37=1,1,0),0)</f>
        <v>0</v>
      </c>
      <c r="G49" s="190">
        <f>IF(G24=4,IF(G37=1,1,0),0)</f>
        <v>1</v>
      </c>
      <c r="H49" s="186">
        <f>IF(H24=4,IF(H37=1,1,0),0)</f>
        <v>0</v>
      </c>
      <c r="J49" s="190">
        <f>IF(J24=4,IF(J37=1,1,0),0)</f>
        <v>0</v>
      </c>
      <c r="K49" s="186">
        <f>IF(K24=4,IF(K37=1,1,0),0)</f>
        <v>0</v>
      </c>
      <c r="M49" s="190">
        <f>IF(M24=4,IF(M37=1,1,0),0)</f>
        <v>0</v>
      </c>
      <c r="N49" s="186">
        <f>IF(N24=4,IF(N37=1,1,0),0)</f>
        <v>0</v>
      </c>
      <c r="P49" s="190">
        <f>IF(P24=4,IF(P37=1,1,0),0)</f>
        <v>0</v>
      </c>
      <c r="Q49" s="186">
        <f>IF(Q24=4,IF(Q37=1,1,0),0)</f>
        <v>1</v>
      </c>
      <c r="S49" s="190">
        <f>IF(S24=4,IF(S37=1,1,0),0)</f>
        <v>0</v>
      </c>
      <c r="T49" s="186">
        <f>IF(T24=4,IF(T37=1,1,0),0)</f>
        <v>0</v>
      </c>
      <c r="V49" s="190">
        <f>IF(V24=4,IF(V37=1,1,0),0)</f>
        <v>0</v>
      </c>
      <c r="W49" s="186">
        <f>IF(W24=4,IF(W37=1,1,0),0)</f>
        <v>0</v>
      </c>
      <c r="Y49" s="190">
        <f>IF(Y24=4,IF(Y37=1,1,0),0)</f>
        <v>0</v>
      </c>
      <c r="Z49" s="186">
        <f>IF(Z24=4,IF(Z37=1,1,0),0)</f>
        <v>0</v>
      </c>
      <c r="AB49" s="190">
        <f>IF(AB24=4,IF(AB37=1,1,0),0)</f>
        <v>0</v>
      </c>
      <c r="AC49" s="186">
        <f>IF(AC24=4,IF(AC37=1,1,0),0)</f>
        <v>0</v>
      </c>
      <c r="AE49" s="190">
        <f>IF(AE24=4,IF(AE37=1,1,0),0)</f>
        <v>0</v>
      </c>
      <c r="AF49" s="186">
        <f>SUM(B49:AE49)</f>
        <v>2</v>
      </c>
      <c r="AG49" s="186">
        <f>AF55-AF49</f>
        <v>0</v>
      </c>
    </row>
    <row r="50" spans="1:37" s="186" customFormat="1" ht="12.75" hidden="1" customHeight="1" x14ac:dyDescent="0.2">
      <c r="A50" s="186" t="s">
        <v>99</v>
      </c>
      <c r="B50" s="186">
        <f>IF(B24=5,IF(B37=1,1,0),0)</f>
        <v>0</v>
      </c>
      <c r="D50" s="190">
        <f>IF(D24=5,IF(D37=1,1,0),0)</f>
        <v>0</v>
      </c>
      <c r="E50" s="186">
        <f>IF(E24=5,IF(E37=1,1,0),0)</f>
        <v>0</v>
      </c>
      <c r="G50" s="190">
        <f>IF(G24=5,IF(G37=1,1,0),0)</f>
        <v>0</v>
      </c>
      <c r="H50" s="186">
        <f>IF(H24=5,IF(H37=1,1,0),0)</f>
        <v>0</v>
      </c>
      <c r="J50" s="190">
        <f>IF(J24=5,IF(J37=1,1,0),0)</f>
        <v>0</v>
      </c>
      <c r="K50" s="186">
        <f>IF(K24=5,IF(K37=1,1,0),0)</f>
        <v>0</v>
      </c>
      <c r="M50" s="190">
        <f>IF(M24=5,IF(M37=1,1,0),0)</f>
        <v>0</v>
      </c>
      <c r="N50" s="186">
        <f>IF(N24=5,IF(N37=1,1,0),0)</f>
        <v>0</v>
      </c>
      <c r="P50" s="190">
        <f>IF(P24=5,IF(P37=1,1,0),0)</f>
        <v>0</v>
      </c>
      <c r="Q50" s="186">
        <f>IF(Q24=5,IF(Q37=1,1,0),0)</f>
        <v>0</v>
      </c>
      <c r="S50" s="190">
        <f>IF(S24=5,IF(S37=1,1,0),0)</f>
        <v>0</v>
      </c>
      <c r="T50" s="186">
        <f>IF(T24=5,IF(T37=1,1,0),0)</f>
        <v>0</v>
      </c>
      <c r="V50" s="190">
        <f>IF(V24=5,IF(V37=1,1,0),0)</f>
        <v>0</v>
      </c>
      <c r="W50" s="186">
        <f>IF(W24=5,IF(W37=1,1,0),0)</f>
        <v>0</v>
      </c>
      <c r="Y50" s="190">
        <f>IF(Y24=5,IF(Y37=1,1,0),0)</f>
        <v>0</v>
      </c>
      <c r="Z50" s="186">
        <f>IF(Z24=5,IF(Z37=1,1,0),0)</f>
        <v>0</v>
      </c>
      <c r="AB50" s="190">
        <f>IF(AB24=5,IF(AB37=1,1,0),0)</f>
        <v>0</v>
      </c>
      <c r="AC50" s="186">
        <f>IF(AC24=5,IF(AC37=1,1,0),0)</f>
        <v>0</v>
      </c>
      <c r="AE50" s="190">
        <f>IF(AE24=5,IF(AE37=1,1,0),0)</f>
        <v>0</v>
      </c>
      <c r="AF50" s="186">
        <f>SUM(B50:AE50)</f>
        <v>0</v>
      </c>
      <c r="AG50" s="186">
        <f>AF56-AF50</f>
        <v>3</v>
      </c>
    </row>
    <row r="51" spans="1:37" s="186" customFormat="1" ht="38.25" hidden="1" customHeight="1" x14ac:dyDescent="0.2">
      <c r="A51" s="189"/>
      <c r="D51" s="190"/>
      <c r="G51" s="190"/>
      <c r="J51" s="190"/>
      <c r="M51" s="190"/>
      <c r="P51" s="190"/>
      <c r="S51" s="190"/>
      <c r="V51" s="190"/>
      <c r="Y51" s="190"/>
      <c r="AB51" s="190"/>
      <c r="AE51" s="190"/>
      <c r="AF51" s="189" t="s">
        <v>100</v>
      </c>
    </row>
    <row r="52" spans="1:37" s="186" customFormat="1" ht="12.75" hidden="1" customHeight="1" x14ac:dyDescent="0.2">
      <c r="A52" s="186" t="s">
        <v>101</v>
      </c>
      <c r="B52" s="186">
        <f>IF(B24=1,IF(C37=1,1,0),0)</f>
        <v>0</v>
      </c>
      <c r="D52" s="190">
        <f>IF(D24=1,IF(C37=1,1,0),0)</f>
        <v>0</v>
      </c>
      <c r="E52" s="186">
        <f>IF(E24=1,IF(F37=1,1,0),0)</f>
        <v>1</v>
      </c>
      <c r="G52" s="190">
        <f>IF(G24=1,IF(F37=1,1,0),0)</f>
        <v>0</v>
      </c>
      <c r="H52" s="186">
        <f>IF(H24=1,IF(I37=1,1,0),0)</f>
        <v>0</v>
      </c>
      <c r="J52" s="190">
        <f>IF(J24=1,IF(I37=1,1,0),0)</f>
        <v>0</v>
      </c>
      <c r="K52" s="186">
        <f>IF(K24=1,IF(L37=1,1,0),0)</f>
        <v>0</v>
      </c>
      <c r="M52" s="190">
        <f>IF(M24=1,IF(L37=1,1,0),0)</f>
        <v>0</v>
      </c>
      <c r="N52" s="186">
        <f>IF(N24=1,IF(O37=1,1,0),0)</f>
        <v>1</v>
      </c>
      <c r="P52" s="190">
        <f>IF(P24=1,IF(O37=1,1,0),0)</f>
        <v>0</v>
      </c>
      <c r="Q52" s="186">
        <f>IF(Q24=1,IF(R37=1,1,0),0)</f>
        <v>0</v>
      </c>
      <c r="S52" s="190">
        <f>IF(S24=1,IF(R37=1,1,0),0)</f>
        <v>0</v>
      </c>
      <c r="T52" s="186">
        <f>IF(T24=1,IF(U37=1,1,0),0)</f>
        <v>0</v>
      </c>
      <c r="V52" s="190">
        <f>IF(V24=1,IF(U37=1,1,0),0)</f>
        <v>0</v>
      </c>
      <c r="W52" s="186">
        <f>IF(W24=1,IF(X37=1,1,0),0)</f>
        <v>0</v>
      </c>
      <c r="Y52" s="190">
        <f>IF(Y24=1,IF(X37=1,1,0),0)</f>
        <v>0</v>
      </c>
      <c r="Z52" s="186">
        <f>IF(Z24=1,IF(AA37=1,1,0),0)</f>
        <v>0</v>
      </c>
      <c r="AB52" s="190">
        <f>IF(AB24=1,IF(AA37=1,1,0),0)</f>
        <v>0</v>
      </c>
      <c r="AC52" s="186">
        <f>IF(AC24=1,IF(AD37=1,1,0),0)</f>
        <v>0</v>
      </c>
      <c r="AE52" s="190">
        <f>IF(AE24=1,IF(AD37=1,1,0),0)</f>
        <v>0</v>
      </c>
      <c r="AF52" s="186">
        <f>SUM(B52:AE52)</f>
        <v>2</v>
      </c>
    </row>
    <row r="53" spans="1:37" s="186" customFormat="1" ht="12.75" hidden="1" customHeight="1" x14ac:dyDescent="0.2">
      <c r="A53" s="186" t="s">
        <v>102</v>
      </c>
      <c r="B53" s="186">
        <f>IF(B24=2,IF(C37=1,1,0),0)</f>
        <v>1</v>
      </c>
      <c r="D53" s="190">
        <f>IF(D24=2,IF(C37=1,1,0),0)</f>
        <v>0</v>
      </c>
      <c r="E53" s="186">
        <f>IF(E24=2,IF(F37=1,1,0),0)</f>
        <v>0</v>
      </c>
      <c r="G53" s="190">
        <f>IF(G24=2,IF(F37=1,1,0),0)</f>
        <v>0</v>
      </c>
      <c r="H53" s="186">
        <f>IF(H24=2,IF(I37=1,1,0),0)</f>
        <v>0</v>
      </c>
      <c r="J53" s="190">
        <f>IF(J24=2,IF(I37=1,1,0),0)</f>
        <v>0</v>
      </c>
      <c r="K53" s="186">
        <f>IF(K24=2,IF(L37=1,1,0),0)</f>
        <v>0</v>
      </c>
      <c r="M53" s="190">
        <f>IF(M24=2,IF(L37=1,1,0),0)</f>
        <v>0</v>
      </c>
      <c r="N53" s="186">
        <f>IF(N24=2,IF(O37=1,1,0),0)</f>
        <v>0</v>
      </c>
      <c r="P53" s="190">
        <f>IF(P24=2,IF(O37=1,1,0),0)</f>
        <v>0</v>
      </c>
      <c r="Q53" s="186">
        <f>IF(Q24=2,IF(R37=1,1,0),0)</f>
        <v>0</v>
      </c>
      <c r="S53" s="190">
        <f>IF(S24=2,IF(R37=1,1,0),0)</f>
        <v>0</v>
      </c>
      <c r="T53" s="186">
        <f>IF(T24=2,IF(U37=1,1,0),0)</f>
        <v>0</v>
      </c>
      <c r="V53" s="190">
        <f>IF(V24=2,IF(U37=1,1,0),0)</f>
        <v>0</v>
      </c>
      <c r="W53" s="186">
        <f>IF(W24=2,IF(X37=1,1,0),0)</f>
        <v>0</v>
      </c>
      <c r="Y53" s="190">
        <f>IF(Y24=2,IF(X37=1,1,0),0)</f>
        <v>0</v>
      </c>
      <c r="Z53" s="186">
        <f>IF(Z24=2,IF(AA37=1,1,0),0)</f>
        <v>0</v>
      </c>
      <c r="AB53" s="190">
        <f>IF(AB24=2,IF(AA37=1,1,0),0)</f>
        <v>0</v>
      </c>
      <c r="AC53" s="186">
        <f>IF(AC24=2,IF(AD37=1,1,0),0)</f>
        <v>0</v>
      </c>
      <c r="AE53" s="190">
        <f>IF(AE24=2,IF(AD37=1,1,0),0)</f>
        <v>0</v>
      </c>
      <c r="AF53" s="186">
        <f>SUM(B53:AE53)</f>
        <v>1</v>
      </c>
    </row>
    <row r="54" spans="1:37" s="186" customFormat="1" ht="12.75" hidden="1" customHeight="1" x14ac:dyDescent="0.2">
      <c r="A54" s="186" t="s">
        <v>103</v>
      </c>
      <c r="B54" s="186">
        <f>IF(B24=3,IF(C37=1,1,0),0)</f>
        <v>0</v>
      </c>
      <c r="D54" s="190">
        <f>IF(D24=3,IF(C37=1,1,0),0)</f>
        <v>0</v>
      </c>
      <c r="E54" s="186">
        <f>IF(E24=3,IF(F37=1,1,0),0)</f>
        <v>0</v>
      </c>
      <c r="G54" s="190">
        <f>IF(G24=3,IF(F37=1,1,0),0)</f>
        <v>0</v>
      </c>
      <c r="H54" s="186">
        <f>IF(H24=3,IF(I37=1,1,0),0)</f>
        <v>1</v>
      </c>
      <c r="J54" s="190">
        <f>IF(J24=3,IF(I37=1,1,0),0)</f>
        <v>0</v>
      </c>
      <c r="K54" s="186">
        <f>IF(K24=3,IF(L37=1,1,0),0)</f>
        <v>0</v>
      </c>
      <c r="M54" s="190">
        <f>IF(M24=3,IF(L37=1,1,0),0)</f>
        <v>0</v>
      </c>
      <c r="N54" s="186">
        <f>IF(N24=3,IF(O37=1,1,0),0)</f>
        <v>0</v>
      </c>
      <c r="P54" s="190">
        <f>IF(P24=3,IF(O37=1,1,0),0)</f>
        <v>1</v>
      </c>
      <c r="Q54" s="186">
        <f>IF(Q24=3,IF(R37=1,1,0),0)</f>
        <v>0</v>
      </c>
      <c r="S54" s="190">
        <f>IF(S24=3,IF(R37=1,1,0),0)</f>
        <v>0</v>
      </c>
      <c r="T54" s="186">
        <f>IF(T24=3,IF(U37=1,1,0),0)</f>
        <v>0</v>
      </c>
      <c r="V54" s="190">
        <f>IF(V24=3,IF(U37=1,1,0),0)</f>
        <v>0</v>
      </c>
      <c r="W54" s="186">
        <f>IF(W24=3,IF(X37=1,1,0),0)</f>
        <v>0</v>
      </c>
      <c r="Y54" s="190">
        <f>IF(Y24=3,IF(X37=1,1,0),0)</f>
        <v>0</v>
      </c>
      <c r="Z54" s="186">
        <f>IF(Z24=3,IF(AA37=1,1,0),0)</f>
        <v>0</v>
      </c>
      <c r="AB54" s="190">
        <f>IF(AB24=3,IF(AA37=1,1,0),0)</f>
        <v>0</v>
      </c>
      <c r="AC54" s="186">
        <f>IF(AC24=3,IF(AD37=1,1,0),0)</f>
        <v>0</v>
      </c>
      <c r="AE54" s="190">
        <f>IF(AE24=3,IF(AD37=1,1,0),0)</f>
        <v>0</v>
      </c>
      <c r="AF54" s="186">
        <f>SUM(B54:AE54)</f>
        <v>2</v>
      </c>
    </row>
    <row r="55" spans="1:37" s="186" customFormat="1" ht="12.75" hidden="1" customHeight="1" x14ac:dyDescent="0.2">
      <c r="A55" s="186" t="s">
        <v>104</v>
      </c>
      <c r="B55" s="186">
        <f>IF(B24=4,IF(C37=1,1,0),0)</f>
        <v>0</v>
      </c>
      <c r="D55" s="190">
        <f>IF(D24=4,IF(C37=1,1,0),0)</f>
        <v>0</v>
      </c>
      <c r="E55" s="186">
        <f>IF(E24=4,IF(F37=1,1,0),0)</f>
        <v>0</v>
      </c>
      <c r="G55" s="190">
        <f>IF(G24=4,IF(F37=1,1,0),0)</f>
        <v>1</v>
      </c>
      <c r="H55" s="186">
        <f>IF(H24=4,IF(I37=1,1,0),0)</f>
        <v>0</v>
      </c>
      <c r="J55" s="190">
        <f>IF(J24=4,IF(I37=1,1,0),0)</f>
        <v>0</v>
      </c>
      <c r="K55" s="186">
        <f>IF(K24=4,IF(L37=1,1,0),0)</f>
        <v>0</v>
      </c>
      <c r="M55" s="190">
        <f>IF(M24=4,IF(L37=1,1,0),0)</f>
        <v>0</v>
      </c>
      <c r="N55" s="186">
        <f>IF(N24=4,IF(O37=1,1,0),0)</f>
        <v>0</v>
      </c>
      <c r="P55" s="190">
        <f>IF(P24=4,IF(O37=1,1,0),0)</f>
        <v>0</v>
      </c>
      <c r="Q55" s="186">
        <f>IF(Q24=4,IF(R37=1,1,0),0)</f>
        <v>1</v>
      </c>
      <c r="S55" s="190">
        <f>IF(S24=4,IF(R37=1,1,0),0)</f>
        <v>0</v>
      </c>
      <c r="T55" s="186">
        <f>IF(T24=4,IF(U37=1,1,0),0)</f>
        <v>0</v>
      </c>
      <c r="V55" s="190">
        <f>IF(V24=4,IF(U37=1,1,0),0)</f>
        <v>0</v>
      </c>
      <c r="W55" s="186">
        <f>IF(W24=4,IF(X37=1,1,0),0)</f>
        <v>0</v>
      </c>
      <c r="Y55" s="190">
        <f>IF(Y24=4,IF(X37=1,1,0),0)</f>
        <v>0</v>
      </c>
      <c r="Z55" s="186">
        <f>IF(Z24=4,IF(AA37=1,1,0),0)</f>
        <v>0</v>
      </c>
      <c r="AB55" s="190">
        <f>IF(AB24=4,IF(AA37=1,1,0),0)</f>
        <v>0</v>
      </c>
      <c r="AC55" s="186">
        <f>IF(AC24=4,IF(AD37=1,1,0),0)</f>
        <v>0</v>
      </c>
      <c r="AE55" s="190">
        <f>IF(AE24=4,IF(AD37=1,1,0),0)</f>
        <v>0</v>
      </c>
      <c r="AF55" s="186">
        <f>SUM(B55:AE55)</f>
        <v>2</v>
      </c>
    </row>
    <row r="56" spans="1:37" s="186" customFormat="1" ht="12.75" hidden="1" customHeight="1" x14ac:dyDescent="0.2">
      <c r="A56" s="186" t="s">
        <v>105</v>
      </c>
      <c r="B56" s="186">
        <f>IF(B24=5,IF(C37=1,1,0),0)</f>
        <v>0</v>
      </c>
      <c r="D56" s="190">
        <f>IF(D24=5,IF(C37=1,1,0),0)</f>
        <v>1</v>
      </c>
      <c r="E56" s="186">
        <f>IF(E24=5,IF(F37=1,1,0),0)</f>
        <v>0</v>
      </c>
      <c r="G56" s="190">
        <f>IF(G24=5,IF(F37=1,1,0),0)</f>
        <v>0</v>
      </c>
      <c r="H56" s="186">
        <f>IF(H24=5,IF(I37=1,1,0),0)</f>
        <v>0</v>
      </c>
      <c r="J56" s="190">
        <f>IF(J24=5,IF(I37=1,1,0),0)</f>
        <v>1</v>
      </c>
      <c r="K56" s="186">
        <f>IF(K24=5,IF(L37=1,1,0),0)</f>
        <v>0</v>
      </c>
      <c r="M56" s="190">
        <f>IF(M24=5,IF(L37=1,1,0),0)</f>
        <v>0</v>
      </c>
      <c r="N56" s="186">
        <f>IF(N24=5,IF(O37=1,1,0),0)</f>
        <v>0</v>
      </c>
      <c r="P56" s="190">
        <f>IF(P24=5,IF(O37=1,1,0),0)</f>
        <v>0</v>
      </c>
      <c r="Q56" s="186">
        <f>IF(Q24=5,IF(R37=1,1,0),0)</f>
        <v>0</v>
      </c>
      <c r="S56" s="190">
        <f>IF(S24=5,IF(R37=1,1,0),0)</f>
        <v>1</v>
      </c>
      <c r="T56" s="186">
        <f>IF(T24=5,IF(U37=1,1,0),0)</f>
        <v>0</v>
      </c>
      <c r="V56" s="190">
        <f>IF(V24=5,IF(U37=1,1,0),0)</f>
        <v>0</v>
      </c>
      <c r="W56" s="186">
        <f>IF(W24=5,IF(X37=1,1,0),0)</f>
        <v>0</v>
      </c>
      <c r="Y56" s="190">
        <f>IF(Y24=5,IF(X37=1,1,0),0)</f>
        <v>0</v>
      </c>
      <c r="Z56" s="186">
        <f>IF(Z24=5,IF(AA37=1,1,0),0)</f>
        <v>0</v>
      </c>
      <c r="AB56" s="190">
        <f>IF(AB24=5,IF(AA37=1,1,0),0)</f>
        <v>0</v>
      </c>
      <c r="AC56" s="186">
        <f>IF(AC24=5,IF(AD37=1,1,0),0)</f>
        <v>0</v>
      </c>
      <c r="AE56" s="190">
        <f>IF(AE24=5,IF(AD37=1,1,0),0)</f>
        <v>0</v>
      </c>
      <c r="AF56" s="186">
        <f>SUM(B56:AE56)</f>
        <v>3</v>
      </c>
    </row>
    <row r="57" spans="1:37" s="186" customFormat="1" ht="38.25" hidden="1" customHeight="1" x14ac:dyDescent="0.2">
      <c r="A57" s="189"/>
      <c r="D57" s="190"/>
      <c r="G57" s="190"/>
      <c r="J57" s="190"/>
      <c r="M57" s="190"/>
      <c r="P57" s="190"/>
      <c r="S57" s="190"/>
      <c r="V57" s="190"/>
      <c r="Y57" s="190"/>
      <c r="AB57" s="190"/>
      <c r="AE57" s="190"/>
      <c r="AF57" s="189" t="s">
        <v>106</v>
      </c>
      <c r="AG57" s="451"/>
      <c r="AH57" s="451"/>
      <c r="AI57" s="451"/>
      <c r="AJ57" s="451"/>
      <c r="AK57" s="451"/>
    </row>
    <row r="58" spans="1:37" s="186" customFormat="1" ht="12.75" hidden="1" customHeight="1" x14ac:dyDescent="0.2">
      <c r="A58" s="186" t="s">
        <v>101</v>
      </c>
      <c r="B58" s="186">
        <f>IF(B24=1,B44,0)</f>
        <v>0</v>
      </c>
      <c r="D58" s="190">
        <f>IF(D24=1,B44,0)</f>
        <v>0</v>
      </c>
      <c r="E58" s="186">
        <f>IF(E24=1,E44,0)</f>
        <v>50</v>
      </c>
      <c r="G58" s="190">
        <f>IF(G24=1,E44,0)</f>
        <v>0</v>
      </c>
      <c r="H58" s="186">
        <f>IF(H24=1,H44,0)</f>
        <v>0</v>
      </c>
      <c r="J58" s="190">
        <f>IF(J24=1,H44,0)</f>
        <v>0</v>
      </c>
      <c r="K58" s="186">
        <f>IF(K24=1,K44,0)</f>
        <v>0</v>
      </c>
      <c r="M58" s="190">
        <f>IF(M24=1,K44,0)</f>
        <v>0</v>
      </c>
      <c r="N58" s="186">
        <f>IF(N24=1,N44,0)</f>
        <v>50</v>
      </c>
      <c r="P58" s="190">
        <f>IF(P24=1,N44,0)</f>
        <v>0</v>
      </c>
      <c r="Q58" s="186">
        <f>IF(Q24=1,Q44,0)</f>
        <v>0</v>
      </c>
      <c r="S58" s="190">
        <f>IF(S24=1,Q44,0)</f>
        <v>0</v>
      </c>
      <c r="T58" s="186">
        <f>IF(T24=1,T44,0)</f>
        <v>0</v>
      </c>
      <c r="V58" s="190">
        <f>IF(V24=1,T44,0)</f>
        <v>0</v>
      </c>
      <c r="W58" s="186">
        <f>IF(W24=1,W44,0)</f>
        <v>50</v>
      </c>
      <c r="Y58" s="190">
        <f>IF(Y24=1,W44,0)</f>
        <v>0</v>
      </c>
      <c r="Z58" s="186">
        <f>IF(Z24=1,Z44,0)</f>
        <v>0</v>
      </c>
      <c r="AB58" s="190">
        <f>IF(AB24=1,Z44,0)</f>
        <v>0</v>
      </c>
      <c r="AC58" s="186">
        <f>IF(AC24=1,AC44,0)</f>
        <v>53</v>
      </c>
      <c r="AE58" s="190">
        <f>IF(AE24=1,AC44,0)</f>
        <v>0</v>
      </c>
      <c r="AF58" s="186">
        <f>SUM(B58:AE58)</f>
        <v>203</v>
      </c>
    </row>
    <row r="59" spans="1:37" s="186" customFormat="1" ht="12.75" hidden="1" customHeight="1" x14ac:dyDescent="0.2">
      <c r="A59" s="186" t="s">
        <v>102</v>
      </c>
      <c r="B59" s="186">
        <f>IF(B24=2,B44,0)</f>
        <v>50</v>
      </c>
      <c r="D59" s="190">
        <f>IF(D24=2,B44,0)</f>
        <v>0</v>
      </c>
      <c r="E59" s="186">
        <f>IF(E24=2,E44,0)</f>
        <v>0</v>
      </c>
      <c r="G59" s="190">
        <f>IF(G24=2,E44,0)</f>
        <v>0</v>
      </c>
      <c r="H59" s="186">
        <f>IF(H24=2,H44,0)</f>
        <v>0</v>
      </c>
      <c r="J59" s="190">
        <f>IF(J24=2,H44,0)</f>
        <v>0</v>
      </c>
      <c r="K59" s="186">
        <f>IF(K24=2,K44,0)</f>
        <v>50</v>
      </c>
      <c r="M59" s="190">
        <f>IF(M24=2,K44,0)</f>
        <v>0</v>
      </c>
      <c r="N59" s="186">
        <f>IF(N24=2,N44,0)</f>
        <v>0</v>
      </c>
      <c r="P59" s="190">
        <f>IF(P24=2,N44,0)</f>
        <v>0</v>
      </c>
      <c r="Q59" s="186">
        <f>IF(Q24=2,Q44,0)</f>
        <v>0</v>
      </c>
      <c r="S59" s="190">
        <f>IF(S24=2,Q44,0)</f>
        <v>0</v>
      </c>
      <c r="T59" s="186">
        <f>IF(T24=2,T44,0)</f>
        <v>50</v>
      </c>
      <c r="V59" s="190">
        <f>IF(V24=2,T44,0)</f>
        <v>0</v>
      </c>
      <c r="W59" s="186">
        <f>IF(W24=2,W44,0)</f>
        <v>0</v>
      </c>
      <c r="Y59" s="190">
        <f>IF(Y24=2,W44,0)</f>
        <v>0</v>
      </c>
      <c r="Z59" s="186">
        <f>IF(Z24=2,Z44,0)</f>
        <v>0</v>
      </c>
      <c r="AB59" s="190">
        <f>IF(AB24=2,Z44,0)</f>
        <v>0</v>
      </c>
      <c r="AC59" s="186">
        <f>IF(AC24=2,AC44,0)</f>
        <v>0</v>
      </c>
      <c r="AE59" s="190">
        <f>IF(AE24=2,AC44,0)</f>
        <v>53</v>
      </c>
      <c r="AF59" s="186">
        <f>SUM(B59:AE59)</f>
        <v>203</v>
      </c>
    </row>
    <row r="60" spans="1:37" s="186" customFormat="1" ht="12.75" hidden="1" customHeight="1" x14ac:dyDescent="0.2">
      <c r="A60" s="186" t="s">
        <v>103</v>
      </c>
      <c r="B60" s="186">
        <f>IF(B24=3,B44,0)</f>
        <v>0</v>
      </c>
      <c r="D60" s="190">
        <f>IF(D24=3,B44,0)</f>
        <v>0</v>
      </c>
      <c r="E60" s="186">
        <f>IF(E24=3,E44,0)</f>
        <v>0</v>
      </c>
      <c r="G60" s="190">
        <f>IF(G24=3,E44,0)</f>
        <v>0</v>
      </c>
      <c r="H60" s="186">
        <f>IF(H24=3,H44,0)</f>
        <v>50</v>
      </c>
      <c r="J60" s="190">
        <f>IF(J24=3,H44,0)</f>
        <v>0</v>
      </c>
      <c r="K60" s="186">
        <f>IF(K24=3,K44,0)</f>
        <v>0</v>
      </c>
      <c r="M60" s="190">
        <f>IF(M24=3,K44,0)</f>
        <v>0</v>
      </c>
      <c r="N60" s="186">
        <f>IF(N24=3,N44,0)</f>
        <v>0</v>
      </c>
      <c r="P60" s="190">
        <f>IF(P24=3,N44,0)</f>
        <v>50</v>
      </c>
      <c r="Q60" s="186">
        <f>IF(Q24=3,Q44,0)</f>
        <v>0</v>
      </c>
      <c r="S60" s="190">
        <f>IF(S24=3,Q44,0)</f>
        <v>0</v>
      </c>
      <c r="T60" s="186">
        <f>IF(T24=3,T44,0)</f>
        <v>0</v>
      </c>
      <c r="V60" s="190">
        <f>IF(V24=3,T44,0)</f>
        <v>50</v>
      </c>
      <c r="W60" s="186">
        <f>IF(W24=3,W44,0)</f>
        <v>0</v>
      </c>
      <c r="Y60" s="190">
        <f>IF(Y24=3,W44,0)</f>
        <v>0</v>
      </c>
      <c r="Z60" s="186">
        <f>IF(Z24=3,Z44,0)</f>
        <v>50</v>
      </c>
      <c r="AB60" s="190">
        <f>IF(AB24=3,Z44,0)</f>
        <v>0</v>
      </c>
      <c r="AC60" s="186">
        <f>IF(AC24=3,AC44,0)</f>
        <v>0</v>
      </c>
      <c r="AE60" s="190">
        <f>IF(AE24=3,AC44,0)</f>
        <v>0</v>
      </c>
      <c r="AF60" s="186">
        <f>SUM(B60:AE60)</f>
        <v>200</v>
      </c>
    </row>
    <row r="61" spans="1:37" s="186" customFormat="1" ht="12.75" hidden="1" customHeight="1" x14ac:dyDescent="0.2">
      <c r="A61" s="186" t="s">
        <v>104</v>
      </c>
      <c r="B61" s="186">
        <f>IF(B24=4,B44,0)</f>
        <v>0</v>
      </c>
      <c r="D61" s="190">
        <f>IF(D24=4,B44,0)</f>
        <v>0</v>
      </c>
      <c r="E61" s="186">
        <f>IF(E24=4,E44,0)</f>
        <v>0</v>
      </c>
      <c r="G61" s="190">
        <f>IF(G24=4,E44,0)</f>
        <v>50</v>
      </c>
      <c r="H61" s="186">
        <f>IF(H24=4,H44,0)</f>
        <v>0</v>
      </c>
      <c r="J61" s="190">
        <f>IF(J24=4,H44,0)</f>
        <v>0</v>
      </c>
      <c r="K61" s="186">
        <f>IF(K24=4,K44,0)</f>
        <v>0</v>
      </c>
      <c r="M61" s="190">
        <f>IF(M24=4,K44,0)</f>
        <v>50</v>
      </c>
      <c r="N61" s="186">
        <f>IF(N24=4,N44,0)</f>
        <v>0</v>
      </c>
      <c r="P61" s="190">
        <f>IF(P24=4,N44,0)</f>
        <v>0</v>
      </c>
      <c r="Q61" s="186">
        <f>IF(Q24=4,Q44,0)</f>
        <v>50</v>
      </c>
      <c r="S61" s="190">
        <f>IF(S24=4,Q44,0)</f>
        <v>0</v>
      </c>
      <c r="T61" s="186">
        <f>IF(T24=4,T44,0)</f>
        <v>0</v>
      </c>
      <c r="V61" s="190">
        <f>IF(V24=4,T44,0)</f>
        <v>0</v>
      </c>
      <c r="W61" s="186">
        <f>IF(W24=4,W44,0)</f>
        <v>0</v>
      </c>
      <c r="Y61" s="190">
        <f>IF(Y24=4,W44,0)</f>
        <v>0</v>
      </c>
      <c r="Z61" s="186">
        <f>IF(Z24=4,Z44,0)</f>
        <v>0</v>
      </c>
      <c r="AB61" s="190">
        <f>IF(AB24=4,Z44,0)</f>
        <v>50</v>
      </c>
      <c r="AC61" s="186">
        <f>IF(AC24=4,AC44,0)</f>
        <v>0</v>
      </c>
      <c r="AE61" s="190">
        <f>IF(AE24=4,AC44,0)</f>
        <v>0</v>
      </c>
      <c r="AF61" s="186">
        <f>SUM(B61:AE61)</f>
        <v>200</v>
      </c>
    </row>
    <row r="62" spans="1:37" s="186" customFormat="1" ht="12.75" hidden="1" customHeight="1" x14ac:dyDescent="0.2">
      <c r="A62" s="186" t="s">
        <v>105</v>
      </c>
      <c r="B62" s="186">
        <f>IF(B24=5,B44,0)</f>
        <v>0</v>
      </c>
      <c r="D62" s="190">
        <f>IF(D24=5,B44,0)</f>
        <v>50</v>
      </c>
      <c r="E62" s="186">
        <f>IF(E24=5,E44,0)</f>
        <v>0</v>
      </c>
      <c r="G62" s="190">
        <f>IF(G24=5,E44,0)</f>
        <v>0</v>
      </c>
      <c r="H62" s="186">
        <f>IF(H24=5,H44,0)</f>
        <v>0</v>
      </c>
      <c r="J62" s="190">
        <f>IF(J24=5,H44,0)</f>
        <v>50</v>
      </c>
      <c r="K62" s="186">
        <f>IF(K24=5,K44,0)</f>
        <v>0</v>
      </c>
      <c r="M62" s="190">
        <f>IF(M24=5,K44,0)</f>
        <v>0</v>
      </c>
      <c r="N62" s="186">
        <f>IF(N24=5,N44,0)</f>
        <v>0</v>
      </c>
      <c r="P62" s="190">
        <f>IF(P24=5,N44,0)</f>
        <v>0</v>
      </c>
      <c r="Q62" s="186">
        <f>IF(Q24=5,Q44,0)</f>
        <v>0</v>
      </c>
      <c r="S62" s="190">
        <f>IF(S24=5,Q44,0)</f>
        <v>50</v>
      </c>
      <c r="T62" s="186">
        <f>IF(T24=5,T44,0)</f>
        <v>0</v>
      </c>
      <c r="V62" s="190">
        <f>IF(V24=5,T44,0)</f>
        <v>0</v>
      </c>
      <c r="W62" s="186">
        <f>IF(W24=5,W44,0)</f>
        <v>0</v>
      </c>
      <c r="Y62" s="190">
        <f>IF(Y24=5,W44,0)</f>
        <v>50</v>
      </c>
      <c r="Z62" s="186">
        <f>IF(Z24=5,Z44,0)</f>
        <v>0</v>
      </c>
      <c r="AB62" s="190">
        <f>IF(AB24=5,Z44,0)</f>
        <v>0</v>
      </c>
      <c r="AC62" s="186">
        <f>IF(AC24=5,AC44,0)</f>
        <v>0</v>
      </c>
      <c r="AE62" s="190">
        <f>IF(AE24=5,AC44,0)</f>
        <v>0</v>
      </c>
      <c r="AF62" s="186">
        <f>SUM(B62:AE62)</f>
        <v>200</v>
      </c>
    </row>
    <row r="63" spans="1:37" s="186" customFormat="1" ht="38.25" hidden="1" customHeight="1" x14ac:dyDescent="0.2">
      <c r="A63" s="186" t="s">
        <v>107</v>
      </c>
      <c r="D63" s="190"/>
      <c r="G63" s="190"/>
      <c r="J63" s="190"/>
      <c r="M63" s="190"/>
      <c r="P63" s="190"/>
      <c r="S63" s="190"/>
      <c r="V63" s="190"/>
      <c r="Y63" s="190"/>
      <c r="AB63" s="190"/>
      <c r="AE63" s="190"/>
      <c r="AF63" s="189" t="s">
        <v>108</v>
      </c>
      <c r="AG63" s="186" t="s">
        <v>109</v>
      </c>
    </row>
    <row r="64" spans="1:37" s="186" customFormat="1" ht="12.75" hidden="1" customHeight="1" x14ac:dyDescent="0.2">
      <c r="A64" s="186" t="s">
        <v>95</v>
      </c>
      <c r="B64" s="186">
        <f>IF(B24=1,SUMIF(B31:B35,"&gt;0"),0)</f>
        <v>0</v>
      </c>
      <c r="D64" s="190">
        <f>IF(D24=1,SUMIF(D31:D35,"&gt;0"),0)</f>
        <v>0</v>
      </c>
      <c r="E64" s="186">
        <f>IF(E24=1,SUMIF(E31:E35,"&gt;0"),0)</f>
        <v>0</v>
      </c>
      <c r="G64" s="190">
        <f>IF(G24=1,SUMIF(G31:G35,"&gt;0"),0)</f>
        <v>0</v>
      </c>
      <c r="H64" s="186">
        <f>IF(H24=1,SUMIF(H31:H35,"&gt;0"),0)</f>
        <v>0</v>
      </c>
      <c r="J64" s="190">
        <f>IF(J24=1,SUMIF(J31:J35,"&gt;0"),0)</f>
        <v>0</v>
      </c>
      <c r="K64" s="186">
        <f>IF(K24=1,SUMIF(K31:K35,"&gt;0"),0)</f>
        <v>0</v>
      </c>
      <c r="M64" s="190">
        <f>IF(M24=1,SUMIF(M31:M35,"&gt;0"),0)</f>
        <v>0</v>
      </c>
      <c r="N64" s="186">
        <f>IF(N24=1,SUMIF(N31:N35,"&gt;0"),0)</f>
        <v>0</v>
      </c>
      <c r="P64" s="190">
        <f>IF(P24=1,SUMIF(P31:P35,"&gt;0"),0)</f>
        <v>0</v>
      </c>
      <c r="Q64" s="186">
        <f>IF(Q24=1,SUMIF(Q31:Q35,"&gt;0"),0)</f>
        <v>0</v>
      </c>
      <c r="S64" s="190">
        <f>IF(S24=1,SUMIF(S31:S35,"&gt;0"),0)</f>
        <v>0</v>
      </c>
      <c r="T64" s="186">
        <f>IF(T24=1,SUMIF(T31:T35,"&gt;0"),0)</f>
        <v>0</v>
      </c>
      <c r="V64" s="190">
        <f>IF(V24=1,SUMIF(V31:V35,"&gt;0"),0)</f>
        <v>0</v>
      </c>
      <c r="W64" s="186">
        <f>IF(W24=1,SUMIF(W31:W35,"&gt;0"),0)</f>
        <v>1</v>
      </c>
      <c r="Y64" s="190">
        <f>IF(Y24=1,SUMIF(Y31:Y35,"&gt;0"),0)</f>
        <v>0</v>
      </c>
      <c r="Z64" s="186">
        <f>IF(Z24=1,SUMIF(Z31:Z35,"&gt;0"),0)</f>
        <v>0</v>
      </c>
      <c r="AB64" s="190">
        <f>IF(AB24=1,SUMIF(AB31:AB35,"&gt;0"),0)</f>
        <v>0</v>
      </c>
      <c r="AC64" s="186">
        <f>IF(AC24=1,SUMIF(AC31:AC35,"&gt;0"),0)</f>
        <v>1</v>
      </c>
      <c r="AE64" s="190">
        <f>IF(AE24=1,SUMIF(AE31:AE35,"&gt;0"),0)</f>
        <v>0</v>
      </c>
      <c r="AF64" s="186">
        <f>SUM(B64:AE64)</f>
        <v>2</v>
      </c>
      <c r="AG64" s="186">
        <f>AF72-AF64</f>
        <v>6</v>
      </c>
    </row>
    <row r="65" spans="1:54" s="186" customFormat="1" ht="12.75" hidden="1" customHeight="1" x14ac:dyDescent="0.2">
      <c r="A65" s="186" t="s">
        <v>96</v>
      </c>
      <c r="B65" s="186">
        <f>IF(B24=2,SUMIF(B31:B35,"&gt;0"),0)</f>
        <v>2</v>
      </c>
      <c r="D65" s="190">
        <f>IF(D24=2,SUMIF(D31:D35,"&gt;0"),0)</f>
        <v>0</v>
      </c>
      <c r="E65" s="186">
        <f>IF(E24=2,SUMIF(E31:E35,"&gt;0"),0)</f>
        <v>0</v>
      </c>
      <c r="G65" s="190">
        <f>IF(G24=2,SUMIF(G31:G35,"&gt;0"),0)</f>
        <v>0</v>
      </c>
      <c r="H65" s="186">
        <f>IF(H24=2,SUMIF(H31:H35,"&gt;0"),0)</f>
        <v>0</v>
      </c>
      <c r="J65" s="190">
        <f>IF(J24=2,SUMIF(J31:J35,"&gt;0"),0)</f>
        <v>0</v>
      </c>
      <c r="K65" s="186">
        <f>IF(K24=2,SUMIF(K31:K35,"&gt;0"),0)</f>
        <v>1</v>
      </c>
      <c r="M65" s="190">
        <f>IF(M24=2,SUMIF(M31:M35,"&gt;0"),0)</f>
        <v>0</v>
      </c>
      <c r="N65" s="186">
        <f>IF(N24=2,SUMIF(N31:N35,"&gt;0"),0)</f>
        <v>0</v>
      </c>
      <c r="P65" s="190">
        <f>IF(P24=2,SUMIF(P31:P35,"&gt;0"),0)</f>
        <v>0</v>
      </c>
      <c r="Q65" s="186">
        <f>IF(Q24=2,SUMIF(Q31:Q35,"&gt;0"),0)</f>
        <v>0</v>
      </c>
      <c r="S65" s="190">
        <f>IF(S24=2,SUMIF(S31:S35,"&gt;0"),0)</f>
        <v>0</v>
      </c>
      <c r="T65" s="186">
        <f>IF(T24=2,SUMIF(T31:T35,"&gt;0"),0)</f>
        <v>1</v>
      </c>
      <c r="V65" s="190">
        <f>IF(V24=2,SUMIF(V31:V35,"&gt;0"),0)</f>
        <v>0</v>
      </c>
      <c r="W65" s="186">
        <f>IF(W24=2,SUMIF(W31:W35,"&gt;0"),0)</f>
        <v>0</v>
      </c>
      <c r="Y65" s="190">
        <f>IF(Y24=2,SUMIF(Y31:Y35,"&gt;0"),0)</f>
        <v>0</v>
      </c>
      <c r="Z65" s="186">
        <f>IF(Z24=2,SUMIF(Z31:Z35,"&gt;0"),0)</f>
        <v>0</v>
      </c>
      <c r="AB65" s="190">
        <f>IF(AB24=2,SUMIF(AB31:AB35,"&gt;0"),0)</f>
        <v>0</v>
      </c>
      <c r="AC65" s="186">
        <f>IF(AC24=2,SUMIF(AC31:AC35,"&gt;0"),0)</f>
        <v>0</v>
      </c>
      <c r="AE65" s="190">
        <f>IF(AE24=2,SUMIF(AE31:AE35,"&gt;0"),0)</f>
        <v>1</v>
      </c>
      <c r="AF65" s="186">
        <f>SUM(B65:AE65)</f>
        <v>5</v>
      </c>
      <c r="AG65" s="186">
        <f>AF73-AF65</f>
        <v>3</v>
      </c>
    </row>
    <row r="66" spans="1:54" s="186" customFormat="1" ht="12.75" hidden="1" customHeight="1" x14ac:dyDescent="0.2">
      <c r="A66" s="186" t="s">
        <v>97</v>
      </c>
      <c r="B66" s="186">
        <f>IF(B24=3,SUMIF(B31:B35,"&gt;0"),0)</f>
        <v>0</v>
      </c>
      <c r="D66" s="190">
        <f>IF(D24=3,SUMIF(D31:D35,"&gt;0"),0)</f>
        <v>0</v>
      </c>
      <c r="E66" s="186">
        <f>IF(E24=3,SUMIF(E31:E35,"&gt;0"),0)</f>
        <v>0</v>
      </c>
      <c r="G66" s="190">
        <f>IF(G24=3,SUMIF(G31:G35,"&gt;0"),0)</f>
        <v>0</v>
      </c>
      <c r="H66" s="186">
        <f>IF(H24=3,SUMIF(H31:H35,"&gt;0"),0)</f>
        <v>2</v>
      </c>
      <c r="J66" s="190">
        <f>IF(J24=3,SUMIF(J31:J35,"&gt;0"),0)</f>
        <v>0</v>
      </c>
      <c r="K66" s="186">
        <f>IF(K24=3,SUMIF(K31:K35,"&gt;0"),0)</f>
        <v>0</v>
      </c>
      <c r="M66" s="190">
        <f>IF(M24=3,SUMIF(M31:M35,"&gt;0"),0)</f>
        <v>0</v>
      </c>
      <c r="N66" s="186">
        <f>IF(N24=3,SUMIF(N31:N35,"&gt;0"),0)</f>
        <v>0</v>
      </c>
      <c r="P66" s="190">
        <f>IF(P24=3,SUMIF(P31:P35,"&gt;0"),0)</f>
        <v>2</v>
      </c>
      <c r="Q66" s="186">
        <f>IF(Q24=3,SUMIF(Q31:Q35,"&gt;0"),0)</f>
        <v>0</v>
      </c>
      <c r="S66" s="190">
        <f>IF(S24=3,SUMIF(S31:S35,"&gt;0"),0)</f>
        <v>0</v>
      </c>
      <c r="T66" s="186">
        <f>IF(T24=3,SUMIF(T31:T35,"&gt;0"),0)</f>
        <v>0</v>
      </c>
      <c r="V66" s="190">
        <f>IF(V24=3,SUMIF(V31:V35,"&gt;0"),0)</f>
        <v>1</v>
      </c>
      <c r="W66" s="186">
        <f>IF(W24=3,SUMIF(W31:W35,"&gt;0"),0)</f>
        <v>0</v>
      </c>
      <c r="Y66" s="190">
        <f>IF(Y24=3,SUMIF(Y31:Y35,"&gt;0"),0)</f>
        <v>0</v>
      </c>
      <c r="Z66" s="186">
        <f>IF(Z24=3,SUMIF(Z31:Z35,"&gt;0"),0)</f>
        <v>1</v>
      </c>
      <c r="AB66" s="190">
        <f>IF(AB24=3,SUMIF(AB31:AB35,"&gt;0"),0)</f>
        <v>0</v>
      </c>
      <c r="AC66" s="186">
        <f>IF(AC24=3,SUMIF(AC31:AC35,"&gt;0"),0)</f>
        <v>0</v>
      </c>
      <c r="AE66" s="190">
        <f>IF(AE24=3,SUMIF(AE31:AE35,"&gt;0"),0)</f>
        <v>0</v>
      </c>
      <c r="AF66" s="186">
        <f>SUM(B66:AE66)</f>
        <v>6</v>
      </c>
      <c r="AG66" s="186">
        <f>AF74-AF66</f>
        <v>2</v>
      </c>
    </row>
    <row r="67" spans="1:54" s="186" customFormat="1" ht="12.75" hidden="1" customHeight="1" x14ac:dyDescent="0.2">
      <c r="A67" s="186" t="s">
        <v>98</v>
      </c>
      <c r="B67" s="186">
        <f>IF(B24=4,SUMIF(B31:B35,"&gt;0"),0)</f>
        <v>0</v>
      </c>
      <c r="D67" s="190">
        <f>IF(D24=4,SUMIF(D31:D35,"&gt;0"),0)</f>
        <v>0</v>
      </c>
      <c r="E67" s="186">
        <f>IF(E24=4,SUMIF(E31:E35,"&gt;0"),0)</f>
        <v>0</v>
      </c>
      <c r="G67" s="190">
        <f>IF(G24=4,SUMIF(G31:G35,"&gt;0"),0)</f>
        <v>2</v>
      </c>
      <c r="H67" s="186">
        <f>IF(H24=4,SUMIF(H31:H35,"&gt;0"),0)</f>
        <v>0</v>
      </c>
      <c r="J67" s="190">
        <f>IF(J24=4,SUMIF(J31:J35,"&gt;0"),0)</f>
        <v>0</v>
      </c>
      <c r="K67" s="186">
        <f>IF(K24=4,SUMIF(K31:K35,"&gt;0"),0)</f>
        <v>0</v>
      </c>
      <c r="M67" s="190">
        <f>IF(M24=4,SUMIF(M31:M35,"&gt;0"),0)</f>
        <v>1</v>
      </c>
      <c r="N67" s="186">
        <f>IF(N24=4,SUMIF(N31:N35,"&gt;0"),0)</f>
        <v>0</v>
      </c>
      <c r="P67" s="190">
        <f>IF(P24=4,SUMIF(P31:P35,"&gt;0"),0)</f>
        <v>0</v>
      </c>
      <c r="Q67" s="186">
        <f>IF(Q24=4,SUMIF(Q31:Q35,"&gt;0"),0)</f>
        <v>2</v>
      </c>
      <c r="S67" s="190">
        <f>IF(S24=4,SUMIF(S31:S35,"&gt;0"),0)</f>
        <v>0</v>
      </c>
      <c r="T67" s="186">
        <f>IF(T24=4,SUMIF(T31:T35,"&gt;0"),0)</f>
        <v>0</v>
      </c>
      <c r="V67" s="190">
        <f>IF(V24=4,SUMIF(V31:V35,"&gt;0"),0)</f>
        <v>0</v>
      </c>
      <c r="W67" s="186">
        <f>IF(W24=4,SUMIF(W31:W35,"&gt;0"),0)</f>
        <v>0</v>
      </c>
      <c r="Y67" s="190">
        <f>IF(Y24=4,SUMIF(Y31:Y35,"&gt;0"),0)</f>
        <v>0</v>
      </c>
      <c r="Z67" s="186">
        <f>IF(Z24=4,SUMIF(Z31:Z35,"&gt;0"),0)</f>
        <v>0</v>
      </c>
      <c r="AB67" s="190">
        <f>IF(AB24=4,SUMIF(AB31:AB35,"&gt;0"),0)</f>
        <v>1</v>
      </c>
      <c r="AC67" s="186">
        <f>IF(AC24=4,SUMIF(AC31:AC35,"&gt;0"),0)</f>
        <v>0</v>
      </c>
      <c r="AE67" s="190">
        <f>IF(AE24=4,SUMIF(AE31:AE35,"&gt;0"),0)</f>
        <v>0</v>
      </c>
      <c r="AF67" s="186">
        <f>SUM(B67:AE67)</f>
        <v>6</v>
      </c>
      <c r="AG67" s="186">
        <f>AF75-AF67</f>
        <v>2</v>
      </c>
    </row>
    <row r="68" spans="1:54" s="186" customFormat="1" ht="12.75" hidden="1" customHeight="1" x14ac:dyDescent="0.2">
      <c r="A68" s="186" t="s">
        <v>99</v>
      </c>
      <c r="B68" s="186">
        <f>IF(B24=5,SUMIF(B31:B35,"&gt;0"),0)</f>
        <v>0</v>
      </c>
      <c r="D68" s="190">
        <f>IF(D24=5,SUMIF(D31:D35,"&gt;0"),0)</f>
        <v>0</v>
      </c>
      <c r="E68" s="186">
        <f>IF(E24=5,SUMIF(E31:E35,"&gt;0"),0)</f>
        <v>0</v>
      </c>
      <c r="G68" s="190">
        <f>IF(G24=5,SUMIF(G31:G35,"&gt;0"),0)</f>
        <v>0</v>
      </c>
      <c r="H68" s="186">
        <f>IF(H24=5,SUMIF(H31:H35,"&gt;0"),0)</f>
        <v>0</v>
      </c>
      <c r="J68" s="190">
        <f>IF(J24=5,SUMIF(J31:J35,"&gt;0"),0)</f>
        <v>0</v>
      </c>
      <c r="K68" s="186">
        <f>IF(K24=5,SUMIF(K31:K35,"&gt;0"),0)</f>
        <v>0</v>
      </c>
      <c r="M68" s="190">
        <f>IF(M24=5,SUMIF(M31:M35,"&gt;0"),0)</f>
        <v>0</v>
      </c>
      <c r="N68" s="186">
        <f>IF(N24=5,SUMIF(N31:N35,"&gt;0"),0)</f>
        <v>0</v>
      </c>
      <c r="P68" s="190">
        <f>IF(P24=5,SUMIF(P31:P35,"&gt;0"),0)</f>
        <v>0</v>
      </c>
      <c r="Q68" s="186">
        <f>IF(Q24=5,SUMIF(Q31:Q35,"&gt;0"),0)</f>
        <v>0</v>
      </c>
      <c r="S68" s="190">
        <f>IF(S24=5,SUMIF(S31:S35,"&gt;0"),0)</f>
        <v>0</v>
      </c>
      <c r="T68" s="186">
        <f>IF(T24=5,SUMIF(T31:T35,"&gt;0"),0)</f>
        <v>0</v>
      </c>
      <c r="V68" s="190">
        <f>IF(V24=5,SUMIF(V31:V35,"&gt;0"),0)</f>
        <v>0</v>
      </c>
      <c r="W68" s="186">
        <f>IF(W24=5,SUMIF(W31:W35,"&gt;0"),0)</f>
        <v>0</v>
      </c>
      <c r="Y68" s="190">
        <f>IF(Y24=5,SUMIF(Y31:Y35,"&gt;0"),0)</f>
        <v>1</v>
      </c>
      <c r="Z68" s="186">
        <f>IF(Z24=5,SUMIF(Z31:Z35,"&gt;0"),0)</f>
        <v>0</v>
      </c>
      <c r="AB68" s="190">
        <f>IF(AB24=5,SUMIF(AB31:AB35,"&gt;0"),0)</f>
        <v>0</v>
      </c>
      <c r="AC68" s="186">
        <f>IF(AC24=5,SUMIF(AC31:AC35,"&gt;0"),0)</f>
        <v>0</v>
      </c>
      <c r="AE68" s="190">
        <f>IF(AE24=5,SUMIF(AE31:AE35,"&gt;0"),0)</f>
        <v>0</v>
      </c>
      <c r="AF68" s="186">
        <f>SUM(B68:AE68)</f>
        <v>1</v>
      </c>
      <c r="AG68" s="186">
        <f>AF76-AF68</f>
        <v>7</v>
      </c>
    </row>
    <row r="69" spans="1:54" s="186" customFormat="1" ht="12.75" hidden="1" customHeight="1" x14ac:dyDescent="0.2">
      <c r="D69" s="190"/>
      <c r="G69" s="190"/>
      <c r="J69" s="190"/>
      <c r="M69" s="190"/>
      <c r="P69" s="190"/>
      <c r="S69" s="190"/>
      <c r="V69" s="190"/>
      <c r="Y69" s="190"/>
      <c r="AB69" s="190"/>
      <c r="AE69" s="190"/>
    </row>
    <row r="70" spans="1:54" s="186" customFormat="1" ht="12.75" hidden="1" customHeight="1" x14ac:dyDescent="0.2">
      <c r="D70" s="190"/>
      <c r="G70" s="190"/>
      <c r="J70" s="190"/>
      <c r="M70" s="190"/>
      <c r="P70" s="190"/>
      <c r="S70" s="190"/>
      <c r="V70" s="190"/>
      <c r="Y70" s="190"/>
      <c r="AB70" s="190"/>
      <c r="AE70" s="190"/>
    </row>
    <row r="71" spans="1:54" s="186" customFormat="1" ht="51" hidden="1" customHeight="1" x14ac:dyDescent="0.2">
      <c r="A71" s="189" t="s">
        <v>110</v>
      </c>
      <c r="C71" s="186">
        <f>SUMIF(B64:D68,"&gt;0")</f>
        <v>2</v>
      </c>
      <c r="D71" s="190"/>
      <c r="F71" s="186">
        <f>SUMIF(E64:G68,"&gt;0")</f>
        <v>2</v>
      </c>
      <c r="G71" s="190"/>
      <c r="I71" s="186">
        <f>SUMIF(H64:J68,"&gt;0")</f>
        <v>2</v>
      </c>
      <c r="J71" s="190"/>
      <c r="L71" s="186">
        <f>SUMIF(K64:M68,"&gt;0")</f>
        <v>2</v>
      </c>
      <c r="M71" s="190"/>
      <c r="O71" s="186">
        <f>SUMIF(N64:P68,"&gt;0")</f>
        <v>2</v>
      </c>
      <c r="P71" s="190"/>
      <c r="R71" s="186">
        <f>SUMIF(Q64:S68,"&gt;0")</f>
        <v>2</v>
      </c>
      <c r="S71" s="190"/>
      <c r="U71" s="186">
        <f>SUMIF(T64:V68,"&gt;0")</f>
        <v>2</v>
      </c>
      <c r="V71" s="190"/>
      <c r="X71" s="186">
        <f>SUMIF(W64:Y68,"&gt;0")</f>
        <v>2</v>
      </c>
      <c r="Y71" s="190"/>
      <c r="AA71" s="186">
        <f>SUMIF(Z64:AB68,"&gt;0")</f>
        <v>2</v>
      </c>
      <c r="AB71" s="190"/>
      <c r="AD71" s="186">
        <f>SUMIF(AC64:AE68,"&gt;0")</f>
        <v>2</v>
      </c>
      <c r="AE71" s="190"/>
      <c r="AF71" s="189" t="s">
        <v>111</v>
      </c>
    </row>
    <row r="72" spans="1:54" s="186" customFormat="1" ht="12.75" hidden="1" customHeight="1" x14ac:dyDescent="0.2">
      <c r="A72" s="186" t="s">
        <v>101</v>
      </c>
      <c r="B72" s="186">
        <f>IF(B24=1,C71,0)</f>
        <v>0</v>
      </c>
      <c r="D72" s="190">
        <f>IF(D24=1,C71,0)</f>
        <v>0</v>
      </c>
      <c r="E72" s="186">
        <f>IF(E24=1,F71,0)</f>
        <v>2</v>
      </c>
      <c r="G72" s="190">
        <f>IF(G24=1,F71,0)</f>
        <v>0</v>
      </c>
      <c r="H72" s="186">
        <f>IF(H24=1,I71,0)</f>
        <v>0</v>
      </c>
      <c r="J72" s="190">
        <f>IF(J24=1,I71,0)</f>
        <v>0</v>
      </c>
      <c r="K72" s="186">
        <f>IF(K24=1,L71,0)</f>
        <v>0</v>
      </c>
      <c r="M72" s="190">
        <f>IF(M24=1,L71,0)</f>
        <v>0</v>
      </c>
      <c r="N72" s="186">
        <f>IF(N24=1,O71,0)</f>
        <v>2</v>
      </c>
      <c r="P72" s="190">
        <f>IF(P24=1,O71,0)</f>
        <v>0</v>
      </c>
      <c r="Q72" s="186">
        <f>IF(Q24=1,R71,0)</f>
        <v>0</v>
      </c>
      <c r="S72" s="190">
        <f>IF(S24=1,R71,0)</f>
        <v>0</v>
      </c>
      <c r="T72" s="186">
        <f>IF(T24=1,U71,0)</f>
        <v>0</v>
      </c>
      <c r="V72" s="190">
        <f>IF(V24=1,U71,0)</f>
        <v>0</v>
      </c>
      <c r="W72" s="186">
        <f>IF(W24=1,X71,0)</f>
        <v>2</v>
      </c>
      <c r="Y72" s="190">
        <f>IF(Y24=1,X71,0)</f>
        <v>0</v>
      </c>
      <c r="Z72" s="186">
        <f>IF(Z24=1,AA71,0)</f>
        <v>0</v>
      </c>
      <c r="AB72" s="190">
        <f>IF(AB24=1,AA71,0)</f>
        <v>0</v>
      </c>
      <c r="AC72" s="186">
        <f>IF(AC24=1,AD71,0)</f>
        <v>2</v>
      </c>
      <c r="AE72" s="190">
        <f>IF(AE24=1,AD71,0)</f>
        <v>0</v>
      </c>
      <c r="AF72" s="186">
        <f>SUM(B72:AE72)</f>
        <v>8</v>
      </c>
    </row>
    <row r="73" spans="1:54" s="186" customFormat="1" ht="12.75" hidden="1" customHeight="1" x14ac:dyDescent="0.2">
      <c r="A73" s="186" t="s">
        <v>102</v>
      </c>
      <c r="B73" s="186">
        <f>IF(B24=2,C71,0)</f>
        <v>2</v>
      </c>
      <c r="D73" s="190">
        <f>IF(D24=2,C71,0)</f>
        <v>0</v>
      </c>
      <c r="E73" s="186">
        <f>IF(E24=2,F71,0)</f>
        <v>0</v>
      </c>
      <c r="G73" s="190">
        <f>IF(G24=2,F71,0)</f>
        <v>0</v>
      </c>
      <c r="H73" s="186">
        <f>IF(H24=2,I71,0)</f>
        <v>0</v>
      </c>
      <c r="J73" s="190">
        <f>IF(J24=2,I71,0)</f>
        <v>0</v>
      </c>
      <c r="K73" s="186">
        <f>IF(K24=2,L71,0)</f>
        <v>2</v>
      </c>
      <c r="M73" s="190">
        <f>IF(M24=2,L71,0)</f>
        <v>0</v>
      </c>
      <c r="N73" s="186">
        <f>IF(N24=2,O71,0)</f>
        <v>0</v>
      </c>
      <c r="P73" s="190">
        <f>IF(P24=2,O71,0)</f>
        <v>0</v>
      </c>
      <c r="Q73" s="186">
        <f>IF(Q24=2,R71,0)</f>
        <v>0</v>
      </c>
      <c r="S73" s="190">
        <f>IF(S24=2,R71,0)</f>
        <v>0</v>
      </c>
      <c r="T73" s="186">
        <f>IF(T24=2,U71,0)</f>
        <v>2</v>
      </c>
      <c r="V73" s="190">
        <f>IF(V24=2,U71,0)</f>
        <v>0</v>
      </c>
      <c r="W73" s="186">
        <f>IF(W24=2,X71,0)</f>
        <v>0</v>
      </c>
      <c r="Y73" s="190">
        <f>IF(Y24=2,X71,0)</f>
        <v>0</v>
      </c>
      <c r="Z73" s="186">
        <f>IF(Z24=2,AA71,0)</f>
        <v>0</v>
      </c>
      <c r="AB73" s="190">
        <f>IF(AB24=2,AA71,0)</f>
        <v>0</v>
      </c>
      <c r="AC73" s="186">
        <f>IF(AC24=2,AD71,0)</f>
        <v>0</v>
      </c>
      <c r="AE73" s="190">
        <f>IF(AE24=2,AD71,0)</f>
        <v>2</v>
      </c>
      <c r="AF73" s="186">
        <f>SUM(B73:AE73)</f>
        <v>8</v>
      </c>
    </row>
    <row r="74" spans="1:54" s="186" customFormat="1" ht="12.75" hidden="1" customHeight="1" x14ac:dyDescent="0.2">
      <c r="A74" s="186" t="s">
        <v>103</v>
      </c>
      <c r="B74" s="186">
        <f>IF(B24=3,C71,0)</f>
        <v>0</v>
      </c>
      <c r="D74" s="190">
        <f>IF(D24=3,C71,0)</f>
        <v>0</v>
      </c>
      <c r="E74" s="186">
        <f>IF(E24=3,F71,0)</f>
        <v>0</v>
      </c>
      <c r="G74" s="190">
        <f>IF(G24=3,F71,0)</f>
        <v>0</v>
      </c>
      <c r="H74" s="186">
        <f>IF(H24=3,I71,0)</f>
        <v>2</v>
      </c>
      <c r="J74" s="190">
        <f>IF(J24=3,I71,0)</f>
        <v>0</v>
      </c>
      <c r="K74" s="186">
        <f>IF(K24=3,L71,0)</f>
        <v>0</v>
      </c>
      <c r="M74" s="190">
        <f>IF(M24=3,L71,0)</f>
        <v>0</v>
      </c>
      <c r="N74" s="186">
        <f>IF(N24=3,O71,0)</f>
        <v>0</v>
      </c>
      <c r="P74" s="190">
        <f>IF(P24=3,O71,0)</f>
        <v>2</v>
      </c>
      <c r="Q74" s="186">
        <f>IF(Q24=3,R71,0)</f>
        <v>0</v>
      </c>
      <c r="S74" s="190">
        <f>IF(S24=3,R71,0)</f>
        <v>0</v>
      </c>
      <c r="T74" s="186">
        <f>IF(T24=3,U71,0)</f>
        <v>0</v>
      </c>
      <c r="V74" s="190">
        <f>IF(V24=3,U71,0)</f>
        <v>2</v>
      </c>
      <c r="W74" s="186">
        <f>IF(W24=3,X71,0)</f>
        <v>0</v>
      </c>
      <c r="Y74" s="190">
        <f>IF(Y24=3,X71,0)</f>
        <v>0</v>
      </c>
      <c r="Z74" s="186">
        <f>IF(Z24=3,AA71,0)</f>
        <v>2</v>
      </c>
      <c r="AB74" s="190">
        <f>IF(AB24=3,AA71,0)</f>
        <v>0</v>
      </c>
      <c r="AC74" s="186">
        <f>IF(AC24=3,AD71,0)</f>
        <v>0</v>
      </c>
      <c r="AE74" s="190">
        <f>IF(AE24=3,AD71,0)</f>
        <v>0</v>
      </c>
      <c r="AF74" s="186">
        <f>SUM(B74:AE74)</f>
        <v>8</v>
      </c>
    </row>
    <row r="75" spans="1:54" s="186" customFormat="1" ht="12.75" hidden="1" customHeight="1" x14ac:dyDescent="0.2">
      <c r="A75" s="186" t="s">
        <v>104</v>
      </c>
      <c r="B75" s="186">
        <f>IF(B24=4,C71,0)</f>
        <v>0</v>
      </c>
      <c r="D75" s="190">
        <f>IF(D24=4,C71,0)</f>
        <v>0</v>
      </c>
      <c r="E75" s="186">
        <f>IF(E24=4,F71,0)</f>
        <v>0</v>
      </c>
      <c r="G75" s="190">
        <f>IF(G24=4,F71,0)</f>
        <v>2</v>
      </c>
      <c r="H75" s="186">
        <f>IF(H24=4,I71,0)</f>
        <v>0</v>
      </c>
      <c r="J75" s="190">
        <f>IF(J24=4,I71,0)</f>
        <v>0</v>
      </c>
      <c r="K75" s="186">
        <f>IF(K24=4,L71,0)</f>
        <v>0</v>
      </c>
      <c r="M75" s="190">
        <f>IF(M24=4,L71,0)</f>
        <v>2</v>
      </c>
      <c r="N75" s="186">
        <f>IF(N24=4,O71,0)</f>
        <v>0</v>
      </c>
      <c r="P75" s="190">
        <f>IF(P24=4,O71,0)</f>
        <v>0</v>
      </c>
      <c r="Q75" s="186">
        <f>IF(Q24=4,R71,0)</f>
        <v>2</v>
      </c>
      <c r="S75" s="190">
        <f>IF(S24=4,R71,0)</f>
        <v>0</v>
      </c>
      <c r="T75" s="186">
        <f>IF(T24=4,U71,0)</f>
        <v>0</v>
      </c>
      <c r="V75" s="190">
        <f>IF(V24=4,U71,0)</f>
        <v>0</v>
      </c>
      <c r="W75" s="186">
        <f>IF(W24=4,X71,0)</f>
        <v>0</v>
      </c>
      <c r="Y75" s="190">
        <f>IF(Y24=4,X71,0)</f>
        <v>0</v>
      </c>
      <c r="Z75" s="186">
        <f>IF(Z24=4,AA71,0)</f>
        <v>0</v>
      </c>
      <c r="AB75" s="190">
        <f>IF(AB24=4,AA71,0)</f>
        <v>2</v>
      </c>
      <c r="AC75" s="186">
        <f>IF(AC24=4,AD71,0)</f>
        <v>0</v>
      </c>
      <c r="AE75" s="190">
        <f>IF(AE24=4,AD71,0)</f>
        <v>0</v>
      </c>
      <c r="AF75" s="186">
        <f>SUM(B75:AE75)</f>
        <v>8</v>
      </c>
    </row>
    <row r="76" spans="1:54" s="186" customFormat="1" ht="12.75" hidden="1" customHeight="1" x14ac:dyDescent="0.2">
      <c r="A76" s="186" t="s">
        <v>105</v>
      </c>
      <c r="B76" s="186">
        <f>IF(B24=5,C71,0)</f>
        <v>0</v>
      </c>
      <c r="D76" s="190">
        <f>IF(D24=5,C71,0)</f>
        <v>2</v>
      </c>
      <c r="E76" s="186">
        <f>IF(E24=5,F71,0)</f>
        <v>0</v>
      </c>
      <c r="G76" s="190">
        <f>IF(G24=5,F71,0)</f>
        <v>0</v>
      </c>
      <c r="H76" s="186">
        <f>IF(H24=5,I71,0)</f>
        <v>0</v>
      </c>
      <c r="J76" s="190">
        <f>IF(J24=5,I71,0)</f>
        <v>2</v>
      </c>
      <c r="K76" s="186">
        <f>IF(K24=5,L71,0)</f>
        <v>0</v>
      </c>
      <c r="M76" s="190">
        <f>IF(M24=5,L71,0)</f>
        <v>0</v>
      </c>
      <c r="N76" s="186">
        <f>IF(N24=5,O71,0)</f>
        <v>0</v>
      </c>
      <c r="P76" s="190">
        <f>IF(P24=5,O71,0)</f>
        <v>0</v>
      </c>
      <c r="Q76" s="186">
        <f>IF(Q24=5,R71,0)</f>
        <v>0</v>
      </c>
      <c r="S76" s="190">
        <f>IF(S24=5,R71,0)</f>
        <v>2</v>
      </c>
      <c r="T76" s="186">
        <f>IF(T24=5,U71,0)</f>
        <v>0</v>
      </c>
      <c r="V76" s="190">
        <f>IF(V24=5,U71,0)</f>
        <v>0</v>
      </c>
      <c r="W76" s="186">
        <f>IF(W24=5,X71,0)</f>
        <v>0</v>
      </c>
      <c r="Y76" s="190">
        <f>IF(Y24=5,X71,0)</f>
        <v>2</v>
      </c>
      <c r="Z76" s="186">
        <f>IF(Z24=5,AA71,0)</f>
        <v>0</v>
      </c>
      <c r="AB76" s="190">
        <f>IF(AB24=5,AA71,0)</f>
        <v>0</v>
      </c>
      <c r="AC76" s="186">
        <f>IF(AC24=5,AD71,0)</f>
        <v>0</v>
      </c>
      <c r="AE76" s="190">
        <f>IF(AE24=5,AD71,0)</f>
        <v>0</v>
      </c>
      <c r="AF76" s="186">
        <f>SUM(B76:AE76)</f>
        <v>8</v>
      </c>
    </row>
    <row r="77" spans="1:54" hidden="1" x14ac:dyDescent="0.2">
      <c r="A77" s="191"/>
      <c r="B77" s="191"/>
      <c r="C77" s="191"/>
      <c r="D77" s="191"/>
      <c r="E77" s="191"/>
      <c r="F77" s="191"/>
      <c r="G77" s="191"/>
      <c r="H77" s="191"/>
      <c r="I77" s="191"/>
      <c r="J77" s="191"/>
      <c r="K77" s="191"/>
      <c r="L77" s="191"/>
      <c r="M77" s="191"/>
      <c r="N77" s="191"/>
      <c r="O77" s="191"/>
      <c r="P77" s="191"/>
      <c r="Q77" s="191"/>
      <c r="R77" s="191"/>
      <c r="S77" s="191"/>
      <c r="T77" s="191"/>
      <c r="U77" s="191"/>
      <c r="V77" s="191"/>
      <c r="W77" s="191"/>
      <c r="X77" s="191"/>
      <c r="Y77" s="191"/>
      <c r="Z77" s="191"/>
      <c r="AA77" s="191"/>
      <c r="AB77" s="191"/>
      <c r="AC77" s="191"/>
      <c r="AD77" s="191"/>
      <c r="AE77" s="191"/>
      <c r="AF77" s="191"/>
      <c r="AG77" s="191"/>
      <c r="AH77" s="191"/>
      <c r="AI77" s="191"/>
      <c r="AJ77" s="191"/>
      <c r="AK77" s="191"/>
      <c r="AL77" s="191"/>
      <c r="AM77" s="191"/>
      <c r="AN77" s="192"/>
      <c r="AO77" s="192"/>
      <c r="AP77" s="192"/>
      <c r="AQ77" s="192"/>
      <c r="AR77" s="193"/>
      <c r="AS77" s="193"/>
      <c r="AT77" s="193"/>
      <c r="AU77" s="193"/>
      <c r="AV77" s="193"/>
      <c r="AW77" s="194"/>
      <c r="BB77" s="194"/>
    </row>
    <row r="78" spans="1:54" s="193" customFormat="1" hidden="1" x14ac:dyDescent="0.2">
      <c r="A78" s="195"/>
      <c r="B78" s="195"/>
      <c r="C78" s="195" t="s">
        <v>112</v>
      </c>
      <c r="D78" s="195">
        <v>1</v>
      </c>
      <c r="E78" s="195"/>
      <c r="F78" s="195"/>
      <c r="G78" s="195">
        <v>2</v>
      </c>
      <c r="H78" s="195"/>
      <c r="I78" s="195"/>
      <c r="J78" s="195">
        <v>3</v>
      </c>
      <c r="K78" s="195"/>
      <c r="L78" s="195"/>
      <c r="M78" s="195">
        <v>4</v>
      </c>
      <c r="N78" s="195"/>
      <c r="O78" s="195"/>
      <c r="P78" s="195">
        <v>5</v>
      </c>
      <c r="Q78" s="195"/>
      <c r="R78" s="195"/>
      <c r="S78" s="195">
        <v>6</v>
      </c>
      <c r="T78" s="195"/>
      <c r="U78" s="195"/>
      <c r="V78" s="195">
        <v>7</v>
      </c>
      <c r="W78" s="195"/>
      <c r="X78" s="195"/>
      <c r="Y78" s="195">
        <v>8</v>
      </c>
      <c r="Z78" s="195"/>
      <c r="AA78" s="195"/>
      <c r="AB78" s="195">
        <v>9</v>
      </c>
      <c r="AC78" s="195"/>
      <c r="AD78" s="195"/>
      <c r="AE78" s="195">
        <v>10</v>
      </c>
      <c r="AF78" s="134"/>
      <c r="AG78" s="195"/>
      <c r="AI78" s="196"/>
      <c r="AJ78" s="134"/>
      <c r="AK78" s="134"/>
      <c r="AL78" s="134"/>
      <c r="AM78" s="134"/>
      <c r="AN78" s="134"/>
      <c r="AO78" s="134"/>
      <c r="AT78" s="196" t="s">
        <v>113</v>
      </c>
      <c r="AW78" s="197"/>
      <c r="BB78" s="197"/>
    </row>
    <row r="79" spans="1:54" s="193" customFormat="1" hidden="1" x14ac:dyDescent="0.2">
      <c r="A79" s="198">
        <v>1</v>
      </c>
      <c r="B79" s="198" t="str">
        <f>E8</f>
        <v>OLC 15s Purple</v>
      </c>
      <c r="C79" s="198">
        <f>VLOOKUP(B79,AU$3:AY$7,3,FALSE)</f>
        <v>1967.5899225540977</v>
      </c>
      <c r="D79" s="198">
        <f>IF(B72,B87,IF(D72,D87,C79))</f>
        <v>1967.5899225540977</v>
      </c>
      <c r="E79" s="198"/>
      <c r="F79" s="198"/>
      <c r="G79" s="198">
        <f>IF(E72,E87,IF(G72,G87,D79))</f>
        <v>1927.8589686228988</v>
      </c>
      <c r="H79" s="198"/>
      <c r="I79" s="198"/>
      <c r="J79" s="198">
        <f>IF(H72,H87,IF(J72,J87,G79))</f>
        <v>1927.8589686228988</v>
      </c>
      <c r="K79" s="198"/>
      <c r="L79" s="198"/>
      <c r="M79" s="198">
        <f>IF(K72,K87,IF(M72,M87,J79))</f>
        <v>1927.8589686228988</v>
      </c>
      <c r="N79" s="198"/>
      <c r="O79" s="198"/>
      <c r="P79" s="198">
        <f>IF(N72,N87,IF(P72,P87,M79))</f>
        <v>1898.5397724997533</v>
      </c>
      <c r="Q79" s="198"/>
      <c r="R79" s="198"/>
      <c r="S79" s="198">
        <f>IF(Q72,Q87,IF(S72,S87,P79))</f>
        <v>1898.5397724997533</v>
      </c>
      <c r="T79" s="198"/>
      <c r="U79" s="198"/>
      <c r="V79" s="198">
        <f>IF(T72,T87,IF(V72,V87,S79))</f>
        <v>1898.5397724997533</v>
      </c>
      <c r="W79" s="198"/>
      <c r="X79" s="198"/>
      <c r="Y79" s="198">
        <f>IF(W72,W87,IF(Y72,Y87,V79))</f>
        <v>1886.2114749066957</v>
      </c>
      <c r="Z79" s="198"/>
      <c r="AA79" s="198"/>
      <c r="AB79" s="198">
        <f>IF(Z72,Z87,IF(AB72,AB87,Y79))</f>
        <v>1886.2114749066957</v>
      </c>
      <c r="AC79" s="198"/>
      <c r="AD79" s="198"/>
      <c r="AE79" s="198">
        <f>IF(AC72,AC87,IF(AE72,AE87,AB79))</f>
        <v>1894.4161089397094</v>
      </c>
      <c r="AF79" s="134"/>
      <c r="AG79" s="134"/>
      <c r="AJ79" s="134"/>
      <c r="AK79" s="134"/>
      <c r="AL79" s="134"/>
      <c r="AM79" s="134"/>
      <c r="AN79" s="134"/>
      <c r="AO79" s="134"/>
      <c r="AT79" s="193" t="str">
        <f>B79</f>
        <v>OLC 15s Purple</v>
      </c>
      <c r="AU79" s="193">
        <f>AE79</f>
        <v>1894.4161089397094</v>
      </c>
      <c r="AW79" s="197"/>
      <c r="BB79" s="197"/>
    </row>
    <row r="80" spans="1:54" s="193" customFormat="1" hidden="1" x14ac:dyDescent="0.2">
      <c r="A80" s="198">
        <v>2</v>
      </c>
      <c r="B80" s="198" t="str">
        <f>E10</f>
        <v>Kershaw 15 Black</v>
      </c>
      <c r="C80" s="198">
        <f>VLOOKUP(B80,AU$3:AY$7,3,FALSE)</f>
        <v>1962.7309363652487</v>
      </c>
      <c r="D80" s="198">
        <f>IF(B73,B87,IF(D73,D87,C80))</f>
        <v>1981.9000327392396</v>
      </c>
      <c r="E80" s="198"/>
      <c r="F80" s="198"/>
      <c r="G80" s="198">
        <f>IF(E73,E87,IF(G73,G87,D80))</f>
        <v>1981.9000327392396</v>
      </c>
      <c r="H80" s="198"/>
      <c r="I80" s="198"/>
      <c r="J80" s="198">
        <f>IF(H73,H87,IF(J73,J87,G80))</f>
        <v>1981.9000327392396</v>
      </c>
      <c r="K80" s="198"/>
      <c r="L80" s="198"/>
      <c r="M80" s="198">
        <f>IF(K73,K87,IF(M73,M87,J80))</f>
        <v>1976.4093725115833</v>
      </c>
      <c r="N80" s="198"/>
      <c r="O80" s="198"/>
      <c r="P80" s="198">
        <f>IF(N73,N87,IF(P73,P87,M80))</f>
        <v>1976.4093725115833</v>
      </c>
      <c r="Q80" s="198"/>
      <c r="R80" s="198"/>
      <c r="S80" s="198">
        <f>IF(Q73,Q87,IF(S73,S87,P80))</f>
        <v>1976.4093725115833</v>
      </c>
      <c r="T80" s="198"/>
      <c r="U80" s="198"/>
      <c r="V80" s="198">
        <f>IF(T73,T87,IF(V73,V87,S80))</f>
        <v>1977.3249647977361</v>
      </c>
      <c r="W80" s="198"/>
      <c r="X80" s="198"/>
      <c r="Y80" s="198">
        <f>IF(W73,W87,IF(Y73,Y87,V80))</f>
        <v>1977.3249647977361</v>
      </c>
      <c r="Z80" s="198"/>
      <c r="AA80" s="198"/>
      <c r="AB80" s="198">
        <f>IF(Z73,Z87,IF(AB73,AB87,Y80))</f>
        <v>1977.3249647977361</v>
      </c>
      <c r="AC80" s="198"/>
      <c r="AD80" s="198"/>
      <c r="AE80" s="198">
        <f>IF(AC73,AC87,IF(AE73,AE87,AB80))</f>
        <v>1969.1203307647224</v>
      </c>
      <c r="AF80" s="134"/>
      <c r="AG80" s="134"/>
      <c r="AJ80" s="134"/>
      <c r="AL80" s="134"/>
      <c r="AM80" s="134"/>
      <c r="AN80" s="134"/>
      <c r="AO80" s="134"/>
      <c r="AT80" s="193" t="str">
        <f>B80</f>
        <v>Kershaw 15 Black</v>
      </c>
      <c r="AU80" s="193">
        <f>AE80</f>
        <v>1969.1203307647224</v>
      </c>
      <c r="AW80" s="197"/>
      <c r="BB80" s="197"/>
    </row>
    <row r="81" spans="1:54" s="193" customFormat="1" hidden="1" x14ac:dyDescent="0.2">
      <c r="A81" s="198">
        <v>3</v>
      </c>
      <c r="B81" s="198" t="str">
        <f>E12</f>
        <v>Intense 15 Regional Elite</v>
      </c>
      <c r="C81" s="198">
        <f>VLOOKUP(B81,AU$3:AY$7,3,FALSE)</f>
        <v>1937.3837972359004</v>
      </c>
      <c r="D81" s="198">
        <f>IF(B74,B87,IF(D74,D87,C81))</f>
        <v>1937.3837972359004</v>
      </c>
      <c r="E81" s="198"/>
      <c r="F81" s="198"/>
      <c r="G81" s="198">
        <f>IF(E74,E87,IF(G74,G87,D81))</f>
        <v>1937.3837972359004</v>
      </c>
      <c r="H81" s="198"/>
      <c r="I81" s="198"/>
      <c r="J81" s="198">
        <f>IF(H74,H87,IF(J74,J87,G81))</f>
        <v>1957.0338074086446</v>
      </c>
      <c r="K81" s="198"/>
      <c r="L81" s="198"/>
      <c r="M81" s="198">
        <f>IF(K74,K87,IF(M74,M87,J81))</f>
        <v>1957.0338074086446</v>
      </c>
      <c r="N81" s="198"/>
      <c r="O81" s="198"/>
      <c r="P81" s="198">
        <f>IF(N74,N87,IF(P74,P87,M81))</f>
        <v>1986.3530035317901</v>
      </c>
      <c r="Q81" s="198"/>
      <c r="R81" s="198"/>
      <c r="S81" s="198">
        <f>IF(Q74,Q87,IF(S74,S87,P81))</f>
        <v>1986.3530035317901</v>
      </c>
      <c r="T81" s="198"/>
      <c r="U81" s="198"/>
      <c r="V81" s="198">
        <f>IF(T74,T87,IF(V74,V87,S81))</f>
        <v>1985.4374112456373</v>
      </c>
      <c r="W81" s="198"/>
      <c r="X81" s="198"/>
      <c r="Y81" s="198">
        <f>IF(W74,W87,IF(Y74,Y87,V81))</f>
        <v>1985.4374112456373</v>
      </c>
      <c r="Z81" s="198"/>
      <c r="AA81" s="198"/>
      <c r="AB81" s="198">
        <f>IF(Z74,Z87,IF(AB74,AB87,Y81))</f>
        <v>1981.8295574852148</v>
      </c>
      <c r="AC81" s="198"/>
      <c r="AD81" s="198"/>
      <c r="AE81" s="198">
        <f>IF(AC74,AC87,IF(AE74,AE87,AB81))</f>
        <v>1981.8295574852148</v>
      </c>
      <c r="AF81" s="134"/>
      <c r="AG81" s="134"/>
      <c r="AJ81" s="134"/>
      <c r="AL81" s="134"/>
      <c r="AM81" s="134"/>
      <c r="AN81" s="134"/>
      <c r="AO81" s="134"/>
      <c r="AT81" s="193" t="str">
        <f>B81</f>
        <v>Intense 15 Regional Elite</v>
      </c>
      <c r="AU81" s="193">
        <f>AE81</f>
        <v>1981.8295574852148</v>
      </c>
      <c r="AW81" s="197"/>
      <c r="BB81" s="197"/>
    </row>
    <row r="82" spans="1:54" s="193" customFormat="1" hidden="1" x14ac:dyDescent="0.2">
      <c r="A82" s="198">
        <v>4</v>
      </c>
      <c r="B82" s="198" t="str">
        <f>E14</f>
        <v>Augusta Elite 15U</v>
      </c>
      <c r="C82" s="198">
        <f>VLOOKUP(B82,AU$3:AY$7,3,FALSE)</f>
        <v>1881.9594079860281</v>
      </c>
      <c r="D82" s="198">
        <f>IF(B75,B87,IF(D75,D87,C82))</f>
        <v>1881.9594079860281</v>
      </c>
      <c r="E82" s="198"/>
      <c r="F82" s="198"/>
      <c r="G82" s="198">
        <f>IF(E75,E87,IF(G75,G87,D82))</f>
        <v>1921.6903619172269</v>
      </c>
      <c r="H82" s="198"/>
      <c r="I82" s="198"/>
      <c r="J82" s="198">
        <f>IF(H75,H87,IF(J75,J87,G82))</f>
        <v>1921.6903619172269</v>
      </c>
      <c r="K82" s="198"/>
      <c r="L82" s="198"/>
      <c r="M82" s="198">
        <f>IF(K75,K87,IF(M75,M87,J82))</f>
        <v>1927.1810221448832</v>
      </c>
      <c r="N82" s="198"/>
      <c r="O82" s="198"/>
      <c r="P82" s="198">
        <f>IF(N75,N87,IF(P75,P87,M82))</f>
        <v>1927.1810221448832</v>
      </c>
      <c r="Q82" s="198"/>
      <c r="R82" s="198"/>
      <c r="S82" s="198">
        <f>IF(Q75,Q87,IF(S75,S87,P82))</f>
        <v>1946.0983814914694</v>
      </c>
      <c r="T82" s="198"/>
      <c r="U82" s="198"/>
      <c r="V82" s="198">
        <f>IF(T75,T87,IF(V75,V87,S82))</f>
        <v>1946.0983814914694</v>
      </c>
      <c r="W82" s="198"/>
      <c r="X82" s="198"/>
      <c r="Y82" s="198">
        <f>IF(W75,W87,IF(Y75,Y87,V82))</f>
        <v>1946.0983814914694</v>
      </c>
      <c r="Z82" s="198"/>
      <c r="AA82" s="198"/>
      <c r="AB82" s="198">
        <f>IF(Z75,Z87,IF(AB75,AB87,Y82))</f>
        <v>1949.7062352518919</v>
      </c>
      <c r="AC82" s="198"/>
      <c r="AD82" s="198"/>
      <c r="AE82" s="198">
        <f>IF(AC75,AC87,IF(AE75,AE87,AB82))</f>
        <v>1949.7062352518919</v>
      </c>
      <c r="AF82" s="134"/>
      <c r="AG82" s="134"/>
      <c r="AJ82" s="134"/>
      <c r="AL82" s="134"/>
      <c r="AM82" s="134"/>
      <c r="AN82" s="134"/>
      <c r="AO82" s="134"/>
      <c r="AT82" s="193" t="str">
        <f>B82</f>
        <v>Augusta Elite 15U</v>
      </c>
      <c r="AU82" s="193">
        <f>AE82</f>
        <v>1949.7062352518919</v>
      </c>
      <c r="AW82" s="197"/>
      <c r="BB82" s="197"/>
    </row>
    <row r="83" spans="1:54" s="193" customFormat="1" hidden="1" x14ac:dyDescent="0.2">
      <c r="A83" s="198">
        <v>5</v>
      </c>
      <c r="B83" s="198" t="str">
        <f>E16</f>
        <v>CSRA Heat 15 Red</v>
      </c>
      <c r="C83" s="198">
        <f>VLOOKUP(B83,AU$3:AY$7,3,FALSE)</f>
        <v>1815.1405956068922</v>
      </c>
      <c r="D83" s="198">
        <f>IF(B76,B87,IF(D76,D87,C83))</f>
        <v>1795.9714992329014</v>
      </c>
      <c r="E83" s="198"/>
      <c r="F83" s="198"/>
      <c r="G83" s="198">
        <f>IF(E76,E87,IF(G76,G87,D83))</f>
        <v>1795.9714992329014</v>
      </c>
      <c r="H83" s="198"/>
      <c r="I83" s="198"/>
      <c r="J83" s="198">
        <f>IF(H76,H87,IF(J76,J87,G83))</f>
        <v>1776.3214890601571</v>
      </c>
      <c r="K83" s="198"/>
      <c r="L83" s="198"/>
      <c r="M83" s="198">
        <f>IF(K76,K87,IF(M76,M87,J83))</f>
        <v>1776.3214890601571</v>
      </c>
      <c r="N83" s="198"/>
      <c r="O83" s="198"/>
      <c r="P83" s="198">
        <f>IF(N76,N87,IF(P76,P87,M83))</f>
        <v>1776.3214890601571</v>
      </c>
      <c r="Q83" s="198"/>
      <c r="R83" s="198"/>
      <c r="S83" s="198">
        <f>IF(Q76,Q87,IF(S76,S87,P83))</f>
        <v>1757.4041297135709</v>
      </c>
      <c r="T83" s="198"/>
      <c r="U83" s="198"/>
      <c r="V83" s="198">
        <f>IF(T76,T87,IF(V76,V87,S83))</f>
        <v>1757.4041297135709</v>
      </c>
      <c r="W83" s="198"/>
      <c r="X83" s="198"/>
      <c r="Y83" s="198">
        <f>IF(W76,W87,IF(Y76,Y87,V83))</f>
        <v>1769.7324273066286</v>
      </c>
      <c r="Z83" s="198"/>
      <c r="AA83" s="198"/>
      <c r="AB83" s="198">
        <f>IF(Z76,Z87,IF(AB76,AB87,Y83))</f>
        <v>1769.7324273066286</v>
      </c>
      <c r="AC83" s="198"/>
      <c r="AD83" s="198"/>
      <c r="AE83" s="198">
        <f>IF(AC76,AC87,IF(AE76,AE87,AB83))</f>
        <v>1769.7324273066286</v>
      </c>
      <c r="AF83" s="134"/>
      <c r="AG83" s="134"/>
      <c r="AJ83" s="134"/>
      <c r="AL83" s="134"/>
      <c r="AM83" s="134"/>
      <c r="AN83" s="134"/>
      <c r="AO83" s="134"/>
      <c r="AT83" s="193" t="str">
        <f>B83</f>
        <v>CSRA Heat 15 Red</v>
      </c>
      <c r="AU83" s="193">
        <f>AE83</f>
        <v>1769.7324273066286</v>
      </c>
      <c r="AW83" s="197"/>
      <c r="BB83" s="197"/>
    </row>
    <row r="84" spans="1:54" s="193" customFormat="1" hidden="1" x14ac:dyDescent="0.2">
      <c r="A84" s="198"/>
      <c r="B84" s="198"/>
      <c r="C84" s="198"/>
      <c r="D84" s="198"/>
      <c r="E84" s="198"/>
      <c r="F84" s="198"/>
      <c r="G84" s="198"/>
      <c r="H84" s="198"/>
      <c r="I84" s="198"/>
      <c r="J84" s="198"/>
      <c r="K84" s="198"/>
      <c r="L84" s="198"/>
      <c r="M84" s="198"/>
      <c r="N84" s="198"/>
      <c r="O84" s="198"/>
      <c r="P84" s="198"/>
      <c r="Q84" s="198"/>
      <c r="R84" s="198"/>
      <c r="S84" s="198"/>
      <c r="T84" s="198"/>
      <c r="U84" s="198"/>
      <c r="V84" s="198"/>
      <c r="W84" s="198"/>
      <c r="X84" s="198"/>
      <c r="Y84" s="198"/>
      <c r="Z84" s="198"/>
      <c r="AA84" s="198"/>
      <c r="AB84" s="198"/>
      <c r="AC84" s="198"/>
      <c r="AD84" s="198"/>
      <c r="AE84" s="198"/>
      <c r="AF84" s="134"/>
      <c r="AG84" s="134"/>
      <c r="AJ84" s="134"/>
      <c r="AL84" s="134"/>
      <c r="AM84" s="134"/>
      <c r="AN84" s="134"/>
      <c r="AO84" s="134"/>
      <c r="AW84" s="197"/>
      <c r="BB84" s="197"/>
    </row>
    <row r="85" spans="1:54" s="193" customFormat="1" hidden="1" x14ac:dyDescent="0.2">
      <c r="A85" s="198" t="s">
        <v>114</v>
      </c>
      <c r="B85" s="198">
        <f>VLOOKUP(B24,$A79:$AE83,3,FALSE)</f>
        <v>1962.7309363652487</v>
      </c>
      <c r="C85" s="198">
        <v>1</v>
      </c>
      <c r="D85" s="198">
        <f>VLOOKUP(D24,$A79:$AE83,3,FALSE)</f>
        <v>1815.1405956068922</v>
      </c>
      <c r="E85" s="198">
        <f>VLOOKUP(E24,$A79:$AE83,4,FALSE)</f>
        <v>1967.5899225540977</v>
      </c>
      <c r="F85" s="198">
        <v>2</v>
      </c>
      <c r="G85" s="198">
        <f>VLOOKUP(G24,$A79:$AE83,4,FALSE)</f>
        <v>1881.9594079860281</v>
      </c>
      <c r="H85" s="198">
        <f>VLOOKUP(H24,$A79:$AE83,7,FALSE)</f>
        <v>1937.3837972359004</v>
      </c>
      <c r="I85" s="198">
        <v>3</v>
      </c>
      <c r="J85" s="198">
        <f>VLOOKUP(J24,$A79:$AE83,7,FALSE)</f>
        <v>1795.9714992329014</v>
      </c>
      <c r="K85" s="198">
        <f>VLOOKUP(K24,$A79:$AE83,10,FALSE)</f>
        <v>1981.9000327392396</v>
      </c>
      <c r="L85" s="198">
        <v>4</v>
      </c>
      <c r="M85" s="198">
        <f>VLOOKUP(M24,$A79:$AE83,10,FALSE)</f>
        <v>1921.6903619172269</v>
      </c>
      <c r="N85" s="198">
        <f>VLOOKUP(N24,$A79:$AE83,13,FALSE)</f>
        <v>1927.8589686228988</v>
      </c>
      <c r="O85" s="198">
        <v>5</v>
      </c>
      <c r="P85" s="198">
        <f>VLOOKUP(P24,$A79:$AE83,13,FALSE)</f>
        <v>1957.0338074086446</v>
      </c>
      <c r="Q85" s="198">
        <f>VLOOKUP(Q24,$A79:$AE83,16,FALSE)</f>
        <v>1927.1810221448832</v>
      </c>
      <c r="R85" s="198">
        <v>6</v>
      </c>
      <c r="S85" s="198">
        <f>VLOOKUP(S24,$A79:$AE83,16,FALSE)</f>
        <v>1776.3214890601571</v>
      </c>
      <c r="T85" s="198">
        <f>VLOOKUP(T24,$A79:$AE83,19,FALSE)</f>
        <v>1976.4093725115833</v>
      </c>
      <c r="U85" s="198">
        <v>7</v>
      </c>
      <c r="V85" s="198">
        <f>VLOOKUP(V24,$A79:$AE83,19,FALSE)</f>
        <v>1986.3530035317901</v>
      </c>
      <c r="W85" s="198">
        <f>VLOOKUP(W24,$A79:$AE83,22,FALSE)</f>
        <v>1898.5397724997533</v>
      </c>
      <c r="X85" s="198">
        <v>8</v>
      </c>
      <c r="Y85" s="198">
        <f>VLOOKUP(Y24,$A79:$AE83,22,FALSE)</f>
        <v>1757.4041297135709</v>
      </c>
      <c r="Z85" s="198">
        <f>VLOOKUP(Z24,$A79:$AE83,25,FALSE)</f>
        <v>1985.4374112456373</v>
      </c>
      <c r="AA85" s="198">
        <v>9</v>
      </c>
      <c r="AB85" s="198">
        <f>VLOOKUP(AB24,$A79:$AE83,25,FALSE)</f>
        <v>1946.0983814914694</v>
      </c>
      <c r="AC85" s="198">
        <f>VLOOKUP(AC24,$A79:$AE83,28,FALSE)</f>
        <v>1886.2114749066957</v>
      </c>
      <c r="AD85" s="198">
        <v>10</v>
      </c>
      <c r="AE85" s="198">
        <f>VLOOKUP(AE24,$A79:$AE83,28,FALSE)</f>
        <v>1977.3249647977361</v>
      </c>
      <c r="AF85" s="134"/>
      <c r="AG85" s="191"/>
      <c r="AH85" s="191"/>
      <c r="AI85" s="191"/>
      <c r="AJ85" s="191"/>
      <c r="AK85" s="191"/>
      <c r="AL85" s="191"/>
      <c r="AM85" s="191"/>
      <c r="AN85" s="192"/>
      <c r="AO85" s="192"/>
      <c r="AP85" s="192"/>
      <c r="AQ85" s="192"/>
      <c r="AW85" s="197"/>
      <c r="BB85" s="197"/>
    </row>
    <row r="86" spans="1:54" s="203" customFormat="1" hidden="1" x14ac:dyDescent="0.2">
      <c r="A86" s="199" t="s">
        <v>115</v>
      </c>
      <c r="B86" s="199">
        <f>1/(1+(10^-((B85-D85)/400)))*(B36+D36)</f>
        <v>1.4009657383127818</v>
      </c>
      <c r="C86" s="199"/>
      <c r="D86" s="199">
        <f>1/(1+(10^-((D85-B85)/400)))*(B36+D36)</f>
        <v>0.59903426168721807</v>
      </c>
      <c r="E86" s="199">
        <f>1/(1+(10^-((E85-G85)/400)))*(E36+G36)</f>
        <v>1.2415923103499646</v>
      </c>
      <c r="F86" s="199"/>
      <c r="G86" s="199">
        <f>1/(1+(10^-((G85-E85)/400)))*(E36+G36)</f>
        <v>0.75840768965003524</v>
      </c>
      <c r="H86" s="199">
        <f>1/(1+(10^-((H85-J85)/400)))*(H36+J36)</f>
        <v>1.3859371821017386</v>
      </c>
      <c r="I86" s="199"/>
      <c r="J86" s="199">
        <f>1/(1+(10^-((J85-H85)/400)))*(H36+J36)</f>
        <v>0.61406281789826156</v>
      </c>
      <c r="K86" s="199">
        <f>1/(1+(10^-((K85-M85)/400)))*(K36+M36)</f>
        <v>1.1715831321142594</v>
      </c>
      <c r="L86" s="199"/>
      <c r="M86" s="199">
        <f>1/(1+(10^-((M85-K85)/400)))*(K36+M36)</f>
        <v>0.82841686788574065</v>
      </c>
      <c r="N86" s="199">
        <f>1/(1+(10^-((N85-P85)/400)))*(N36+P36)</f>
        <v>0.91622487884829384</v>
      </c>
      <c r="O86" s="199"/>
      <c r="P86" s="199">
        <f>1/(1+(10^-((P85-N85)/400)))*(N36+P36)</f>
        <v>1.0837751211517062</v>
      </c>
      <c r="Q86" s="199">
        <f>1/(1+(10^-((Q85-S85)/400)))*(Q36+S36)</f>
        <v>1.4088325204191849</v>
      </c>
      <c r="R86" s="199"/>
      <c r="S86" s="199">
        <f>1/(1+(10^-((S85-Q85)/400)))*(Q36+S36)</f>
        <v>0.59116747958081517</v>
      </c>
      <c r="T86" s="199">
        <f>1/(1+(10^-((T85-V85)/400)))*(T36+V36)</f>
        <v>0.97138774105772274</v>
      </c>
      <c r="U86" s="199"/>
      <c r="V86" s="199">
        <f>1/(1+(10^-((V85-T85)/400)))*(T36+V36)</f>
        <v>1.0286122589422773</v>
      </c>
      <c r="W86" s="199">
        <f>1/(1+(10^-((W85-Y85)/400)))*(W36+Y36)</f>
        <v>1.3852592997830526</v>
      </c>
      <c r="X86" s="199"/>
      <c r="Y86" s="199">
        <f>1/(1+(10^-((Y85-W85)/400)))*(W36+Y36)</f>
        <v>0.61474070021694727</v>
      </c>
      <c r="Z86" s="199">
        <f>1/(1+(10^-((Z85-AB85)/400)))*(Z36+AB36)</f>
        <v>1.1127454300132054</v>
      </c>
      <c r="AA86" s="199"/>
      <c r="AB86" s="199">
        <f>1/(1+(10^-((AB85-Z85)/400)))*(Z36+AB36)</f>
        <v>0.88725456998679442</v>
      </c>
      <c r="AC86" s="199">
        <f>1/(1+(10^-((AC85-AE85)/400)))*(AC36+AE36)</f>
        <v>0.74360518646832419</v>
      </c>
      <c r="AD86" s="199"/>
      <c r="AE86" s="199">
        <f>1/(1+(10^-((AE85-AC85)/400)))*(AC36+AE36)</f>
        <v>1.2563948135316756</v>
      </c>
      <c r="AF86" s="200"/>
      <c r="AG86" s="201"/>
      <c r="AH86" s="201"/>
      <c r="AI86" s="201"/>
      <c r="AJ86" s="201"/>
      <c r="AK86" s="201"/>
      <c r="AL86" s="201"/>
      <c r="AM86" s="201"/>
      <c r="AN86" s="202"/>
      <c r="AO86" s="202"/>
      <c r="AP86" s="202"/>
      <c r="AQ86" s="202"/>
      <c r="AW86" s="204"/>
      <c r="BB86" s="204"/>
    </row>
    <row r="87" spans="1:54" s="209" customFormat="1" hidden="1" x14ac:dyDescent="0.2">
      <c r="A87" s="205" t="s">
        <v>116</v>
      </c>
      <c r="B87" s="205">
        <f>B85+(B36-B86)*$BA$1</f>
        <v>1981.9000327392396</v>
      </c>
      <c r="C87" s="205"/>
      <c r="D87" s="205">
        <f>D85+(D36-D86)*$BA$1</f>
        <v>1795.9714992329014</v>
      </c>
      <c r="E87" s="205">
        <f>E85+(E36-E86)*$BA$1</f>
        <v>1927.8589686228988</v>
      </c>
      <c r="F87" s="205"/>
      <c r="G87" s="205">
        <f>G85+(G36-G86)*$BA$1</f>
        <v>1921.6903619172269</v>
      </c>
      <c r="H87" s="205">
        <f>H85+(H36-H86)*$BA$1</f>
        <v>1957.0338074086446</v>
      </c>
      <c r="I87" s="205"/>
      <c r="J87" s="205">
        <f>J85+(J36-J86)*$BA$1</f>
        <v>1776.3214890601571</v>
      </c>
      <c r="K87" s="205">
        <f>K85+(K36-K86)*$BA$1</f>
        <v>1976.4093725115833</v>
      </c>
      <c r="L87" s="205"/>
      <c r="M87" s="205">
        <f>M85+(M36-M86)*$BA$1</f>
        <v>1927.1810221448832</v>
      </c>
      <c r="N87" s="205">
        <f>N85+(N36-N86)*$BA$1</f>
        <v>1898.5397724997533</v>
      </c>
      <c r="O87" s="205"/>
      <c r="P87" s="205">
        <f>P85+(P36-P86)*$BA$1</f>
        <v>1986.3530035317901</v>
      </c>
      <c r="Q87" s="205">
        <f>Q85+(Q36-Q86)*$BA$1</f>
        <v>1946.0983814914694</v>
      </c>
      <c r="R87" s="205"/>
      <c r="S87" s="205">
        <f>S85+(S36-S86)*$BA$1</f>
        <v>1757.4041297135709</v>
      </c>
      <c r="T87" s="205">
        <f>T85+(T36-T86)*$BA$1</f>
        <v>1977.3249647977361</v>
      </c>
      <c r="U87" s="205"/>
      <c r="V87" s="205">
        <f>V85+(V36-V86)*$BA$1</f>
        <v>1985.4374112456373</v>
      </c>
      <c r="W87" s="205">
        <f>W85+(W36-W86)*$BA$1</f>
        <v>1886.2114749066957</v>
      </c>
      <c r="X87" s="205"/>
      <c r="Y87" s="205">
        <f>Y85+(Y36-Y86)*$BA$1</f>
        <v>1769.7324273066286</v>
      </c>
      <c r="Z87" s="205">
        <f>Z85+(Z36-Z86)*$BA$1</f>
        <v>1981.8295574852148</v>
      </c>
      <c r="AA87" s="205"/>
      <c r="AB87" s="205">
        <f>AB85+(AB36-AB86)*$BA$1</f>
        <v>1949.7062352518919</v>
      </c>
      <c r="AC87" s="205">
        <f>AC85+(AC36-AC86)*$BA$1</f>
        <v>1894.4161089397094</v>
      </c>
      <c r="AD87" s="205"/>
      <c r="AE87" s="205">
        <f>AE85+(AE36-AE86)*$BA$1</f>
        <v>1969.1203307647224</v>
      </c>
      <c r="AF87" s="206"/>
      <c r="AG87" s="207"/>
      <c r="AH87" s="207"/>
      <c r="AI87" s="207"/>
      <c r="AJ87" s="207"/>
      <c r="AK87" s="207"/>
      <c r="AL87" s="207"/>
      <c r="AM87" s="207"/>
      <c r="AN87" s="208"/>
      <c r="AO87" s="208"/>
      <c r="AP87" s="208"/>
      <c r="AQ87" s="208"/>
      <c r="AW87" s="210"/>
      <c r="BB87" s="210"/>
    </row>
    <row r="88" spans="1:54" s="209" customFormat="1" hidden="1" x14ac:dyDescent="0.2">
      <c r="A88" s="205"/>
      <c r="B88" s="205"/>
      <c r="C88" s="205"/>
      <c r="D88" s="205"/>
      <c r="E88" s="205"/>
      <c r="F88" s="205"/>
      <c r="G88" s="205"/>
      <c r="H88" s="205"/>
      <c r="I88" s="205"/>
      <c r="J88" s="205"/>
      <c r="K88" s="205"/>
      <c r="L88" s="205"/>
      <c r="M88" s="205"/>
      <c r="N88" s="205"/>
      <c r="O88" s="205"/>
      <c r="P88" s="205"/>
      <c r="Q88" s="205"/>
      <c r="R88" s="205"/>
      <c r="S88" s="205"/>
      <c r="T88" s="205"/>
      <c r="U88" s="205"/>
      <c r="V88" s="205"/>
      <c r="W88" s="205"/>
      <c r="X88" s="205"/>
      <c r="Y88" s="205"/>
      <c r="Z88" s="205"/>
      <c r="AA88" s="205"/>
      <c r="AB88" s="205"/>
      <c r="AC88" s="205"/>
      <c r="AD88" s="205"/>
      <c r="AE88" s="205"/>
      <c r="AF88" s="206"/>
      <c r="AG88" s="207"/>
      <c r="AH88" s="207"/>
      <c r="AI88" s="207"/>
      <c r="AJ88" s="207"/>
      <c r="AK88" s="207"/>
      <c r="AL88" s="207"/>
      <c r="AM88" s="207"/>
      <c r="AN88" s="208"/>
      <c r="AO88" s="208"/>
      <c r="AP88" s="208"/>
      <c r="AQ88" s="208"/>
      <c r="AW88" s="210"/>
      <c r="BB88" s="210"/>
    </row>
    <row r="89" spans="1:54" s="193" customFormat="1" x14ac:dyDescent="0.2">
      <c r="A89" s="452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452"/>
      <c r="C89" s="452"/>
      <c r="D89" s="452"/>
      <c r="E89" s="452"/>
      <c r="F89" s="452"/>
      <c r="G89" s="452"/>
      <c r="H89" s="452"/>
      <c r="I89" s="452"/>
      <c r="J89" s="452"/>
      <c r="K89" s="452"/>
      <c r="L89" s="452"/>
      <c r="M89" s="452"/>
      <c r="N89" s="452"/>
      <c r="O89" s="452"/>
      <c r="P89" s="452"/>
      <c r="Q89" s="452"/>
      <c r="R89" s="452"/>
      <c r="S89" s="452"/>
      <c r="T89" s="452"/>
      <c r="U89" s="452"/>
      <c r="V89" s="452"/>
      <c r="W89" s="452"/>
      <c r="X89" s="452"/>
      <c r="Y89" s="452"/>
      <c r="Z89" s="452"/>
      <c r="AA89" s="452"/>
      <c r="AB89" s="452"/>
      <c r="AC89" s="452"/>
      <c r="AD89" s="452"/>
      <c r="AE89" s="452"/>
      <c r="AF89" s="452"/>
      <c r="AG89" s="452"/>
      <c r="AH89" s="452"/>
      <c r="AI89" s="452"/>
      <c r="AJ89" s="452"/>
      <c r="AK89" s="452"/>
      <c r="AL89" s="452"/>
      <c r="AM89" s="452"/>
      <c r="AN89" s="453"/>
      <c r="AO89" s="453"/>
      <c r="AP89" s="453"/>
      <c r="AQ89" s="453"/>
    </row>
    <row r="90" spans="1:54" s="193" customFormat="1" x14ac:dyDescent="0.2">
      <c r="A90" s="454"/>
      <c r="B90" s="454"/>
      <c r="C90" s="454"/>
      <c r="D90" s="454"/>
      <c r="E90" s="454"/>
      <c r="F90" s="454"/>
      <c r="G90" s="454"/>
      <c r="H90" s="454"/>
      <c r="I90" s="454"/>
      <c r="J90" s="454"/>
      <c r="K90" s="454"/>
      <c r="L90" s="454"/>
      <c r="M90" s="454"/>
      <c r="N90" s="454"/>
      <c r="O90" s="454"/>
      <c r="P90" s="454"/>
      <c r="Q90" s="454"/>
      <c r="R90" s="454"/>
      <c r="S90" s="454"/>
      <c r="T90" s="454"/>
      <c r="U90" s="454"/>
      <c r="V90" s="454"/>
      <c r="W90" s="454"/>
      <c r="X90" s="454"/>
      <c r="Y90" s="454"/>
      <c r="Z90" s="454"/>
      <c r="AA90" s="454"/>
      <c r="AB90" s="454"/>
      <c r="AC90" s="454"/>
      <c r="AD90" s="454"/>
      <c r="AE90" s="454"/>
      <c r="AF90" s="454"/>
      <c r="AG90" s="454"/>
      <c r="AH90" s="454"/>
      <c r="AI90" s="454"/>
      <c r="AJ90" s="454"/>
      <c r="AK90" s="454"/>
      <c r="AL90" s="454"/>
      <c r="AM90" s="454"/>
      <c r="AN90" s="454"/>
      <c r="AO90" s="454"/>
      <c r="AP90" s="454"/>
      <c r="AQ90" s="454"/>
    </row>
    <row r="91" spans="1:54" ht="21" thickBot="1" x14ac:dyDescent="0.35">
      <c r="A91" s="455" t="s">
        <v>118</v>
      </c>
      <c r="B91" s="455"/>
      <c r="C91" s="455"/>
      <c r="D91" s="455"/>
      <c r="E91" s="455"/>
      <c r="F91" s="455"/>
      <c r="G91" s="455"/>
      <c r="H91" s="455"/>
      <c r="I91" s="455"/>
      <c r="J91" s="455"/>
      <c r="K91" s="455"/>
      <c r="L91" s="455"/>
      <c r="M91" s="455"/>
      <c r="N91" s="455"/>
      <c r="O91" s="455"/>
      <c r="P91" s="455"/>
      <c r="Q91" s="455"/>
      <c r="R91" s="455"/>
      <c r="S91" s="455"/>
      <c r="T91" s="455"/>
      <c r="U91" s="455"/>
      <c r="V91" s="455"/>
      <c r="W91" s="455"/>
      <c r="X91" s="455"/>
      <c r="Y91" s="455"/>
      <c r="Z91" s="455"/>
      <c r="AA91" s="455"/>
      <c r="AB91" s="455"/>
      <c r="AC91" s="455"/>
      <c r="AD91" s="455"/>
      <c r="AE91" s="455"/>
      <c r="AF91" s="455"/>
      <c r="AG91" s="455"/>
      <c r="AH91" s="455"/>
      <c r="AI91" s="455"/>
      <c r="AJ91" s="455"/>
      <c r="AK91" s="455"/>
      <c r="AL91" s="455"/>
      <c r="AM91" s="455"/>
      <c r="AN91" s="455"/>
      <c r="AO91" s="455"/>
      <c r="AP91" s="455"/>
      <c r="AQ91" s="455"/>
    </row>
    <row r="92" spans="1:54" ht="13.5" thickBot="1" x14ac:dyDescent="0.25">
      <c r="A92" s="456" t="s">
        <v>119</v>
      </c>
      <c r="B92" s="458" t="s">
        <v>120</v>
      </c>
      <c r="C92" s="459"/>
      <c r="D92" s="459"/>
      <c r="E92" s="459"/>
      <c r="F92" s="459"/>
      <c r="G92" s="459"/>
      <c r="H92" s="459"/>
      <c r="I92" s="459"/>
      <c r="J92" s="459"/>
      <c r="K92" s="460"/>
      <c r="L92" s="458" t="s">
        <v>121</v>
      </c>
      <c r="M92" s="459"/>
      <c r="N92" s="459"/>
      <c r="O92" s="459"/>
      <c r="P92" s="459"/>
      <c r="Q92" s="459"/>
      <c r="R92" s="459"/>
      <c r="S92" s="459"/>
      <c r="T92" s="459"/>
      <c r="U92" s="460"/>
      <c r="V92" s="458" t="s">
        <v>122</v>
      </c>
      <c r="W92" s="459"/>
      <c r="X92" s="459"/>
      <c r="Y92" s="459"/>
      <c r="Z92" s="459"/>
      <c r="AA92" s="459"/>
      <c r="AB92" s="459"/>
      <c r="AC92" s="459"/>
      <c r="AD92" s="459"/>
      <c r="AE92" s="460"/>
      <c r="AF92" s="458" t="s">
        <v>123</v>
      </c>
      <c r="AG92" s="459"/>
      <c r="AH92" s="459"/>
      <c r="AI92" s="459"/>
      <c r="AJ92" s="459"/>
      <c r="AK92" s="459"/>
      <c r="AL92" s="459"/>
      <c r="AM92" s="459"/>
      <c r="AN92" s="459"/>
      <c r="AO92" s="460"/>
    </row>
    <row r="93" spans="1:54" ht="13.5" thickBot="1" x14ac:dyDescent="0.25">
      <c r="A93" s="457"/>
      <c r="B93" s="461" t="s">
        <v>10</v>
      </c>
      <c r="C93" s="462"/>
      <c r="D93" s="462"/>
      <c r="E93" s="462"/>
      <c r="F93" s="462"/>
      <c r="G93" s="463"/>
      <c r="H93" s="461" t="s">
        <v>124</v>
      </c>
      <c r="I93" s="462"/>
      <c r="J93" s="462"/>
      <c r="K93" s="463"/>
      <c r="L93" s="461" t="s">
        <v>10</v>
      </c>
      <c r="M93" s="462"/>
      <c r="N93" s="462"/>
      <c r="O93" s="462"/>
      <c r="P93" s="462"/>
      <c r="Q93" s="463"/>
      <c r="R93" s="461" t="s">
        <v>124</v>
      </c>
      <c r="S93" s="462"/>
      <c r="T93" s="462"/>
      <c r="U93" s="463"/>
      <c r="V93" s="461" t="s">
        <v>10</v>
      </c>
      <c r="W93" s="462"/>
      <c r="X93" s="462"/>
      <c r="Y93" s="462"/>
      <c r="Z93" s="462"/>
      <c r="AA93" s="463"/>
      <c r="AB93" s="461" t="s">
        <v>124</v>
      </c>
      <c r="AC93" s="462"/>
      <c r="AD93" s="462"/>
      <c r="AE93" s="463"/>
      <c r="AF93" s="461" t="s">
        <v>10</v>
      </c>
      <c r="AG93" s="462"/>
      <c r="AH93" s="462"/>
      <c r="AI93" s="462"/>
      <c r="AJ93" s="462"/>
      <c r="AK93" s="463"/>
      <c r="AL93" s="461" t="s">
        <v>124</v>
      </c>
      <c r="AM93" s="462"/>
      <c r="AN93" s="462"/>
      <c r="AO93" s="463"/>
    </row>
    <row r="94" spans="1:54" ht="13.5" thickBot="1" x14ac:dyDescent="0.25">
      <c r="A94" s="211" t="s">
        <v>125</v>
      </c>
      <c r="B94" s="575" t="str">
        <f>IF($AF$8=1,$E$8,IF($AF$10=1,$E$10,IF($AF$12=1,$E$12,IF($AF$14=1,$E$14,IF($AF$16=1,$E$16,"1st Place "&amp;$A94)))))</f>
        <v>Intense 15 Regional Elite</v>
      </c>
      <c r="C94" s="576"/>
      <c r="D94" s="576"/>
      <c r="E94" s="576"/>
      <c r="F94" s="576"/>
      <c r="G94" s="576"/>
      <c r="H94" s="577" t="str">
        <f>IF($AF$8=1,$E$9,IF($AF$10=1,$E$11,IF($AF$12=1,$E$13,IF($AF$14=1,$E$15,IF($AF$16=1,$E$17,"1st Place "&amp;$A94)))))</f>
        <v>fj5inten2pm</v>
      </c>
      <c r="I94" s="577"/>
      <c r="J94" s="577"/>
      <c r="K94" s="578"/>
      <c r="L94" s="575" t="str">
        <f>IF($AF$8=2,$E$8,IF($AF$10=2,$E$10,IF($AF$12=2,$E$12,IF($AF$14=2,$E$14,IF($AF$16=2,$E$16,"2nd Place "&amp;$A94)))))</f>
        <v>Augusta Elite 15U</v>
      </c>
      <c r="M94" s="576"/>
      <c r="N94" s="576"/>
      <c r="O94" s="576"/>
      <c r="P94" s="576"/>
      <c r="Q94" s="576"/>
      <c r="R94" s="577" t="str">
        <f>IF($AF$8=2,$E$9,IF($AF$10=2,$E$11,IF($AF$12=2,$E$13,IF($AF$14=2,$E$15,IF($AF$16=2,$E$17,"2nd Place "&amp;$A94)))))</f>
        <v>fj5aelit1pm</v>
      </c>
      <c r="S94" s="577"/>
      <c r="T94" s="577"/>
      <c r="U94" s="578"/>
      <c r="V94" s="575" t="str">
        <f>IF($AF$8=3,$E$8,IF($AF$10=3,$E$10,IF($AF$12=3,$E$12,IF($AF$14=3,$E$14,IF($AF$16=3,$E$16,"3rd Place "&amp;$A94)))))</f>
        <v>Kershaw 15 Black</v>
      </c>
      <c r="W94" s="576"/>
      <c r="X94" s="576"/>
      <c r="Y94" s="576"/>
      <c r="Z94" s="576"/>
      <c r="AA94" s="576"/>
      <c r="AB94" s="577" t="str">
        <f>IF($AF$8=3,$E$9,IF($AF$10=3,$E$11,IF($AF$12=3,$E$13,IF($AF$14=3,$E$15,IF($AF$16=3,$E$17,"3rd Place "&amp;$A94)))))</f>
        <v>fj5kersh1pm</v>
      </c>
      <c r="AC94" s="577"/>
      <c r="AD94" s="577"/>
      <c r="AE94" s="578"/>
      <c r="AF94" s="575" t="str">
        <f>IF($AF$8=4,$E$8,IF($AF$10=4,$E$10,IF($AF$12=4,$E$12,IF($AF$14=4,$E$14,IF($AF$16=4,$E$16,"4th Place "&amp;$A94)))))</f>
        <v>OLC 15s Purple</v>
      </c>
      <c r="AG94" s="576"/>
      <c r="AH94" s="576"/>
      <c r="AI94" s="576"/>
      <c r="AJ94" s="576"/>
      <c r="AK94" s="576"/>
      <c r="AL94" s="577" t="str">
        <f>IF($AF$8=4,$E$9,IF($AF$10=4,$E$11,IF($AF$12=4,$E$13,IF($AF$14=4,$E$15,IF($AF$16=4,$E$17,"4th Place "&amp;$A94)))))</f>
        <v>fj5ladyc1pm</v>
      </c>
      <c r="AM94" s="577"/>
      <c r="AN94" s="577"/>
      <c r="AO94" s="578"/>
    </row>
    <row r="95" spans="1:54" s="133" customFormat="1" x14ac:dyDescent="0.2">
      <c r="A95" s="212"/>
      <c r="B95" s="213"/>
      <c r="C95" s="213"/>
      <c r="D95" s="213"/>
      <c r="E95" s="213"/>
      <c r="F95" s="213"/>
      <c r="G95" s="213"/>
      <c r="H95" s="213"/>
      <c r="I95" s="213"/>
      <c r="J95" s="213"/>
      <c r="K95" s="213"/>
      <c r="L95" s="213"/>
      <c r="M95" s="213"/>
      <c r="N95" s="213"/>
      <c r="O95" s="213"/>
      <c r="P95" s="213"/>
      <c r="Q95" s="213"/>
      <c r="R95" s="213"/>
      <c r="S95" s="213"/>
      <c r="T95" s="213"/>
      <c r="U95" s="213"/>
      <c r="V95" s="213"/>
      <c r="W95" s="213"/>
      <c r="X95" s="213"/>
      <c r="Y95" s="213"/>
      <c r="Z95" s="213"/>
      <c r="AA95" s="213"/>
      <c r="AB95" s="213"/>
      <c r="AC95" s="213"/>
      <c r="AD95" s="213"/>
      <c r="AE95" s="213"/>
      <c r="AF95" s="213"/>
      <c r="AG95" s="213"/>
      <c r="AH95" s="213"/>
      <c r="AI95" s="213"/>
      <c r="AJ95" s="213"/>
      <c r="AK95" s="213"/>
      <c r="AL95" s="213"/>
      <c r="AM95" s="213"/>
      <c r="AN95" s="213"/>
      <c r="AO95" s="213"/>
      <c r="AZ95" s="134"/>
      <c r="BA95" s="134"/>
    </row>
    <row r="96" spans="1:54" ht="15.75" x14ac:dyDescent="0.25">
      <c r="A96" s="472" t="s">
        <v>127</v>
      </c>
      <c r="B96" s="472"/>
      <c r="C96" s="472"/>
      <c r="D96" s="472"/>
      <c r="E96" s="472"/>
      <c r="F96" s="472"/>
      <c r="G96" s="472"/>
      <c r="H96" s="472"/>
      <c r="I96" s="472"/>
      <c r="J96" s="472"/>
      <c r="K96" s="472"/>
      <c r="L96" s="472"/>
      <c r="M96" s="472"/>
      <c r="N96" s="472"/>
      <c r="O96" s="472"/>
      <c r="P96" s="472"/>
      <c r="Q96" s="472"/>
      <c r="R96" s="472"/>
      <c r="S96" s="472"/>
      <c r="T96" s="472"/>
      <c r="U96" s="472"/>
      <c r="V96" s="472"/>
      <c r="W96" s="472"/>
      <c r="X96" s="472"/>
      <c r="Y96" s="472"/>
      <c r="Z96" s="472"/>
      <c r="AA96" s="472"/>
      <c r="AB96" s="472"/>
      <c r="AC96" s="472"/>
      <c r="AD96" s="472"/>
      <c r="AE96" s="472"/>
      <c r="AF96" s="472"/>
      <c r="AG96" s="472"/>
      <c r="AH96" s="472"/>
      <c r="AI96" s="472"/>
      <c r="AJ96" s="472"/>
      <c r="AK96" s="472"/>
      <c r="AL96" s="472"/>
      <c r="AM96" s="472"/>
      <c r="AN96" s="472"/>
      <c r="AO96" s="472"/>
      <c r="AP96" s="472"/>
      <c r="AQ96" s="472"/>
      <c r="AT96" s="214"/>
      <c r="AU96" s="214"/>
      <c r="AV96" s="214"/>
    </row>
    <row r="97" spans="1:50" ht="39.75" customHeight="1" x14ac:dyDescent="0.25">
      <c r="A97" s="473" t="s">
        <v>128</v>
      </c>
      <c r="B97" s="474"/>
      <c r="C97" s="474"/>
      <c r="D97" s="474"/>
      <c r="E97" s="474"/>
      <c r="F97" s="474"/>
      <c r="G97" s="474"/>
      <c r="H97" s="474"/>
      <c r="I97" s="474"/>
      <c r="J97" s="474"/>
      <c r="K97" s="474"/>
      <c r="L97" s="474"/>
      <c r="M97" s="474"/>
      <c r="N97" s="474"/>
      <c r="O97" s="474"/>
      <c r="P97" s="474"/>
      <c r="Q97" s="474"/>
      <c r="R97" s="474"/>
      <c r="S97" s="474"/>
      <c r="T97" s="474"/>
      <c r="U97" s="474"/>
      <c r="V97" s="474"/>
      <c r="W97" s="474"/>
      <c r="X97" s="474"/>
      <c r="Y97" s="474"/>
      <c r="Z97" s="474"/>
      <c r="AA97" s="474"/>
      <c r="AB97" s="474"/>
      <c r="AC97" s="474"/>
      <c r="AD97" s="474"/>
      <c r="AE97" s="474"/>
      <c r="AF97" s="474"/>
      <c r="AG97" s="474"/>
      <c r="AH97" s="474"/>
      <c r="AI97" s="474"/>
      <c r="AJ97" s="474"/>
      <c r="AK97" s="474"/>
      <c r="AL97" s="474"/>
      <c r="AM97" s="474"/>
      <c r="AN97" s="474"/>
      <c r="AO97" s="474"/>
      <c r="AP97" s="474"/>
      <c r="AQ97" s="474"/>
    </row>
    <row r="98" spans="1:50" x14ac:dyDescent="0.2">
      <c r="A98" s="475" t="s">
        <v>180</v>
      </c>
      <c r="B98" s="475"/>
      <c r="C98" s="475"/>
      <c r="D98" s="475"/>
      <c r="E98" s="475"/>
      <c r="F98" s="475"/>
      <c r="G98" s="475"/>
      <c r="H98" s="475"/>
      <c r="I98" s="475"/>
      <c r="J98" s="475"/>
      <c r="K98" s="475"/>
      <c r="L98" s="475"/>
      <c r="M98" s="475"/>
      <c r="N98" s="475"/>
      <c r="O98" s="475"/>
      <c r="P98" s="475"/>
      <c r="Q98" s="475"/>
      <c r="R98" s="475"/>
      <c r="S98" s="475"/>
      <c r="T98" s="475"/>
      <c r="U98" s="475"/>
      <c r="V98" s="475"/>
      <c r="W98" s="475"/>
      <c r="X98" s="475"/>
      <c r="Y98" s="475"/>
      <c r="Z98" s="475"/>
      <c r="AA98" s="475"/>
      <c r="AB98" s="475"/>
      <c r="AC98" s="475"/>
      <c r="AD98" s="475"/>
      <c r="AE98" s="475"/>
      <c r="AF98" s="475"/>
      <c r="AG98" s="475"/>
      <c r="AH98" s="475"/>
      <c r="AI98" s="475"/>
      <c r="AJ98" s="475"/>
      <c r="AK98" s="475"/>
      <c r="AL98" s="475"/>
      <c r="AM98" s="475"/>
      <c r="AN98" s="475"/>
      <c r="AO98" s="475"/>
      <c r="AP98" s="475"/>
      <c r="AQ98" s="475"/>
    </row>
    <row r="99" spans="1:50" x14ac:dyDescent="0.2">
      <c r="A99" s="475"/>
      <c r="B99" s="475"/>
      <c r="C99" s="475"/>
      <c r="D99" s="475"/>
      <c r="E99" s="475"/>
      <c r="F99" s="475"/>
      <c r="G99" s="475"/>
      <c r="H99" s="475"/>
      <c r="I99" s="475"/>
      <c r="J99" s="475"/>
      <c r="K99" s="475"/>
      <c r="L99" s="475"/>
      <c r="M99" s="475"/>
      <c r="N99" s="475"/>
      <c r="O99" s="475"/>
      <c r="P99" s="475"/>
      <c r="Q99" s="475"/>
      <c r="R99" s="475"/>
      <c r="S99" s="475"/>
      <c r="T99" s="475"/>
      <c r="U99" s="475"/>
      <c r="V99" s="475"/>
      <c r="W99" s="475"/>
      <c r="X99" s="475"/>
      <c r="Y99" s="475"/>
      <c r="Z99" s="475"/>
      <c r="AA99" s="475"/>
      <c r="AB99" s="475"/>
      <c r="AC99" s="475"/>
      <c r="AD99" s="475"/>
      <c r="AE99" s="475"/>
      <c r="AF99" s="475"/>
      <c r="AG99" s="475"/>
      <c r="AH99" s="475"/>
      <c r="AI99" s="475"/>
      <c r="AJ99" s="475"/>
      <c r="AK99" s="475"/>
      <c r="AL99" s="475"/>
      <c r="AM99" s="475"/>
      <c r="AN99" s="475"/>
      <c r="AO99" s="475"/>
      <c r="AP99" s="475"/>
      <c r="AQ99" s="475"/>
    </row>
    <row r="100" spans="1:50" x14ac:dyDescent="0.2">
      <c r="A100" s="476" t="s">
        <v>130</v>
      </c>
      <c r="B100" s="476"/>
      <c r="C100" s="476"/>
      <c r="D100" s="476"/>
      <c r="E100" s="476"/>
      <c r="F100" s="476"/>
      <c r="G100" s="476"/>
      <c r="H100" s="476"/>
      <c r="I100" s="476"/>
      <c r="J100" s="476"/>
      <c r="K100" s="476"/>
      <c r="L100" s="215"/>
      <c r="R100" s="216"/>
      <c r="S100" s="216"/>
      <c r="T100" s="217"/>
      <c r="U100" s="217"/>
      <c r="V100" s="217"/>
      <c r="W100" s="217"/>
      <c r="X100" s="217"/>
      <c r="Y100" s="217"/>
      <c r="Z100" s="217"/>
      <c r="AA100" s="217"/>
      <c r="AB100" s="217"/>
      <c r="AC100" s="217"/>
      <c r="AD100" s="217"/>
      <c r="AE100" s="217"/>
      <c r="AF100" s="217"/>
      <c r="AG100" s="216"/>
      <c r="AH100" s="217"/>
      <c r="AI100" s="217"/>
      <c r="AJ100" s="216"/>
      <c r="AK100" s="216"/>
      <c r="AL100" s="216"/>
      <c r="AM100" s="216"/>
    </row>
    <row r="101" spans="1:50" x14ac:dyDescent="0.2">
      <c r="C101" s="133"/>
      <c r="D101" s="133"/>
      <c r="E101" s="133"/>
      <c r="L101" s="215"/>
      <c r="R101" s="216"/>
      <c r="S101" s="216"/>
      <c r="T101" s="217"/>
      <c r="U101" s="217"/>
      <c r="V101" s="217"/>
      <c r="W101" s="217"/>
      <c r="X101" s="217"/>
      <c r="Y101" s="217"/>
      <c r="Z101" s="217"/>
      <c r="AA101" s="217"/>
      <c r="AB101" s="217"/>
      <c r="AC101" s="217"/>
      <c r="AD101" s="217"/>
      <c r="AE101" s="217"/>
      <c r="AF101" s="217"/>
      <c r="AG101" s="216"/>
      <c r="AH101" s="217"/>
      <c r="AI101" s="217"/>
      <c r="AJ101" s="216"/>
      <c r="AK101" s="216"/>
      <c r="AL101" s="216"/>
      <c r="AM101" s="216"/>
    </row>
    <row r="102" spans="1:50" x14ac:dyDescent="0.2">
      <c r="A102" s="453"/>
      <c r="B102" s="453"/>
      <c r="C102" s="453"/>
      <c r="D102" s="453"/>
      <c r="E102" s="453"/>
      <c r="F102" s="453"/>
      <c r="G102" s="453"/>
      <c r="H102" s="453"/>
      <c r="I102" s="453"/>
      <c r="J102" s="453"/>
      <c r="K102" s="453"/>
      <c r="L102" s="453"/>
      <c r="M102" s="453"/>
      <c r="N102" s="453"/>
      <c r="O102" s="453"/>
      <c r="P102" s="194"/>
      <c r="R102" s="218"/>
      <c r="S102" s="218"/>
      <c r="T102" s="218"/>
      <c r="U102" s="218"/>
      <c r="V102" s="218"/>
      <c r="W102" s="218"/>
      <c r="X102" s="218"/>
      <c r="Y102" s="218"/>
      <c r="Z102" s="218"/>
      <c r="AA102" s="218"/>
      <c r="AB102" s="218"/>
      <c r="AC102" s="218"/>
      <c r="AD102" s="218"/>
      <c r="AE102" s="218"/>
      <c r="AF102" s="218"/>
      <c r="AG102" s="216"/>
      <c r="AH102" s="217"/>
      <c r="AI102" s="217"/>
      <c r="AJ102" s="216"/>
      <c r="AK102" s="216"/>
      <c r="AL102" s="216"/>
      <c r="AM102" s="216"/>
    </row>
    <row r="103" spans="1:50" x14ac:dyDescent="0.2">
      <c r="R103" s="216"/>
      <c r="S103" s="216"/>
      <c r="T103" s="217"/>
      <c r="U103" s="217"/>
      <c r="V103" s="217"/>
      <c r="W103" s="217"/>
      <c r="X103" s="217"/>
      <c r="Y103" s="217"/>
      <c r="Z103" s="217"/>
      <c r="AA103" s="217"/>
      <c r="AB103" s="217"/>
      <c r="AC103" s="217"/>
      <c r="AD103" s="217"/>
      <c r="AE103" s="217"/>
      <c r="AF103" s="217"/>
      <c r="AG103" s="216"/>
      <c r="AH103" s="217"/>
      <c r="AI103" s="217"/>
      <c r="AJ103" s="216"/>
      <c r="AK103" s="216"/>
      <c r="AL103" s="216"/>
      <c r="AM103" s="216"/>
    </row>
    <row r="104" spans="1:50" ht="13.5" thickBot="1" x14ac:dyDescent="0.25">
      <c r="A104" s="477" t="str">
        <f>IF(B132=1,B124,IF(B132=2,B125,IF(B132=3,B126,IF(B132=4,B127,IF(OR(B132="B",B132="b"),"BYE","invalid")))))</f>
        <v>Intense 15 Regional Elite</v>
      </c>
      <c r="B104" s="477"/>
      <c r="C104" s="477"/>
      <c r="D104" s="477"/>
      <c r="E104" s="477"/>
      <c r="F104" s="219"/>
      <c r="G104" s="219"/>
      <c r="H104" s="219"/>
      <c r="I104" s="219"/>
      <c r="J104" s="219"/>
      <c r="K104" s="219"/>
      <c r="L104" s="219"/>
      <c r="M104" s="219"/>
      <c r="N104" s="219"/>
      <c r="S104" s="220"/>
      <c r="T104" s="221"/>
      <c r="U104" s="217"/>
      <c r="V104" s="217"/>
      <c r="W104" s="217"/>
      <c r="X104" s="217"/>
      <c r="Y104" s="217"/>
      <c r="Z104" s="217"/>
      <c r="AA104" s="217"/>
      <c r="AB104" s="216"/>
      <c r="AC104" s="216"/>
      <c r="AD104" s="216"/>
      <c r="AE104" s="216"/>
      <c r="AF104" s="216"/>
      <c r="AG104" s="216"/>
      <c r="AH104" s="216"/>
      <c r="AI104" s="216"/>
      <c r="AJ104" s="216"/>
      <c r="AK104" s="216"/>
      <c r="AL104" s="216"/>
    </row>
    <row r="105" spans="1:50" x14ac:dyDescent="0.2">
      <c r="A105" s="478" t="s">
        <v>181</v>
      </c>
      <c r="B105" s="478"/>
      <c r="C105" s="478"/>
      <c r="D105" s="478"/>
      <c r="E105" s="478"/>
      <c r="F105" s="222"/>
      <c r="G105" s="219"/>
      <c r="H105" s="219"/>
      <c r="I105" s="219"/>
      <c r="J105" s="219"/>
      <c r="K105" s="219"/>
      <c r="L105" s="219"/>
      <c r="M105" s="219"/>
      <c r="N105" s="219"/>
      <c r="S105" s="223"/>
      <c r="T105" s="224"/>
      <c r="U105" s="225"/>
      <c r="V105" s="225"/>
      <c r="W105" s="225"/>
      <c r="X105" s="225"/>
      <c r="Y105" s="225"/>
      <c r="Z105" s="225"/>
      <c r="AA105" s="225"/>
      <c r="AB105" s="216"/>
      <c r="AC105" s="216"/>
      <c r="AD105" s="216"/>
      <c r="AE105" s="216"/>
      <c r="AF105" s="216"/>
      <c r="AG105" s="216"/>
      <c r="AH105" s="216"/>
      <c r="AI105" s="216"/>
      <c r="AJ105" s="216"/>
      <c r="AK105" s="216"/>
      <c r="AL105" s="216"/>
    </row>
    <row r="106" spans="1:50" x14ac:dyDescent="0.2">
      <c r="A106" s="219"/>
      <c r="B106" s="219"/>
      <c r="C106" s="219"/>
      <c r="D106" s="219"/>
      <c r="E106" s="219"/>
      <c r="F106" s="222"/>
      <c r="G106" s="219"/>
      <c r="H106" s="219"/>
      <c r="I106" s="219"/>
      <c r="J106" s="219"/>
      <c r="K106" s="219"/>
      <c r="L106" s="219"/>
      <c r="M106" s="219"/>
      <c r="N106" s="219"/>
      <c r="R106" s="219"/>
      <c r="S106" s="219"/>
      <c r="T106" s="216"/>
      <c r="U106" s="216"/>
      <c r="V106" s="216"/>
      <c r="W106" s="216"/>
      <c r="X106" s="216"/>
      <c r="Y106" s="216"/>
      <c r="Z106" s="216"/>
      <c r="AA106" s="216"/>
      <c r="AB106" s="216"/>
      <c r="AC106" s="216"/>
      <c r="AD106" s="216"/>
      <c r="AE106" s="216"/>
      <c r="AF106" s="216"/>
      <c r="AG106" s="216"/>
      <c r="AH106" s="216"/>
      <c r="AI106" s="216"/>
      <c r="AJ106" s="216"/>
      <c r="AK106" s="216"/>
      <c r="AL106" s="216"/>
    </row>
    <row r="107" spans="1:50" ht="13.5" thickBot="1" x14ac:dyDescent="0.25">
      <c r="A107" s="479" t="str">
        <f>B126&amp;" ref"</f>
        <v>Kershaw 15 Black ref</v>
      </c>
      <c r="B107" s="479"/>
      <c r="C107" s="479"/>
      <c r="D107" s="479"/>
      <c r="E107" s="226"/>
      <c r="F107" s="481" t="str">
        <f>IF(H132=1,B124,IF(H132=2,B125,IF(H132=3,B126,IF(H132=4,B127,"Winner Match 1"))))</f>
        <v>Intense 15 Regional Elite</v>
      </c>
      <c r="G107" s="482"/>
      <c r="H107" s="482"/>
      <c r="I107" s="482"/>
      <c r="J107" s="482"/>
      <c r="K107" s="482"/>
      <c r="L107" s="482"/>
      <c r="M107" s="482"/>
      <c r="N107" s="219"/>
      <c r="P107" s="227"/>
      <c r="Q107" s="227"/>
      <c r="R107" s="227"/>
      <c r="S107" s="227"/>
      <c r="T107" s="218"/>
      <c r="U107" s="218"/>
      <c r="V107" s="218"/>
      <c r="W107" s="218"/>
      <c r="X107" s="218"/>
      <c r="Y107" s="218"/>
      <c r="Z107" s="218"/>
      <c r="AA107" s="216"/>
      <c r="AB107" s="217"/>
      <c r="AC107" s="217"/>
      <c r="AD107" s="217"/>
      <c r="AE107" s="217"/>
      <c r="AF107" s="217"/>
      <c r="AG107" s="217"/>
      <c r="AH107" s="217"/>
      <c r="AI107" s="216"/>
      <c r="AJ107" s="216"/>
      <c r="AK107" s="216"/>
      <c r="AL107" s="216"/>
    </row>
    <row r="108" spans="1:50" x14ac:dyDescent="0.2">
      <c r="A108" s="483" t="s">
        <v>135</v>
      </c>
      <c r="B108" s="483"/>
      <c r="C108" s="483"/>
      <c r="D108" s="483"/>
      <c r="E108" s="483"/>
      <c r="F108" s="484"/>
      <c r="G108" s="485"/>
      <c r="H108" s="485"/>
      <c r="I108" s="486"/>
      <c r="J108" s="487"/>
      <c r="K108" s="488"/>
      <c r="L108" s="488"/>
      <c r="M108" s="488"/>
      <c r="N108" s="219"/>
      <c r="O108" s="219"/>
      <c r="P108" s="226"/>
      <c r="Q108" s="137"/>
      <c r="R108" s="228"/>
      <c r="S108" s="228"/>
      <c r="T108" s="229"/>
      <c r="U108" s="229"/>
      <c r="V108" s="229"/>
      <c r="W108" s="229"/>
      <c r="X108" s="229"/>
      <c r="Y108" s="229"/>
      <c r="Z108" s="229"/>
      <c r="AA108" s="216"/>
      <c r="AB108" s="218"/>
      <c r="AC108" s="218"/>
      <c r="AD108" s="218"/>
      <c r="AE108" s="218"/>
      <c r="AF108" s="218"/>
      <c r="AG108" s="218"/>
      <c r="AH108" s="218"/>
      <c r="AI108" s="216"/>
      <c r="AJ108" s="216"/>
      <c r="AK108" s="216"/>
      <c r="AL108" s="216"/>
    </row>
    <row r="109" spans="1:50" ht="13.5" thickBot="1" x14ac:dyDescent="0.25">
      <c r="A109" s="477" t="str">
        <f>IF(D132=1,B124,IF(D132=2,B125,IF(D132=3,B126,IF(D132=4,B127,IF(OR(D132="B",D132="b"),"BYE","invalid")))))</f>
        <v>OLC 15s Purple</v>
      </c>
      <c r="B109" s="477"/>
      <c r="C109" s="477"/>
      <c r="D109" s="477"/>
      <c r="E109" s="490"/>
      <c r="F109" s="222"/>
      <c r="G109" s="219"/>
      <c r="H109" s="219"/>
      <c r="I109" s="219"/>
      <c r="J109" s="222"/>
      <c r="K109" s="219"/>
      <c r="L109" s="219"/>
      <c r="M109" s="219"/>
      <c r="N109" s="219"/>
      <c r="O109" s="219"/>
      <c r="P109" s="219"/>
      <c r="T109" s="216"/>
      <c r="U109" s="217"/>
      <c r="V109" s="217"/>
      <c r="W109" s="217"/>
      <c r="X109" s="217"/>
      <c r="Y109" s="217"/>
      <c r="Z109" s="217"/>
      <c r="AA109" s="217"/>
      <c r="AB109" s="216"/>
      <c r="AC109" s="216"/>
      <c r="AD109" s="216"/>
      <c r="AE109" s="216"/>
      <c r="AF109" s="216"/>
      <c r="AG109" s="216"/>
      <c r="AH109" s="216"/>
      <c r="AI109" s="216"/>
      <c r="AJ109" s="216"/>
      <c r="AK109" s="216"/>
      <c r="AL109" s="216"/>
    </row>
    <row r="110" spans="1:50" x14ac:dyDescent="0.2">
      <c r="A110" s="478" t="s">
        <v>182</v>
      </c>
      <c r="B110" s="478"/>
      <c r="C110" s="478"/>
      <c r="D110" s="478"/>
      <c r="E110" s="478"/>
      <c r="F110" s="219"/>
      <c r="G110" s="219"/>
      <c r="H110" s="219"/>
      <c r="I110" s="219"/>
      <c r="J110" s="222"/>
      <c r="K110" s="219"/>
      <c r="L110" s="219"/>
      <c r="M110" s="219"/>
      <c r="N110" s="219"/>
      <c r="O110" s="219"/>
      <c r="P110" s="219"/>
      <c r="T110" s="216"/>
      <c r="U110" s="225"/>
      <c r="V110" s="225"/>
      <c r="W110" s="225"/>
      <c r="X110" s="225"/>
      <c r="Y110" s="225"/>
      <c r="Z110" s="225"/>
      <c r="AA110" s="225"/>
      <c r="AB110" s="216"/>
      <c r="AC110" s="216"/>
      <c r="AD110" s="216"/>
      <c r="AE110" s="216"/>
      <c r="AF110" s="216"/>
      <c r="AG110" s="216"/>
      <c r="AH110" s="216"/>
      <c r="AI110" s="216"/>
      <c r="AJ110" s="216"/>
      <c r="AK110" s="216"/>
      <c r="AL110" s="216"/>
      <c r="AQ110" s="230"/>
      <c r="AR110" s="230"/>
      <c r="AS110" s="230"/>
      <c r="AW110" s="230"/>
      <c r="AX110" s="230"/>
    </row>
    <row r="111" spans="1:50" x14ac:dyDescent="0.2">
      <c r="A111" s="219"/>
      <c r="B111" s="219"/>
      <c r="C111" s="219"/>
      <c r="D111" s="219"/>
      <c r="E111" s="219"/>
      <c r="F111" s="492" t="s">
        <v>139</v>
      </c>
      <c r="G111" s="492"/>
      <c r="H111" s="492"/>
      <c r="I111" s="493"/>
      <c r="J111" s="222"/>
      <c r="K111" s="219"/>
      <c r="L111" s="219"/>
      <c r="M111" s="219"/>
      <c r="N111" s="219"/>
      <c r="O111" s="219"/>
      <c r="P111" s="219"/>
      <c r="R111" s="219"/>
      <c r="S111" s="219"/>
      <c r="T111" s="216"/>
      <c r="U111" s="216"/>
      <c r="V111" s="216"/>
      <c r="W111" s="218"/>
      <c r="X111" s="218"/>
      <c r="Y111" s="218"/>
      <c r="Z111" s="216"/>
      <c r="AA111" s="218"/>
      <c r="AB111" s="218"/>
      <c r="AC111" s="218"/>
      <c r="AD111" s="218"/>
      <c r="AE111" s="218"/>
      <c r="AF111" s="216"/>
      <c r="AG111" s="216"/>
      <c r="AH111" s="216"/>
      <c r="AI111" s="216"/>
      <c r="AJ111" s="216"/>
      <c r="AK111" s="216"/>
      <c r="AL111" s="216"/>
    </row>
    <row r="112" spans="1:50" ht="13.5" thickBot="1" x14ac:dyDescent="0.25">
      <c r="A112" s="219"/>
      <c r="B112" s="219"/>
      <c r="C112" s="219"/>
      <c r="D112" s="219"/>
      <c r="E112" s="219"/>
      <c r="F112" s="219"/>
      <c r="G112" s="219"/>
      <c r="H112" s="219"/>
      <c r="I112" s="219"/>
      <c r="J112" s="494" t="str">
        <f>IF(K137=1,B124,IF(K137=2,B125,IF(K137=3,B126,IF(K137=4,B127,"Division Winner"))))</f>
        <v>Intense 15 Regional Elite</v>
      </c>
      <c r="K112" s="495"/>
      <c r="L112" s="495"/>
      <c r="M112" s="495"/>
      <c r="N112" s="495"/>
      <c r="O112" s="495"/>
      <c r="P112" s="495"/>
      <c r="Q112" s="220"/>
      <c r="R112" s="219"/>
      <c r="S112" s="219"/>
      <c r="T112" s="216"/>
      <c r="U112" s="216"/>
      <c r="V112" s="216"/>
      <c r="W112" s="216"/>
      <c r="X112" s="216"/>
      <c r="Y112" s="216"/>
      <c r="Z112" s="216"/>
      <c r="AA112" s="217"/>
      <c r="AB112" s="217"/>
      <c r="AC112" s="217"/>
      <c r="AD112" s="217"/>
      <c r="AE112" s="217"/>
      <c r="AF112" s="231"/>
      <c r="AG112" s="231"/>
      <c r="AH112" s="231"/>
      <c r="AI112" s="231"/>
      <c r="AJ112" s="231"/>
      <c r="AK112" s="217"/>
      <c r="AL112" s="216"/>
    </row>
    <row r="113" spans="1:53" ht="13.5" thickBot="1" x14ac:dyDescent="0.25">
      <c r="A113" s="477" t="str">
        <f>IF(E132=1,B124,IF(E132=2,B125,IF(E132=3,B126,IF(E132=4,B127,IF(OR(E132="B",E132="b"),"BYE","invalid")))))</f>
        <v>Augusta Elite 15U</v>
      </c>
      <c r="B113" s="477"/>
      <c r="C113" s="477"/>
      <c r="D113" s="477"/>
      <c r="E113" s="477"/>
      <c r="F113" s="483" t="s">
        <v>140</v>
      </c>
      <c r="G113" s="483"/>
      <c r="H113" s="483"/>
      <c r="I113" s="483"/>
      <c r="J113" s="496" t="s">
        <v>141</v>
      </c>
      <c r="K113" s="492"/>
      <c r="L113" s="492"/>
      <c r="M113" s="492"/>
      <c r="N113" s="492"/>
      <c r="O113" s="492"/>
      <c r="P113" s="492"/>
      <c r="R113" s="232"/>
      <c r="S113" s="232"/>
      <c r="T113" s="217"/>
      <c r="U113" s="217"/>
      <c r="V113" s="217"/>
      <c r="W113" s="217"/>
      <c r="X113" s="217"/>
      <c r="Y113" s="217"/>
      <c r="Z113" s="217"/>
      <c r="AA113" s="217"/>
      <c r="AB113" s="233"/>
      <c r="AC113" s="233"/>
      <c r="AD113" s="233"/>
      <c r="AE113" s="233"/>
      <c r="AF113" s="218"/>
      <c r="AG113" s="218"/>
      <c r="AH113" s="218"/>
      <c r="AI113" s="218"/>
      <c r="AJ113" s="218"/>
      <c r="AK113" s="216"/>
      <c r="AL113" s="216"/>
    </row>
    <row r="114" spans="1:53" x14ac:dyDescent="0.2">
      <c r="A114" s="478" t="s">
        <v>183</v>
      </c>
      <c r="B114" s="478"/>
      <c r="C114" s="478"/>
      <c r="D114" s="478"/>
      <c r="E114" s="478"/>
      <c r="F114" s="222"/>
      <c r="G114" s="219"/>
      <c r="H114" s="219"/>
      <c r="I114" s="219"/>
      <c r="J114" s="496"/>
      <c r="K114" s="492"/>
      <c r="L114" s="492"/>
      <c r="M114" s="492"/>
      <c r="N114" s="492"/>
      <c r="O114" s="492"/>
      <c r="P114" s="492"/>
      <c r="Q114" s="219"/>
      <c r="R114" s="230"/>
      <c r="S114" s="230"/>
      <c r="T114" s="225"/>
      <c r="U114" s="225"/>
      <c r="V114" s="225"/>
      <c r="W114" s="225"/>
      <c r="X114" s="225"/>
      <c r="Y114" s="225"/>
      <c r="Z114" s="225"/>
      <c r="AA114" s="225"/>
      <c r="AB114" s="216"/>
      <c r="AC114" s="216"/>
      <c r="AD114" s="216"/>
      <c r="AE114" s="216"/>
      <c r="AF114" s="216"/>
      <c r="AG114" s="216"/>
      <c r="AH114" s="216"/>
      <c r="AI114" s="216"/>
      <c r="AJ114" s="216"/>
      <c r="AK114" s="216"/>
      <c r="AL114" s="216"/>
    </row>
    <row r="115" spans="1:53" x14ac:dyDescent="0.2">
      <c r="A115" s="219"/>
      <c r="B115" s="219"/>
      <c r="C115" s="219"/>
      <c r="D115" s="219"/>
      <c r="E115" s="219"/>
      <c r="F115" s="222"/>
      <c r="G115" s="219"/>
      <c r="H115" s="219"/>
      <c r="I115" s="219"/>
      <c r="J115" s="222"/>
      <c r="K115" s="219"/>
      <c r="L115" s="219"/>
      <c r="M115" s="219"/>
      <c r="N115" s="219"/>
      <c r="P115" s="219"/>
      <c r="Q115" s="219"/>
      <c r="R115" s="219"/>
      <c r="S115" s="219"/>
      <c r="T115" s="216"/>
      <c r="U115" s="216"/>
      <c r="V115" s="216"/>
      <c r="W115" s="216"/>
      <c r="X115" s="216"/>
      <c r="Y115" s="216"/>
      <c r="Z115" s="216"/>
      <c r="AA115" s="216"/>
      <c r="AB115" s="216"/>
      <c r="AC115" s="216"/>
      <c r="AD115" s="216"/>
      <c r="AE115" s="216"/>
      <c r="AF115" s="216"/>
      <c r="AG115" s="216"/>
      <c r="AH115" s="216"/>
      <c r="AI115" s="216"/>
      <c r="AJ115" s="216"/>
      <c r="AK115" s="216"/>
      <c r="AL115" s="216"/>
    </row>
    <row r="116" spans="1:53" ht="13.5" thickBot="1" x14ac:dyDescent="0.25">
      <c r="A116" s="492" t="s">
        <v>146</v>
      </c>
      <c r="B116" s="492"/>
      <c r="C116" s="492"/>
      <c r="D116" s="492"/>
      <c r="E116" s="226"/>
      <c r="F116" s="500"/>
      <c r="G116" s="501"/>
      <c r="H116" s="501"/>
      <c r="I116" s="502"/>
      <c r="J116" s="487"/>
      <c r="K116" s="488"/>
      <c r="L116" s="488"/>
      <c r="M116" s="488"/>
      <c r="N116" s="219"/>
      <c r="Q116" s="227"/>
      <c r="R116" s="227"/>
      <c r="S116" s="227"/>
      <c r="T116" s="218"/>
      <c r="U116" s="218"/>
      <c r="V116" s="218"/>
      <c r="W116" s="218"/>
      <c r="X116" s="218"/>
      <c r="Y116" s="218"/>
      <c r="Z116" s="218"/>
      <c r="AA116" s="216"/>
      <c r="AB116" s="218"/>
      <c r="AC116" s="218"/>
      <c r="AD116" s="218"/>
      <c r="AE116" s="218"/>
      <c r="AF116" s="218"/>
      <c r="AG116" s="218"/>
      <c r="AH116" s="218"/>
      <c r="AI116" s="216"/>
      <c r="AJ116" s="216"/>
      <c r="AK116" s="216"/>
      <c r="AL116" s="216"/>
      <c r="AZ116" s="186"/>
      <c r="BA116" s="186"/>
    </row>
    <row r="117" spans="1:53" x14ac:dyDescent="0.2">
      <c r="A117" s="483" t="s">
        <v>135</v>
      </c>
      <c r="B117" s="483"/>
      <c r="C117" s="483"/>
      <c r="D117" s="483"/>
      <c r="E117" s="497"/>
      <c r="F117" s="481" t="str">
        <f>IF(J132=1,B124,IF(J132=2,B125,IF(J132=3,B126,IF(J132=4,B127,"Winner Match 2"))))</f>
        <v>Kershaw 15 Black</v>
      </c>
      <c r="G117" s="482"/>
      <c r="H117" s="482"/>
      <c r="I117" s="482"/>
      <c r="J117" s="482"/>
      <c r="K117" s="482"/>
      <c r="L117" s="482"/>
      <c r="M117" s="482"/>
      <c r="N117" s="219"/>
      <c r="P117" s="226"/>
      <c r="Q117" s="226"/>
      <c r="S117" s="228"/>
      <c r="T117" s="233"/>
      <c r="U117" s="233"/>
      <c r="V117" s="233"/>
      <c r="W117" s="233"/>
      <c r="X117" s="233"/>
      <c r="Y117" s="233"/>
      <c r="Z117" s="233"/>
      <c r="AA117" s="216"/>
      <c r="AB117" s="217"/>
      <c r="AC117" s="217"/>
      <c r="AD117" s="217"/>
      <c r="AE117" s="217"/>
      <c r="AF117" s="217"/>
      <c r="AG117" s="217"/>
      <c r="AH117" s="217"/>
      <c r="AI117" s="216"/>
      <c r="AJ117" s="216"/>
      <c r="AK117" s="216"/>
      <c r="AL117" s="216"/>
      <c r="AZ117" s="186"/>
      <c r="BA117" s="186"/>
    </row>
    <row r="118" spans="1:53" ht="13.5" thickBot="1" x14ac:dyDescent="0.25">
      <c r="A118" s="477" t="str">
        <f>IF(G132=1,B124,IF(G132=2,B125,IF(G132=3,B126,IF(G132=4,B127,IF(OR(G132="B",G132="b"),"BYE","invalid")))))</f>
        <v>Kershaw 15 Black</v>
      </c>
      <c r="B118" s="477"/>
      <c r="C118" s="477"/>
      <c r="D118" s="477"/>
      <c r="E118" s="490"/>
      <c r="F118" s="222"/>
      <c r="G118" s="219"/>
      <c r="H118" s="219"/>
      <c r="I118" s="219"/>
      <c r="J118" s="219"/>
      <c r="K118" s="219"/>
      <c r="L118" s="219"/>
      <c r="M118" s="219"/>
      <c r="N118" s="219"/>
      <c r="P118" s="219"/>
      <c r="Q118" s="219"/>
      <c r="R118" s="219"/>
      <c r="S118" s="232"/>
      <c r="T118" s="217"/>
      <c r="U118" s="217"/>
      <c r="V118" s="217"/>
      <c r="W118" s="217"/>
      <c r="X118" s="217"/>
      <c r="Y118" s="217"/>
      <c r="Z118" s="217"/>
      <c r="AA118" s="217"/>
      <c r="AB118" s="216"/>
      <c r="AC118" s="216"/>
      <c r="AD118" s="216"/>
      <c r="AE118" s="216"/>
      <c r="AF118" s="216"/>
      <c r="AG118" s="216"/>
      <c r="AH118" s="216"/>
      <c r="AI118" s="216"/>
      <c r="AJ118" s="216"/>
      <c r="AK118" s="216"/>
      <c r="AL118" s="216"/>
      <c r="AZ118" s="186"/>
      <c r="BA118" s="186"/>
    </row>
    <row r="119" spans="1:53" x14ac:dyDescent="0.2">
      <c r="A119" s="478" t="s">
        <v>184</v>
      </c>
      <c r="B119" s="478"/>
      <c r="C119" s="478"/>
      <c r="D119" s="478"/>
      <c r="E119" s="478"/>
      <c r="S119" s="230"/>
      <c r="T119" s="225"/>
      <c r="U119" s="225"/>
      <c r="V119" s="225"/>
      <c r="W119" s="225"/>
      <c r="X119" s="225"/>
      <c r="Y119" s="225"/>
      <c r="Z119" s="225"/>
      <c r="AA119" s="225"/>
      <c r="AB119" s="216"/>
      <c r="AC119" s="216"/>
      <c r="AD119" s="216"/>
      <c r="AE119" s="216"/>
      <c r="AF119" s="216"/>
      <c r="AG119" s="216"/>
      <c r="AH119" s="216"/>
      <c r="AI119" s="216"/>
      <c r="AJ119" s="216"/>
      <c r="AK119" s="216"/>
      <c r="AL119" s="216"/>
      <c r="AZ119" s="186"/>
      <c r="BA119" s="186"/>
    </row>
    <row r="120" spans="1:53" x14ac:dyDescent="0.2">
      <c r="T120" s="216"/>
      <c r="U120" s="216"/>
      <c r="V120" s="216"/>
      <c r="W120" s="216"/>
      <c r="X120" s="216"/>
      <c r="Y120" s="216"/>
      <c r="Z120" s="216"/>
      <c r="AA120" s="216"/>
      <c r="AB120" s="216"/>
      <c r="AC120" s="216"/>
      <c r="AD120" s="216"/>
      <c r="AE120" s="216"/>
      <c r="AF120" s="216"/>
      <c r="AG120" s="216"/>
      <c r="AH120" s="216"/>
      <c r="AI120" s="216"/>
      <c r="AJ120" s="216"/>
      <c r="AK120" s="216"/>
      <c r="AL120" s="216"/>
      <c r="AT120" s="186"/>
      <c r="AU120" s="186"/>
      <c r="AV120" s="186"/>
      <c r="AZ120" s="186"/>
      <c r="BA120" s="186"/>
    </row>
    <row r="121" spans="1:53" x14ac:dyDescent="0.2">
      <c r="T121" s="216"/>
      <c r="U121" s="216"/>
      <c r="V121" s="216"/>
      <c r="W121" s="216"/>
      <c r="X121" s="216"/>
      <c r="Y121" s="216"/>
      <c r="Z121" s="216"/>
      <c r="AA121" s="216"/>
      <c r="AB121" s="216"/>
      <c r="AC121" s="216"/>
      <c r="AD121" s="216"/>
      <c r="AE121" s="216"/>
      <c r="AF121" s="216"/>
      <c r="AG121" s="216"/>
      <c r="AH121" s="216"/>
      <c r="AI121" s="216"/>
      <c r="AJ121" s="216"/>
      <c r="AK121" s="216"/>
      <c r="AL121" s="216"/>
      <c r="AT121" s="186"/>
      <c r="AU121" s="186"/>
      <c r="AV121" s="186"/>
      <c r="AZ121" s="186"/>
      <c r="BA121" s="186"/>
    </row>
    <row r="122" spans="1:53" ht="16.5" thickBot="1" x14ac:dyDescent="0.3">
      <c r="A122" s="503" t="s">
        <v>149</v>
      </c>
      <c r="B122" s="503"/>
      <c r="C122" s="503"/>
      <c r="D122" s="503"/>
      <c r="E122" s="503"/>
      <c r="F122" s="503"/>
      <c r="G122" s="503"/>
      <c r="H122" s="503"/>
      <c r="I122" s="503"/>
      <c r="J122" s="503"/>
      <c r="Q122" s="234"/>
      <c r="R122" s="234"/>
      <c r="S122" s="234"/>
      <c r="T122" s="235"/>
      <c r="U122" s="235"/>
      <c r="V122" s="235"/>
      <c r="W122" s="235"/>
      <c r="X122" s="235"/>
      <c r="Y122" s="235"/>
      <c r="Z122" s="235"/>
      <c r="AA122" s="235"/>
      <c r="AB122" s="235"/>
      <c r="AC122" s="235"/>
      <c r="AD122" s="235"/>
      <c r="AE122" s="235"/>
      <c r="AF122" s="216"/>
      <c r="AG122" s="216"/>
      <c r="AH122" s="216"/>
      <c r="AI122" s="216"/>
      <c r="AJ122" s="216"/>
      <c r="AK122" s="216"/>
      <c r="AL122" s="216"/>
      <c r="AT122" s="186"/>
      <c r="AU122" s="186"/>
      <c r="AV122" s="186"/>
      <c r="AZ122" s="186"/>
      <c r="BA122" s="186"/>
    </row>
    <row r="123" spans="1:53" ht="13.5" thickBot="1" x14ac:dyDescent="0.25">
      <c r="A123" s="236" t="s">
        <v>151</v>
      </c>
      <c r="B123" s="504" t="s">
        <v>152</v>
      </c>
      <c r="C123" s="505"/>
      <c r="D123" s="505"/>
      <c r="E123" s="505"/>
      <c r="F123" s="505"/>
      <c r="G123" s="505"/>
      <c r="H123" s="505"/>
      <c r="I123" s="505"/>
      <c r="J123" s="506"/>
      <c r="K123" s="507" t="s">
        <v>153</v>
      </c>
      <c r="L123" s="508"/>
      <c r="M123" s="508"/>
      <c r="N123" s="508"/>
      <c r="O123" s="508"/>
      <c r="P123" s="508"/>
      <c r="Q123" s="509"/>
      <c r="T123" s="217"/>
      <c r="U123" s="217"/>
      <c r="V123" s="217"/>
      <c r="W123" s="217"/>
      <c r="X123" s="216"/>
      <c r="Y123" s="216"/>
      <c r="Z123" s="216"/>
      <c r="AA123" s="216"/>
      <c r="AB123" s="216"/>
      <c r="AC123" s="216"/>
      <c r="AD123" s="216"/>
      <c r="AE123" s="216"/>
      <c r="AF123" s="216"/>
      <c r="AG123" s="216"/>
      <c r="AH123" s="216"/>
      <c r="AI123" s="216"/>
      <c r="AJ123" s="216"/>
      <c r="AK123" s="216"/>
      <c r="AL123" s="216"/>
      <c r="AT123" s="186"/>
      <c r="AU123" s="186"/>
      <c r="AV123" s="186"/>
      <c r="AZ123" s="186"/>
      <c r="BA123" s="186"/>
    </row>
    <row r="124" spans="1:53" ht="13.5" thickBot="1" x14ac:dyDescent="0.25">
      <c r="A124" s="236">
        <v>1</v>
      </c>
      <c r="B124" s="513" t="str">
        <f>B94</f>
        <v>Intense 15 Regional Elite</v>
      </c>
      <c r="C124" s="514"/>
      <c r="D124" s="514"/>
      <c r="E124" s="514"/>
      <c r="F124" s="514"/>
      <c r="G124" s="514"/>
      <c r="H124" s="514"/>
      <c r="I124" s="514"/>
      <c r="J124" s="515"/>
      <c r="K124" s="516" t="str">
        <f>H94</f>
        <v>fj5inten2pm</v>
      </c>
      <c r="L124" s="517"/>
      <c r="M124" s="517"/>
      <c r="N124" s="517"/>
      <c r="O124" s="517"/>
      <c r="P124" s="517"/>
      <c r="Q124" s="518"/>
      <c r="T124" s="217"/>
      <c r="U124" s="217"/>
      <c r="V124" s="217"/>
      <c r="W124" s="218"/>
      <c r="X124" s="218"/>
      <c r="Y124" s="218"/>
      <c r="Z124" s="218"/>
      <c r="AA124" s="218"/>
      <c r="AB124" s="218"/>
      <c r="AC124" s="218"/>
      <c r="AD124" s="218"/>
      <c r="AE124" s="218"/>
      <c r="AF124" s="216"/>
      <c r="AG124" s="216"/>
      <c r="AH124" s="216"/>
      <c r="AI124" s="216"/>
      <c r="AJ124" s="216"/>
      <c r="AK124" s="216"/>
      <c r="AL124" s="216"/>
      <c r="AT124" s="186"/>
      <c r="AU124" s="186"/>
      <c r="AV124" s="186"/>
      <c r="AZ124" s="186"/>
      <c r="BA124" s="186"/>
    </row>
    <row r="125" spans="1:53" ht="13.5" thickBot="1" x14ac:dyDescent="0.25">
      <c r="A125" s="236">
        <v>2</v>
      </c>
      <c r="B125" s="513" t="str">
        <f>L94</f>
        <v>Augusta Elite 15U</v>
      </c>
      <c r="C125" s="514"/>
      <c r="D125" s="514"/>
      <c r="E125" s="514"/>
      <c r="F125" s="514"/>
      <c r="G125" s="514"/>
      <c r="H125" s="514"/>
      <c r="I125" s="514"/>
      <c r="J125" s="515"/>
      <c r="K125" s="516" t="str">
        <f>R94</f>
        <v>fj5aelit1pm</v>
      </c>
      <c r="L125" s="517"/>
      <c r="M125" s="517"/>
      <c r="N125" s="517"/>
      <c r="O125" s="517"/>
      <c r="P125" s="517"/>
      <c r="Q125" s="518"/>
      <c r="T125" s="217"/>
      <c r="U125" s="217"/>
      <c r="V125" s="217"/>
      <c r="W125" s="218"/>
      <c r="X125" s="218"/>
      <c r="Y125" s="218"/>
      <c r="Z125" s="218"/>
      <c r="AA125" s="218"/>
      <c r="AB125" s="218"/>
      <c r="AC125" s="218"/>
      <c r="AD125" s="218"/>
      <c r="AE125" s="218"/>
      <c r="AF125" s="216"/>
      <c r="AG125" s="216"/>
      <c r="AH125" s="216"/>
      <c r="AI125" s="216"/>
      <c r="AJ125" s="216"/>
      <c r="AK125" s="216"/>
      <c r="AL125" s="216"/>
      <c r="AT125" s="186"/>
      <c r="AU125" s="186"/>
      <c r="AV125" s="186"/>
      <c r="AZ125" s="186"/>
      <c r="BA125" s="186"/>
    </row>
    <row r="126" spans="1:53" ht="13.5" thickBot="1" x14ac:dyDescent="0.25">
      <c r="A126" s="236">
        <v>3</v>
      </c>
      <c r="B126" s="513" t="str">
        <f>V94</f>
        <v>Kershaw 15 Black</v>
      </c>
      <c r="C126" s="514"/>
      <c r="D126" s="514"/>
      <c r="E126" s="514"/>
      <c r="F126" s="514"/>
      <c r="G126" s="514"/>
      <c r="H126" s="514"/>
      <c r="I126" s="514"/>
      <c r="J126" s="515"/>
      <c r="K126" s="516" t="str">
        <f>AB94</f>
        <v>fj5kersh1pm</v>
      </c>
      <c r="L126" s="517"/>
      <c r="M126" s="517"/>
      <c r="N126" s="517"/>
      <c r="O126" s="517"/>
      <c r="P126" s="517"/>
      <c r="Q126" s="518"/>
      <c r="T126" s="217"/>
      <c r="U126" s="217"/>
      <c r="V126" s="217"/>
      <c r="W126" s="218"/>
      <c r="X126" s="218"/>
      <c r="Y126" s="218"/>
      <c r="Z126" s="218"/>
      <c r="AA126" s="218"/>
      <c r="AB126" s="218"/>
      <c r="AC126" s="218"/>
      <c r="AD126" s="218"/>
      <c r="AE126" s="218"/>
      <c r="AF126" s="216"/>
      <c r="AG126" s="216"/>
      <c r="AH126" s="216"/>
      <c r="AI126" s="216"/>
      <c r="AJ126" s="216"/>
      <c r="AK126" s="216"/>
      <c r="AL126" s="216"/>
      <c r="AT126" s="186"/>
      <c r="AU126" s="186"/>
      <c r="AV126" s="186"/>
      <c r="AZ126" s="186"/>
      <c r="BA126" s="186"/>
    </row>
    <row r="127" spans="1:53" ht="13.5" thickBot="1" x14ac:dyDescent="0.25">
      <c r="A127" s="236">
        <v>4</v>
      </c>
      <c r="B127" s="572" t="str">
        <f>AF94</f>
        <v>OLC 15s Purple</v>
      </c>
      <c r="C127" s="573"/>
      <c r="D127" s="573"/>
      <c r="E127" s="573"/>
      <c r="F127" s="573"/>
      <c r="G127" s="573"/>
      <c r="H127" s="573"/>
      <c r="I127" s="573"/>
      <c r="J127" s="574"/>
      <c r="K127" s="516" t="str">
        <f>AL94</f>
        <v>fj5ladyc1pm</v>
      </c>
      <c r="L127" s="517"/>
      <c r="M127" s="517"/>
      <c r="N127" s="517"/>
      <c r="O127" s="517"/>
      <c r="P127" s="517"/>
      <c r="Q127" s="518"/>
      <c r="T127" s="217"/>
      <c r="U127" s="217"/>
      <c r="V127" s="217"/>
      <c r="W127" s="218"/>
      <c r="X127" s="218"/>
      <c r="Y127" s="218"/>
      <c r="Z127" s="218"/>
      <c r="AA127" s="218"/>
      <c r="AB127" s="218"/>
      <c r="AC127" s="218"/>
      <c r="AD127" s="218"/>
      <c r="AE127" s="218"/>
      <c r="AF127" s="216"/>
      <c r="AG127" s="216"/>
      <c r="AH127" s="216"/>
      <c r="AI127" s="216"/>
      <c r="AJ127" s="216"/>
      <c r="AK127" s="216"/>
      <c r="AL127" s="216"/>
      <c r="AT127" s="186"/>
      <c r="AU127" s="186"/>
      <c r="AV127" s="186"/>
      <c r="AZ127" s="186"/>
      <c r="BA127" s="186"/>
    </row>
    <row r="128" spans="1:53" ht="13.5" thickBot="1" x14ac:dyDescent="0.25">
      <c r="T128" s="216"/>
      <c r="U128" s="216"/>
      <c r="V128" s="216"/>
      <c r="W128" s="216"/>
      <c r="X128" s="216"/>
      <c r="Y128" s="216"/>
      <c r="Z128" s="216"/>
      <c r="AA128" s="216"/>
      <c r="AB128" s="216"/>
      <c r="AC128" s="216"/>
      <c r="AD128" s="216"/>
      <c r="AE128" s="216"/>
      <c r="AF128" s="216"/>
      <c r="AG128" s="216"/>
      <c r="AH128" s="216"/>
      <c r="AI128" s="216"/>
      <c r="AJ128" s="216"/>
      <c r="AK128" s="216"/>
      <c r="AL128" s="216"/>
      <c r="AT128" s="186"/>
      <c r="AU128" s="186"/>
      <c r="AV128" s="186"/>
      <c r="AZ128" s="186"/>
      <c r="BA128" s="186"/>
    </row>
    <row r="129" spans="1:77" x14ac:dyDescent="0.2">
      <c r="B129" s="519" t="s">
        <v>154</v>
      </c>
      <c r="C129" s="520"/>
      <c r="D129" s="521"/>
      <c r="E129" s="522" t="s">
        <v>154</v>
      </c>
      <c r="F129" s="520"/>
      <c r="G129" s="521"/>
      <c r="H129" s="522" t="s">
        <v>14</v>
      </c>
      <c r="I129" s="520"/>
      <c r="J129" s="523"/>
      <c r="K129" s="524" t="s">
        <v>155</v>
      </c>
      <c r="L129" s="525"/>
      <c r="M129" s="525"/>
      <c r="N129" s="525"/>
      <c r="O129" s="525"/>
      <c r="P129" s="525"/>
      <c r="Q129" s="526"/>
      <c r="R129" s="216"/>
      <c r="S129" s="216"/>
      <c r="T129" s="216"/>
      <c r="U129" s="216"/>
      <c r="V129" s="216"/>
      <c r="W129" s="237"/>
      <c r="X129" s="218"/>
      <c r="Y129" s="218"/>
      <c r="Z129" s="237"/>
      <c r="AA129" s="218"/>
      <c r="AB129" s="218"/>
      <c r="AC129" s="237"/>
      <c r="AD129" s="218"/>
      <c r="AE129" s="218"/>
      <c r="AF129" s="218"/>
      <c r="AG129" s="218"/>
      <c r="AH129" s="216"/>
      <c r="AI129" s="216"/>
      <c r="AJ129" s="216"/>
      <c r="AZ129" s="186"/>
      <c r="BA129" s="186"/>
    </row>
    <row r="130" spans="1:77" x14ac:dyDescent="0.2">
      <c r="A130" s="173" t="s">
        <v>156</v>
      </c>
      <c r="B130" s="541">
        <v>3</v>
      </c>
      <c r="C130" s="542"/>
      <c r="D130" s="543"/>
      <c r="E130" s="544" t="s">
        <v>157</v>
      </c>
      <c r="F130" s="542"/>
      <c r="G130" s="543"/>
      <c r="H130" s="544" t="s">
        <v>158</v>
      </c>
      <c r="I130" s="542"/>
      <c r="J130" s="545"/>
      <c r="K130" s="527"/>
      <c r="L130" s="528"/>
      <c r="M130" s="528"/>
      <c r="N130" s="528"/>
      <c r="O130" s="528"/>
      <c r="P130" s="528"/>
      <c r="Q130" s="529"/>
      <c r="R130" s="216"/>
      <c r="S130" s="216"/>
      <c r="T130" s="238"/>
      <c r="U130" s="238"/>
      <c r="V130" s="238"/>
      <c r="W130" s="239"/>
      <c r="X130" s="239"/>
      <c r="Y130" s="239"/>
      <c r="Z130" s="239"/>
      <c r="AA130" s="239"/>
      <c r="AB130" s="239"/>
      <c r="AC130" s="239"/>
      <c r="AD130" s="239"/>
      <c r="AE130" s="239"/>
      <c r="AF130" s="216"/>
      <c r="AG130" s="216"/>
      <c r="AH130" s="216"/>
      <c r="AI130" s="216"/>
      <c r="AJ130" s="216"/>
      <c r="AZ130" s="186"/>
      <c r="BA130" s="186"/>
    </row>
    <row r="131" spans="1:77" ht="13.5" thickBot="1" x14ac:dyDescent="0.25">
      <c r="A131" s="138"/>
      <c r="B131" s="548" t="s">
        <v>68</v>
      </c>
      <c r="C131" s="446"/>
      <c r="D131" s="447"/>
      <c r="E131" s="445" t="s">
        <v>159</v>
      </c>
      <c r="F131" s="446"/>
      <c r="G131" s="447"/>
      <c r="H131" s="445" t="s">
        <v>160</v>
      </c>
      <c r="I131" s="446"/>
      <c r="J131" s="549"/>
      <c r="K131" s="530"/>
      <c r="L131" s="531"/>
      <c r="M131" s="531"/>
      <c r="N131" s="531"/>
      <c r="O131" s="531"/>
      <c r="P131" s="531"/>
      <c r="Q131" s="532"/>
      <c r="R131" s="216"/>
      <c r="S131" s="216"/>
      <c r="T131" s="217"/>
      <c r="U131" s="217"/>
      <c r="V131" s="217"/>
      <c r="W131" s="240"/>
      <c r="X131" s="240"/>
      <c r="Y131" s="240"/>
      <c r="Z131" s="240"/>
      <c r="AA131" s="240"/>
      <c r="AB131" s="240"/>
      <c r="AC131" s="240"/>
      <c r="AD131" s="240"/>
      <c r="AE131" s="240"/>
      <c r="AF131" s="216"/>
      <c r="AG131" s="216"/>
      <c r="AH131" s="216"/>
      <c r="AI131" s="216"/>
      <c r="AJ131" s="216"/>
      <c r="AZ131" s="186"/>
      <c r="BA131" s="186"/>
    </row>
    <row r="132" spans="1:77" ht="13.5" thickBot="1" x14ac:dyDescent="0.25">
      <c r="A132" s="138"/>
      <c r="B132" s="241">
        <v>1</v>
      </c>
      <c r="C132" s="242" t="s">
        <v>76</v>
      </c>
      <c r="D132" s="243">
        <v>4</v>
      </c>
      <c r="E132" s="244">
        <v>2</v>
      </c>
      <c r="F132" s="242" t="s">
        <v>76</v>
      </c>
      <c r="G132" s="243">
        <v>3</v>
      </c>
      <c r="H132" s="245">
        <f>IF(OR(AND(OR(B136&gt;0,D136&gt;0),B136&gt;D136),OR(D132="b",D132="B")),B132,IF(OR(AND(OR(B136&gt;0,D136&gt;0),D136&gt;B136),OR(B132="b",B132="B")),D132,"W1"))</f>
        <v>1</v>
      </c>
      <c r="I132" s="246" t="s">
        <v>76</v>
      </c>
      <c r="J132" s="247">
        <f>IF(OR(AND(OR(E136&gt;0,G136&gt;0),E136&gt;G136),OR(G132="b",G132="B")),E132,IF(OR(AND(OR(E136&gt;0,G136&gt;0),G136&gt;E136),OR(E132="b",E132="B")),G132,"W2"))</f>
        <v>3</v>
      </c>
      <c r="K132" s="552" t="s">
        <v>161</v>
      </c>
      <c r="L132" s="553"/>
      <c r="M132" s="553"/>
      <c r="N132" s="554"/>
      <c r="R132" s="216"/>
      <c r="S132" s="216"/>
      <c r="T132" s="217"/>
      <c r="U132" s="217"/>
      <c r="V132" s="217"/>
      <c r="W132" s="248"/>
      <c r="X132" s="249"/>
      <c r="Y132" s="250"/>
      <c r="Z132" s="251"/>
      <c r="AA132" s="249"/>
      <c r="AB132" s="250"/>
      <c r="AC132" s="252"/>
      <c r="AD132" s="253"/>
      <c r="AE132" s="254"/>
      <c r="AF132" s="240"/>
      <c r="AG132" s="240"/>
      <c r="AH132" s="216"/>
      <c r="AI132" s="216"/>
      <c r="AJ132" s="216"/>
      <c r="AZ132" s="186"/>
      <c r="BA132" s="186"/>
    </row>
    <row r="133" spans="1:77" ht="13.5" hidden="1" customHeight="1" x14ac:dyDescent="0.2">
      <c r="A133" s="138"/>
      <c r="B133" s="255">
        <f>IF(B137&gt;D137,1,0)</f>
        <v>1</v>
      </c>
      <c r="C133" s="256"/>
      <c r="D133" s="257">
        <f>IF(D137&gt;B137,1,0)</f>
        <v>0</v>
      </c>
      <c r="E133" s="255">
        <f>IF(E137&gt;G137,1,0)</f>
        <v>0</v>
      </c>
      <c r="F133" s="256"/>
      <c r="G133" s="257">
        <f>IF(G137&gt;E137,1,0)</f>
        <v>1</v>
      </c>
      <c r="H133" s="255">
        <f>IF(H137&gt;J137,1,0)</f>
        <v>1</v>
      </c>
      <c r="I133" s="256"/>
      <c r="J133" s="257">
        <f>IF(J137&gt;H137,1,0)</f>
        <v>0</v>
      </c>
      <c r="K133" s="258"/>
      <c r="L133" s="259"/>
      <c r="M133" s="259"/>
      <c r="N133" s="260"/>
      <c r="R133" s="216"/>
      <c r="S133" s="216"/>
      <c r="T133" s="217"/>
      <c r="U133" s="217"/>
      <c r="V133" s="217"/>
      <c r="W133" s="248"/>
      <c r="X133" s="249"/>
      <c r="Y133" s="250"/>
      <c r="Z133" s="248"/>
      <c r="AA133" s="249"/>
      <c r="AB133" s="250"/>
      <c r="AC133" s="248"/>
      <c r="AD133" s="249"/>
      <c r="AE133" s="250"/>
      <c r="AF133" s="249"/>
      <c r="AG133" s="249"/>
      <c r="AH133" s="216"/>
      <c r="AI133" s="216"/>
      <c r="AJ133" s="216"/>
      <c r="AZ133" s="186"/>
      <c r="BA133" s="186"/>
    </row>
    <row r="134" spans="1:77" ht="13.5" hidden="1" customHeight="1" x14ac:dyDescent="0.2">
      <c r="A134" s="138"/>
      <c r="B134" s="255">
        <f>IF(B138&gt;D138,1,0)</f>
        <v>1</v>
      </c>
      <c r="C134" s="256"/>
      <c r="D134" s="257">
        <f>IF(D138&gt;B138,1,0)</f>
        <v>0</v>
      </c>
      <c r="E134" s="255">
        <f>IF(E138&gt;G138,1,0)</f>
        <v>0</v>
      </c>
      <c r="F134" s="256"/>
      <c r="G134" s="257">
        <f>IF(G138&gt;E138,1,0)</f>
        <v>1</v>
      </c>
      <c r="H134" s="255">
        <f>IF(H138&gt;J138,1,0)</f>
        <v>1</v>
      </c>
      <c r="I134" s="256"/>
      <c r="J134" s="257">
        <f>IF(J138&gt;H138,1,0)</f>
        <v>0</v>
      </c>
      <c r="K134" s="258"/>
      <c r="L134" s="259"/>
      <c r="M134" s="259"/>
      <c r="N134" s="260"/>
      <c r="R134" s="216"/>
      <c r="S134" s="216"/>
      <c r="T134" s="217"/>
      <c r="U134" s="217"/>
      <c r="V134" s="217"/>
      <c r="W134" s="248"/>
      <c r="X134" s="249"/>
      <c r="Y134" s="250"/>
      <c r="Z134" s="248"/>
      <c r="AA134" s="249"/>
      <c r="AB134" s="250"/>
      <c r="AC134" s="248"/>
      <c r="AD134" s="249"/>
      <c r="AE134" s="250"/>
      <c r="AF134" s="249"/>
      <c r="AG134" s="249"/>
      <c r="AH134" s="216"/>
      <c r="AI134" s="216"/>
      <c r="AJ134" s="216"/>
      <c r="AZ134" s="186"/>
      <c r="BA134" s="186"/>
    </row>
    <row r="135" spans="1:77" ht="13.5" hidden="1" customHeight="1" thickBot="1" x14ac:dyDescent="0.25">
      <c r="A135" s="138"/>
      <c r="B135" s="255">
        <f>IF(B139&gt;D139,1,0)</f>
        <v>0</v>
      </c>
      <c r="C135" s="256"/>
      <c r="D135" s="257">
        <f>IF(D139&gt;B139,1,0)</f>
        <v>0</v>
      </c>
      <c r="E135" s="255">
        <f>IF(E139&gt;G139,1,0)</f>
        <v>0</v>
      </c>
      <c r="F135" s="256"/>
      <c r="G135" s="257">
        <f>IF(G139&gt;E139,1,0)</f>
        <v>0</v>
      </c>
      <c r="H135" s="255">
        <f>IF(H139&gt;J139,1,0)</f>
        <v>0</v>
      </c>
      <c r="I135" s="256"/>
      <c r="J135" s="257">
        <f>IF(J139&gt;H139,1,0)</f>
        <v>0</v>
      </c>
      <c r="K135" s="258"/>
      <c r="L135" s="259"/>
      <c r="M135" s="259"/>
      <c r="N135" s="260"/>
      <c r="R135" s="216"/>
      <c r="S135" s="216"/>
      <c r="T135" s="217"/>
      <c r="U135" s="217"/>
      <c r="V135" s="217"/>
      <c r="W135" s="248"/>
      <c r="X135" s="249"/>
      <c r="Y135" s="250"/>
      <c r="Z135" s="248"/>
      <c r="AA135" s="249"/>
      <c r="AB135" s="250"/>
      <c r="AC135" s="248"/>
      <c r="AD135" s="249"/>
      <c r="AE135" s="250"/>
      <c r="AF135" s="249"/>
      <c r="AG135" s="249"/>
      <c r="AH135" s="216"/>
      <c r="AI135" s="216"/>
      <c r="AJ135" s="216"/>
      <c r="AZ135" s="186"/>
      <c r="BA135" s="186"/>
    </row>
    <row r="136" spans="1:77" ht="13.5" hidden="1" customHeight="1" x14ac:dyDescent="0.2">
      <c r="A136" s="138"/>
      <c r="B136" s="255">
        <f>SUM(B133:B135)</f>
        <v>2</v>
      </c>
      <c r="C136" s="256"/>
      <c r="D136" s="255">
        <f>SUM(D133:D135)</f>
        <v>0</v>
      </c>
      <c r="E136" s="255">
        <f>SUM(E133:E135)</f>
        <v>0</v>
      </c>
      <c r="F136" s="256"/>
      <c r="G136" s="255">
        <f>SUM(G133:G135)</f>
        <v>2</v>
      </c>
      <c r="H136" s="255">
        <f>SUM(H133:H135)</f>
        <v>2</v>
      </c>
      <c r="I136" s="256"/>
      <c r="J136" s="255">
        <f>SUM(J133:J135)</f>
        <v>0</v>
      </c>
      <c r="K136" s="258"/>
      <c r="L136" s="259"/>
      <c r="M136" s="259"/>
      <c r="N136" s="260"/>
      <c r="R136" s="216"/>
      <c r="S136" s="216"/>
      <c r="T136" s="217"/>
      <c r="U136" s="217"/>
      <c r="V136" s="217"/>
      <c r="W136" s="248"/>
      <c r="X136" s="249"/>
      <c r="Y136" s="248"/>
      <c r="Z136" s="248"/>
      <c r="AA136" s="249"/>
      <c r="AB136" s="248"/>
      <c r="AC136" s="248"/>
      <c r="AD136" s="249"/>
      <c r="AE136" s="248"/>
      <c r="AF136" s="249"/>
      <c r="AG136" s="249"/>
      <c r="AH136" s="216"/>
      <c r="AI136" s="216"/>
      <c r="AJ136" s="216"/>
      <c r="AZ136" s="186"/>
      <c r="BA136" s="186"/>
    </row>
    <row r="137" spans="1:77" ht="12.75" customHeight="1" x14ac:dyDescent="0.2">
      <c r="A137" s="136" t="s">
        <v>77</v>
      </c>
      <c r="B137" s="261">
        <v>25</v>
      </c>
      <c r="C137" s="182" t="s">
        <v>78</v>
      </c>
      <c r="D137" s="262">
        <v>17</v>
      </c>
      <c r="E137" s="263">
        <v>24</v>
      </c>
      <c r="F137" s="182" t="s">
        <v>78</v>
      </c>
      <c r="G137" s="262">
        <v>26</v>
      </c>
      <c r="H137" s="263">
        <v>25</v>
      </c>
      <c r="I137" s="182" t="s">
        <v>78</v>
      </c>
      <c r="J137" s="264">
        <v>17</v>
      </c>
      <c r="K137" s="557">
        <f>IF(AND(OR(H136&gt;0,J136&gt;0),AND(1&lt;=H132,H132&lt;=4),AND(1&lt;=J132,J132&lt;=4)),IF(H136&gt;J136,H132,IF(J136&gt;H136,J132,"")),"")</f>
        <v>1</v>
      </c>
      <c r="L137" s="558"/>
      <c r="M137" s="558"/>
      <c r="N137" s="559"/>
      <c r="R137" s="216"/>
      <c r="S137" s="216"/>
      <c r="T137" s="217"/>
      <c r="U137" s="217"/>
      <c r="V137" s="265"/>
      <c r="W137" s="266"/>
      <c r="X137" s="221"/>
      <c r="Y137" s="267"/>
      <c r="Z137" s="266"/>
      <c r="AA137" s="221"/>
      <c r="AB137" s="267"/>
      <c r="AC137" s="266"/>
      <c r="AD137" s="221"/>
      <c r="AE137" s="267"/>
      <c r="AF137" s="268"/>
      <c r="AG137" s="268"/>
      <c r="AH137" s="216"/>
      <c r="AI137" s="216"/>
      <c r="AJ137" s="216"/>
      <c r="AZ137" s="186"/>
      <c r="BA137" s="186"/>
    </row>
    <row r="138" spans="1:77" ht="12.75" customHeight="1" x14ac:dyDescent="0.2">
      <c r="A138" s="136" t="s">
        <v>162</v>
      </c>
      <c r="B138" s="261">
        <v>25</v>
      </c>
      <c r="C138" s="182" t="s">
        <v>78</v>
      </c>
      <c r="D138" s="262">
        <v>18</v>
      </c>
      <c r="E138" s="263">
        <v>19</v>
      </c>
      <c r="F138" s="182" t="s">
        <v>78</v>
      </c>
      <c r="G138" s="262">
        <v>25</v>
      </c>
      <c r="H138" s="263">
        <v>25</v>
      </c>
      <c r="I138" s="182" t="s">
        <v>78</v>
      </c>
      <c r="J138" s="264">
        <v>22</v>
      </c>
      <c r="K138" s="560"/>
      <c r="L138" s="561"/>
      <c r="M138" s="561"/>
      <c r="N138" s="562"/>
      <c r="R138" s="216"/>
      <c r="S138" s="216"/>
      <c r="T138" s="217"/>
      <c r="U138" s="217"/>
      <c r="V138" s="265"/>
      <c r="W138" s="266"/>
      <c r="X138" s="221"/>
      <c r="Y138" s="267"/>
      <c r="Z138" s="266"/>
      <c r="AA138" s="221"/>
      <c r="AB138" s="267"/>
      <c r="AC138" s="266"/>
      <c r="AD138" s="221"/>
      <c r="AE138" s="267"/>
      <c r="AF138" s="268"/>
      <c r="AG138" s="268"/>
      <c r="AH138" s="216"/>
      <c r="AI138" s="216"/>
      <c r="AJ138" s="216"/>
      <c r="AZ138" s="186"/>
      <c r="BA138" s="186"/>
    </row>
    <row r="139" spans="1:77" ht="13.5" customHeight="1" thickBot="1" x14ac:dyDescent="0.25">
      <c r="A139" s="136" t="s">
        <v>163</v>
      </c>
      <c r="B139" s="269"/>
      <c r="C139" s="270" t="s">
        <v>78</v>
      </c>
      <c r="D139" s="271"/>
      <c r="E139" s="272"/>
      <c r="F139" s="270" t="s">
        <v>78</v>
      </c>
      <c r="G139" s="271"/>
      <c r="H139" s="272"/>
      <c r="I139" s="270" t="s">
        <v>78</v>
      </c>
      <c r="J139" s="273"/>
      <c r="K139" s="563"/>
      <c r="L139" s="564"/>
      <c r="M139" s="564"/>
      <c r="N139" s="565"/>
      <c r="R139" s="216"/>
      <c r="S139" s="216"/>
      <c r="T139" s="217"/>
      <c r="U139" s="217"/>
      <c r="V139" s="265"/>
      <c r="W139" s="266"/>
      <c r="X139" s="221"/>
      <c r="Y139" s="267"/>
      <c r="Z139" s="266"/>
      <c r="AA139" s="221"/>
      <c r="AB139" s="267"/>
      <c r="AC139" s="266"/>
      <c r="AD139" s="221"/>
      <c r="AE139" s="267"/>
      <c r="AF139" s="268"/>
      <c r="AG139" s="268"/>
      <c r="AH139" s="216"/>
      <c r="AI139" s="216"/>
      <c r="AJ139" s="216"/>
      <c r="AZ139" s="186"/>
      <c r="BA139" s="186"/>
    </row>
    <row r="140" spans="1:77" hidden="1" x14ac:dyDescent="0.2">
      <c r="B140" s="133"/>
      <c r="C140" s="221" t="s">
        <v>112</v>
      </c>
      <c r="D140" s="133" t="s">
        <v>164</v>
      </c>
      <c r="E140" s="133"/>
      <c r="F140" s="221"/>
      <c r="G140" s="134" t="s">
        <v>165</v>
      </c>
      <c r="J140" s="134" t="s">
        <v>166</v>
      </c>
      <c r="T140" s="266"/>
      <c r="U140" s="266"/>
      <c r="V140" s="266"/>
      <c r="W140" s="266"/>
      <c r="X140" s="266"/>
      <c r="Y140" s="266"/>
      <c r="Z140" s="266"/>
      <c r="AA140" s="266"/>
      <c r="AB140" s="266"/>
      <c r="AC140" s="266"/>
      <c r="AD140" s="266"/>
      <c r="AE140" s="266"/>
      <c r="AT140" s="134" t="str">
        <f>B141</f>
        <v>Intense 15 Regional Elite</v>
      </c>
      <c r="AU140" s="134">
        <f>J141</f>
        <v>2009.442133194488</v>
      </c>
      <c r="AW140" s="274"/>
      <c r="AX140" s="186"/>
      <c r="AY140" s="186"/>
      <c r="AZ140" s="186"/>
      <c r="BA140" s="186"/>
      <c r="BB140" s="274"/>
      <c r="BC140" s="186"/>
      <c r="BD140" s="186"/>
      <c r="BE140" s="274"/>
      <c r="BF140" s="186"/>
      <c r="BG140" s="186"/>
      <c r="BH140" s="274"/>
      <c r="BI140" s="186"/>
      <c r="BJ140" s="186"/>
      <c r="BK140" s="274"/>
      <c r="BL140" s="186"/>
      <c r="BM140" s="186"/>
      <c r="BN140" s="274"/>
      <c r="BO140" s="186"/>
      <c r="BP140" s="186"/>
      <c r="BQ140" s="274"/>
      <c r="BR140" s="186"/>
      <c r="BS140" s="186"/>
      <c r="BT140" s="274"/>
      <c r="BU140" s="186"/>
      <c r="BV140" s="186"/>
      <c r="BW140" s="274"/>
      <c r="BX140" s="186"/>
      <c r="BY140" s="186"/>
    </row>
    <row r="141" spans="1:77" hidden="1" x14ac:dyDescent="0.2">
      <c r="A141" s="134">
        <v>1</v>
      </c>
      <c r="B141" s="134" t="str">
        <f>B124</f>
        <v>Intense 15 Regional Elite</v>
      </c>
      <c r="C141" s="134">
        <f>VLOOKUP(B141,AU$2:AY$7,4,FALSE)</f>
        <v>1981.8295574852148</v>
      </c>
      <c r="D141" s="134">
        <f>IF(A141=B132,B147,IF(A141=D132,D147,C141))</f>
        <v>1993.8868621220804</v>
      </c>
      <c r="G141" s="134">
        <f>IF(A141=E132,E147,IF(A141=G132,G147,D141))</f>
        <v>1993.8868621220804</v>
      </c>
      <c r="J141" s="134">
        <f>IF(A141=H132,H147,IF(A141=J132,J147,G141))</f>
        <v>2009.442133194488</v>
      </c>
      <c r="T141" s="266"/>
      <c r="U141" s="266"/>
      <c r="V141" s="266"/>
      <c r="W141" s="266"/>
      <c r="X141" s="266"/>
      <c r="Y141" s="266"/>
      <c r="Z141" s="266"/>
      <c r="AA141" s="266"/>
      <c r="AB141" s="266"/>
      <c r="AC141" s="266"/>
      <c r="AD141" s="266"/>
      <c r="AE141" s="266"/>
      <c r="AT141" s="134" t="str">
        <f>B142</f>
        <v>Augusta Elite 15U</v>
      </c>
      <c r="AU141" s="134">
        <f>J142</f>
        <v>1934.5993580275974</v>
      </c>
      <c r="AW141" s="274"/>
      <c r="AX141" s="186"/>
      <c r="AY141" s="186"/>
      <c r="AZ141" s="186"/>
      <c r="BA141" s="186"/>
      <c r="BB141" s="274"/>
      <c r="BC141" s="186"/>
      <c r="BD141" s="186"/>
      <c r="BE141" s="274"/>
      <c r="BF141" s="186"/>
      <c r="BG141" s="186"/>
      <c r="BH141" s="274"/>
      <c r="BI141" s="186"/>
      <c r="BJ141" s="186"/>
      <c r="BK141" s="274"/>
      <c r="BL141" s="186"/>
      <c r="BM141" s="186"/>
      <c r="BN141" s="274"/>
      <c r="BO141" s="186"/>
      <c r="BP141" s="186"/>
      <c r="BQ141" s="274"/>
      <c r="BR141" s="186"/>
      <c r="BS141" s="186"/>
      <c r="BT141" s="274"/>
      <c r="BU141" s="186"/>
      <c r="BV141" s="186"/>
      <c r="BW141" s="274"/>
      <c r="BX141" s="186"/>
      <c r="BY141" s="186"/>
    </row>
    <row r="142" spans="1:77" hidden="1" x14ac:dyDescent="0.2">
      <c r="A142" s="134">
        <v>2</v>
      </c>
      <c r="B142" s="134" t="str">
        <f>B125</f>
        <v>Augusta Elite 15U</v>
      </c>
      <c r="C142" s="134">
        <f>VLOOKUP(B142,AU$2:AY$7,4,FALSE)</f>
        <v>1949.7062352518919</v>
      </c>
      <c r="D142" s="134">
        <f>IF(A142=B132,B147,IF(A142=D132,D147,C142))</f>
        <v>1949.7062352518919</v>
      </c>
      <c r="G142" s="134">
        <f>IF(A142=E132,E147,IF(A142=G132,G147,D142))</f>
        <v>1934.5993580275974</v>
      </c>
      <c r="J142" s="134">
        <f>IF(A142=H132,H147,IF(A142=J132,J147,G142))</f>
        <v>1934.5993580275974</v>
      </c>
      <c r="T142" s="266"/>
      <c r="U142" s="266"/>
      <c r="V142" s="266"/>
      <c r="W142" s="266"/>
      <c r="X142" s="266"/>
      <c r="Y142" s="266"/>
      <c r="Z142" s="266"/>
      <c r="AA142" s="266"/>
      <c r="AB142" s="266"/>
      <c r="AC142" s="266"/>
      <c r="AD142" s="266"/>
      <c r="AE142" s="266"/>
      <c r="AT142" s="134" t="str">
        <f>B143</f>
        <v>Kershaw 15 Black</v>
      </c>
      <c r="AU142" s="134">
        <f>J143</f>
        <v>1968.6719369166094</v>
      </c>
      <c r="AW142" s="274"/>
      <c r="AX142" s="186"/>
      <c r="AY142" s="186"/>
      <c r="AZ142" s="186"/>
      <c r="BA142" s="186"/>
      <c r="BB142" s="274"/>
      <c r="BC142" s="186"/>
      <c r="BD142" s="186"/>
      <c r="BE142" s="274"/>
      <c r="BF142" s="186"/>
      <c r="BG142" s="186"/>
      <c r="BH142" s="274"/>
      <c r="BI142" s="186"/>
      <c r="BJ142" s="186"/>
      <c r="BK142" s="274"/>
      <c r="BL142" s="186"/>
      <c r="BM142" s="186"/>
      <c r="BN142" s="274"/>
      <c r="BO142" s="186"/>
      <c r="BP142" s="186"/>
      <c r="BQ142" s="274"/>
      <c r="BR142" s="186"/>
      <c r="BS142" s="186"/>
      <c r="BT142" s="274"/>
      <c r="BU142" s="186"/>
      <c r="BV142" s="186"/>
      <c r="BW142" s="274"/>
      <c r="BX142" s="186"/>
      <c r="BY142" s="186"/>
    </row>
    <row r="143" spans="1:77" hidden="1" x14ac:dyDescent="0.2">
      <c r="A143" s="134">
        <v>3</v>
      </c>
      <c r="B143" s="134" t="str">
        <f>B126</f>
        <v>Kershaw 15 Black</v>
      </c>
      <c r="C143" s="134">
        <f>VLOOKUP(B143,AU$2:AY$7,4,FALSE)</f>
        <v>1969.1203307647224</v>
      </c>
      <c r="D143" s="134">
        <f>IF(A143=B132,B147,IF(A143=D132,D147,C143))</f>
        <v>1969.1203307647224</v>
      </c>
      <c r="G143" s="134">
        <f>IF(A143=E132,E147,IF(A143=G132,G147,D143))</f>
        <v>1984.227207989017</v>
      </c>
      <c r="J143" s="134">
        <f>IF(A143=H132,H147,IF(A143=J132,J147,G143))</f>
        <v>1968.6719369166094</v>
      </c>
      <c r="T143" s="266"/>
      <c r="U143" s="266"/>
      <c r="V143" s="266"/>
      <c r="W143" s="266"/>
      <c r="X143" s="266"/>
      <c r="Y143" s="266"/>
      <c r="Z143" s="266"/>
      <c r="AA143" s="266"/>
      <c r="AB143" s="266"/>
      <c r="AC143" s="266"/>
      <c r="AD143" s="266"/>
      <c r="AE143" s="266"/>
      <c r="AT143" s="134" t="str">
        <f>B144</f>
        <v>OLC 15s Purple</v>
      </c>
      <c r="AU143" s="134">
        <f>J144</f>
        <v>1882.3588043028437</v>
      </c>
      <c r="AW143" s="274"/>
      <c r="AX143" s="186"/>
      <c r="AY143" s="186"/>
      <c r="AZ143" s="186"/>
      <c r="BA143" s="186"/>
      <c r="BB143" s="274"/>
      <c r="BC143" s="186"/>
      <c r="BD143" s="186"/>
      <c r="BE143" s="274"/>
      <c r="BF143" s="186"/>
      <c r="BG143" s="186"/>
      <c r="BH143" s="274"/>
      <c r="BI143" s="186"/>
      <c r="BJ143" s="186"/>
      <c r="BK143" s="274"/>
      <c r="BL143" s="186"/>
      <c r="BM143" s="186"/>
      <c r="BN143" s="274"/>
      <c r="BO143" s="186"/>
      <c r="BP143" s="186"/>
      <c r="BQ143" s="274"/>
      <c r="BR143" s="186"/>
      <c r="BS143" s="186"/>
      <c r="BT143" s="274"/>
      <c r="BU143" s="186"/>
      <c r="BV143" s="186"/>
      <c r="BW143" s="274"/>
      <c r="BX143" s="186"/>
      <c r="BY143" s="186"/>
    </row>
    <row r="144" spans="1:77" hidden="1" x14ac:dyDescent="0.2">
      <c r="A144" s="134">
        <v>4</v>
      </c>
      <c r="B144" s="134" t="str">
        <f>B127</f>
        <v>OLC 15s Purple</v>
      </c>
      <c r="C144" s="134">
        <f>VLOOKUP(B144,AU$2:AY$7,4,FALSE)</f>
        <v>1894.4161089397094</v>
      </c>
      <c r="D144" s="134">
        <f>IF(A144=B132,B147,IF(A144=D132,D147,C144))</f>
        <v>1882.3588043028437</v>
      </c>
      <c r="G144" s="134">
        <f>IF(A144=E132,E147,IF(A144=G132,G147,D144))</f>
        <v>1882.3588043028437</v>
      </c>
      <c r="J144" s="134">
        <f>IF(A144=H132,H147,IF(A144=J132,J147,G144))</f>
        <v>1882.3588043028437</v>
      </c>
      <c r="T144" s="266"/>
      <c r="U144" s="266"/>
      <c r="V144" s="266"/>
      <c r="W144" s="266"/>
      <c r="X144" s="266"/>
      <c r="Y144" s="266"/>
      <c r="Z144" s="266"/>
      <c r="AA144" s="266"/>
      <c r="AB144" s="266"/>
      <c r="AC144" s="266"/>
      <c r="AD144" s="266"/>
      <c r="AE144" s="266"/>
      <c r="AT144" s="134">
        <f>W141</f>
        <v>0</v>
      </c>
      <c r="AU144" s="134">
        <f>AE141</f>
        <v>0</v>
      </c>
      <c r="AW144" s="274"/>
      <c r="AX144" s="186"/>
      <c r="AY144" s="186"/>
      <c r="AZ144" s="186"/>
      <c r="BA144" s="186"/>
      <c r="BB144" s="274"/>
      <c r="BC144" s="186"/>
      <c r="BD144" s="186"/>
      <c r="BE144" s="274"/>
      <c r="BF144" s="186"/>
      <c r="BG144" s="186"/>
      <c r="BH144" s="274"/>
      <c r="BI144" s="186"/>
      <c r="BJ144" s="186"/>
      <c r="BK144" s="274"/>
      <c r="BL144" s="186"/>
      <c r="BM144" s="186"/>
      <c r="BN144" s="274"/>
      <c r="BO144" s="186"/>
      <c r="BP144" s="186"/>
      <c r="BQ144" s="274"/>
      <c r="BR144" s="186"/>
      <c r="BS144" s="186"/>
      <c r="BT144" s="274"/>
      <c r="BU144" s="186"/>
      <c r="BV144" s="186"/>
      <c r="BW144" s="274"/>
      <c r="BX144" s="186"/>
      <c r="BY144" s="186"/>
    </row>
    <row r="145" spans="1:77" hidden="1" x14ac:dyDescent="0.2">
      <c r="A145" s="134" t="s">
        <v>114</v>
      </c>
      <c r="B145" s="134">
        <f>VLOOKUP(B132,$A141:$J144,3,FALSE)</f>
        <v>1981.8295574852148</v>
      </c>
      <c r="D145" s="134">
        <f>VLOOKUP(D132,$A141:$J144,3,FALSE)</f>
        <v>1894.4161089397094</v>
      </c>
      <c r="E145" s="134">
        <f>VLOOKUP(E132,$A141:$J144,4,FALSE)</f>
        <v>1949.7062352518919</v>
      </c>
      <c r="G145" s="134">
        <f>VLOOKUP(G132,$A141:$J144,4,FALSE)</f>
        <v>1969.1203307647224</v>
      </c>
      <c r="H145" s="134">
        <f>VLOOKUP(H132,$A141:$J144,7,FALSE)</f>
        <v>1993.8868621220804</v>
      </c>
      <c r="J145" s="134">
        <f>VLOOKUP(J132,$A141:$J144,7,FALSE)</f>
        <v>1984.227207989017</v>
      </c>
      <c r="T145" s="266"/>
      <c r="U145" s="266"/>
      <c r="V145" s="266"/>
      <c r="W145" s="266"/>
      <c r="X145" s="266"/>
      <c r="Y145" s="266"/>
      <c r="Z145" s="266"/>
      <c r="AA145" s="266"/>
      <c r="AB145" s="266"/>
      <c r="AC145" s="266"/>
      <c r="AD145" s="266"/>
      <c r="AE145" s="266"/>
      <c r="AT145" s="134">
        <f>W142</f>
        <v>0</v>
      </c>
      <c r="AU145" s="134">
        <f>AE142</f>
        <v>0</v>
      </c>
      <c r="AW145" s="274"/>
      <c r="AX145" s="186"/>
      <c r="AY145" s="186"/>
      <c r="AZ145" s="186"/>
      <c r="BA145" s="186"/>
      <c r="BB145" s="274"/>
      <c r="BC145" s="186"/>
      <c r="BD145" s="186"/>
      <c r="BE145" s="274"/>
      <c r="BF145" s="186"/>
      <c r="BG145" s="186"/>
      <c r="BH145" s="274"/>
      <c r="BI145" s="186"/>
      <c r="BJ145" s="186"/>
      <c r="BK145" s="274"/>
      <c r="BL145" s="186"/>
      <c r="BM145" s="186"/>
      <c r="BN145" s="274"/>
      <c r="BO145" s="186"/>
      <c r="BP145" s="186"/>
      <c r="BQ145" s="274"/>
      <c r="BR145" s="186"/>
      <c r="BS145" s="186"/>
      <c r="BT145" s="274"/>
      <c r="BU145" s="186"/>
      <c r="BV145" s="186"/>
      <c r="BW145" s="274"/>
      <c r="BX145" s="186"/>
      <c r="BY145" s="186"/>
    </row>
    <row r="146" spans="1:77" hidden="1" x14ac:dyDescent="0.2">
      <c r="A146" s="200" t="s">
        <v>115</v>
      </c>
      <c r="B146" s="200">
        <f>IF(OR(B136&gt;0,D136&gt;0),1/(1+(10^-((B145-D145)/400)))*(B136+D136),0)</f>
        <v>1.2464184601958987</v>
      </c>
      <c r="C146" s="200"/>
      <c r="D146" s="200">
        <f>IF(OR(B136&gt;0,D136&gt;0),1/(1+(10^-((D145-B145)/400)))*(B136+D136),0)</f>
        <v>0.75358153980410125</v>
      </c>
      <c r="E146" s="200">
        <f>IF(OR(E136&gt;0,G136&gt;0),1/(1+(10^-((E145-G145)/400)))*(E136+G136),0)</f>
        <v>0.94417982651840782</v>
      </c>
      <c r="F146" s="200"/>
      <c r="G146" s="200">
        <f>IF(OR(E136&gt;0,G136&gt;0),1/(1+(10^-((G145-E145)/400)))*(E136+G136),0)</f>
        <v>1.0558201734815922</v>
      </c>
      <c r="H146" s="200">
        <f>IF(OR(H136&gt;0,J136&gt;0),1/(1+(10^-((H145-J145)/400)))*(H136+J136),0)</f>
        <v>1.0277955579745315</v>
      </c>
      <c r="I146" s="200"/>
      <c r="J146" s="200">
        <f>IF(OR(H136&gt;0,J136&gt;0),1/(1+(10^-((J145-H145)/400)))*(H136+J136),0)</f>
        <v>0.97220444202546852</v>
      </c>
      <c r="T146" s="266"/>
      <c r="U146" s="266"/>
      <c r="V146" s="266"/>
      <c r="W146" s="266"/>
      <c r="X146" s="266"/>
      <c r="Y146" s="266"/>
      <c r="Z146" s="266"/>
      <c r="AA146" s="266"/>
      <c r="AB146" s="266"/>
      <c r="AC146" s="266"/>
      <c r="AD146" s="266"/>
      <c r="AE146" s="266"/>
      <c r="AT146" s="134">
        <f>W143</f>
        <v>0</v>
      </c>
      <c r="AU146" s="134">
        <f>AE143</f>
        <v>0</v>
      </c>
      <c r="AW146" s="274"/>
      <c r="AX146" s="186"/>
      <c r="AY146" s="186"/>
      <c r="AZ146" s="186"/>
      <c r="BA146" s="186"/>
      <c r="BB146" s="274"/>
      <c r="BC146" s="186"/>
      <c r="BD146" s="186"/>
      <c r="BE146" s="274"/>
      <c r="BF146" s="186"/>
      <c r="BG146" s="186"/>
      <c r="BH146" s="274"/>
      <c r="BI146" s="186"/>
      <c r="BJ146" s="186"/>
      <c r="BK146" s="274"/>
      <c r="BL146" s="186"/>
      <c r="BM146" s="186"/>
      <c r="BN146" s="274"/>
      <c r="BO146" s="186"/>
      <c r="BP146" s="186"/>
      <c r="BQ146" s="274"/>
      <c r="BR146" s="186"/>
      <c r="BS146" s="186"/>
      <c r="BT146" s="274"/>
      <c r="BU146" s="186"/>
      <c r="BV146" s="186"/>
      <c r="BW146" s="274"/>
      <c r="BX146" s="186"/>
      <c r="BY146" s="186"/>
    </row>
    <row r="147" spans="1:77" hidden="1" x14ac:dyDescent="0.2">
      <c r="A147" s="206" t="s">
        <v>116</v>
      </c>
      <c r="B147" s="206">
        <f>B145+(B136-B146)*$BA$2</f>
        <v>1993.8868621220804</v>
      </c>
      <c r="C147" s="206"/>
      <c r="D147" s="206">
        <f>D145+(D136-D146)*$BA$2</f>
        <v>1882.3588043028437</v>
      </c>
      <c r="E147" s="206">
        <f>E145+(E136-E146)*$BA$2</f>
        <v>1934.5993580275974</v>
      </c>
      <c r="G147" s="206">
        <f>G145+(G136-G146)*$BA$2</f>
        <v>1984.227207989017</v>
      </c>
      <c r="H147" s="206">
        <f>H145+(H136-H146)*$BA$2</f>
        <v>2009.442133194488</v>
      </c>
      <c r="J147" s="206">
        <f>J145+(J136-J146)*$BA$2</f>
        <v>1968.6719369166094</v>
      </c>
      <c r="T147" s="266"/>
      <c r="U147" s="266"/>
      <c r="V147" s="266"/>
      <c r="W147" s="266"/>
      <c r="X147" s="266"/>
      <c r="Y147" s="266"/>
      <c r="Z147" s="266"/>
      <c r="AA147" s="266"/>
      <c r="AB147" s="266"/>
      <c r="AC147" s="266"/>
      <c r="AD147" s="266"/>
      <c r="AE147" s="266"/>
      <c r="AT147" s="134">
        <f>W144</f>
        <v>0</v>
      </c>
      <c r="AU147" s="134">
        <f>AE144</f>
        <v>0</v>
      </c>
      <c r="AW147" s="274"/>
      <c r="AX147" s="186"/>
      <c r="AY147" s="186"/>
      <c r="AZ147" s="186"/>
      <c r="BA147" s="186"/>
      <c r="BB147" s="274"/>
      <c r="BC147" s="186"/>
      <c r="BD147" s="186"/>
      <c r="BE147" s="274"/>
      <c r="BF147" s="186"/>
      <c r="BG147" s="186"/>
      <c r="BH147" s="274"/>
      <c r="BI147" s="186"/>
      <c r="BJ147" s="186"/>
      <c r="BK147" s="274"/>
      <c r="BL147" s="186"/>
      <c r="BM147" s="186"/>
      <c r="BN147" s="274"/>
      <c r="BO147" s="186"/>
      <c r="BP147" s="186"/>
      <c r="BQ147" s="274"/>
      <c r="BR147" s="186"/>
      <c r="BS147" s="186"/>
      <c r="BT147" s="274"/>
      <c r="BU147" s="186"/>
      <c r="BV147" s="186"/>
      <c r="BW147" s="274"/>
      <c r="BX147" s="186"/>
      <c r="BY147" s="186"/>
    </row>
    <row r="148" spans="1:77" x14ac:dyDescent="0.2">
      <c r="A148" s="556" t="s">
        <v>167</v>
      </c>
      <c r="B148" s="556"/>
      <c r="C148" s="556"/>
      <c r="D148" s="556"/>
      <c r="E148" s="556"/>
      <c r="F148" s="556"/>
      <c r="G148" s="556"/>
      <c r="H148" s="556"/>
      <c r="I148" s="556"/>
      <c r="J148" s="556"/>
      <c r="K148" s="556"/>
      <c r="L148" s="556"/>
      <c r="M148" s="556"/>
      <c r="R148" s="216"/>
      <c r="S148" s="216"/>
      <c r="T148" s="217"/>
      <c r="U148" s="217"/>
      <c r="V148" s="217"/>
      <c r="W148" s="217"/>
      <c r="X148" s="217"/>
      <c r="Y148" s="217"/>
      <c r="Z148" s="217"/>
      <c r="AA148" s="217"/>
      <c r="AB148" s="217"/>
      <c r="AC148" s="217"/>
      <c r="AD148" s="217"/>
      <c r="AE148" s="217"/>
      <c r="AF148" s="217"/>
      <c r="AG148" s="217"/>
      <c r="AH148" s="216"/>
      <c r="AI148" s="216"/>
      <c r="AJ148" s="216"/>
      <c r="AZ148" s="186"/>
      <c r="BA148" s="186"/>
    </row>
    <row r="149" spans="1:77" x14ac:dyDescent="0.2">
      <c r="AT149" s="186"/>
      <c r="AU149" s="186"/>
      <c r="AV149" s="186"/>
      <c r="AZ149" s="186"/>
      <c r="BA149" s="186"/>
    </row>
    <row r="150" spans="1:77" x14ac:dyDescent="0.2">
      <c r="AT150" s="186"/>
      <c r="AU150" s="186"/>
      <c r="AV150" s="186"/>
      <c r="AZ150" s="186"/>
      <c r="BA150" s="186"/>
    </row>
    <row r="151" spans="1:77" x14ac:dyDescent="0.2">
      <c r="AT151" s="186"/>
      <c r="AU151" s="186"/>
      <c r="AV151" s="186"/>
      <c r="AZ151" s="186"/>
      <c r="BA151" s="186"/>
    </row>
    <row r="152" spans="1:77" x14ac:dyDescent="0.2">
      <c r="AT152" s="186"/>
      <c r="AU152" s="186"/>
      <c r="AV152" s="186"/>
      <c r="AZ152" s="186"/>
      <c r="BA152" s="186"/>
    </row>
    <row r="153" spans="1:77" x14ac:dyDescent="0.2">
      <c r="AT153" s="186"/>
      <c r="AU153" s="186"/>
      <c r="AV153" s="186"/>
      <c r="AZ153" s="186"/>
      <c r="BA153" s="186"/>
    </row>
    <row r="154" spans="1:77" x14ac:dyDescent="0.2">
      <c r="AT154" s="186"/>
      <c r="AU154" s="186"/>
      <c r="AV154" s="186"/>
      <c r="AZ154" s="186"/>
      <c r="BA154" s="186"/>
    </row>
    <row r="155" spans="1:77" x14ac:dyDescent="0.2">
      <c r="AT155" s="186"/>
      <c r="AU155" s="186"/>
      <c r="AV155" s="186"/>
      <c r="AZ155" s="186"/>
      <c r="BA155" s="186"/>
    </row>
    <row r="156" spans="1:77" x14ac:dyDescent="0.2">
      <c r="AT156" s="186"/>
      <c r="AU156" s="186"/>
      <c r="AV156" s="186"/>
      <c r="AZ156" s="186"/>
      <c r="BA156" s="186"/>
    </row>
    <row r="157" spans="1:77" x14ac:dyDescent="0.2">
      <c r="AT157" s="186"/>
      <c r="AU157" s="186"/>
      <c r="AV157" s="186"/>
      <c r="AZ157" s="186"/>
      <c r="BA157" s="186"/>
    </row>
    <row r="158" spans="1:77" x14ac:dyDescent="0.2">
      <c r="AT158" s="186"/>
      <c r="AU158" s="186"/>
      <c r="AV158" s="186"/>
      <c r="AZ158" s="186"/>
      <c r="BA158" s="186"/>
    </row>
    <row r="159" spans="1:77" x14ac:dyDescent="0.2">
      <c r="AT159" s="186"/>
      <c r="AU159" s="186"/>
      <c r="AV159" s="186"/>
      <c r="AZ159" s="186"/>
      <c r="BA159" s="186"/>
    </row>
    <row r="160" spans="1:77" x14ac:dyDescent="0.2">
      <c r="AT160" s="186"/>
      <c r="AU160" s="186"/>
      <c r="AV160" s="186"/>
      <c r="AZ160" s="186"/>
      <c r="BA160" s="186"/>
    </row>
    <row r="161" spans="46:53" x14ac:dyDescent="0.2">
      <c r="AT161" s="186"/>
      <c r="AU161" s="186"/>
      <c r="AV161" s="186"/>
      <c r="AZ161" s="186"/>
      <c r="BA161" s="186"/>
    </row>
    <row r="162" spans="46:53" x14ac:dyDescent="0.2">
      <c r="AT162" s="186"/>
      <c r="AU162" s="186"/>
      <c r="AV162" s="186"/>
    </row>
    <row r="163" spans="46:53" x14ac:dyDescent="0.2">
      <c r="AT163" s="186"/>
      <c r="AU163" s="186"/>
      <c r="AV163" s="186"/>
      <c r="AZ163" s="193"/>
      <c r="BA163" s="193"/>
    </row>
    <row r="164" spans="46:53" x14ac:dyDescent="0.2">
      <c r="AT164" s="186"/>
      <c r="AU164" s="186"/>
      <c r="AV164" s="186"/>
      <c r="AZ164" s="193"/>
      <c r="BA164" s="193"/>
    </row>
    <row r="165" spans="46:53" x14ac:dyDescent="0.2">
      <c r="AT165" s="186"/>
      <c r="AU165" s="186"/>
      <c r="AV165" s="186"/>
      <c r="AZ165" s="193"/>
      <c r="BA165" s="193"/>
    </row>
    <row r="166" spans="46:53" x14ac:dyDescent="0.2">
      <c r="AT166" s="186"/>
      <c r="AU166" s="186"/>
      <c r="AV166" s="186"/>
      <c r="AZ166" s="193"/>
      <c r="BA166" s="193"/>
    </row>
    <row r="167" spans="46:53" x14ac:dyDescent="0.2">
      <c r="AT167" s="186"/>
      <c r="AU167" s="186"/>
      <c r="AV167" s="186"/>
      <c r="AZ167" s="193"/>
      <c r="BA167" s="193"/>
    </row>
    <row r="168" spans="46:53" x14ac:dyDescent="0.2">
      <c r="AT168" s="186"/>
      <c r="AU168" s="186"/>
      <c r="AV168" s="186"/>
      <c r="AZ168" s="193"/>
      <c r="BA168" s="193"/>
    </row>
    <row r="169" spans="46:53" x14ac:dyDescent="0.2">
      <c r="AT169" s="186"/>
      <c r="AU169" s="186"/>
      <c r="AV169" s="186"/>
      <c r="AZ169" s="193"/>
      <c r="BA169" s="193"/>
    </row>
    <row r="170" spans="46:53" x14ac:dyDescent="0.2">
      <c r="AT170" s="186"/>
      <c r="AU170" s="186"/>
      <c r="AV170" s="186"/>
      <c r="AZ170" s="193"/>
      <c r="BA170" s="193"/>
    </row>
    <row r="171" spans="46:53" x14ac:dyDescent="0.2">
      <c r="AT171" s="186"/>
      <c r="AU171" s="186"/>
      <c r="AV171" s="186"/>
      <c r="AZ171" s="203"/>
      <c r="BA171" s="203"/>
    </row>
    <row r="172" spans="46:53" x14ac:dyDescent="0.2">
      <c r="AT172" s="186"/>
      <c r="AU172" s="186"/>
      <c r="AV172" s="186"/>
      <c r="AZ172" s="209"/>
      <c r="BA172" s="209"/>
    </row>
    <row r="173" spans="46:53" x14ac:dyDescent="0.2">
      <c r="AT173" s="186"/>
      <c r="AU173" s="186"/>
      <c r="AV173" s="186"/>
      <c r="AZ173" s="209"/>
      <c r="BA173" s="209"/>
    </row>
    <row r="174" spans="46:53" x14ac:dyDescent="0.2">
      <c r="AT174" s="193"/>
      <c r="AU174" s="193"/>
      <c r="AV174" s="193"/>
      <c r="AZ174" s="193"/>
      <c r="BA174" s="193"/>
    </row>
    <row r="175" spans="46:53" x14ac:dyDescent="0.2">
      <c r="AT175" s="193"/>
      <c r="AU175" s="193"/>
      <c r="AV175" s="193"/>
      <c r="AZ175" s="193"/>
      <c r="BA175" s="193"/>
    </row>
    <row r="200" spans="46:53" x14ac:dyDescent="0.2">
      <c r="AT200" s="186"/>
      <c r="AU200" s="186"/>
      <c r="AV200" s="186"/>
    </row>
    <row r="201" spans="46:53" x14ac:dyDescent="0.2">
      <c r="AT201" s="186"/>
      <c r="AU201" s="186"/>
      <c r="AV201" s="186"/>
      <c r="AZ201" s="186"/>
      <c r="BA201" s="186"/>
    </row>
    <row r="202" spans="46:53" x14ac:dyDescent="0.2">
      <c r="AT202" s="186"/>
      <c r="AU202" s="186"/>
      <c r="AV202" s="186"/>
      <c r="AZ202" s="186"/>
      <c r="BA202" s="186"/>
    </row>
    <row r="203" spans="46:53" x14ac:dyDescent="0.2">
      <c r="AT203" s="186"/>
      <c r="AU203" s="186"/>
      <c r="AV203" s="186"/>
      <c r="AZ203" s="186"/>
      <c r="BA203" s="186"/>
    </row>
    <row r="204" spans="46:53" x14ac:dyDescent="0.2">
      <c r="AT204" s="186"/>
      <c r="AU204" s="186"/>
      <c r="AV204" s="186"/>
      <c r="AZ204" s="186"/>
      <c r="BA204" s="186"/>
    </row>
    <row r="205" spans="46:53" x14ac:dyDescent="0.2">
      <c r="AT205" s="186"/>
      <c r="AU205" s="186"/>
      <c r="AV205" s="186"/>
      <c r="AZ205" s="186"/>
      <c r="BA205" s="186"/>
    </row>
    <row r="206" spans="46:53" x14ac:dyDescent="0.2">
      <c r="AT206" s="186"/>
      <c r="AU206" s="186"/>
      <c r="AV206" s="186"/>
      <c r="AZ206" s="186"/>
      <c r="BA206" s="186"/>
    </row>
    <row r="207" spans="46:53" x14ac:dyDescent="0.2">
      <c r="AT207" s="186"/>
      <c r="AU207" s="186"/>
      <c r="AV207" s="186"/>
      <c r="AZ207" s="186"/>
      <c r="BA207" s="186"/>
    </row>
    <row r="208" spans="46:53" x14ac:dyDescent="0.2">
      <c r="AT208" s="186"/>
      <c r="AU208" s="186"/>
      <c r="AV208" s="186"/>
      <c r="AZ208" s="186"/>
      <c r="BA208" s="186"/>
    </row>
    <row r="209" spans="46:53" x14ac:dyDescent="0.2">
      <c r="AT209" s="186"/>
      <c r="AU209" s="186"/>
      <c r="AV209" s="186"/>
      <c r="AZ209" s="186"/>
      <c r="BA209" s="186"/>
    </row>
    <row r="210" spans="46:53" x14ac:dyDescent="0.2">
      <c r="AT210" s="186"/>
      <c r="AU210" s="186"/>
      <c r="AV210" s="186"/>
      <c r="AZ210" s="186"/>
      <c r="BA210" s="186"/>
    </row>
    <row r="211" spans="46:53" x14ac:dyDescent="0.2">
      <c r="AT211" s="186"/>
      <c r="AU211" s="186"/>
      <c r="AV211" s="186"/>
      <c r="AZ211" s="186"/>
      <c r="BA211" s="186"/>
    </row>
    <row r="212" spans="46:53" x14ac:dyDescent="0.2">
      <c r="AT212" s="186"/>
      <c r="AU212" s="186"/>
      <c r="AV212" s="186"/>
      <c r="AZ212" s="186"/>
      <c r="BA212" s="186"/>
    </row>
    <row r="213" spans="46:53" x14ac:dyDescent="0.2">
      <c r="AT213" s="186"/>
      <c r="AU213" s="186"/>
      <c r="AV213" s="186"/>
      <c r="AZ213" s="186"/>
      <c r="BA213" s="186"/>
    </row>
    <row r="214" spans="46:53" x14ac:dyDescent="0.2">
      <c r="AT214" s="186"/>
      <c r="AU214" s="186"/>
      <c r="AV214" s="186"/>
      <c r="AZ214" s="186"/>
      <c r="BA214" s="186"/>
    </row>
    <row r="215" spans="46:53" x14ac:dyDescent="0.2">
      <c r="AT215" s="186"/>
      <c r="AU215" s="186"/>
      <c r="AV215" s="186"/>
      <c r="AZ215" s="186"/>
      <c r="BA215" s="186"/>
    </row>
    <row r="216" spans="46:53" x14ac:dyDescent="0.2">
      <c r="AT216" s="186"/>
      <c r="AU216" s="186"/>
      <c r="AV216" s="186"/>
      <c r="AZ216" s="186"/>
      <c r="BA216" s="186"/>
    </row>
    <row r="217" spans="46:53" x14ac:dyDescent="0.2">
      <c r="AT217" s="186"/>
      <c r="AU217" s="186"/>
      <c r="AV217" s="186"/>
      <c r="AZ217" s="186"/>
      <c r="BA217" s="186"/>
    </row>
    <row r="218" spans="46:53" x14ac:dyDescent="0.2">
      <c r="AT218" s="186"/>
      <c r="AU218" s="186"/>
      <c r="AV218" s="186"/>
      <c r="AZ218" s="186"/>
      <c r="BA218" s="186"/>
    </row>
    <row r="219" spans="46:53" x14ac:dyDescent="0.2">
      <c r="AT219" s="186"/>
      <c r="AU219" s="186"/>
      <c r="AV219" s="186"/>
      <c r="AZ219" s="186"/>
      <c r="BA219" s="186"/>
    </row>
    <row r="220" spans="46:53" x14ac:dyDescent="0.2">
      <c r="AT220" s="186"/>
      <c r="AU220" s="186"/>
      <c r="AV220" s="186"/>
      <c r="AZ220" s="186"/>
      <c r="BA220" s="186"/>
    </row>
    <row r="221" spans="46:53" x14ac:dyDescent="0.2">
      <c r="AT221" s="186"/>
      <c r="AU221" s="186"/>
      <c r="AV221" s="186"/>
      <c r="AZ221" s="186"/>
      <c r="BA221" s="186"/>
    </row>
    <row r="222" spans="46:53" x14ac:dyDescent="0.2">
      <c r="AT222" s="186"/>
      <c r="AU222" s="186"/>
      <c r="AV222" s="186"/>
      <c r="AZ222" s="186"/>
      <c r="BA222" s="186"/>
    </row>
    <row r="223" spans="46:53" x14ac:dyDescent="0.2">
      <c r="AT223" s="186"/>
      <c r="AU223" s="186"/>
      <c r="AV223" s="186"/>
      <c r="AZ223" s="186"/>
      <c r="BA223" s="186"/>
    </row>
    <row r="224" spans="46:53" x14ac:dyDescent="0.2">
      <c r="AT224" s="186"/>
      <c r="AU224" s="186"/>
      <c r="AV224" s="186"/>
      <c r="AZ224" s="186"/>
      <c r="BA224" s="186"/>
    </row>
    <row r="225" spans="46:53" x14ac:dyDescent="0.2">
      <c r="AT225" s="186"/>
      <c r="AU225" s="186"/>
      <c r="AV225" s="186"/>
      <c r="AZ225" s="186"/>
      <c r="BA225" s="186"/>
    </row>
    <row r="226" spans="46:53" x14ac:dyDescent="0.2">
      <c r="AT226" s="186"/>
      <c r="AU226" s="186"/>
      <c r="AV226" s="186"/>
      <c r="AZ226" s="186"/>
      <c r="BA226" s="186"/>
    </row>
    <row r="227" spans="46:53" x14ac:dyDescent="0.2">
      <c r="AT227" s="186"/>
      <c r="AU227" s="186"/>
      <c r="AV227" s="186"/>
      <c r="AZ227" s="186"/>
      <c r="BA227" s="186"/>
    </row>
    <row r="228" spans="46:53" x14ac:dyDescent="0.2">
      <c r="AT228" s="186"/>
      <c r="AU228" s="186"/>
      <c r="AV228" s="186"/>
      <c r="AZ228" s="186"/>
      <c r="BA228" s="186"/>
    </row>
    <row r="229" spans="46:53" x14ac:dyDescent="0.2">
      <c r="AT229" s="186"/>
      <c r="AU229" s="186"/>
      <c r="AV229" s="186"/>
      <c r="AZ229" s="186"/>
      <c r="BA229" s="186"/>
    </row>
    <row r="230" spans="46:53" x14ac:dyDescent="0.2">
      <c r="AT230" s="186"/>
      <c r="AU230" s="186"/>
      <c r="AV230" s="186"/>
      <c r="AZ230" s="186"/>
      <c r="BA230" s="186"/>
    </row>
    <row r="231" spans="46:53" x14ac:dyDescent="0.2">
      <c r="AT231" s="186"/>
      <c r="AU231" s="186"/>
      <c r="AV231" s="186"/>
      <c r="AZ231" s="186"/>
      <c r="BA231" s="186"/>
    </row>
    <row r="232" spans="46:53" x14ac:dyDescent="0.2">
      <c r="AT232" s="186"/>
      <c r="AU232" s="186"/>
      <c r="AV232" s="186"/>
      <c r="AZ232" s="186"/>
      <c r="BA232" s="186"/>
    </row>
    <row r="233" spans="46:53" x14ac:dyDescent="0.2">
      <c r="AT233" s="186"/>
      <c r="AU233" s="186"/>
      <c r="AV233" s="186"/>
      <c r="AZ233" s="186"/>
      <c r="BA233" s="186"/>
    </row>
    <row r="234" spans="46:53" x14ac:dyDescent="0.2">
      <c r="AT234" s="186"/>
      <c r="AU234" s="186"/>
      <c r="AV234" s="186"/>
      <c r="AZ234" s="186"/>
      <c r="BA234" s="186"/>
    </row>
    <row r="235" spans="46:53" x14ac:dyDescent="0.2">
      <c r="AT235" s="186"/>
      <c r="AU235" s="186"/>
      <c r="AV235" s="186"/>
      <c r="AZ235" s="186"/>
      <c r="BA235" s="186"/>
    </row>
    <row r="236" spans="46:53" x14ac:dyDescent="0.2">
      <c r="AT236" s="186"/>
      <c r="AU236" s="186"/>
      <c r="AV236" s="186"/>
      <c r="AZ236" s="186"/>
      <c r="BA236" s="186"/>
    </row>
    <row r="237" spans="46:53" x14ac:dyDescent="0.2">
      <c r="AT237" s="186"/>
      <c r="AU237" s="186"/>
      <c r="AV237" s="186"/>
      <c r="AZ237" s="186"/>
      <c r="BA237" s="186"/>
    </row>
    <row r="238" spans="46:53" x14ac:dyDescent="0.2">
      <c r="AT238" s="186"/>
      <c r="AU238" s="186"/>
      <c r="AV238" s="186"/>
      <c r="AZ238" s="186"/>
      <c r="BA238" s="186"/>
    </row>
    <row r="239" spans="46:53" x14ac:dyDescent="0.2">
      <c r="AT239" s="186"/>
      <c r="AU239" s="186"/>
      <c r="AV239" s="186"/>
      <c r="AZ239" s="186"/>
      <c r="BA239" s="186"/>
    </row>
    <row r="240" spans="46:53" x14ac:dyDescent="0.2">
      <c r="AT240" s="186"/>
      <c r="AU240" s="186"/>
      <c r="AV240" s="186"/>
      <c r="AZ240" s="186"/>
      <c r="BA240" s="186"/>
    </row>
    <row r="241" spans="46:53" x14ac:dyDescent="0.2">
      <c r="AT241" s="186"/>
      <c r="AU241" s="186"/>
      <c r="AV241" s="186"/>
      <c r="AZ241" s="186"/>
      <c r="BA241" s="186"/>
    </row>
    <row r="242" spans="46:53" x14ac:dyDescent="0.2">
      <c r="AT242" s="186"/>
      <c r="AU242" s="186"/>
      <c r="AV242" s="186"/>
      <c r="AZ242" s="186"/>
      <c r="BA242" s="186"/>
    </row>
    <row r="243" spans="46:53" x14ac:dyDescent="0.2">
      <c r="AT243" s="186"/>
      <c r="AU243" s="186"/>
      <c r="AV243" s="186"/>
      <c r="AZ243" s="186"/>
      <c r="BA243" s="186"/>
    </row>
    <row r="244" spans="46:53" x14ac:dyDescent="0.2">
      <c r="AT244" s="186"/>
      <c r="AU244" s="186"/>
      <c r="AV244" s="186"/>
      <c r="AZ244" s="186"/>
      <c r="BA244" s="186"/>
    </row>
    <row r="245" spans="46:53" x14ac:dyDescent="0.2">
      <c r="AT245" s="186"/>
      <c r="AU245" s="186"/>
      <c r="AV245" s="186"/>
      <c r="AZ245" s="186"/>
      <c r="BA245" s="186"/>
    </row>
    <row r="246" spans="46:53" x14ac:dyDescent="0.2">
      <c r="AT246" s="193"/>
      <c r="AU246" s="193"/>
      <c r="AV246" s="193"/>
      <c r="AZ246" s="186"/>
      <c r="BA246" s="186"/>
    </row>
    <row r="247" spans="46:53" x14ac:dyDescent="0.2">
      <c r="AT247" s="193"/>
      <c r="AU247" s="193"/>
      <c r="AV247" s="193"/>
    </row>
    <row r="248" spans="46:53" x14ac:dyDescent="0.2">
      <c r="AZ248" s="193"/>
      <c r="BA248" s="193"/>
    </row>
    <row r="249" spans="46:53" x14ac:dyDescent="0.2">
      <c r="AZ249" s="193"/>
      <c r="BA249" s="193"/>
    </row>
    <row r="250" spans="46:53" x14ac:dyDescent="0.2">
      <c r="AZ250" s="193"/>
      <c r="BA250" s="193"/>
    </row>
    <row r="251" spans="46:53" x14ac:dyDescent="0.2">
      <c r="AZ251" s="193"/>
      <c r="BA251" s="193"/>
    </row>
    <row r="252" spans="46:53" x14ac:dyDescent="0.2">
      <c r="AZ252" s="193"/>
      <c r="BA252" s="193"/>
    </row>
    <row r="253" spans="46:53" x14ac:dyDescent="0.2">
      <c r="AZ253" s="193"/>
      <c r="BA253" s="193"/>
    </row>
    <row r="254" spans="46:53" x14ac:dyDescent="0.2">
      <c r="AZ254" s="193"/>
      <c r="BA254" s="193"/>
    </row>
    <row r="255" spans="46:53" x14ac:dyDescent="0.2">
      <c r="AZ255" s="193"/>
      <c r="BA255" s="193"/>
    </row>
    <row r="256" spans="46:53" x14ac:dyDescent="0.2">
      <c r="AZ256" s="203"/>
      <c r="BA256" s="203"/>
    </row>
    <row r="257" spans="46:53" x14ac:dyDescent="0.2">
      <c r="AZ257" s="209"/>
      <c r="BA257" s="209"/>
    </row>
    <row r="258" spans="46:53" x14ac:dyDescent="0.2">
      <c r="AZ258" s="209"/>
      <c r="BA258" s="209"/>
    </row>
    <row r="259" spans="46:53" x14ac:dyDescent="0.2">
      <c r="AZ259" s="193"/>
      <c r="BA259" s="193"/>
    </row>
    <row r="260" spans="46:53" x14ac:dyDescent="0.2">
      <c r="AZ260" s="193"/>
      <c r="BA260" s="193"/>
    </row>
    <row r="272" spans="46:53" x14ac:dyDescent="0.2">
      <c r="AT272" s="186"/>
      <c r="AU272" s="186"/>
      <c r="AV272" s="186"/>
    </row>
    <row r="273" spans="46:53" x14ac:dyDescent="0.2">
      <c r="AT273" s="186"/>
      <c r="AU273" s="186"/>
      <c r="AV273" s="186"/>
    </row>
    <row r="274" spans="46:53" x14ac:dyDescent="0.2">
      <c r="AT274" s="186"/>
      <c r="AU274" s="186"/>
      <c r="AV274" s="186"/>
    </row>
    <row r="275" spans="46:53" x14ac:dyDescent="0.2">
      <c r="AT275" s="186"/>
      <c r="AU275" s="186"/>
      <c r="AV275" s="186"/>
    </row>
    <row r="276" spans="46:53" x14ac:dyDescent="0.2">
      <c r="AT276" s="186"/>
      <c r="AU276" s="186"/>
      <c r="AV276" s="186"/>
    </row>
    <row r="277" spans="46:53" x14ac:dyDescent="0.2">
      <c r="AT277" s="186"/>
      <c r="AU277" s="186"/>
      <c r="AV277" s="186"/>
    </row>
    <row r="278" spans="46:53" x14ac:dyDescent="0.2">
      <c r="AT278" s="186"/>
      <c r="AU278" s="186"/>
      <c r="AV278" s="186"/>
    </row>
    <row r="279" spans="46:53" x14ac:dyDescent="0.2">
      <c r="AT279" s="186"/>
      <c r="AU279" s="186"/>
      <c r="AV279" s="186"/>
    </row>
    <row r="280" spans="46:53" x14ac:dyDescent="0.2">
      <c r="AT280" s="186"/>
      <c r="AU280" s="186"/>
      <c r="AV280" s="186"/>
    </row>
    <row r="281" spans="46:53" x14ac:dyDescent="0.2">
      <c r="AT281" s="186"/>
      <c r="AU281" s="186"/>
      <c r="AV281" s="186"/>
    </row>
    <row r="282" spans="46:53" x14ac:dyDescent="0.2">
      <c r="AT282" s="186"/>
      <c r="AU282" s="186"/>
      <c r="AV282" s="186"/>
    </row>
    <row r="283" spans="46:53" x14ac:dyDescent="0.2">
      <c r="AT283" s="186"/>
      <c r="AU283" s="186"/>
      <c r="AV283" s="186"/>
    </row>
    <row r="284" spans="46:53" x14ac:dyDescent="0.2">
      <c r="AT284" s="186"/>
      <c r="AU284" s="186"/>
      <c r="AV284" s="186"/>
    </row>
    <row r="285" spans="46:53" x14ac:dyDescent="0.2">
      <c r="AT285" s="186"/>
      <c r="AU285" s="186"/>
      <c r="AV285" s="186"/>
    </row>
    <row r="286" spans="46:53" x14ac:dyDescent="0.2">
      <c r="AT286" s="186"/>
      <c r="AU286" s="186"/>
      <c r="AV286" s="186"/>
      <c r="AZ286" s="186"/>
      <c r="BA286" s="186"/>
    </row>
    <row r="287" spans="46:53" x14ac:dyDescent="0.2">
      <c r="AT287" s="186"/>
      <c r="AU287" s="186"/>
      <c r="AV287" s="186"/>
      <c r="AZ287" s="186"/>
      <c r="BA287" s="186"/>
    </row>
    <row r="288" spans="46:53" x14ac:dyDescent="0.2">
      <c r="AT288" s="186"/>
      <c r="AU288" s="186"/>
      <c r="AV288" s="186"/>
      <c r="AZ288" s="186"/>
      <c r="BA288" s="186"/>
    </row>
    <row r="289" spans="46:53" x14ac:dyDescent="0.2">
      <c r="AT289" s="186"/>
      <c r="AU289" s="186"/>
      <c r="AV289" s="186"/>
      <c r="AZ289" s="186"/>
      <c r="BA289" s="186"/>
    </row>
    <row r="290" spans="46:53" x14ac:dyDescent="0.2">
      <c r="AT290" s="186"/>
      <c r="AU290" s="186"/>
      <c r="AV290" s="186"/>
      <c r="AZ290" s="186"/>
      <c r="BA290" s="186"/>
    </row>
    <row r="291" spans="46:53" x14ac:dyDescent="0.2">
      <c r="AT291" s="186"/>
      <c r="AU291" s="186"/>
      <c r="AV291" s="186"/>
      <c r="AZ291" s="186"/>
      <c r="BA291" s="186"/>
    </row>
    <row r="292" spans="46:53" x14ac:dyDescent="0.2">
      <c r="AT292" s="186"/>
      <c r="AU292" s="186"/>
      <c r="AV292" s="186"/>
      <c r="AZ292" s="186"/>
      <c r="BA292" s="186"/>
    </row>
    <row r="293" spans="46:53" x14ac:dyDescent="0.2">
      <c r="AT293" s="186"/>
      <c r="AU293" s="186"/>
      <c r="AV293" s="186"/>
      <c r="AZ293" s="186"/>
      <c r="BA293" s="186"/>
    </row>
    <row r="294" spans="46:53" x14ac:dyDescent="0.2">
      <c r="AT294" s="186"/>
      <c r="AU294" s="186"/>
      <c r="AV294" s="186"/>
      <c r="AZ294" s="186"/>
      <c r="BA294" s="186"/>
    </row>
    <row r="295" spans="46:53" x14ac:dyDescent="0.2">
      <c r="AT295" s="186"/>
      <c r="AU295" s="186"/>
      <c r="AV295" s="186"/>
      <c r="AZ295" s="186"/>
      <c r="BA295" s="186"/>
    </row>
    <row r="296" spans="46:53" x14ac:dyDescent="0.2">
      <c r="AT296" s="186"/>
      <c r="AU296" s="186"/>
      <c r="AV296" s="186"/>
      <c r="AZ296" s="186"/>
      <c r="BA296" s="186"/>
    </row>
    <row r="297" spans="46:53" x14ac:dyDescent="0.2">
      <c r="AT297" s="186"/>
      <c r="AU297" s="186"/>
      <c r="AV297" s="186"/>
      <c r="AZ297" s="186"/>
      <c r="BA297" s="186"/>
    </row>
    <row r="298" spans="46:53" x14ac:dyDescent="0.2">
      <c r="AT298" s="186"/>
      <c r="AU298" s="186"/>
      <c r="AV298" s="186"/>
      <c r="AZ298" s="186"/>
      <c r="BA298" s="186"/>
    </row>
    <row r="299" spans="46:53" x14ac:dyDescent="0.2">
      <c r="AT299" s="186"/>
      <c r="AU299" s="186"/>
      <c r="AV299" s="186"/>
      <c r="AZ299" s="186"/>
      <c r="BA299" s="186"/>
    </row>
    <row r="300" spans="46:53" x14ac:dyDescent="0.2">
      <c r="AT300" s="186"/>
      <c r="AU300" s="186"/>
      <c r="AV300" s="186"/>
      <c r="AZ300" s="186"/>
      <c r="BA300" s="186"/>
    </row>
    <row r="301" spans="46:53" x14ac:dyDescent="0.2">
      <c r="AT301" s="186"/>
      <c r="AU301" s="186"/>
      <c r="AV301" s="186"/>
      <c r="AZ301" s="186"/>
      <c r="BA301" s="186"/>
    </row>
    <row r="302" spans="46:53" x14ac:dyDescent="0.2">
      <c r="AT302" s="186"/>
      <c r="AU302" s="186"/>
      <c r="AV302" s="186"/>
      <c r="AZ302" s="186"/>
      <c r="BA302" s="186"/>
    </row>
    <row r="303" spans="46:53" x14ac:dyDescent="0.2">
      <c r="AT303" s="186"/>
      <c r="AU303" s="186"/>
      <c r="AV303" s="186"/>
      <c r="AZ303" s="186"/>
      <c r="BA303" s="186"/>
    </row>
    <row r="304" spans="46:53" x14ac:dyDescent="0.2">
      <c r="AT304" s="186"/>
      <c r="AU304" s="186"/>
      <c r="AV304" s="186"/>
      <c r="AZ304" s="186"/>
      <c r="BA304" s="186"/>
    </row>
    <row r="305" spans="46:53" x14ac:dyDescent="0.2">
      <c r="AT305" s="186"/>
      <c r="AU305" s="186"/>
      <c r="AV305" s="186"/>
      <c r="AZ305" s="186"/>
      <c r="BA305" s="186"/>
    </row>
    <row r="306" spans="46:53" x14ac:dyDescent="0.2">
      <c r="AT306" s="186"/>
      <c r="AU306" s="186"/>
      <c r="AV306" s="186"/>
      <c r="AZ306" s="186"/>
      <c r="BA306" s="186"/>
    </row>
    <row r="307" spans="46:53" x14ac:dyDescent="0.2">
      <c r="AT307" s="186"/>
      <c r="AU307" s="186"/>
      <c r="AV307" s="186"/>
      <c r="AZ307" s="186"/>
      <c r="BA307" s="186"/>
    </row>
    <row r="308" spans="46:53" x14ac:dyDescent="0.2">
      <c r="AT308" s="186"/>
      <c r="AU308" s="186"/>
      <c r="AV308" s="186"/>
      <c r="AZ308" s="186"/>
      <c r="BA308" s="186"/>
    </row>
    <row r="309" spans="46:53" x14ac:dyDescent="0.2">
      <c r="AT309" s="186"/>
      <c r="AU309" s="186"/>
      <c r="AV309" s="186"/>
      <c r="AZ309" s="186"/>
      <c r="BA309" s="186"/>
    </row>
    <row r="310" spans="46:53" x14ac:dyDescent="0.2">
      <c r="AT310" s="186"/>
      <c r="AU310" s="186"/>
      <c r="AV310" s="186"/>
      <c r="AZ310" s="186"/>
      <c r="BA310" s="186"/>
    </row>
    <row r="311" spans="46:53" x14ac:dyDescent="0.2">
      <c r="AT311" s="186"/>
      <c r="AU311" s="186"/>
      <c r="AV311" s="186"/>
      <c r="AZ311" s="186"/>
      <c r="BA311" s="186"/>
    </row>
    <row r="312" spans="46:53" x14ac:dyDescent="0.2">
      <c r="AT312" s="186"/>
      <c r="AU312" s="186"/>
      <c r="AV312" s="186"/>
      <c r="AZ312" s="186"/>
      <c r="BA312" s="186"/>
    </row>
    <row r="313" spans="46:53" x14ac:dyDescent="0.2">
      <c r="AT313" s="186"/>
      <c r="AU313" s="186"/>
      <c r="AV313" s="186"/>
      <c r="AZ313" s="186"/>
      <c r="BA313" s="186"/>
    </row>
    <row r="314" spans="46:53" x14ac:dyDescent="0.2">
      <c r="AT314" s="186"/>
      <c r="AU314" s="186"/>
      <c r="AV314" s="186"/>
      <c r="AZ314" s="186"/>
      <c r="BA314" s="186"/>
    </row>
    <row r="315" spans="46:53" x14ac:dyDescent="0.2">
      <c r="AT315" s="186"/>
      <c r="AU315" s="186"/>
      <c r="AV315" s="186"/>
      <c r="AZ315" s="186"/>
      <c r="BA315" s="186"/>
    </row>
    <row r="316" spans="46:53" x14ac:dyDescent="0.2">
      <c r="AT316" s="186"/>
      <c r="AU316" s="186"/>
      <c r="AV316" s="186"/>
      <c r="AZ316" s="186"/>
      <c r="BA316" s="186"/>
    </row>
    <row r="317" spans="46:53" x14ac:dyDescent="0.2">
      <c r="AT317" s="186"/>
      <c r="AU317" s="186"/>
      <c r="AV317" s="186"/>
      <c r="AZ317" s="186"/>
      <c r="BA317" s="186"/>
    </row>
    <row r="318" spans="46:53" x14ac:dyDescent="0.2">
      <c r="AT318" s="193"/>
      <c r="AU318" s="193"/>
      <c r="AV318" s="193"/>
      <c r="AZ318" s="186"/>
      <c r="BA318" s="186"/>
    </row>
    <row r="319" spans="46:53" x14ac:dyDescent="0.2">
      <c r="AT319" s="193"/>
      <c r="AU319" s="193"/>
      <c r="AV319" s="193"/>
      <c r="AZ319" s="186"/>
      <c r="BA319" s="186"/>
    </row>
    <row r="320" spans="46:53" x14ac:dyDescent="0.2">
      <c r="AZ320" s="186"/>
      <c r="BA320" s="186"/>
    </row>
    <row r="321" spans="46:53" x14ac:dyDescent="0.2">
      <c r="AZ321" s="186"/>
      <c r="BA321" s="186"/>
    </row>
    <row r="322" spans="46:53" x14ac:dyDescent="0.2">
      <c r="AZ322" s="186"/>
      <c r="BA322" s="186"/>
    </row>
    <row r="323" spans="46:53" x14ac:dyDescent="0.2">
      <c r="AZ323" s="186"/>
      <c r="BA323" s="186"/>
    </row>
    <row r="324" spans="46:53" x14ac:dyDescent="0.2">
      <c r="AZ324" s="186"/>
      <c r="BA324" s="186"/>
    </row>
    <row r="325" spans="46:53" x14ac:dyDescent="0.2">
      <c r="AZ325" s="186"/>
      <c r="BA325" s="186"/>
    </row>
    <row r="326" spans="46:53" x14ac:dyDescent="0.2">
      <c r="AZ326" s="186"/>
      <c r="BA326" s="186"/>
    </row>
    <row r="327" spans="46:53" x14ac:dyDescent="0.2">
      <c r="AZ327" s="186"/>
      <c r="BA327" s="186"/>
    </row>
    <row r="328" spans="46:53" x14ac:dyDescent="0.2">
      <c r="AZ328" s="186"/>
      <c r="BA328" s="186"/>
    </row>
    <row r="329" spans="46:53" x14ac:dyDescent="0.2">
      <c r="AZ329" s="186"/>
      <c r="BA329" s="186"/>
    </row>
    <row r="330" spans="46:53" x14ac:dyDescent="0.2">
      <c r="AZ330" s="186"/>
      <c r="BA330" s="186"/>
    </row>
    <row r="331" spans="46:53" x14ac:dyDescent="0.2">
      <c r="AZ331" s="186"/>
      <c r="BA331" s="186"/>
    </row>
    <row r="333" spans="46:53" x14ac:dyDescent="0.2">
      <c r="AZ333" s="193"/>
      <c r="BA333" s="193"/>
    </row>
    <row r="334" spans="46:53" x14ac:dyDescent="0.2">
      <c r="AT334" s="230"/>
      <c r="AU334" s="230"/>
      <c r="AZ334" s="193"/>
      <c r="BA334" s="193"/>
    </row>
    <row r="335" spans="46:53" x14ac:dyDescent="0.2">
      <c r="AZ335" s="193"/>
      <c r="BA335" s="193"/>
    </row>
    <row r="336" spans="46:53" x14ac:dyDescent="0.2">
      <c r="AZ336" s="193"/>
      <c r="BA336" s="193"/>
    </row>
    <row r="337" spans="52:53" x14ac:dyDescent="0.2">
      <c r="AZ337" s="193"/>
      <c r="BA337" s="193"/>
    </row>
    <row r="338" spans="52:53" x14ac:dyDescent="0.2">
      <c r="AZ338" s="193"/>
      <c r="BA338" s="193"/>
    </row>
    <row r="339" spans="52:53" x14ac:dyDescent="0.2">
      <c r="AZ339" s="193"/>
      <c r="BA339" s="193"/>
    </row>
    <row r="340" spans="52:53" x14ac:dyDescent="0.2">
      <c r="AZ340" s="193"/>
      <c r="BA340" s="193"/>
    </row>
    <row r="341" spans="52:53" x14ac:dyDescent="0.2">
      <c r="AZ341" s="203"/>
      <c r="BA341" s="203"/>
    </row>
    <row r="342" spans="52:53" x14ac:dyDescent="0.2">
      <c r="AZ342" s="209"/>
      <c r="BA342" s="209"/>
    </row>
    <row r="343" spans="52:53" x14ac:dyDescent="0.2">
      <c r="AZ343" s="209"/>
      <c r="BA343" s="209"/>
    </row>
    <row r="344" spans="52:53" x14ac:dyDescent="0.2">
      <c r="AZ344" s="193"/>
      <c r="BA344" s="193"/>
    </row>
    <row r="345" spans="52:53" x14ac:dyDescent="0.2">
      <c r="AZ345" s="193"/>
      <c r="BA345" s="193"/>
    </row>
    <row r="370" spans="46:53" x14ac:dyDescent="0.2">
      <c r="AT370" s="230"/>
      <c r="AU370" s="230"/>
    </row>
    <row r="371" spans="46:53" x14ac:dyDescent="0.2">
      <c r="AZ371" s="186"/>
      <c r="BA371" s="186"/>
    </row>
    <row r="372" spans="46:53" x14ac:dyDescent="0.2">
      <c r="AZ372" s="186"/>
      <c r="BA372" s="186"/>
    </row>
    <row r="373" spans="46:53" x14ac:dyDescent="0.2">
      <c r="AZ373" s="186"/>
      <c r="BA373" s="186"/>
    </row>
    <row r="374" spans="46:53" x14ac:dyDescent="0.2">
      <c r="AZ374" s="186"/>
      <c r="BA374" s="186"/>
    </row>
    <row r="375" spans="46:53" x14ac:dyDescent="0.2">
      <c r="AZ375" s="186"/>
      <c r="BA375" s="186"/>
    </row>
    <row r="376" spans="46:53" x14ac:dyDescent="0.2">
      <c r="AZ376" s="186"/>
      <c r="BA376" s="186"/>
    </row>
    <row r="377" spans="46:53" x14ac:dyDescent="0.2">
      <c r="AZ377" s="186"/>
      <c r="BA377" s="186"/>
    </row>
    <row r="378" spans="46:53" x14ac:dyDescent="0.2">
      <c r="AZ378" s="186"/>
      <c r="BA378" s="186"/>
    </row>
    <row r="379" spans="46:53" x14ac:dyDescent="0.2">
      <c r="AZ379" s="186"/>
      <c r="BA379" s="186"/>
    </row>
    <row r="380" spans="46:53" x14ac:dyDescent="0.2">
      <c r="AZ380" s="186"/>
      <c r="BA380" s="186"/>
    </row>
    <row r="381" spans="46:53" x14ac:dyDescent="0.2">
      <c r="AZ381" s="186"/>
      <c r="BA381" s="186"/>
    </row>
    <row r="382" spans="46:53" x14ac:dyDescent="0.2">
      <c r="AZ382" s="186"/>
      <c r="BA382" s="186"/>
    </row>
    <row r="383" spans="46:53" x14ac:dyDescent="0.2">
      <c r="AZ383" s="186"/>
      <c r="BA383" s="186"/>
    </row>
    <row r="384" spans="46:53" x14ac:dyDescent="0.2">
      <c r="AZ384" s="186"/>
      <c r="BA384" s="186"/>
    </row>
    <row r="385" spans="52:53" x14ac:dyDescent="0.2">
      <c r="AZ385" s="186"/>
      <c r="BA385" s="186"/>
    </row>
    <row r="386" spans="52:53" x14ac:dyDescent="0.2">
      <c r="AZ386" s="186"/>
      <c r="BA386" s="186"/>
    </row>
    <row r="387" spans="52:53" x14ac:dyDescent="0.2">
      <c r="AZ387" s="186"/>
      <c r="BA387" s="186"/>
    </row>
    <row r="388" spans="52:53" x14ac:dyDescent="0.2">
      <c r="AZ388" s="186"/>
      <c r="BA388" s="186"/>
    </row>
    <row r="389" spans="52:53" x14ac:dyDescent="0.2">
      <c r="AZ389" s="186"/>
      <c r="BA389" s="186"/>
    </row>
    <row r="390" spans="52:53" x14ac:dyDescent="0.2">
      <c r="AZ390" s="186"/>
      <c r="BA390" s="186"/>
    </row>
    <row r="391" spans="52:53" x14ac:dyDescent="0.2">
      <c r="AZ391" s="186"/>
      <c r="BA391" s="186"/>
    </row>
    <row r="392" spans="52:53" x14ac:dyDescent="0.2">
      <c r="AZ392" s="186"/>
      <c r="BA392" s="186"/>
    </row>
    <row r="393" spans="52:53" x14ac:dyDescent="0.2">
      <c r="AZ393" s="186"/>
      <c r="BA393" s="186"/>
    </row>
    <row r="394" spans="52:53" x14ac:dyDescent="0.2">
      <c r="AZ394" s="186"/>
      <c r="BA394" s="186"/>
    </row>
    <row r="395" spans="52:53" x14ac:dyDescent="0.2">
      <c r="AZ395" s="186"/>
      <c r="BA395" s="186"/>
    </row>
    <row r="396" spans="52:53" x14ac:dyDescent="0.2">
      <c r="AZ396" s="186"/>
      <c r="BA396" s="186"/>
    </row>
    <row r="397" spans="52:53" x14ac:dyDescent="0.2">
      <c r="AZ397" s="186"/>
      <c r="BA397" s="186"/>
    </row>
    <row r="398" spans="52:53" x14ac:dyDescent="0.2">
      <c r="AZ398" s="186"/>
      <c r="BA398" s="186"/>
    </row>
    <row r="399" spans="52:53" x14ac:dyDescent="0.2">
      <c r="AZ399" s="186"/>
      <c r="BA399" s="186"/>
    </row>
    <row r="400" spans="52:53" x14ac:dyDescent="0.2">
      <c r="AZ400" s="186"/>
      <c r="BA400" s="186"/>
    </row>
    <row r="401" spans="52:53" x14ac:dyDescent="0.2">
      <c r="AZ401" s="186"/>
      <c r="BA401" s="186"/>
    </row>
    <row r="402" spans="52:53" x14ac:dyDescent="0.2">
      <c r="AZ402" s="186"/>
      <c r="BA402" s="186"/>
    </row>
    <row r="403" spans="52:53" x14ac:dyDescent="0.2">
      <c r="AZ403" s="186"/>
      <c r="BA403" s="186"/>
    </row>
    <row r="404" spans="52:53" x14ac:dyDescent="0.2">
      <c r="AZ404" s="186"/>
      <c r="BA404" s="186"/>
    </row>
    <row r="405" spans="52:53" x14ac:dyDescent="0.2">
      <c r="AZ405" s="186"/>
      <c r="BA405" s="186"/>
    </row>
    <row r="406" spans="52:53" x14ac:dyDescent="0.2">
      <c r="AZ406" s="186"/>
      <c r="BA406" s="186"/>
    </row>
    <row r="407" spans="52:53" x14ac:dyDescent="0.2">
      <c r="AZ407" s="186"/>
      <c r="BA407" s="186"/>
    </row>
    <row r="408" spans="52:53" x14ac:dyDescent="0.2">
      <c r="AZ408" s="186"/>
      <c r="BA408" s="186"/>
    </row>
    <row r="409" spans="52:53" x14ac:dyDescent="0.2">
      <c r="AZ409" s="186"/>
      <c r="BA409" s="186"/>
    </row>
    <row r="410" spans="52:53" x14ac:dyDescent="0.2">
      <c r="AZ410" s="186"/>
      <c r="BA410" s="186"/>
    </row>
    <row r="411" spans="52:53" x14ac:dyDescent="0.2">
      <c r="AZ411" s="186"/>
      <c r="BA411" s="186"/>
    </row>
    <row r="412" spans="52:53" x14ac:dyDescent="0.2">
      <c r="AZ412" s="186"/>
      <c r="BA412" s="186"/>
    </row>
    <row r="413" spans="52:53" x14ac:dyDescent="0.2">
      <c r="AZ413" s="186"/>
      <c r="BA413" s="186"/>
    </row>
    <row r="414" spans="52:53" x14ac:dyDescent="0.2">
      <c r="AZ414" s="186"/>
      <c r="BA414" s="186"/>
    </row>
    <row r="415" spans="52:53" x14ac:dyDescent="0.2">
      <c r="AZ415" s="186"/>
      <c r="BA415" s="186"/>
    </row>
    <row r="416" spans="52:53" x14ac:dyDescent="0.2">
      <c r="AZ416" s="186"/>
      <c r="BA416" s="186"/>
    </row>
    <row r="418" spans="52:53" x14ac:dyDescent="0.2">
      <c r="AZ418" s="193"/>
      <c r="BA418" s="193"/>
    </row>
    <row r="419" spans="52:53" x14ac:dyDescent="0.2">
      <c r="AZ419" s="193"/>
      <c r="BA419" s="193"/>
    </row>
    <row r="420" spans="52:53" x14ac:dyDescent="0.2">
      <c r="AZ420" s="193"/>
      <c r="BA420" s="193"/>
    </row>
    <row r="421" spans="52:53" x14ac:dyDescent="0.2">
      <c r="AZ421" s="193"/>
      <c r="BA421" s="193"/>
    </row>
    <row r="422" spans="52:53" x14ac:dyDescent="0.2">
      <c r="AZ422" s="193"/>
      <c r="BA422" s="193"/>
    </row>
    <row r="423" spans="52:53" x14ac:dyDescent="0.2">
      <c r="AZ423" s="193"/>
      <c r="BA423" s="193"/>
    </row>
    <row r="424" spans="52:53" x14ac:dyDescent="0.2">
      <c r="AZ424" s="193"/>
      <c r="BA424" s="193"/>
    </row>
    <row r="425" spans="52:53" x14ac:dyDescent="0.2">
      <c r="AZ425" s="193"/>
      <c r="BA425" s="193"/>
    </row>
    <row r="426" spans="52:53" x14ac:dyDescent="0.2">
      <c r="AZ426" s="203"/>
      <c r="BA426" s="203"/>
    </row>
    <row r="427" spans="52:53" x14ac:dyDescent="0.2">
      <c r="AZ427" s="209"/>
      <c r="BA427" s="209"/>
    </row>
    <row r="428" spans="52:53" x14ac:dyDescent="0.2">
      <c r="AZ428" s="209"/>
      <c r="BA428" s="209"/>
    </row>
    <row r="429" spans="52:53" x14ac:dyDescent="0.2">
      <c r="AZ429" s="193"/>
      <c r="BA429" s="193"/>
    </row>
    <row r="430" spans="52:53" x14ac:dyDescent="0.2">
      <c r="AZ430" s="193"/>
      <c r="BA430" s="193"/>
    </row>
  </sheetData>
  <sheetProtection sheet="1" objects="1" scenarios="1" formatCells="0" selectLockedCells="1"/>
  <mergeCells count="229">
    <mergeCell ref="A1:AI1"/>
    <mergeCell ref="AT1:AV1"/>
    <mergeCell ref="AX1:AY1"/>
    <mergeCell ref="A2:I2"/>
    <mergeCell ref="J2:X2"/>
    <mergeCell ref="Y2:AC2"/>
    <mergeCell ref="AD2:AI2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  <mergeCell ref="A8:A9"/>
    <mergeCell ref="B8:D8"/>
    <mergeCell ref="E8:K8"/>
    <mergeCell ref="L8:P9"/>
    <mergeCell ref="R8:V9"/>
    <mergeCell ref="W8:Y9"/>
    <mergeCell ref="Z8:AB9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AC8:AE9"/>
    <mergeCell ref="AF8:AF9"/>
    <mergeCell ref="AG8:AG9"/>
    <mergeCell ref="AH8:AI9"/>
    <mergeCell ref="AT8:AY9"/>
    <mergeCell ref="B9:D9"/>
    <mergeCell ref="E9:K9"/>
    <mergeCell ref="Z7:AB7"/>
    <mergeCell ref="AC7:AE7"/>
    <mergeCell ref="AH7:AI7"/>
    <mergeCell ref="Z10:AB11"/>
    <mergeCell ref="AC10:AE11"/>
    <mergeCell ref="AF10:AF11"/>
    <mergeCell ref="AG10:AG11"/>
    <mergeCell ref="AH10:AI11"/>
    <mergeCell ref="B11:D11"/>
    <mergeCell ref="E11:K11"/>
    <mergeCell ref="A10:A11"/>
    <mergeCell ref="B10:D10"/>
    <mergeCell ref="E10:K10"/>
    <mergeCell ref="L10:P11"/>
    <mergeCell ref="R10:V11"/>
    <mergeCell ref="W10:Y11"/>
    <mergeCell ref="Z12:AB13"/>
    <mergeCell ref="AC12:AE13"/>
    <mergeCell ref="AF12:AF13"/>
    <mergeCell ref="AG12:AG13"/>
    <mergeCell ref="AH12:AI13"/>
    <mergeCell ref="B13:D13"/>
    <mergeCell ref="E13:K13"/>
    <mergeCell ref="A12:A13"/>
    <mergeCell ref="B12:D12"/>
    <mergeCell ref="E12:K12"/>
    <mergeCell ref="L12:P13"/>
    <mergeCell ref="R12:V13"/>
    <mergeCell ref="W12:Y13"/>
    <mergeCell ref="Z14:AB15"/>
    <mergeCell ref="AC14:AE15"/>
    <mergeCell ref="AF14:AF15"/>
    <mergeCell ref="AG14:AG15"/>
    <mergeCell ref="AH14:AI15"/>
    <mergeCell ref="B15:D15"/>
    <mergeCell ref="E15:K15"/>
    <mergeCell ref="A14:A15"/>
    <mergeCell ref="B14:D14"/>
    <mergeCell ref="E14:K14"/>
    <mergeCell ref="L14:P15"/>
    <mergeCell ref="R14:V15"/>
    <mergeCell ref="W14:Y15"/>
    <mergeCell ref="Z16:AB17"/>
    <mergeCell ref="AC16:AE17"/>
    <mergeCell ref="AF16:AF17"/>
    <mergeCell ref="AG16:AG17"/>
    <mergeCell ref="AH16:AI17"/>
    <mergeCell ref="B17:D17"/>
    <mergeCell ref="E17:K17"/>
    <mergeCell ref="A16:A17"/>
    <mergeCell ref="B16:D16"/>
    <mergeCell ref="E16:K16"/>
    <mergeCell ref="L16:P17"/>
    <mergeCell ref="R16:V17"/>
    <mergeCell ref="W16:Y17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Z23:AB23"/>
    <mergeCell ref="AC23:AE23"/>
    <mergeCell ref="AG57:AK57"/>
    <mergeCell ref="A89:AM89"/>
    <mergeCell ref="AN89:AQ89"/>
    <mergeCell ref="A90:AQ90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A91:AQ91"/>
    <mergeCell ref="A92:A93"/>
    <mergeCell ref="B92:K92"/>
    <mergeCell ref="L92:U92"/>
    <mergeCell ref="V92:AE92"/>
    <mergeCell ref="AF92:AO92"/>
    <mergeCell ref="B93:G93"/>
    <mergeCell ref="H93:K93"/>
    <mergeCell ref="L93:Q93"/>
    <mergeCell ref="R93:U93"/>
    <mergeCell ref="AF94:AK94"/>
    <mergeCell ref="AL94:AO94"/>
    <mergeCell ref="A96:AQ96"/>
    <mergeCell ref="A97:AQ97"/>
    <mergeCell ref="A98:AQ98"/>
    <mergeCell ref="A99:AQ99"/>
    <mergeCell ref="V93:AA93"/>
    <mergeCell ref="AB93:AE93"/>
    <mergeCell ref="AF93:AK93"/>
    <mergeCell ref="AL93:AO93"/>
    <mergeCell ref="B94:G94"/>
    <mergeCell ref="H94:K94"/>
    <mergeCell ref="L94:Q94"/>
    <mergeCell ref="R94:U94"/>
    <mergeCell ref="V94:AA94"/>
    <mergeCell ref="AB94:AE94"/>
    <mergeCell ref="A108:E108"/>
    <mergeCell ref="F108:I108"/>
    <mergeCell ref="J108:M108"/>
    <mergeCell ref="A109:E109"/>
    <mergeCell ref="A110:E110"/>
    <mergeCell ref="F111:I111"/>
    <mergeCell ref="A100:K100"/>
    <mergeCell ref="A102:O102"/>
    <mergeCell ref="A104:E104"/>
    <mergeCell ref="A105:E105"/>
    <mergeCell ref="A107:D107"/>
    <mergeCell ref="F107:M107"/>
    <mergeCell ref="A116:D116"/>
    <mergeCell ref="F116:I116"/>
    <mergeCell ref="J116:M116"/>
    <mergeCell ref="A117:E117"/>
    <mergeCell ref="F117:M117"/>
    <mergeCell ref="A118:E118"/>
    <mergeCell ref="J112:P112"/>
    <mergeCell ref="A113:E113"/>
    <mergeCell ref="F113:I113"/>
    <mergeCell ref="J113:P113"/>
    <mergeCell ref="A114:E114"/>
    <mergeCell ref="J114:P114"/>
    <mergeCell ref="B125:J125"/>
    <mergeCell ref="K125:Q125"/>
    <mergeCell ref="B126:J126"/>
    <mergeCell ref="K126:Q126"/>
    <mergeCell ref="B127:J127"/>
    <mergeCell ref="K127:Q127"/>
    <mergeCell ref="A119:E119"/>
    <mergeCell ref="A122:J122"/>
    <mergeCell ref="B123:J123"/>
    <mergeCell ref="K123:Q123"/>
    <mergeCell ref="B124:J124"/>
    <mergeCell ref="K124:Q124"/>
    <mergeCell ref="K132:N132"/>
    <mergeCell ref="K137:N139"/>
    <mergeCell ref="A148:M148"/>
    <mergeCell ref="B129:D129"/>
    <mergeCell ref="E129:G129"/>
    <mergeCell ref="H129:J129"/>
    <mergeCell ref="K129:Q131"/>
    <mergeCell ref="B130:D130"/>
    <mergeCell ref="E130:G130"/>
    <mergeCell ref="H130:J130"/>
    <mergeCell ref="B131:D131"/>
    <mergeCell ref="E131:G131"/>
    <mergeCell ref="H131:J131"/>
  </mergeCells>
  <conditionalFormatting sqref="A8">
    <cfRule type="expression" dxfId="1514" priority="6" stopIfTrue="1">
      <formula>IF(AK9&gt;0,0,1)</formula>
    </cfRule>
  </conditionalFormatting>
  <conditionalFormatting sqref="A10:A11">
    <cfRule type="expression" dxfId="1513" priority="7" stopIfTrue="1">
      <formula>IF(AK9&gt;1,0,1)</formula>
    </cfRule>
  </conditionalFormatting>
  <conditionalFormatting sqref="A12:A13">
    <cfRule type="expression" dxfId="1512" priority="8" stopIfTrue="1">
      <formula>IF(AK9&gt;2,0,1)</formula>
    </cfRule>
  </conditionalFormatting>
  <conditionalFormatting sqref="A14:A15">
    <cfRule type="expression" dxfId="1511" priority="9" stopIfTrue="1">
      <formula>IF(AK9&gt;3,0,1)</formula>
    </cfRule>
  </conditionalFormatting>
  <conditionalFormatting sqref="A16:A17">
    <cfRule type="expression" dxfId="1510" priority="10" stopIfTrue="1">
      <formula>IF(AK9&gt;4,0,1)</formula>
    </cfRule>
  </conditionalFormatting>
  <conditionalFormatting sqref="B8">
    <cfRule type="expression" dxfId="1509" priority="11" stopIfTrue="1">
      <formula>IF(AK9&gt;0,0,1)</formula>
    </cfRule>
  </conditionalFormatting>
  <conditionalFormatting sqref="B9">
    <cfRule type="expression" dxfId="1508" priority="12" stopIfTrue="1">
      <formula>IF(AK9&gt;0,0,1)</formula>
    </cfRule>
  </conditionalFormatting>
  <conditionalFormatting sqref="B10">
    <cfRule type="expression" dxfId="1507" priority="13" stopIfTrue="1">
      <formula>IF(AK9&gt;1,0,1)</formula>
    </cfRule>
  </conditionalFormatting>
  <conditionalFormatting sqref="B11:D11">
    <cfRule type="expression" dxfId="1506" priority="14" stopIfTrue="1">
      <formula>IF(AK9&gt;1,0,1)</formula>
    </cfRule>
  </conditionalFormatting>
  <conditionalFormatting sqref="B12:D12">
    <cfRule type="expression" dxfId="1505" priority="15" stopIfTrue="1">
      <formula>IF(AK9&gt;2,0,1)</formula>
    </cfRule>
  </conditionalFormatting>
  <conditionalFormatting sqref="B13:D13">
    <cfRule type="expression" dxfId="1504" priority="16" stopIfTrue="1">
      <formula>IF(AK9&gt;2,0,1)</formula>
    </cfRule>
  </conditionalFormatting>
  <conditionalFormatting sqref="B14:D14">
    <cfRule type="expression" dxfId="1503" priority="17" stopIfTrue="1">
      <formula>IF(AK9&gt;3,0,1)</formula>
    </cfRule>
  </conditionalFormatting>
  <conditionalFormatting sqref="B15:D15">
    <cfRule type="expression" dxfId="1502" priority="18" stopIfTrue="1">
      <formula>IF(AK9&gt;3,0,1)</formula>
    </cfRule>
  </conditionalFormatting>
  <conditionalFormatting sqref="B16:D16">
    <cfRule type="expression" dxfId="1501" priority="19" stopIfTrue="1">
      <formula>IF(AK9&gt;4,0,1)</formula>
    </cfRule>
  </conditionalFormatting>
  <conditionalFormatting sqref="B17:D17">
    <cfRule type="expression" dxfId="1500" priority="20" stopIfTrue="1">
      <formula>IF(AK9&gt;4,0,1)</formula>
    </cfRule>
  </conditionalFormatting>
  <conditionalFormatting sqref="AC8">
    <cfRule type="expression" dxfId="1499" priority="21" stopIfTrue="1">
      <formula>IF(AK11=1,IF(AK9&gt;0,0,1),1)</formula>
    </cfRule>
  </conditionalFormatting>
  <conditionalFormatting sqref="AC10:AE11">
    <cfRule type="expression" dxfId="1498" priority="22" stopIfTrue="1">
      <formula>IF(AK11=1,IF(AK9&gt;1,0,1),1)</formula>
    </cfRule>
  </conditionalFormatting>
  <conditionalFormatting sqref="AC12:AE13">
    <cfRule type="expression" dxfId="1497" priority="23" stopIfTrue="1">
      <formula>IF(AK11=1,IF(AK9&gt;2,0,1),1)</formula>
    </cfRule>
  </conditionalFormatting>
  <conditionalFormatting sqref="AC14:AE15">
    <cfRule type="expression" dxfId="1496" priority="24" stopIfTrue="1">
      <formula>IF(AK11=1,IF(AK9&gt;3,0,1),1)</formula>
    </cfRule>
  </conditionalFormatting>
  <conditionalFormatting sqref="AC16:AE17">
    <cfRule type="expression" dxfId="1495" priority="25" stopIfTrue="1">
      <formula>IF(AK11=1,IF(AK9&gt;4,0,1),1)</formula>
    </cfRule>
  </conditionalFormatting>
  <conditionalFormatting sqref="AH8">
    <cfRule type="expression" dxfId="1494" priority="26" stopIfTrue="1">
      <formula>IF(AK9&gt;0,0,1)</formula>
    </cfRule>
  </conditionalFormatting>
  <conditionalFormatting sqref="AH10:AI11">
    <cfRule type="expression" dxfId="1493" priority="27" stopIfTrue="1">
      <formula>IF(AK9&gt;1,0,1)</formula>
    </cfRule>
  </conditionalFormatting>
  <conditionalFormatting sqref="AH12:AI13">
    <cfRule type="expression" dxfId="1492" priority="28" stopIfTrue="1">
      <formula>IF(AK9&gt;2,0,1)</formula>
    </cfRule>
  </conditionalFormatting>
  <conditionalFormatting sqref="AH14:AI15">
    <cfRule type="expression" dxfId="1491" priority="29" stopIfTrue="1">
      <formula>IF(AK9&gt;3,0,1)</formula>
    </cfRule>
  </conditionalFormatting>
  <conditionalFormatting sqref="AH16:AI17">
    <cfRule type="expression" dxfId="1490" priority="30" stopIfTrue="1">
      <formula>IF(AK9&gt;4,0,1)</formula>
    </cfRule>
  </conditionalFormatting>
  <conditionalFormatting sqref="B19:D19">
    <cfRule type="expression" dxfId="1489" priority="31" stopIfTrue="1">
      <formula>IF(AK8&gt;0,0,1)</formula>
    </cfRule>
  </conditionalFormatting>
  <conditionalFormatting sqref="E19:G19">
    <cfRule type="expression" dxfId="1488" priority="32" stopIfTrue="1">
      <formula>IF(AK8&gt;1,0,1)</formula>
    </cfRule>
  </conditionalFormatting>
  <conditionalFormatting sqref="H19:J19">
    <cfRule type="expression" dxfId="1487" priority="33" stopIfTrue="1">
      <formula>IF(AK8&gt;2,0,1)</formula>
    </cfRule>
  </conditionalFormatting>
  <conditionalFormatting sqref="K19:M19">
    <cfRule type="expression" dxfId="1486" priority="34" stopIfTrue="1">
      <formula>IF(AK8&gt;3,0,1)</formula>
    </cfRule>
  </conditionalFormatting>
  <conditionalFormatting sqref="N19:P19">
    <cfRule type="expression" dxfId="1485" priority="35" stopIfTrue="1">
      <formula>IF(AK8&gt;4,0,1)</formula>
    </cfRule>
  </conditionalFormatting>
  <conditionalFormatting sqref="Q19:S19">
    <cfRule type="expression" dxfId="1484" priority="36" stopIfTrue="1">
      <formula>IF(AK8&gt;5,0,1)</formula>
    </cfRule>
  </conditionalFormatting>
  <conditionalFormatting sqref="T19:V19">
    <cfRule type="expression" dxfId="1483" priority="37" stopIfTrue="1">
      <formula>IF(AK8&gt;6,0,1)</formula>
    </cfRule>
  </conditionalFormatting>
  <conditionalFormatting sqref="W19:Y19">
    <cfRule type="expression" dxfId="1482" priority="38" stopIfTrue="1">
      <formula>IF(AK8&gt;7,0,1)</formula>
    </cfRule>
  </conditionalFormatting>
  <conditionalFormatting sqref="Z19:AB19">
    <cfRule type="expression" dxfId="1481" priority="39" stopIfTrue="1">
      <formula>IF(AK8&gt;8,0,1)</formula>
    </cfRule>
  </conditionalFormatting>
  <conditionalFormatting sqref="AC19:AE19">
    <cfRule type="expression" dxfId="1480" priority="40" stopIfTrue="1">
      <formula>IF(AK8&gt;9,0,1)</formula>
    </cfRule>
  </conditionalFormatting>
  <conditionalFormatting sqref="B20:D20">
    <cfRule type="expression" dxfId="1479" priority="41" stopIfTrue="1">
      <formula>IF(AK8&gt;0,0,1)</formula>
    </cfRule>
  </conditionalFormatting>
  <conditionalFormatting sqref="E20:G20">
    <cfRule type="expression" dxfId="1478" priority="42" stopIfTrue="1">
      <formula>IF(AK8&gt;1,0,1)</formula>
    </cfRule>
  </conditionalFormatting>
  <conditionalFormatting sqref="H20:J20">
    <cfRule type="expression" dxfId="1477" priority="43" stopIfTrue="1">
      <formula>IF(AK8&gt;2,0,1)</formula>
    </cfRule>
  </conditionalFormatting>
  <conditionalFormatting sqref="K20:M20">
    <cfRule type="expression" dxfId="1476" priority="44" stopIfTrue="1">
      <formula>IF(AK8&gt;3,0,1)</formula>
    </cfRule>
  </conditionalFormatting>
  <conditionalFormatting sqref="N20:P20">
    <cfRule type="expression" dxfId="1475" priority="45" stopIfTrue="1">
      <formula>IF(AK8&gt;4,0,1)</formula>
    </cfRule>
  </conditionalFormatting>
  <conditionalFormatting sqref="Q20:S20">
    <cfRule type="expression" dxfId="1474" priority="46" stopIfTrue="1">
      <formula>IF(AK8&gt;5,0,1)</formula>
    </cfRule>
  </conditionalFormatting>
  <conditionalFormatting sqref="T20:V20">
    <cfRule type="expression" dxfId="1473" priority="47" stopIfTrue="1">
      <formula>IF(AK8&gt;6,0,1)</formula>
    </cfRule>
  </conditionalFormatting>
  <conditionalFormatting sqref="W20:Y20">
    <cfRule type="expression" dxfId="1472" priority="48" stopIfTrue="1">
      <formula>IF(AK8&gt;7,0,1)</formula>
    </cfRule>
  </conditionalFormatting>
  <conditionalFormatting sqref="Z20:AB20">
    <cfRule type="expression" dxfId="1471" priority="49" stopIfTrue="1">
      <formula>IF(AK8&gt;8,0,1)</formula>
    </cfRule>
  </conditionalFormatting>
  <conditionalFormatting sqref="AC20:AE20">
    <cfRule type="expression" dxfId="1470" priority="50" stopIfTrue="1">
      <formula>IF(AK8&gt;9,0,1)</formula>
    </cfRule>
  </conditionalFormatting>
  <conditionalFormatting sqref="E22:G22">
    <cfRule type="expression" dxfId="1469" priority="51" stopIfTrue="1">
      <formula>IF(AK8&gt;1,0,1)</formula>
    </cfRule>
  </conditionalFormatting>
  <conditionalFormatting sqref="H22:J22">
    <cfRule type="expression" dxfId="1468" priority="52" stopIfTrue="1">
      <formula>IF(AK8&gt;2,0,1)</formula>
    </cfRule>
  </conditionalFormatting>
  <conditionalFormatting sqref="K22:M22">
    <cfRule type="expression" dxfId="1467" priority="53" stopIfTrue="1">
      <formula>IF(AK8&gt;3,0,1)</formula>
    </cfRule>
  </conditionalFormatting>
  <conditionalFormatting sqref="N22:P22">
    <cfRule type="expression" dxfId="1466" priority="54" stopIfTrue="1">
      <formula>IF(AK8&gt;4,0,1)</formula>
    </cfRule>
  </conditionalFormatting>
  <conditionalFormatting sqref="Q22:S22">
    <cfRule type="expression" dxfId="1465" priority="55" stopIfTrue="1">
      <formula>IF(AK8&gt;5,0,1)</formula>
    </cfRule>
  </conditionalFormatting>
  <conditionalFormatting sqref="T22:V22">
    <cfRule type="expression" dxfId="1464" priority="56" stopIfTrue="1">
      <formula>IF(AK8&gt;6,0,1)</formula>
    </cfRule>
  </conditionalFormatting>
  <conditionalFormatting sqref="W22:Y22">
    <cfRule type="expression" dxfId="1463" priority="57" stopIfTrue="1">
      <formula>IF(AK8&gt;7,0,1)</formula>
    </cfRule>
  </conditionalFormatting>
  <conditionalFormatting sqref="Z22:AB22">
    <cfRule type="expression" dxfId="1462" priority="58" stopIfTrue="1">
      <formula>IF(AK8&gt;8,0,1)</formula>
    </cfRule>
  </conditionalFormatting>
  <conditionalFormatting sqref="AC22:AE22">
    <cfRule type="expression" dxfId="1461" priority="59" stopIfTrue="1">
      <formula>IF(AK8&gt;9,0,1)</formula>
    </cfRule>
  </conditionalFormatting>
  <conditionalFormatting sqref="E23:G23">
    <cfRule type="expression" dxfId="1460" priority="60" stopIfTrue="1">
      <formula>IF(AK8&gt;1,0,1)</formula>
    </cfRule>
  </conditionalFormatting>
  <conditionalFormatting sqref="H23:J23">
    <cfRule type="expression" dxfId="1459" priority="61" stopIfTrue="1">
      <formula>IF(AK8&gt;2,0,1)</formula>
    </cfRule>
  </conditionalFormatting>
  <conditionalFormatting sqref="K23:M23">
    <cfRule type="expression" dxfId="1458" priority="62" stopIfTrue="1">
      <formula>IF(AK8&gt;3,0,1)</formula>
    </cfRule>
  </conditionalFormatting>
  <conditionalFormatting sqref="N23:P23">
    <cfRule type="expression" dxfId="1457" priority="63" stopIfTrue="1">
      <formula>IF(AK8&gt;4,0,1)</formula>
    </cfRule>
  </conditionalFormatting>
  <conditionalFormatting sqref="Q23:S23">
    <cfRule type="expression" dxfId="1456" priority="64" stopIfTrue="1">
      <formula>IF(AK8&gt;5,0,1)</formula>
    </cfRule>
  </conditionalFormatting>
  <conditionalFormatting sqref="T23:V23">
    <cfRule type="expression" dxfId="1455" priority="65" stopIfTrue="1">
      <formula>IF(AK8&gt;6,0,1)</formula>
    </cfRule>
  </conditionalFormatting>
  <conditionalFormatting sqref="W23:Y23">
    <cfRule type="expression" dxfId="1454" priority="66" stopIfTrue="1">
      <formula>IF(AK8&gt;7,0,1)</formula>
    </cfRule>
  </conditionalFormatting>
  <conditionalFormatting sqref="Z23:AB23">
    <cfRule type="expression" dxfId="1453" priority="67" stopIfTrue="1">
      <formula>IF(AK8&gt;8,0,1)</formula>
    </cfRule>
  </conditionalFormatting>
  <conditionalFormatting sqref="AC23:AE23">
    <cfRule type="expression" dxfId="1452" priority="68" stopIfTrue="1">
      <formula>IF(AK8&gt;9,0,1)</formula>
    </cfRule>
  </conditionalFormatting>
  <conditionalFormatting sqref="B24">
    <cfRule type="expression" dxfId="1451" priority="69" stopIfTrue="1">
      <formula>IF(AK8&gt;0,0,1)</formula>
    </cfRule>
  </conditionalFormatting>
  <conditionalFormatting sqref="C24">
    <cfRule type="expression" dxfId="1450" priority="70" stopIfTrue="1">
      <formula>IF(AK8&gt;0,0,1)</formula>
    </cfRule>
  </conditionalFormatting>
  <conditionalFormatting sqref="D24">
    <cfRule type="expression" dxfId="1449" priority="71" stopIfTrue="1">
      <formula>IF(AK8&gt;0,0,1)</formula>
    </cfRule>
  </conditionalFormatting>
  <conditionalFormatting sqref="E24">
    <cfRule type="expression" dxfId="1448" priority="72" stopIfTrue="1">
      <formula>IF(AK8&gt;1,0,1)</formula>
    </cfRule>
  </conditionalFormatting>
  <conditionalFormatting sqref="F24">
    <cfRule type="expression" dxfId="1447" priority="73" stopIfTrue="1">
      <formula>IF(AK8&gt;1,0,1)</formula>
    </cfRule>
  </conditionalFormatting>
  <conditionalFormatting sqref="G24">
    <cfRule type="expression" dxfId="1446" priority="74" stopIfTrue="1">
      <formula>IF(AK8&gt;1,0,1)</formula>
    </cfRule>
  </conditionalFormatting>
  <conditionalFormatting sqref="H24">
    <cfRule type="expression" dxfId="1445" priority="75" stopIfTrue="1">
      <formula>IF(AK8&gt;2,0,1)</formula>
    </cfRule>
  </conditionalFormatting>
  <conditionalFormatting sqref="I24">
    <cfRule type="expression" dxfId="1444" priority="76" stopIfTrue="1">
      <formula>IF(AK8&gt;2,0,1)</formula>
    </cfRule>
  </conditionalFormatting>
  <conditionalFormatting sqref="J24">
    <cfRule type="expression" dxfId="1443" priority="77" stopIfTrue="1">
      <formula>IF(AK8&gt;2,0,1)</formula>
    </cfRule>
  </conditionalFormatting>
  <conditionalFormatting sqref="K24">
    <cfRule type="expression" dxfId="1442" priority="78" stopIfTrue="1">
      <formula>IF(AK8&gt;3,0,1)</formula>
    </cfRule>
  </conditionalFormatting>
  <conditionalFormatting sqref="L24">
    <cfRule type="expression" dxfId="1441" priority="79" stopIfTrue="1">
      <formula>IF(AK8&gt;3,0,1)</formula>
    </cfRule>
  </conditionalFormatting>
  <conditionalFormatting sqref="M24">
    <cfRule type="expression" dxfId="1440" priority="80" stopIfTrue="1">
      <formula>IF(AK8&gt;3,0,1)</formula>
    </cfRule>
  </conditionalFormatting>
  <conditionalFormatting sqref="N24">
    <cfRule type="expression" dxfId="1439" priority="81" stopIfTrue="1">
      <formula>IF(AK8&gt;4,0,1)</formula>
    </cfRule>
  </conditionalFormatting>
  <conditionalFormatting sqref="O24">
    <cfRule type="expression" dxfId="1438" priority="82" stopIfTrue="1">
      <formula>IF(AK8&gt;4,0,1)</formula>
    </cfRule>
  </conditionalFormatting>
  <conditionalFormatting sqref="P24">
    <cfRule type="expression" dxfId="1437" priority="83" stopIfTrue="1">
      <formula>IF(AK8&gt;4,0,1)</formula>
    </cfRule>
  </conditionalFormatting>
  <conditionalFormatting sqref="Q24">
    <cfRule type="expression" dxfId="1436" priority="84" stopIfTrue="1">
      <formula>IF(AK8&gt;5,0,1)</formula>
    </cfRule>
  </conditionalFormatting>
  <conditionalFormatting sqref="R24">
    <cfRule type="expression" dxfId="1435" priority="85" stopIfTrue="1">
      <formula>IF(AK8&gt;5,0,1)</formula>
    </cfRule>
  </conditionalFormatting>
  <conditionalFormatting sqref="S24">
    <cfRule type="expression" dxfId="1434" priority="86" stopIfTrue="1">
      <formula>IF(AK8&gt;5,0,1)</formula>
    </cfRule>
  </conditionalFormatting>
  <conditionalFormatting sqref="T24">
    <cfRule type="expression" dxfId="1433" priority="87" stopIfTrue="1">
      <formula>IF(AK8&gt;6,0,1)</formula>
    </cfRule>
  </conditionalFormatting>
  <conditionalFormatting sqref="U24">
    <cfRule type="expression" dxfId="1432" priority="88" stopIfTrue="1">
      <formula>IF(AK8&gt;6,0,1)</formula>
    </cfRule>
  </conditionalFormatting>
  <conditionalFormatting sqref="V24">
    <cfRule type="expression" dxfId="1431" priority="89" stopIfTrue="1">
      <formula>IF(AK8&gt;6,0,1)</formula>
    </cfRule>
  </conditionalFormatting>
  <conditionalFormatting sqref="W24">
    <cfRule type="expression" dxfId="1430" priority="90" stopIfTrue="1">
      <formula>IF(AK8&gt;7,0,1)</formula>
    </cfRule>
  </conditionalFormatting>
  <conditionalFormatting sqref="X24">
    <cfRule type="expression" dxfId="1429" priority="91" stopIfTrue="1">
      <formula>IF(AK8&gt;7,0,1)</formula>
    </cfRule>
  </conditionalFormatting>
  <conditionalFormatting sqref="Y24">
    <cfRule type="expression" dxfId="1428" priority="92" stopIfTrue="1">
      <formula>IF(AK8&gt;7,0,1)</formula>
    </cfRule>
  </conditionalFormatting>
  <conditionalFormatting sqref="Z24">
    <cfRule type="expression" dxfId="1427" priority="93" stopIfTrue="1">
      <formula>IF(AK8&gt;8,0,1)</formula>
    </cfRule>
  </conditionalFormatting>
  <conditionalFormatting sqref="AA24">
    <cfRule type="expression" dxfId="1426" priority="94" stopIfTrue="1">
      <formula>IF(AK8&gt;8,0,1)</formula>
    </cfRule>
  </conditionalFormatting>
  <conditionalFormatting sqref="AB24">
    <cfRule type="expression" dxfId="1425" priority="95" stopIfTrue="1">
      <formula>IF(AK8&gt;8,0,1)</formula>
    </cfRule>
  </conditionalFormatting>
  <conditionalFormatting sqref="AC24">
    <cfRule type="expression" dxfId="1424" priority="96" stopIfTrue="1">
      <formula>IF(AK8&gt;9,0,1)</formula>
    </cfRule>
  </conditionalFormatting>
  <conditionalFormatting sqref="AD24">
    <cfRule type="expression" dxfId="1423" priority="97" stopIfTrue="1">
      <formula>IF(AK8&gt;9,0,1)</formula>
    </cfRule>
  </conditionalFormatting>
  <conditionalFormatting sqref="AE24">
    <cfRule type="expression" dxfId="1422" priority="98" stopIfTrue="1">
      <formula>IF(AK8&gt;9,0,1)</formula>
    </cfRule>
  </conditionalFormatting>
  <conditionalFormatting sqref="A26">
    <cfRule type="expression" dxfId="1421" priority="99" stopIfTrue="1">
      <formula>IF(AK7&gt;1,0,1)</formula>
    </cfRule>
  </conditionalFormatting>
  <conditionalFormatting sqref="A27">
    <cfRule type="expression" dxfId="1420" priority="100" stopIfTrue="1">
      <formula>IF(AK7&gt;2,0,1)</formula>
    </cfRule>
  </conditionalFormatting>
  <conditionalFormatting sqref="A28">
    <cfRule type="expression" dxfId="1419" priority="101" stopIfTrue="1">
      <formula>IF(AK7&gt;3,0,1)</formula>
    </cfRule>
  </conditionalFormatting>
  <conditionalFormatting sqref="A29">
    <cfRule type="expression" dxfId="1418" priority="102" stopIfTrue="1">
      <formula>IF(AK7&gt;4,0,1)</formula>
    </cfRule>
  </conditionalFormatting>
  <conditionalFormatting sqref="B25:D25">
    <cfRule type="expression" dxfId="1417" priority="103" stopIfTrue="1">
      <formula>IF($AK8&gt;0,0,1)</formula>
    </cfRule>
  </conditionalFormatting>
  <conditionalFormatting sqref="B26:D26">
    <cfRule type="expression" dxfId="1416" priority="104" stopIfTrue="1">
      <formula>IF($AK8&lt;1,1,IF($AK7&lt;2,1,0))</formula>
    </cfRule>
  </conditionalFormatting>
  <conditionalFormatting sqref="B27:D27">
    <cfRule type="expression" dxfId="1415" priority="105" stopIfTrue="1">
      <formula>IF($AK8&lt;1,1,IF($AK7&lt;3,1,0))</formula>
    </cfRule>
  </conditionalFormatting>
  <conditionalFormatting sqref="B28:D28">
    <cfRule type="expression" dxfId="1414" priority="106" stopIfTrue="1">
      <formula>IF($AK8&lt;1,1,IF($AK7&lt;4,1,0))</formula>
    </cfRule>
  </conditionalFormatting>
  <conditionalFormatting sqref="B29:D29">
    <cfRule type="expression" dxfId="1413" priority="107" stopIfTrue="1">
      <formula>IF($AK8&lt;1,1,IF($AK7&lt;5,1,0))</formula>
    </cfRule>
  </conditionalFormatting>
  <conditionalFormatting sqref="AF26">
    <cfRule type="expression" dxfId="1412" priority="108" stopIfTrue="1">
      <formula>IF($AK9&gt;2,0,1)</formula>
    </cfRule>
  </conditionalFormatting>
  <conditionalFormatting sqref="AF25">
    <cfRule type="expression" dxfId="1411" priority="109" stopIfTrue="1">
      <formula>IF($AK9&gt;1,0,1)</formula>
    </cfRule>
  </conditionalFormatting>
  <conditionalFormatting sqref="AF24">
    <cfRule type="expression" dxfId="1410" priority="110" stopIfTrue="1">
      <formula>IF($AK9&gt;0,0,1)</formula>
    </cfRule>
  </conditionalFormatting>
  <conditionalFormatting sqref="AF27">
    <cfRule type="expression" dxfId="1409" priority="111" stopIfTrue="1">
      <formula>IF($AK9&gt;3,0,1)</formula>
    </cfRule>
  </conditionalFormatting>
  <conditionalFormatting sqref="AF28">
    <cfRule type="expression" dxfId="1408" priority="112" stopIfTrue="1">
      <formula>IF($AK9&gt;4,0,1)</formula>
    </cfRule>
  </conditionalFormatting>
  <conditionalFormatting sqref="AG23">
    <cfRule type="expression" dxfId="1407" priority="113" stopIfTrue="1">
      <formula>IF($AK8&lt;1,1,0)</formula>
    </cfRule>
  </conditionalFormatting>
  <conditionalFormatting sqref="AH23">
    <cfRule type="expression" dxfId="1406" priority="114" stopIfTrue="1">
      <formula>IF($AK8&lt;2,1,0)</formula>
    </cfRule>
  </conditionalFormatting>
  <conditionalFormatting sqref="AI23">
    <cfRule type="expression" dxfId="1405" priority="115" stopIfTrue="1">
      <formula>IF($AK8&lt;3,1,0)</formula>
    </cfRule>
  </conditionalFormatting>
  <conditionalFormatting sqref="AJ23">
    <cfRule type="expression" dxfId="1404" priority="116" stopIfTrue="1">
      <formula>IF($AK8&lt;4,1,0)</formula>
    </cfRule>
  </conditionalFormatting>
  <conditionalFormatting sqref="AK23">
    <cfRule type="expression" dxfId="1403" priority="117" stopIfTrue="1">
      <formula>IF($AK8&lt;5,1,0)</formula>
    </cfRule>
  </conditionalFormatting>
  <conditionalFormatting sqref="AL23">
    <cfRule type="expression" dxfId="1402" priority="118" stopIfTrue="1">
      <formula>IF($AK8&lt;6,1,0)</formula>
    </cfRule>
  </conditionalFormatting>
  <conditionalFormatting sqref="AM23">
    <cfRule type="expression" dxfId="1401" priority="119" stopIfTrue="1">
      <formula>IF($AK8&lt;7,1,0)</formula>
    </cfRule>
  </conditionalFormatting>
  <conditionalFormatting sqref="AN23">
    <cfRule type="expression" dxfId="1400" priority="120" stopIfTrue="1">
      <formula>IF($AK8&lt;8,1,0)</formula>
    </cfRule>
  </conditionalFormatting>
  <conditionalFormatting sqref="AO23">
    <cfRule type="expression" dxfId="1399" priority="121" stopIfTrue="1">
      <formula>IF($AK8&lt;9,1,0)</formula>
    </cfRule>
  </conditionalFormatting>
  <conditionalFormatting sqref="AP23">
    <cfRule type="expression" dxfId="1398" priority="122" stopIfTrue="1">
      <formula>IF($AK8&lt;10,1,0)</formula>
    </cfRule>
  </conditionalFormatting>
  <conditionalFormatting sqref="AQ24">
    <cfRule type="expression" dxfId="1397" priority="123" stopIfTrue="1">
      <formula>IF($AK9&gt;0,0,1)</formula>
    </cfRule>
  </conditionalFormatting>
  <conditionalFormatting sqref="AQ25">
    <cfRule type="expression" dxfId="1396" priority="124" stopIfTrue="1">
      <formula>IF($AK9&gt;1,0,1)</formula>
    </cfRule>
  </conditionalFormatting>
  <conditionalFormatting sqref="AQ26 H25:J25">
    <cfRule type="expression" dxfId="1395" priority="125" stopIfTrue="1">
      <formula>IF($AK8&gt;2,0,1)</formula>
    </cfRule>
  </conditionalFormatting>
  <conditionalFormatting sqref="AQ27">
    <cfRule type="expression" dxfId="1394" priority="126" stopIfTrue="1">
      <formula>IF($AK9&gt;3,0,1)</formula>
    </cfRule>
  </conditionalFormatting>
  <conditionalFormatting sqref="AQ28">
    <cfRule type="expression" dxfId="1393" priority="127" stopIfTrue="1">
      <formula>IF($AK9&gt;4,0,1)</formula>
    </cfRule>
  </conditionalFormatting>
  <conditionalFormatting sqref="E25:G25">
    <cfRule type="expression" dxfId="1392" priority="128" stopIfTrue="1">
      <formula>IF($AK8&gt;1,0,1)</formula>
    </cfRule>
  </conditionalFormatting>
  <conditionalFormatting sqref="E26:G26">
    <cfRule type="expression" dxfId="1391" priority="129" stopIfTrue="1">
      <formula>IF($AK8&lt;2,1,IF($AK7&lt;2,1,0))</formula>
    </cfRule>
  </conditionalFormatting>
  <conditionalFormatting sqref="E27:G27">
    <cfRule type="expression" dxfId="1390" priority="130" stopIfTrue="1">
      <formula>IF($AK8&lt;2,1,IF($AK7&lt;3,1,0))</formula>
    </cfRule>
  </conditionalFormatting>
  <conditionalFormatting sqref="E28:G28">
    <cfRule type="expression" dxfId="1389" priority="131" stopIfTrue="1">
      <formula>IF($AK8&lt;2,1,IF($AK7&lt;4,1,0))</formula>
    </cfRule>
  </conditionalFormatting>
  <conditionalFormatting sqref="E29:G29">
    <cfRule type="expression" dxfId="1388" priority="132" stopIfTrue="1">
      <formula>IF($AK8&lt;2,1,IF($AK7&lt;5,1,0))</formula>
    </cfRule>
  </conditionalFormatting>
  <conditionalFormatting sqref="K25:M25">
    <cfRule type="expression" dxfId="1387" priority="133" stopIfTrue="1">
      <formula>IF($AK8&gt;3,0,1)</formula>
    </cfRule>
  </conditionalFormatting>
  <conditionalFormatting sqref="N25:P25">
    <cfRule type="expression" dxfId="1386" priority="134" stopIfTrue="1">
      <formula>IF($AK8&gt;4,0,1)</formula>
    </cfRule>
  </conditionalFormatting>
  <conditionalFormatting sqref="Q25:S25">
    <cfRule type="expression" dxfId="1385" priority="135" stopIfTrue="1">
      <formula>IF($AK8&gt;5,0,1)</formula>
    </cfRule>
  </conditionalFormatting>
  <conditionalFormatting sqref="T25:V25">
    <cfRule type="expression" dxfId="1384" priority="136" stopIfTrue="1">
      <formula>IF($AK8&gt;6,0,1)</formula>
    </cfRule>
  </conditionalFormatting>
  <conditionalFormatting sqref="W25:Y25">
    <cfRule type="expression" dxfId="1383" priority="137" stopIfTrue="1">
      <formula>IF($AK8&gt;7,0,1)</formula>
    </cfRule>
  </conditionalFormatting>
  <conditionalFormatting sqref="Z25:AB25">
    <cfRule type="expression" dxfId="1382" priority="138" stopIfTrue="1">
      <formula>IF($AK8&gt;8,0,1)</formula>
    </cfRule>
  </conditionalFormatting>
  <conditionalFormatting sqref="AC25:AE25">
    <cfRule type="expression" dxfId="1381" priority="139" stopIfTrue="1">
      <formula>IF($AK8&gt;9,0,1)</formula>
    </cfRule>
  </conditionalFormatting>
  <conditionalFormatting sqref="H26:J26">
    <cfRule type="expression" dxfId="1380" priority="140" stopIfTrue="1">
      <formula>IF($AK8&lt;3,1,IF($AK7&lt;2,1,0))</formula>
    </cfRule>
  </conditionalFormatting>
  <conditionalFormatting sqref="K26:M26">
    <cfRule type="expression" dxfId="1379" priority="141" stopIfTrue="1">
      <formula>IF($AK8&lt;4,1,IF($AK7&lt;2,1,0))</formula>
    </cfRule>
  </conditionalFormatting>
  <conditionalFormatting sqref="N26:P26">
    <cfRule type="expression" dxfId="1378" priority="142" stopIfTrue="1">
      <formula>IF($AK8&lt;5,1,IF($AK7&lt;2,1,0))</formula>
    </cfRule>
  </conditionalFormatting>
  <conditionalFormatting sqref="Q26:S26">
    <cfRule type="expression" dxfId="1377" priority="143" stopIfTrue="1">
      <formula>IF($AK8&lt;6,1,IF($AK7&lt;2,1,0))</formula>
    </cfRule>
  </conditionalFormatting>
  <conditionalFormatting sqref="T26:V26">
    <cfRule type="expression" dxfId="1376" priority="144" stopIfTrue="1">
      <formula>IF($AK8&lt;7,1,IF($AK7&lt;2,1,0))</formula>
    </cfRule>
  </conditionalFormatting>
  <conditionalFormatting sqref="W26:Y26">
    <cfRule type="expression" dxfId="1375" priority="145" stopIfTrue="1">
      <formula>IF($AK8&lt;8,1,IF($AK7&lt;2,1,0))</formula>
    </cfRule>
  </conditionalFormatting>
  <conditionalFormatting sqref="Z26:AB26">
    <cfRule type="expression" dxfId="1374" priority="146" stopIfTrue="1">
      <formula>IF($AK8&lt;9,1,IF($AK7&lt;2,1,0))</formula>
    </cfRule>
  </conditionalFormatting>
  <conditionalFormatting sqref="AC26:AE26">
    <cfRule type="expression" dxfId="1373" priority="147" stopIfTrue="1">
      <formula>IF($AK8&lt;10,1,IF($AK7&lt;2,1,0))</formula>
    </cfRule>
  </conditionalFormatting>
  <conditionalFormatting sqref="H27:J27">
    <cfRule type="expression" dxfId="1372" priority="148" stopIfTrue="1">
      <formula>IF($AK8&lt;3,1,IF($AK7&lt;3,1,0))</formula>
    </cfRule>
  </conditionalFormatting>
  <conditionalFormatting sqref="K27:M27">
    <cfRule type="expression" dxfId="1371" priority="149" stopIfTrue="1">
      <formula>IF($AK8&lt;4,1,IF($AK7&lt;3,1,0))</formula>
    </cfRule>
  </conditionalFormatting>
  <conditionalFormatting sqref="N27:P27">
    <cfRule type="expression" dxfId="1370" priority="150" stopIfTrue="1">
      <formula>IF($AK8&lt;5,1,IF($AK7&lt;3,1,0))</formula>
    </cfRule>
  </conditionalFormatting>
  <conditionalFormatting sqref="Q27:S27">
    <cfRule type="expression" dxfId="1369" priority="151" stopIfTrue="1">
      <formula>IF($AK8&lt;6,1,IF($AK7&lt;3,1,0))</formula>
    </cfRule>
  </conditionalFormatting>
  <conditionalFormatting sqref="T27:V27">
    <cfRule type="expression" dxfId="1368" priority="152" stopIfTrue="1">
      <formula>IF($AK8&lt;7,1,IF($AK7&lt;3,1,0))</formula>
    </cfRule>
  </conditionalFormatting>
  <conditionalFormatting sqref="W27:Y27">
    <cfRule type="expression" dxfId="1367" priority="153" stopIfTrue="1">
      <formula>IF($AK8&lt;8,1,IF($AK7&lt;3,1,0))</formula>
    </cfRule>
  </conditionalFormatting>
  <conditionalFormatting sqref="Z27:AB27">
    <cfRule type="expression" dxfId="1366" priority="154" stopIfTrue="1">
      <formula>IF($AK8&lt;9,1,IF($AK7&lt;3,1,0))</formula>
    </cfRule>
  </conditionalFormatting>
  <conditionalFormatting sqref="AC27:AE27">
    <cfRule type="expression" dxfId="1365" priority="155" stopIfTrue="1">
      <formula>IF($AK8&lt;10,1,IF($AK7&lt;3,1,0))</formula>
    </cfRule>
  </conditionalFormatting>
  <conditionalFormatting sqref="H28:J28">
    <cfRule type="expression" dxfId="1364" priority="156" stopIfTrue="1">
      <formula>IF($AK8&lt;3,1,IF($AK7&lt;4,1,0))</formula>
    </cfRule>
  </conditionalFormatting>
  <conditionalFormatting sqref="K28:M28">
    <cfRule type="expression" dxfId="1363" priority="157" stopIfTrue="1">
      <formula>IF($AK8&lt;4,1,IF($AK7&lt;4,1,0))</formula>
    </cfRule>
  </conditionalFormatting>
  <conditionalFormatting sqref="N28:P28">
    <cfRule type="expression" dxfId="1362" priority="158" stopIfTrue="1">
      <formula>IF($AK8&lt;5,1,IF($AK7&lt;4,1,0))</formula>
    </cfRule>
  </conditionalFormatting>
  <conditionalFormatting sqref="Q28:S28">
    <cfRule type="expression" dxfId="1361" priority="159" stopIfTrue="1">
      <formula>IF($AK8&lt;6,1,IF($AK7&lt;4,1,0))</formula>
    </cfRule>
  </conditionalFormatting>
  <conditionalFormatting sqref="T28:V28">
    <cfRule type="expression" dxfId="1360" priority="160" stopIfTrue="1">
      <formula>IF($AK8&lt;7,1,IF($AK7&lt;4,1,0))</formula>
    </cfRule>
  </conditionalFormatting>
  <conditionalFormatting sqref="W28:Y28">
    <cfRule type="expression" dxfId="1359" priority="161" stopIfTrue="1">
      <formula>IF($AK8&lt;8,1,IF($AK7&lt;4,1,0))</formula>
    </cfRule>
  </conditionalFormatting>
  <conditionalFormatting sqref="Z28:AB28">
    <cfRule type="expression" dxfId="1358" priority="162" stopIfTrue="1">
      <formula>IF($AK8&lt;9,1,IF($AK7&lt;4,1,0))</formula>
    </cfRule>
  </conditionalFormatting>
  <conditionalFormatting sqref="AC28:AE28">
    <cfRule type="expression" dxfId="1357" priority="163" stopIfTrue="1">
      <formula>IF($AK8&lt;10,1,IF($AK7&lt;4,1,0))</formula>
    </cfRule>
  </conditionalFormatting>
  <conditionalFormatting sqref="H29:J29">
    <cfRule type="expression" dxfId="1356" priority="164" stopIfTrue="1">
      <formula>IF($AK8&lt;3,1,IF($AK7&lt;5,1,0))</formula>
    </cfRule>
  </conditionalFormatting>
  <conditionalFormatting sqref="K29:M29">
    <cfRule type="expression" dxfId="1355" priority="165" stopIfTrue="1">
      <formula>IF($AK8&lt;4,1,IF($AK7&lt;5,1,0))</formula>
    </cfRule>
  </conditionalFormatting>
  <conditionalFormatting sqref="N29:P29">
    <cfRule type="expression" dxfId="1354" priority="166" stopIfTrue="1">
      <formula>IF($AK8&lt;5,1,IF($AK7&lt;5,1,0))</formula>
    </cfRule>
  </conditionalFormatting>
  <conditionalFormatting sqref="Q29:S29">
    <cfRule type="expression" dxfId="1353" priority="167" stopIfTrue="1">
      <formula>IF($AK8&lt;6,1,IF($AK7&lt;5,1,0))</formula>
    </cfRule>
  </conditionalFormatting>
  <conditionalFormatting sqref="T29:V29">
    <cfRule type="expression" dxfId="1352" priority="168" stopIfTrue="1">
      <formula>IF($AK8&lt;7,1,IF($AK7&lt;5,1,0))</formula>
    </cfRule>
  </conditionalFormatting>
  <conditionalFormatting sqref="W29:Y29">
    <cfRule type="expression" dxfId="1351" priority="169" stopIfTrue="1">
      <formula>IF($AK8&lt;8,1,IF($AK7&lt;5,1,0))</formula>
    </cfRule>
  </conditionalFormatting>
  <conditionalFormatting sqref="Z29:AB29">
    <cfRule type="expression" dxfId="1350" priority="170" stopIfTrue="1">
      <formula>IF($AK8&lt;9,1,IF($AK7&lt;5,1,0))</formula>
    </cfRule>
  </conditionalFormatting>
  <conditionalFormatting sqref="AC29:AE29">
    <cfRule type="expression" dxfId="1349" priority="171" stopIfTrue="1">
      <formula>IF($AK8&lt;10,1,IF($AK7&lt;5,1,0))</formula>
    </cfRule>
  </conditionalFormatting>
  <conditionalFormatting sqref="R8:AB9 AF8:AF9 L8:P9 AG8">
    <cfRule type="expression" dxfId="1348" priority="172" stopIfTrue="1">
      <formula>IF($AK9&gt;0,0,1)</formula>
    </cfRule>
  </conditionalFormatting>
  <conditionalFormatting sqref="R10:AB11 AF10:AF11 L10:P11 AG10">
    <cfRule type="expression" dxfId="1347" priority="173" stopIfTrue="1">
      <formula>IF($AK9&gt;1,0,1)</formula>
    </cfRule>
  </conditionalFormatting>
  <conditionalFormatting sqref="R12:AB13 AF12:AF13 L12:P13 AG12">
    <cfRule type="expression" dxfId="1346" priority="174" stopIfTrue="1">
      <formula>IF($AK9&gt;2,0,1)</formula>
    </cfRule>
  </conditionalFormatting>
  <conditionalFormatting sqref="R14:AB15 AF14:AF15 L14:P15 AG14">
    <cfRule type="expression" dxfId="1345" priority="175" stopIfTrue="1">
      <formula>IF($AK9&gt;3,0,1)</formula>
    </cfRule>
  </conditionalFormatting>
  <conditionalFormatting sqref="R16:AB17 AF16:AF17 L16:P17 AG16">
    <cfRule type="expression" dxfId="1344" priority="176" stopIfTrue="1">
      <formula>IF($AK9&gt;4,0,1)</formula>
    </cfRule>
  </conditionalFormatting>
  <conditionalFormatting sqref="E8">
    <cfRule type="expression" dxfId="1343" priority="177" stopIfTrue="1">
      <formula>IF(AK9&gt;0,0,1)</formula>
    </cfRule>
  </conditionalFormatting>
  <conditionalFormatting sqref="E9">
    <cfRule type="expression" dxfId="1342" priority="178" stopIfTrue="1">
      <formula>IF(AK9&gt;0,0,1)</formula>
    </cfRule>
  </conditionalFormatting>
  <conditionalFormatting sqref="E10">
    <cfRule type="expression" dxfId="1341" priority="179" stopIfTrue="1">
      <formula>IF(AK9&gt;1,0,1)</formula>
    </cfRule>
  </conditionalFormatting>
  <conditionalFormatting sqref="E11">
    <cfRule type="expression" dxfId="1340" priority="180" stopIfTrue="1">
      <formula>IF(AK9&gt;1,0,1)</formula>
    </cfRule>
  </conditionalFormatting>
  <conditionalFormatting sqref="E12">
    <cfRule type="expression" dxfId="1339" priority="181" stopIfTrue="1">
      <formula>IF(AK9&gt;2,0,1)</formula>
    </cfRule>
  </conditionalFormatting>
  <conditionalFormatting sqref="E13">
    <cfRule type="expression" dxfId="1338" priority="182" stopIfTrue="1">
      <formula>IF(AK9&gt;2,0,1)</formula>
    </cfRule>
  </conditionalFormatting>
  <conditionalFormatting sqref="E14">
    <cfRule type="expression" dxfId="1337" priority="183" stopIfTrue="1">
      <formula>IF(AK9&gt;3,0,1)</formula>
    </cfRule>
  </conditionalFormatting>
  <conditionalFormatting sqref="E15">
    <cfRule type="expression" dxfId="1336" priority="184" stopIfTrue="1">
      <formula>IF(AK9&gt;3,0,1)</formula>
    </cfRule>
  </conditionalFormatting>
  <conditionalFormatting sqref="E16">
    <cfRule type="expression" dxfId="1335" priority="185" stopIfTrue="1">
      <formula>IF(AK9&gt;4,0,1)</formula>
    </cfRule>
  </conditionalFormatting>
  <conditionalFormatting sqref="E17">
    <cfRule type="expression" dxfId="1334" priority="186" stopIfTrue="1">
      <formula>IF(AK9&gt;4,0,1)</formula>
    </cfRule>
  </conditionalFormatting>
  <conditionalFormatting sqref="B21:D21">
    <cfRule type="expression" dxfId="1333" priority="187" stopIfTrue="1">
      <formula>IF(AK8&gt;0,0,1)</formula>
    </cfRule>
  </conditionalFormatting>
  <conditionalFormatting sqref="E21:G21">
    <cfRule type="expression" dxfId="1332" priority="188" stopIfTrue="1">
      <formula>IF(AK8&gt;1,0,1)</formula>
    </cfRule>
  </conditionalFormatting>
  <conditionalFormatting sqref="H21:J21">
    <cfRule type="expression" dxfId="1331" priority="189" stopIfTrue="1">
      <formula>IF(AK8&gt;2,0,1)</formula>
    </cfRule>
  </conditionalFormatting>
  <conditionalFormatting sqref="K21:M21">
    <cfRule type="expression" dxfId="1330" priority="190" stopIfTrue="1">
      <formula>IF(AK8&gt;3,0,1)</formula>
    </cfRule>
  </conditionalFormatting>
  <conditionalFormatting sqref="N21:P21">
    <cfRule type="expression" dxfId="1329" priority="191" stopIfTrue="1">
      <formula>IF(AK8&gt;4,0,1)</formula>
    </cfRule>
  </conditionalFormatting>
  <conditionalFormatting sqref="Q21:S21">
    <cfRule type="expression" dxfId="1328" priority="192" stopIfTrue="1">
      <formula>IF(AK8&gt;5,0,1)</formula>
    </cfRule>
  </conditionalFormatting>
  <conditionalFormatting sqref="T21:V21">
    <cfRule type="expression" dxfId="1327" priority="193" stopIfTrue="1">
      <formula>IF(AK8&gt;6,0,1)</formula>
    </cfRule>
  </conditionalFormatting>
  <conditionalFormatting sqref="W21:Y21">
    <cfRule type="expression" dxfId="1326" priority="194" stopIfTrue="1">
      <formula>IF(AK8&gt;7,0,1)</formula>
    </cfRule>
  </conditionalFormatting>
  <conditionalFormatting sqref="Z21:AB21">
    <cfRule type="expression" dxfId="1325" priority="195" stopIfTrue="1">
      <formula>IF(AK8&gt;8,0,1)</formula>
    </cfRule>
  </conditionalFormatting>
  <conditionalFormatting sqref="AC21:AE21">
    <cfRule type="expression" dxfId="1324" priority="196" stopIfTrue="1">
      <formula>IF(AK8&gt;9,0,1)</formula>
    </cfRule>
  </conditionalFormatting>
  <conditionalFormatting sqref="X138:X139 W129:W130 X129:Y129 W132:Y137 Z133:AE136 AA137:AA139 I137:I139 C138:C139 B129:B130 C129:D129 B132:D137 E133:J136 F137:F139 AD137:AD139">
    <cfRule type="expression" dxfId="1323" priority="197" stopIfTrue="1">
      <formula>IF(#REF!&gt;0,0,1)</formula>
    </cfRule>
  </conditionalFormatting>
  <conditionalFormatting sqref="AA129:AB129 AB137 AA132:AB132 Z137 Z129:Z132 F129:G129 G137 F132:G132 E137 E129:E132 T140:AE147">
    <cfRule type="expression" dxfId="1322" priority="198" stopIfTrue="1">
      <formula>IF(#REF!&gt;1,0,1)</formula>
    </cfRule>
  </conditionalFormatting>
  <conditionalFormatting sqref="AC129:AC132 AD129:AE129 AE137 AD132:AE132 AC137 H137 H129:H132 I129:J129 J137 I132:J132">
    <cfRule type="expression" dxfId="1321" priority="199" stopIfTrue="1">
      <formula>IF(#REF!&gt;2,0,1)</formula>
    </cfRule>
  </conditionalFormatting>
  <conditionalFormatting sqref="W138 Y138 B138 D138">
    <cfRule type="expression" dxfId="1320" priority="200" stopIfTrue="1">
      <formula>IF(#REF!&lt;1,1,IF(#REF!&lt;2,1,0))</formula>
    </cfRule>
  </conditionalFormatting>
  <conditionalFormatting sqref="Z138 AB138 E138 G138">
    <cfRule type="expression" dxfId="1319" priority="201" stopIfTrue="1">
      <formula>IF(#REF!&lt;2,1,IF(#REF!&lt;2,1,0))</formula>
    </cfRule>
  </conditionalFormatting>
  <conditionalFormatting sqref="AC138 AE138 H138 J138">
    <cfRule type="expression" dxfId="1318" priority="202" stopIfTrue="1">
      <formula>IF(#REF!&lt;3,1,IF(#REF!&lt;2,1,0))</formula>
    </cfRule>
  </conditionalFormatting>
  <conditionalFormatting sqref="Y139 B139 D139 W139">
    <cfRule type="expression" dxfId="1317" priority="203" stopIfTrue="1">
      <formula>IF(#REF!&lt;1,1,IF(#REF!&lt;3,1,0))</formula>
    </cfRule>
  </conditionalFormatting>
  <conditionalFormatting sqref="AB139 E139 G139 Z139">
    <cfRule type="expression" dxfId="1316" priority="204" stopIfTrue="1">
      <formula>IF(#REF!&lt;2,1,IF(#REF!&lt;3,1,0))</formula>
    </cfRule>
  </conditionalFormatting>
  <conditionalFormatting sqref="AE139 H139 J139 AC139">
    <cfRule type="expression" dxfId="1315" priority="205" stopIfTrue="1">
      <formula>IF(#REF!&lt;3,1,IF(#REF!&lt;3,1,0))</formula>
    </cfRule>
  </conditionalFormatting>
  <conditionalFormatting sqref="AG24:AP28">
    <cfRule type="cellIs" dxfId="1314" priority="206" stopIfTrue="1" operator="notBetween">
      <formula>-9999</formula>
      <formula>9999</formula>
    </cfRule>
  </conditionalFormatting>
  <conditionalFormatting sqref="AC7">
    <cfRule type="expression" dxfId="1313" priority="207" stopIfTrue="1">
      <formula>IF($AK$11=0,1,0)</formula>
    </cfRule>
  </conditionalFormatting>
  <conditionalFormatting sqref="B22:D23">
    <cfRule type="cellIs" dxfId="1312" priority="208" stopIfTrue="1" operator="equal">
      <formula>99</formula>
    </cfRule>
  </conditionalFormatting>
  <conditionalFormatting sqref="C140 F140">
    <cfRule type="expression" dxfId="1311" priority="209" stopIfTrue="1">
      <formula>IF(#REF!&gt;0,0,1)</formula>
    </cfRule>
  </conditionalFormatting>
  <conditionalFormatting sqref="K129">
    <cfRule type="expression" dxfId="1310" priority="5" stopIfTrue="1">
      <formula>IF(#REF!&gt;2,0,1)</formula>
    </cfRule>
  </conditionalFormatting>
  <conditionalFormatting sqref="K129">
    <cfRule type="expression" dxfId="1309" priority="4" stopIfTrue="1">
      <formula>IF(#REF!&gt;2,0,1)</formula>
    </cfRule>
  </conditionalFormatting>
  <conditionalFormatting sqref="K129">
    <cfRule type="expression" dxfId="1308" priority="3" stopIfTrue="1">
      <formula>IF(#REF!&gt;2,0,1)</formula>
    </cfRule>
  </conditionalFormatting>
  <conditionalFormatting sqref="K129">
    <cfRule type="expression" dxfId="1307" priority="2" stopIfTrue="1">
      <formula>IF(ISNUMBER(K137),0,1)</formula>
    </cfRule>
  </conditionalFormatting>
  <conditionalFormatting sqref="B18">
    <cfRule type="expression" dxfId="1306" priority="1" stopIfTrue="1">
      <formula>IF($AK$9&gt;0,0,1)</formula>
    </cfRule>
  </conditionalFormatting>
  <pageMargins left="0.25" right="0.25" top="0.25" bottom="0.25" header="0" footer="0"/>
  <pageSetup scale="80" fitToHeight="3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3073" r:id="rId4" name="Pool1RecalcFinish">
          <controlPr defaultSize="0" autoLine="0" r:id="rId5">
            <anchor moveWithCells="1" sizeWithCells="1">
              <from>
                <xdr:col>36</xdr:col>
                <xdr:colOff>104775</xdr:colOff>
                <xdr:row>13</xdr:row>
                <xdr:rowOff>9525</xdr:rowOff>
              </from>
              <to>
                <xdr:col>41</xdr:col>
                <xdr:colOff>228600</xdr:colOff>
                <xdr:row>16</xdr:row>
                <xdr:rowOff>104775</xdr:rowOff>
              </to>
            </anchor>
          </controlPr>
        </control>
      </mc:Choice>
      <mc:Fallback>
        <control shapeId="3073" r:id="rId4" name="Pool1RecalcFinish"/>
      </mc:Fallback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tabColor rgb="FF00FF00"/>
  </sheetPr>
  <dimension ref="A1:BY658"/>
  <sheetViews>
    <sheetView zoomScale="70" zoomScaleNormal="70" workbookViewId="0">
      <selection activeCell="AU17" sqref="AU17"/>
    </sheetView>
  </sheetViews>
  <sheetFormatPr defaultColWidth="8.7109375" defaultRowHeight="12.75" x14ac:dyDescent="0.2"/>
  <cols>
    <col min="1" max="1" width="8.7109375" style="4"/>
    <col min="2" max="2" width="3.7109375" style="4" customWidth="1"/>
    <col min="3" max="3" width="2.28515625" style="4" customWidth="1"/>
    <col min="4" max="5" width="3.7109375" style="4" customWidth="1"/>
    <col min="6" max="6" width="2.28515625" style="4" customWidth="1"/>
    <col min="7" max="8" width="3.7109375" style="4" customWidth="1"/>
    <col min="9" max="9" width="2.28515625" style="4" customWidth="1"/>
    <col min="10" max="11" width="3.7109375" style="4" customWidth="1"/>
    <col min="12" max="12" width="2.28515625" style="4" customWidth="1"/>
    <col min="13" max="14" width="3.7109375" style="4" customWidth="1"/>
    <col min="15" max="15" width="2.28515625" style="4" customWidth="1"/>
    <col min="16" max="17" width="3.7109375" style="4" customWidth="1"/>
    <col min="18" max="18" width="2.28515625" style="4" customWidth="1"/>
    <col min="19" max="20" width="3.7109375" style="4" customWidth="1"/>
    <col min="21" max="21" width="2.28515625" style="4" customWidth="1"/>
    <col min="22" max="23" width="3.7109375" style="4" customWidth="1"/>
    <col min="24" max="24" width="2.28515625" style="4" customWidth="1"/>
    <col min="25" max="26" width="3.7109375" style="4" customWidth="1"/>
    <col min="27" max="27" width="2.28515625" style="4" customWidth="1"/>
    <col min="28" max="29" width="3.7109375" style="4" customWidth="1"/>
    <col min="30" max="30" width="2.28515625" style="4" customWidth="1"/>
    <col min="31" max="31" width="3.7109375" style="4" customWidth="1"/>
    <col min="32" max="32" width="9.7109375" style="4" customWidth="1"/>
    <col min="33" max="42" width="3.7109375" style="4" customWidth="1"/>
    <col min="43" max="43" width="11" style="4" customWidth="1"/>
    <col min="44" max="46" width="8.7109375" style="4"/>
    <col min="47" max="47" width="21" style="4" customWidth="1"/>
    <col min="48" max="48" width="24.42578125" style="4" customWidth="1"/>
    <col min="49" max="49" width="15.28515625" style="129" customWidth="1"/>
    <col min="50" max="50" width="10.5703125" style="4" customWidth="1"/>
    <col min="51" max="51" width="11.28515625" style="4" customWidth="1"/>
    <col min="52" max="52" width="25" style="4" customWidth="1"/>
    <col min="53" max="53" width="6" style="4" customWidth="1"/>
    <col min="54" max="257" width="8.7109375" style="4"/>
    <col min="258" max="258" width="3.7109375" style="4" customWidth="1"/>
    <col min="259" max="259" width="2.28515625" style="4" customWidth="1"/>
    <col min="260" max="261" width="3.7109375" style="4" customWidth="1"/>
    <col min="262" max="262" width="2.28515625" style="4" customWidth="1"/>
    <col min="263" max="264" width="3.7109375" style="4" customWidth="1"/>
    <col min="265" max="265" width="2.28515625" style="4" customWidth="1"/>
    <col min="266" max="267" width="3.7109375" style="4" customWidth="1"/>
    <col min="268" max="268" width="2.28515625" style="4" customWidth="1"/>
    <col min="269" max="270" width="3.7109375" style="4" customWidth="1"/>
    <col min="271" max="271" width="2.28515625" style="4" customWidth="1"/>
    <col min="272" max="273" width="3.7109375" style="4" customWidth="1"/>
    <col min="274" max="274" width="2.28515625" style="4" customWidth="1"/>
    <col min="275" max="276" width="3.7109375" style="4" customWidth="1"/>
    <col min="277" max="277" width="2.28515625" style="4" customWidth="1"/>
    <col min="278" max="279" width="3.7109375" style="4" customWidth="1"/>
    <col min="280" max="280" width="2.28515625" style="4" customWidth="1"/>
    <col min="281" max="282" width="3.7109375" style="4" customWidth="1"/>
    <col min="283" max="283" width="2.28515625" style="4" customWidth="1"/>
    <col min="284" max="285" width="3.7109375" style="4" customWidth="1"/>
    <col min="286" max="286" width="2.28515625" style="4" customWidth="1"/>
    <col min="287" max="287" width="3.7109375" style="4" customWidth="1"/>
    <col min="288" max="288" width="9.7109375" style="4" customWidth="1"/>
    <col min="289" max="298" width="3.7109375" style="4" customWidth="1"/>
    <col min="299" max="299" width="11" style="4" customWidth="1"/>
    <col min="300" max="302" width="8.7109375" style="4"/>
    <col min="303" max="303" width="21" style="4" customWidth="1"/>
    <col min="304" max="304" width="24.42578125" style="4" customWidth="1"/>
    <col min="305" max="305" width="15.28515625" style="4" customWidth="1"/>
    <col min="306" max="306" width="10.5703125" style="4" customWidth="1"/>
    <col min="307" max="307" width="11.28515625" style="4" customWidth="1"/>
    <col min="308" max="308" width="25" style="4" customWidth="1"/>
    <col min="309" max="309" width="6" style="4" customWidth="1"/>
    <col min="310" max="513" width="8.7109375" style="4"/>
    <col min="514" max="514" width="3.7109375" style="4" customWidth="1"/>
    <col min="515" max="515" width="2.28515625" style="4" customWidth="1"/>
    <col min="516" max="517" width="3.7109375" style="4" customWidth="1"/>
    <col min="518" max="518" width="2.28515625" style="4" customWidth="1"/>
    <col min="519" max="520" width="3.7109375" style="4" customWidth="1"/>
    <col min="521" max="521" width="2.28515625" style="4" customWidth="1"/>
    <col min="522" max="523" width="3.7109375" style="4" customWidth="1"/>
    <col min="524" max="524" width="2.28515625" style="4" customWidth="1"/>
    <col min="525" max="526" width="3.7109375" style="4" customWidth="1"/>
    <col min="527" max="527" width="2.28515625" style="4" customWidth="1"/>
    <col min="528" max="529" width="3.7109375" style="4" customWidth="1"/>
    <col min="530" max="530" width="2.28515625" style="4" customWidth="1"/>
    <col min="531" max="532" width="3.7109375" style="4" customWidth="1"/>
    <col min="533" max="533" width="2.28515625" style="4" customWidth="1"/>
    <col min="534" max="535" width="3.7109375" style="4" customWidth="1"/>
    <col min="536" max="536" width="2.28515625" style="4" customWidth="1"/>
    <col min="537" max="538" width="3.7109375" style="4" customWidth="1"/>
    <col min="539" max="539" width="2.28515625" style="4" customWidth="1"/>
    <col min="540" max="541" width="3.7109375" style="4" customWidth="1"/>
    <col min="542" max="542" width="2.28515625" style="4" customWidth="1"/>
    <col min="543" max="543" width="3.7109375" style="4" customWidth="1"/>
    <col min="544" max="544" width="9.7109375" style="4" customWidth="1"/>
    <col min="545" max="554" width="3.7109375" style="4" customWidth="1"/>
    <col min="555" max="555" width="11" style="4" customWidth="1"/>
    <col min="556" max="558" width="8.7109375" style="4"/>
    <col min="559" max="559" width="21" style="4" customWidth="1"/>
    <col min="560" max="560" width="24.42578125" style="4" customWidth="1"/>
    <col min="561" max="561" width="15.28515625" style="4" customWidth="1"/>
    <col min="562" max="562" width="10.5703125" style="4" customWidth="1"/>
    <col min="563" max="563" width="11.28515625" style="4" customWidth="1"/>
    <col min="564" max="564" width="25" style="4" customWidth="1"/>
    <col min="565" max="565" width="6" style="4" customWidth="1"/>
    <col min="566" max="769" width="8.7109375" style="4"/>
    <col min="770" max="770" width="3.7109375" style="4" customWidth="1"/>
    <col min="771" max="771" width="2.28515625" style="4" customWidth="1"/>
    <col min="772" max="773" width="3.7109375" style="4" customWidth="1"/>
    <col min="774" max="774" width="2.28515625" style="4" customWidth="1"/>
    <col min="775" max="776" width="3.7109375" style="4" customWidth="1"/>
    <col min="777" max="777" width="2.28515625" style="4" customWidth="1"/>
    <col min="778" max="779" width="3.7109375" style="4" customWidth="1"/>
    <col min="780" max="780" width="2.28515625" style="4" customWidth="1"/>
    <col min="781" max="782" width="3.7109375" style="4" customWidth="1"/>
    <col min="783" max="783" width="2.28515625" style="4" customWidth="1"/>
    <col min="784" max="785" width="3.7109375" style="4" customWidth="1"/>
    <col min="786" max="786" width="2.28515625" style="4" customWidth="1"/>
    <col min="787" max="788" width="3.7109375" style="4" customWidth="1"/>
    <col min="789" max="789" width="2.28515625" style="4" customWidth="1"/>
    <col min="790" max="791" width="3.7109375" style="4" customWidth="1"/>
    <col min="792" max="792" width="2.28515625" style="4" customWidth="1"/>
    <col min="793" max="794" width="3.7109375" style="4" customWidth="1"/>
    <col min="795" max="795" width="2.28515625" style="4" customWidth="1"/>
    <col min="796" max="797" width="3.7109375" style="4" customWidth="1"/>
    <col min="798" max="798" width="2.28515625" style="4" customWidth="1"/>
    <col min="799" max="799" width="3.7109375" style="4" customWidth="1"/>
    <col min="800" max="800" width="9.7109375" style="4" customWidth="1"/>
    <col min="801" max="810" width="3.7109375" style="4" customWidth="1"/>
    <col min="811" max="811" width="11" style="4" customWidth="1"/>
    <col min="812" max="814" width="8.7109375" style="4"/>
    <col min="815" max="815" width="21" style="4" customWidth="1"/>
    <col min="816" max="816" width="24.42578125" style="4" customWidth="1"/>
    <col min="817" max="817" width="15.28515625" style="4" customWidth="1"/>
    <col min="818" max="818" width="10.5703125" style="4" customWidth="1"/>
    <col min="819" max="819" width="11.28515625" style="4" customWidth="1"/>
    <col min="820" max="820" width="25" style="4" customWidth="1"/>
    <col min="821" max="821" width="6" style="4" customWidth="1"/>
    <col min="822" max="1025" width="8.7109375" style="4"/>
    <col min="1026" max="1026" width="3.7109375" style="4" customWidth="1"/>
    <col min="1027" max="1027" width="2.28515625" style="4" customWidth="1"/>
    <col min="1028" max="1029" width="3.7109375" style="4" customWidth="1"/>
    <col min="1030" max="1030" width="2.28515625" style="4" customWidth="1"/>
    <col min="1031" max="1032" width="3.7109375" style="4" customWidth="1"/>
    <col min="1033" max="1033" width="2.28515625" style="4" customWidth="1"/>
    <col min="1034" max="1035" width="3.7109375" style="4" customWidth="1"/>
    <col min="1036" max="1036" width="2.28515625" style="4" customWidth="1"/>
    <col min="1037" max="1038" width="3.7109375" style="4" customWidth="1"/>
    <col min="1039" max="1039" width="2.28515625" style="4" customWidth="1"/>
    <col min="1040" max="1041" width="3.7109375" style="4" customWidth="1"/>
    <col min="1042" max="1042" width="2.28515625" style="4" customWidth="1"/>
    <col min="1043" max="1044" width="3.7109375" style="4" customWidth="1"/>
    <col min="1045" max="1045" width="2.28515625" style="4" customWidth="1"/>
    <col min="1046" max="1047" width="3.7109375" style="4" customWidth="1"/>
    <col min="1048" max="1048" width="2.28515625" style="4" customWidth="1"/>
    <col min="1049" max="1050" width="3.7109375" style="4" customWidth="1"/>
    <col min="1051" max="1051" width="2.28515625" style="4" customWidth="1"/>
    <col min="1052" max="1053" width="3.7109375" style="4" customWidth="1"/>
    <col min="1054" max="1054" width="2.28515625" style="4" customWidth="1"/>
    <col min="1055" max="1055" width="3.7109375" style="4" customWidth="1"/>
    <col min="1056" max="1056" width="9.7109375" style="4" customWidth="1"/>
    <col min="1057" max="1066" width="3.7109375" style="4" customWidth="1"/>
    <col min="1067" max="1067" width="11" style="4" customWidth="1"/>
    <col min="1068" max="1070" width="8.7109375" style="4"/>
    <col min="1071" max="1071" width="21" style="4" customWidth="1"/>
    <col min="1072" max="1072" width="24.42578125" style="4" customWidth="1"/>
    <col min="1073" max="1073" width="15.28515625" style="4" customWidth="1"/>
    <col min="1074" max="1074" width="10.5703125" style="4" customWidth="1"/>
    <col min="1075" max="1075" width="11.28515625" style="4" customWidth="1"/>
    <col min="1076" max="1076" width="25" style="4" customWidth="1"/>
    <col min="1077" max="1077" width="6" style="4" customWidth="1"/>
    <col min="1078" max="1281" width="8.7109375" style="4"/>
    <col min="1282" max="1282" width="3.7109375" style="4" customWidth="1"/>
    <col min="1283" max="1283" width="2.28515625" style="4" customWidth="1"/>
    <col min="1284" max="1285" width="3.7109375" style="4" customWidth="1"/>
    <col min="1286" max="1286" width="2.28515625" style="4" customWidth="1"/>
    <col min="1287" max="1288" width="3.7109375" style="4" customWidth="1"/>
    <col min="1289" max="1289" width="2.28515625" style="4" customWidth="1"/>
    <col min="1290" max="1291" width="3.7109375" style="4" customWidth="1"/>
    <col min="1292" max="1292" width="2.28515625" style="4" customWidth="1"/>
    <col min="1293" max="1294" width="3.7109375" style="4" customWidth="1"/>
    <col min="1295" max="1295" width="2.28515625" style="4" customWidth="1"/>
    <col min="1296" max="1297" width="3.7109375" style="4" customWidth="1"/>
    <col min="1298" max="1298" width="2.28515625" style="4" customWidth="1"/>
    <col min="1299" max="1300" width="3.7109375" style="4" customWidth="1"/>
    <col min="1301" max="1301" width="2.28515625" style="4" customWidth="1"/>
    <col min="1302" max="1303" width="3.7109375" style="4" customWidth="1"/>
    <col min="1304" max="1304" width="2.28515625" style="4" customWidth="1"/>
    <col min="1305" max="1306" width="3.7109375" style="4" customWidth="1"/>
    <col min="1307" max="1307" width="2.28515625" style="4" customWidth="1"/>
    <col min="1308" max="1309" width="3.7109375" style="4" customWidth="1"/>
    <col min="1310" max="1310" width="2.28515625" style="4" customWidth="1"/>
    <col min="1311" max="1311" width="3.7109375" style="4" customWidth="1"/>
    <col min="1312" max="1312" width="9.7109375" style="4" customWidth="1"/>
    <col min="1313" max="1322" width="3.7109375" style="4" customWidth="1"/>
    <col min="1323" max="1323" width="11" style="4" customWidth="1"/>
    <col min="1324" max="1326" width="8.7109375" style="4"/>
    <col min="1327" max="1327" width="21" style="4" customWidth="1"/>
    <col min="1328" max="1328" width="24.42578125" style="4" customWidth="1"/>
    <col min="1329" max="1329" width="15.28515625" style="4" customWidth="1"/>
    <col min="1330" max="1330" width="10.5703125" style="4" customWidth="1"/>
    <col min="1331" max="1331" width="11.28515625" style="4" customWidth="1"/>
    <col min="1332" max="1332" width="25" style="4" customWidth="1"/>
    <col min="1333" max="1333" width="6" style="4" customWidth="1"/>
    <col min="1334" max="1537" width="8.7109375" style="4"/>
    <col min="1538" max="1538" width="3.7109375" style="4" customWidth="1"/>
    <col min="1539" max="1539" width="2.28515625" style="4" customWidth="1"/>
    <col min="1540" max="1541" width="3.7109375" style="4" customWidth="1"/>
    <col min="1542" max="1542" width="2.28515625" style="4" customWidth="1"/>
    <col min="1543" max="1544" width="3.7109375" style="4" customWidth="1"/>
    <col min="1545" max="1545" width="2.28515625" style="4" customWidth="1"/>
    <col min="1546" max="1547" width="3.7109375" style="4" customWidth="1"/>
    <col min="1548" max="1548" width="2.28515625" style="4" customWidth="1"/>
    <col min="1549" max="1550" width="3.7109375" style="4" customWidth="1"/>
    <col min="1551" max="1551" width="2.28515625" style="4" customWidth="1"/>
    <col min="1552" max="1553" width="3.7109375" style="4" customWidth="1"/>
    <col min="1554" max="1554" width="2.28515625" style="4" customWidth="1"/>
    <col min="1555" max="1556" width="3.7109375" style="4" customWidth="1"/>
    <col min="1557" max="1557" width="2.28515625" style="4" customWidth="1"/>
    <col min="1558" max="1559" width="3.7109375" style="4" customWidth="1"/>
    <col min="1560" max="1560" width="2.28515625" style="4" customWidth="1"/>
    <col min="1561" max="1562" width="3.7109375" style="4" customWidth="1"/>
    <col min="1563" max="1563" width="2.28515625" style="4" customWidth="1"/>
    <col min="1564" max="1565" width="3.7109375" style="4" customWidth="1"/>
    <col min="1566" max="1566" width="2.28515625" style="4" customWidth="1"/>
    <col min="1567" max="1567" width="3.7109375" style="4" customWidth="1"/>
    <col min="1568" max="1568" width="9.7109375" style="4" customWidth="1"/>
    <col min="1569" max="1578" width="3.7109375" style="4" customWidth="1"/>
    <col min="1579" max="1579" width="11" style="4" customWidth="1"/>
    <col min="1580" max="1582" width="8.7109375" style="4"/>
    <col min="1583" max="1583" width="21" style="4" customWidth="1"/>
    <col min="1584" max="1584" width="24.42578125" style="4" customWidth="1"/>
    <col min="1585" max="1585" width="15.28515625" style="4" customWidth="1"/>
    <col min="1586" max="1586" width="10.5703125" style="4" customWidth="1"/>
    <col min="1587" max="1587" width="11.28515625" style="4" customWidth="1"/>
    <col min="1588" max="1588" width="25" style="4" customWidth="1"/>
    <col min="1589" max="1589" width="6" style="4" customWidth="1"/>
    <col min="1590" max="1793" width="8.7109375" style="4"/>
    <col min="1794" max="1794" width="3.7109375" style="4" customWidth="1"/>
    <col min="1795" max="1795" width="2.28515625" style="4" customWidth="1"/>
    <col min="1796" max="1797" width="3.7109375" style="4" customWidth="1"/>
    <col min="1798" max="1798" width="2.28515625" style="4" customWidth="1"/>
    <col min="1799" max="1800" width="3.7109375" style="4" customWidth="1"/>
    <col min="1801" max="1801" width="2.28515625" style="4" customWidth="1"/>
    <col min="1802" max="1803" width="3.7109375" style="4" customWidth="1"/>
    <col min="1804" max="1804" width="2.28515625" style="4" customWidth="1"/>
    <col min="1805" max="1806" width="3.7109375" style="4" customWidth="1"/>
    <col min="1807" max="1807" width="2.28515625" style="4" customWidth="1"/>
    <col min="1808" max="1809" width="3.7109375" style="4" customWidth="1"/>
    <col min="1810" max="1810" width="2.28515625" style="4" customWidth="1"/>
    <col min="1811" max="1812" width="3.7109375" style="4" customWidth="1"/>
    <col min="1813" max="1813" width="2.28515625" style="4" customWidth="1"/>
    <col min="1814" max="1815" width="3.7109375" style="4" customWidth="1"/>
    <col min="1816" max="1816" width="2.28515625" style="4" customWidth="1"/>
    <col min="1817" max="1818" width="3.7109375" style="4" customWidth="1"/>
    <col min="1819" max="1819" width="2.28515625" style="4" customWidth="1"/>
    <col min="1820" max="1821" width="3.7109375" style="4" customWidth="1"/>
    <col min="1822" max="1822" width="2.28515625" style="4" customWidth="1"/>
    <col min="1823" max="1823" width="3.7109375" style="4" customWidth="1"/>
    <col min="1824" max="1824" width="9.7109375" style="4" customWidth="1"/>
    <col min="1825" max="1834" width="3.7109375" style="4" customWidth="1"/>
    <col min="1835" max="1835" width="11" style="4" customWidth="1"/>
    <col min="1836" max="1838" width="8.7109375" style="4"/>
    <col min="1839" max="1839" width="21" style="4" customWidth="1"/>
    <col min="1840" max="1840" width="24.42578125" style="4" customWidth="1"/>
    <col min="1841" max="1841" width="15.28515625" style="4" customWidth="1"/>
    <col min="1842" max="1842" width="10.5703125" style="4" customWidth="1"/>
    <col min="1843" max="1843" width="11.28515625" style="4" customWidth="1"/>
    <col min="1844" max="1844" width="25" style="4" customWidth="1"/>
    <col min="1845" max="1845" width="6" style="4" customWidth="1"/>
    <col min="1846" max="2049" width="8.7109375" style="4"/>
    <col min="2050" max="2050" width="3.7109375" style="4" customWidth="1"/>
    <col min="2051" max="2051" width="2.28515625" style="4" customWidth="1"/>
    <col min="2052" max="2053" width="3.7109375" style="4" customWidth="1"/>
    <col min="2054" max="2054" width="2.28515625" style="4" customWidth="1"/>
    <col min="2055" max="2056" width="3.7109375" style="4" customWidth="1"/>
    <col min="2057" max="2057" width="2.28515625" style="4" customWidth="1"/>
    <col min="2058" max="2059" width="3.7109375" style="4" customWidth="1"/>
    <col min="2060" max="2060" width="2.28515625" style="4" customWidth="1"/>
    <col min="2061" max="2062" width="3.7109375" style="4" customWidth="1"/>
    <col min="2063" max="2063" width="2.28515625" style="4" customWidth="1"/>
    <col min="2064" max="2065" width="3.7109375" style="4" customWidth="1"/>
    <col min="2066" max="2066" width="2.28515625" style="4" customWidth="1"/>
    <col min="2067" max="2068" width="3.7109375" style="4" customWidth="1"/>
    <col min="2069" max="2069" width="2.28515625" style="4" customWidth="1"/>
    <col min="2070" max="2071" width="3.7109375" style="4" customWidth="1"/>
    <col min="2072" max="2072" width="2.28515625" style="4" customWidth="1"/>
    <col min="2073" max="2074" width="3.7109375" style="4" customWidth="1"/>
    <col min="2075" max="2075" width="2.28515625" style="4" customWidth="1"/>
    <col min="2076" max="2077" width="3.7109375" style="4" customWidth="1"/>
    <col min="2078" max="2078" width="2.28515625" style="4" customWidth="1"/>
    <col min="2079" max="2079" width="3.7109375" style="4" customWidth="1"/>
    <col min="2080" max="2080" width="9.7109375" style="4" customWidth="1"/>
    <col min="2081" max="2090" width="3.7109375" style="4" customWidth="1"/>
    <col min="2091" max="2091" width="11" style="4" customWidth="1"/>
    <col min="2092" max="2094" width="8.7109375" style="4"/>
    <col min="2095" max="2095" width="21" style="4" customWidth="1"/>
    <col min="2096" max="2096" width="24.42578125" style="4" customWidth="1"/>
    <col min="2097" max="2097" width="15.28515625" style="4" customWidth="1"/>
    <col min="2098" max="2098" width="10.5703125" style="4" customWidth="1"/>
    <col min="2099" max="2099" width="11.28515625" style="4" customWidth="1"/>
    <col min="2100" max="2100" width="25" style="4" customWidth="1"/>
    <col min="2101" max="2101" width="6" style="4" customWidth="1"/>
    <col min="2102" max="2305" width="8.7109375" style="4"/>
    <col min="2306" max="2306" width="3.7109375" style="4" customWidth="1"/>
    <col min="2307" max="2307" width="2.28515625" style="4" customWidth="1"/>
    <col min="2308" max="2309" width="3.7109375" style="4" customWidth="1"/>
    <col min="2310" max="2310" width="2.28515625" style="4" customWidth="1"/>
    <col min="2311" max="2312" width="3.7109375" style="4" customWidth="1"/>
    <col min="2313" max="2313" width="2.28515625" style="4" customWidth="1"/>
    <col min="2314" max="2315" width="3.7109375" style="4" customWidth="1"/>
    <col min="2316" max="2316" width="2.28515625" style="4" customWidth="1"/>
    <col min="2317" max="2318" width="3.7109375" style="4" customWidth="1"/>
    <col min="2319" max="2319" width="2.28515625" style="4" customWidth="1"/>
    <col min="2320" max="2321" width="3.7109375" style="4" customWidth="1"/>
    <col min="2322" max="2322" width="2.28515625" style="4" customWidth="1"/>
    <col min="2323" max="2324" width="3.7109375" style="4" customWidth="1"/>
    <col min="2325" max="2325" width="2.28515625" style="4" customWidth="1"/>
    <col min="2326" max="2327" width="3.7109375" style="4" customWidth="1"/>
    <col min="2328" max="2328" width="2.28515625" style="4" customWidth="1"/>
    <col min="2329" max="2330" width="3.7109375" style="4" customWidth="1"/>
    <col min="2331" max="2331" width="2.28515625" style="4" customWidth="1"/>
    <col min="2332" max="2333" width="3.7109375" style="4" customWidth="1"/>
    <col min="2334" max="2334" width="2.28515625" style="4" customWidth="1"/>
    <col min="2335" max="2335" width="3.7109375" style="4" customWidth="1"/>
    <col min="2336" max="2336" width="9.7109375" style="4" customWidth="1"/>
    <col min="2337" max="2346" width="3.7109375" style="4" customWidth="1"/>
    <col min="2347" max="2347" width="11" style="4" customWidth="1"/>
    <col min="2348" max="2350" width="8.7109375" style="4"/>
    <col min="2351" max="2351" width="21" style="4" customWidth="1"/>
    <col min="2352" max="2352" width="24.42578125" style="4" customWidth="1"/>
    <col min="2353" max="2353" width="15.28515625" style="4" customWidth="1"/>
    <col min="2354" max="2354" width="10.5703125" style="4" customWidth="1"/>
    <col min="2355" max="2355" width="11.28515625" style="4" customWidth="1"/>
    <col min="2356" max="2356" width="25" style="4" customWidth="1"/>
    <col min="2357" max="2357" width="6" style="4" customWidth="1"/>
    <col min="2358" max="2561" width="8.7109375" style="4"/>
    <col min="2562" max="2562" width="3.7109375" style="4" customWidth="1"/>
    <col min="2563" max="2563" width="2.28515625" style="4" customWidth="1"/>
    <col min="2564" max="2565" width="3.7109375" style="4" customWidth="1"/>
    <col min="2566" max="2566" width="2.28515625" style="4" customWidth="1"/>
    <col min="2567" max="2568" width="3.7109375" style="4" customWidth="1"/>
    <col min="2569" max="2569" width="2.28515625" style="4" customWidth="1"/>
    <col min="2570" max="2571" width="3.7109375" style="4" customWidth="1"/>
    <col min="2572" max="2572" width="2.28515625" style="4" customWidth="1"/>
    <col min="2573" max="2574" width="3.7109375" style="4" customWidth="1"/>
    <col min="2575" max="2575" width="2.28515625" style="4" customWidth="1"/>
    <col min="2576" max="2577" width="3.7109375" style="4" customWidth="1"/>
    <col min="2578" max="2578" width="2.28515625" style="4" customWidth="1"/>
    <col min="2579" max="2580" width="3.7109375" style="4" customWidth="1"/>
    <col min="2581" max="2581" width="2.28515625" style="4" customWidth="1"/>
    <col min="2582" max="2583" width="3.7109375" style="4" customWidth="1"/>
    <col min="2584" max="2584" width="2.28515625" style="4" customWidth="1"/>
    <col min="2585" max="2586" width="3.7109375" style="4" customWidth="1"/>
    <col min="2587" max="2587" width="2.28515625" style="4" customWidth="1"/>
    <col min="2588" max="2589" width="3.7109375" style="4" customWidth="1"/>
    <col min="2590" max="2590" width="2.28515625" style="4" customWidth="1"/>
    <col min="2591" max="2591" width="3.7109375" style="4" customWidth="1"/>
    <col min="2592" max="2592" width="9.7109375" style="4" customWidth="1"/>
    <col min="2593" max="2602" width="3.7109375" style="4" customWidth="1"/>
    <col min="2603" max="2603" width="11" style="4" customWidth="1"/>
    <col min="2604" max="2606" width="8.7109375" style="4"/>
    <col min="2607" max="2607" width="21" style="4" customWidth="1"/>
    <col min="2608" max="2608" width="24.42578125" style="4" customWidth="1"/>
    <col min="2609" max="2609" width="15.28515625" style="4" customWidth="1"/>
    <col min="2610" max="2610" width="10.5703125" style="4" customWidth="1"/>
    <col min="2611" max="2611" width="11.28515625" style="4" customWidth="1"/>
    <col min="2612" max="2612" width="25" style="4" customWidth="1"/>
    <col min="2613" max="2613" width="6" style="4" customWidth="1"/>
    <col min="2614" max="2817" width="8.7109375" style="4"/>
    <col min="2818" max="2818" width="3.7109375" style="4" customWidth="1"/>
    <col min="2819" max="2819" width="2.28515625" style="4" customWidth="1"/>
    <col min="2820" max="2821" width="3.7109375" style="4" customWidth="1"/>
    <col min="2822" max="2822" width="2.28515625" style="4" customWidth="1"/>
    <col min="2823" max="2824" width="3.7109375" style="4" customWidth="1"/>
    <col min="2825" max="2825" width="2.28515625" style="4" customWidth="1"/>
    <col min="2826" max="2827" width="3.7109375" style="4" customWidth="1"/>
    <col min="2828" max="2828" width="2.28515625" style="4" customWidth="1"/>
    <col min="2829" max="2830" width="3.7109375" style="4" customWidth="1"/>
    <col min="2831" max="2831" width="2.28515625" style="4" customWidth="1"/>
    <col min="2832" max="2833" width="3.7109375" style="4" customWidth="1"/>
    <col min="2834" max="2834" width="2.28515625" style="4" customWidth="1"/>
    <col min="2835" max="2836" width="3.7109375" style="4" customWidth="1"/>
    <col min="2837" max="2837" width="2.28515625" style="4" customWidth="1"/>
    <col min="2838" max="2839" width="3.7109375" style="4" customWidth="1"/>
    <col min="2840" max="2840" width="2.28515625" style="4" customWidth="1"/>
    <col min="2841" max="2842" width="3.7109375" style="4" customWidth="1"/>
    <col min="2843" max="2843" width="2.28515625" style="4" customWidth="1"/>
    <col min="2844" max="2845" width="3.7109375" style="4" customWidth="1"/>
    <col min="2846" max="2846" width="2.28515625" style="4" customWidth="1"/>
    <col min="2847" max="2847" width="3.7109375" style="4" customWidth="1"/>
    <col min="2848" max="2848" width="9.7109375" style="4" customWidth="1"/>
    <col min="2849" max="2858" width="3.7109375" style="4" customWidth="1"/>
    <col min="2859" max="2859" width="11" style="4" customWidth="1"/>
    <col min="2860" max="2862" width="8.7109375" style="4"/>
    <col min="2863" max="2863" width="21" style="4" customWidth="1"/>
    <col min="2864" max="2864" width="24.42578125" style="4" customWidth="1"/>
    <col min="2865" max="2865" width="15.28515625" style="4" customWidth="1"/>
    <col min="2866" max="2866" width="10.5703125" style="4" customWidth="1"/>
    <col min="2867" max="2867" width="11.28515625" style="4" customWidth="1"/>
    <col min="2868" max="2868" width="25" style="4" customWidth="1"/>
    <col min="2869" max="2869" width="6" style="4" customWidth="1"/>
    <col min="2870" max="3073" width="8.7109375" style="4"/>
    <col min="3074" max="3074" width="3.7109375" style="4" customWidth="1"/>
    <col min="3075" max="3075" width="2.28515625" style="4" customWidth="1"/>
    <col min="3076" max="3077" width="3.7109375" style="4" customWidth="1"/>
    <col min="3078" max="3078" width="2.28515625" style="4" customWidth="1"/>
    <col min="3079" max="3080" width="3.7109375" style="4" customWidth="1"/>
    <col min="3081" max="3081" width="2.28515625" style="4" customWidth="1"/>
    <col min="3082" max="3083" width="3.7109375" style="4" customWidth="1"/>
    <col min="3084" max="3084" width="2.28515625" style="4" customWidth="1"/>
    <col min="3085" max="3086" width="3.7109375" style="4" customWidth="1"/>
    <col min="3087" max="3087" width="2.28515625" style="4" customWidth="1"/>
    <col min="3088" max="3089" width="3.7109375" style="4" customWidth="1"/>
    <col min="3090" max="3090" width="2.28515625" style="4" customWidth="1"/>
    <col min="3091" max="3092" width="3.7109375" style="4" customWidth="1"/>
    <col min="3093" max="3093" width="2.28515625" style="4" customWidth="1"/>
    <col min="3094" max="3095" width="3.7109375" style="4" customWidth="1"/>
    <col min="3096" max="3096" width="2.28515625" style="4" customWidth="1"/>
    <col min="3097" max="3098" width="3.7109375" style="4" customWidth="1"/>
    <col min="3099" max="3099" width="2.28515625" style="4" customWidth="1"/>
    <col min="3100" max="3101" width="3.7109375" style="4" customWidth="1"/>
    <col min="3102" max="3102" width="2.28515625" style="4" customWidth="1"/>
    <col min="3103" max="3103" width="3.7109375" style="4" customWidth="1"/>
    <col min="3104" max="3104" width="9.7109375" style="4" customWidth="1"/>
    <col min="3105" max="3114" width="3.7109375" style="4" customWidth="1"/>
    <col min="3115" max="3115" width="11" style="4" customWidth="1"/>
    <col min="3116" max="3118" width="8.7109375" style="4"/>
    <col min="3119" max="3119" width="21" style="4" customWidth="1"/>
    <col min="3120" max="3120" width="24.42578125" style="4" customWidth="1"/>
    <col min="3121" max="3121" width="15.28515625" style="4" customWidth="1"/>
    <col min="3122" max="3122" width="10.5703125" style="4" customWidth="1"/>
    <col min="3123" max="3123" width="11.28515625" style="4" customWidth="1"/>
    <col min="3124" max="3124" width="25" style="4" customWidth="1"/>
    <col min="3125" max="3125" width="6" style="4" customWidth="1"/>
    <col min="3126" max="3329" width="8.7109375" style="4"/>
    <col min="3330" max="3330" width="3.7109375" style="4" customWidth="1"/>
    <col min="3331" max="3331" width="2.28515625" style="4" customWidth="1"/>
    <col min="3332" max="3333" width="3.7109375" style="4" customWidth="1"/>
    <col min="3334" max="3334" width="2.28515625" style="4" customWidth="1"/>
    <col min="3335" max="3336" width="3.7109375" style="4" customWidth="1"/>
    <col min="3337" max="3337" width="2.28515625" style="4" customWidth="1"/>
    <col min="3338" max="3339" width="3.7109375" style="4" customWidth="1"/>
    <col min="3340" max="3340" width="2.28515625" style="4" customWidth="1"/>
    <col min="3341" max="3342" width="3.7109375" style="4" customWidth="1"/>
    <col min="3343" max="3343" width="2.28515625" style="4" customWidth="1"/>
    <col min="3344" max="3345" width="3.7109375" style="4" customWidth="1"/>
    <col min="3346" max="3346" width="2.28515625" style="4" customWidth="1"/>
    <col min="3347" max="3348" width="3.7109375" style="4" customWidth="1"/>
    <col min="3349" max="3349" width="2.28515625" style="4" customWidth="1"/>
    <col min="3350" max="3351" width="3.7109375" style="4" customWidth="1"/>
    <col min="3352" max="3352" width="2.28515625" style="4" customWidth="1"/>
    <col min="3353" max="3354" width="3.7109375" style="4" customWidth="1"/>
    <col min="3355" max="3355" width="2.28515625" style="4" customWidth="1"/>
    <col min="3356" max="3357" width="3.7109375" style="4" customWidth="1"/>
    <col min="3358" max="3358" width="2.28515625" style="4" customWidth="1"/>
    <col min="3359" max="3359" width="3.7109375" style="4" customWidth="1"/>
    <col min="3360" max="3360" width="9.7109375" style="4" customWidth="1"/>
    <col min="3361" max="3370" width="3.7109375" style="4" customWidth="1"/>
    <col min="3371" max="3371" width="11" style="4" customWidth="1"/>
    <col min="3372" max="3374" width="8.7109375" style="4"/>
    <col min="3375" max="3375" width="21" style="4" customWidth="1"/>
    <col min="3376" max="3376" width="24.42578125" style="4" customWidth="1"/>
    <col min="3377" max="3377" width="15.28515625" style="4" customWidth="1"/>
    <col min="3378" max="3378" width="10.5703125" style="4" customWidth="1"/>
    <col min="3379" max="3379" width="11.28515625" style="4" customWidth="1"/>
    <col min="3380" max="3380" width="25" style="4" customWidth="1"/>
    <col min="3381" max="3381" width="6" style="4" customWidth="1"/>
    <col min="3382" max="3585" width="8.7109375" style="4"/>
    <col min="3586" max="3586" width="3.7109375" style="4" customWidth="1"/>
    <col min="3587" max="3587" width="2.28515625" style="4" customWidth="1"/>
    <col min="3588" max="3589" width="3.7109375" style="4" customWidth="1"/>
    <col min="3590" max="3590" width="2.28515625" style="4" customWidth="1"/>
    <col min="3591" max="3592" width="3.7109375" style="4" customWidth="1"/>
    <col min="3593" max="3593" width="2.28515625" style="4" customWidth="1"/>
    <col min="3594" max="3595" width="3.7109375" style="4" customWidth="1"/>
    <col min="3596" max="3596" width="2.28515625" style="4" customWidth="1"/>
    <col min="3597" max="3598" width="3.7109375" style="4" customWidth="1"/>
    <col min="3599" max="3599" width="2.28515625" style="4" customWidth="1"/>
    <col min="3600" max="3601" width="3.7109375" style="4" customWidth="1"/>
    <col min="3602" max="3602" width="2.28515625" style="4" customWidth="1"/>
    <col min="3603" max="3604" width="3.7109375" style="4" customWidth="1"/>
    <col min="3605" max="3605" width="2.28515625" style="4" customWidth="1"/>
    <col min="3606" max="3607" width="3.7109375" style="4" customWidth="1"/>
    <col min="3608" max="3608" width="2.28515625" style="4" customWidth="1"/>
    <col min="3609" max="3610" width="3.7109375" style="4" customWidth="1"/>
    <col min="3611" max="3611" width="2.28515625" style="4" customWidth="1"/>
    <col min="3612" max="3613" width="3.7109375" style="4" customWidth="1"/>
    <col min="3614" max="3614" width="2.28515625" style="4" customWidth="1"/>
    <col min="3615" max="3615" width="3.7109375" style="4" customWidth="1"/>
    <col min="3616" max="3616" width="9.7109375" style="4" customWidth="1"/>
    <col min="3617" max="3626" width="3.7109375" style="4" customWidth="1"/>
    <col min="3627" max="3627" width="11" style="4" customWidth="1"/>
    <col min="3628" max="3630" width="8.7109375" style="4"/>
    <col min="3631" max="3631" width="21" style="4" customWidth="1"/>
    <col min="3632" max="3632" width="24.42578125" style="4" customWidth="1"/>
    <col min="3633" max="3633" width="15.28515625" style="4" customWidth="1"/>
    <col min="3634" max="3634" width="10.5703125" style="4" customWidth="1"/>
    <col min="3635" max="3635" width="11.28515625" style="4" customWidth="1"/>
    <col min="3636" max="3636" width="25" style="4" customWidth="1"/>
    <col min="3637" max="3637" width="6" style="4" customWidth="1"/>
    <col min="3638" max="3841" width="8.7109375" style="4"/>
    <col min="3842" max="3842" width="3.7109375" style="4" customWidth="1"/>
    <col min="3843" max="3843" width="2.28515625" style="4" customWidth="1"/>
    <col min="3844" max="3845" width="3.7109375" style="4" customWidth="1"/>
    <col min="3846" max="3846" width="2.28515625" style="4" customWidth="1"/>
    <col min="3847" max="3848" width="3.7109375" style="4" customWidth="1"/>
    <col min="3849" max="3849" width="2.28515625" style="4" customWidth="1"/>
    <col min="3850" max="3851" width="3.7109375" style="4" customWidth="1"/>
    <col min="3852" max="3852" width="2.28515625" style="4" customWidth="1"/>
    <col min="3853" max="3854" width="3.7109375" style="4" customWidth="1"/>
    <col min="3855" max="3855" width="2.28515625" style="4" customWidth="1"/>
    <col min="3856" max="3857" width="3.7109375" style="4" customWidth="1"/>
    <col min="3858" max="3858" width="2.28515625" style="4" customWidth="1"/>
    <col min="3859" max="3860" width="3.7109375" style="4" customWidth="1"/>
    <col min="3861" max="3861" width="2.28515625" style="4" customWidth="1"/>
    <col min="3862" max="3863" width="3.7109375" style="4" customWidth="1"/>
    <col min="3864" max="3864" width="2.28515625" style="4" customWidth="1"/>
    <col min="3865" max="3866" width="3.7109375" style="4" customWidth="1"/>
    <col min="3867" max="3867" width="2.28515625" style="4" customWidth="1"/>
    <col min="3868" max="3869" width="3.7109375" style="4" customWidth="1"/>
    <col min="3870" max="3870" width="2.28515625" style="4" customWidth="1"/>
    <col min="3871" max="3871" width="3.7109375" style="4" customWidth="1"/>
    <col min="3872" max="3872" width="9.7109375" style="4" customWidth="1"/>
    <col min="3873" max="3882" width="3.7109375" style="4" customWidth="1"/>
    <col min="3883" max="3883" width="11" style="4" customWidth="1"/>
    <col min="3884" max="3886" width="8.7109375" style="4"/>
    <col min="3887" max="3887" width="21" style="4" customWidth="1"/>
    <col min="3888" max="3888" width="24.42578125" style="4" customWidth="1"/>
    <col min="3889" max="3889" width="15.28515625" style="4" customWidth="1"/>
    <col min="3890" max="3890" width="10.5703125" style="4" customWidth="1"/>
    <col min="3891" max="3891" width="11.28515625" style="4" customWidth="1"/>
    <col min="3892" max="3892" width="25" style="4" customWidth="1"/>
    <col min="3893" max="3893" width="6" style="4" customWidth="1"/>
    <col min="3894" max="4097" width="8.7109375" style="4"/>
    <col min="4098" max="4098" width="3.7109375" style="4" customWidth="1"/>
    <col min="4099" max="4099" width="2.28515625" style="4" customWidth="1"/>
    <col min="4100" max="4101" width="3.7109375" style="4" customWidth="1"/>
    <col min="4102" max="4102" width="2.28515625" style="4" customWidth="1"/>
    <col min="4103" max="4104" width="3.7109375" style="4" customWidth="1"/>
    <col min="4105" max="4105" width="2.28515625" style="4" customWidth="1"/>
    <col min="4106" max="4107" width="3.7109375" style="4" customWidth="1"/>
    <col min="4108" max="4108" width="2.28515625" style="4" customWidth="1"/>
    <col min="4109" max="4110" width="3.7109375" style="4" customWidth="1"/>
    <col min="4111" max="4111" width="2.28515625" style="4" customWidth="1"/>
    <col min="4112" max="4113" width="3.7109375" style="4" customWidth="1"/>
    <col min="4114" max="4114" width="2.28515625" style="4" customWidth="1"/>
    <col min="4115" max="4116" width="3.7109375" style="4" customWidth="1"/>
    <col min="4117" max="4117" width="2.28515625" style="4" customWidth="1"/>
    <col min="4118" max="4119" width="3.7109375" style="4" customWidth="1"/>
    <col min="4120" max="4120" width="2.28515625" style="4" customWidth="1"/>
    <col min="4121" max="4122" width="3.7109375" style="4" customWidth="1"/>
    <col min="4123" max="4123" width="2.28515625" style="4" customWidth="1"/>
    <col min="4124" max="4125" width="3.7109375" style="4" customWidth="1"/>
    <col min="4126" max="4126" width="2.28515625" style="4" customWidth="1"/>
    <col min="4127" max="4127" width="3.7109375" style="4" customWidth="1"/>
    <col min="4128" max="4128" width="9.7109375" style="4" customWidth="1"/>
    <col min="4129" max="4138" width="3.7109375" style="4" customWidth="1"/>
    <col min="4139" max="4139" width="11" style="4" customWidth="1"/>
    <col min="4140" max="4142" width="8.7109375" style="4"/>
    <col min="4143" max="4143" width="21" style="4" customWidth="1"/>
    <col min="4144" max="4144" width="24.42578125" style="4" customWidth="1"/>
    <col min="4145" max="4145" width="15.28515625" style="4" customWidth="1"/>
    <col min="4146" max="4146" width="10.5703125" style="4" customWidth="1"/>
    <col min="4147" max="4147" width="11.28515625" style="4" customWidth="1"/>
    <col min="4148" max="4148" width="25" style="4" customWidth="1"/>
    <col min="4149" max="4149" width="6" style="4" customWidth="1"/>
    <col min="4150" max="4353" width="8.7109375" style="4"/>
    <col min="4354" max="4354" width="3.7109375" style="4" customWidth="1"/>
    <col min="4355" max="4355" width="2.28515625" style="4" customWidth="1"/>
    <col min="4356" max="4357" width="3.7109375" style="4" customWidth="1"/>
    <col min="4358" max="4358" width="2.28515625" style="4" customWidth="1"/>
    <col min="4359" max="4360" width="3.7109375" style="4" customWidth="1"/>
    <col min="4361" max="4361" width="2.28515625" style="4" customWidth="1"/>
    <col min="4362" max="4363" width="3.7109375" style="4" customWidth="1"/>
    <col min="4364" max="4364" width="2.28515625" style="4" customWidth="1"/>
    <col min="4365" max="4366" width="3.7109375" style="4" customWidth="1"/>
    <col min="4367" max="4367" width="2.28515625" style="4" customWidth="1"/>
    <col min="4368" max="4369" width="3.7109375" style="4" customWidth="1"/>
    <col min="4370" max="4370" width="2.28515625" style="4" customWidth="1"/>
    <col min="4371" max="4372" width="3.7109375" style="4" customWidth="1"/>
    <col min="4373" max="4373" width="2.28515625" style="4" customWidth="1"/>
    <col min="4374" max="4375" width="3.7109375" style="4" customWidth="1"/>
    <col min="4376" max="4376" width="2.28515625" style="4" customWidth="1"/>
    <col min="4377" max="4378" width="3.7109375" style="4" customWidth="1"/>
    <col min="4379" max="4379" width="2.28515625" style="4" customWidth="1"/>
    <col min="4380" max="4381" width="3.7109375" style="4" customWidth="1"/>
    <col min="4382" max="4382" width="2.28515625" style="4" customWidth="1"/>
    <col min="4383" max="4383" width="3.7109375" style="4" customWidth="1"/>
    <col min="4384" max="4384" width="9.7109375" style="4" customWidth="1"/>
    <col min="4385" max="4394" width="3.7109375" style="4" customWidth="1"/>
    <col min="4395" max="4395" width="11" style="4" customWidth="1"/>
    <col min="4396" max="4398" width="8.7109375" style="4"/>
    <col min="4399" max="4399" width="21" style="4" customWidth="1"/>
    <col min="4400" max="4400" width="24.42578125" style="4" customWidth="1"/>
    <col min="4401" max="4401" width="15.28515625" style="4" customWidth="1"/>
    <col min="4402" max="4402" width="10.5703125" style="4" customWidth="1"/>
    <col min="4403" max="4403" width="11.28515625" style="4" customWidth="1"/>
    <col min="4404" max="4404" width="25" style="4" customWidth="1"/>
    <col min="4405" max="4405" width="6" style="4" customWidth="1"/>
    <col min="4406" max="4609" width="8.7109375" style="4"/>
    <col min="4610" max="4610" width="3.7109375" style="4" customWidth="1"/>
    <col min="4611" max="4611" width="2.28515625" style="4" customWidth="1"/>
    <col min="4612" max="4613" width="3.7109375" style="4" customWidth="1"/>
    <col min="4614" max="4614" width="2.28515625" style="4" customWidth="1"/>
    <col min="4615" max="4616" width="3.7109375" style="4" customWidth="1"/>
    <col min="4617" max="4617" width="2.28515625" style="4" customWidth="1"/>
    <col min="4618" max="4619" width="3.7109375" style="4" customWidth="1"/>
    <col min="4620" max="4620" width="2.28515625" style="4" customWidth="1"/>
    <col min="4621" max="4622" width="3.7109375" style="4" customWidth="1"/>
    <col min="4623" max="4623" width="2.28515625" style="4" customWidth="1"/>
    <col min="4624" max="4625" width="3.7109375" style="4" customWidth="1"/>
    <col min="4626" max="4626" width="2.28515625" style="4" customWidth="1"/>
    <col min="4627" max="4628" width="3.7109375" style="4" customWidth="1"/>
    <col min="4629" max="4629" width="2.28515625" style="4" customWidth="1"/>
    <col min="4630" max="4631" width="3.7109375" style="4" customWidth="1"/>
    <col min="4632" max="4632" width="2.28515625" style="4" customWidth="1"/>
    <col min="4633" max="4634" width="3.7109375" style="4" customWidth="1"/>
    <col min="4635" max="4635" width="2.28515625" style="4" customWidth="1"/>
    <col min="4636" max="4637" width="3.7109375" style="4" customWidth="1"/>
    <col min="4638" max="4638" width="2.28515625" style="4" customWidth="1"/>
    <col min="4639" max="4639" width="3.7109375" style="4" customWidth="1"/>
    <col min="4640" max="4640" width="9.7109375" style="4" customWidth="1"/>
    <col min="4641" max="4650" width="3.7109375" style="4" customWidth="1"/>
    <col min="4651" max="4651" width="11" style="4" customWidth="1"/>
    <col min="4652" max="4654" width="8.7109375" style="4"/>
    <col min="4655" max="4655" width="21" style="4" customWidth="1"/>
    <col min="4656" max="4656" width="24.42578125" style="4" customWidth="1"/>
    <col min="4657" max="4657" width="15.28515625" style="4" customWidth="1"/>
    <col min="4658" max="4658" width="10.5703125" style="4" customWidth="1"/>
    <col min="4659" max="4659" width="11.28515625" style="4" customWidth="1"/>
    <col min="4660" max="4660" width="25" style="4" customWidth="1"/>
    <col min="4661" max="4661" width="6" style="4" customWidth="1"/>
    <col min="4662" max="4865" width="8.7109375" style="4"/>
    <col min="4866" max="4866" width="3.7109375" style="4" customWidth="1"/>
    <col min="4867" max="4867" width="2.28515625" style="4" customWidth="1"/>
    <col min="4868" max="4869" width="3.7109375" style="4" customWidth="1"/>
    <col min="4870" max="4870" width="2.28515625" style="4" customWidth="1"/>
    <col min="4871" max="4872" width="3.7109375" style="4" customWidth="1"/>
    <col min="4873" max="4873" width="2.28515625" style="4" customWidth="1"/>
    <col min="4874" max="4875" width="3.7109375" style="4" customWidth="1"/>
    <col min="4876" max="4876" width="2.28515625" style="4" customWidth="1"/>
    <col min="4877" max="4878" width="3.7109375" style="4" customWidth="1"/>
    <col min="4879" max="4879" width="2.28515625" style="4" customWidth="1"/>
    <col min="4880" max="4881" width="3.7109375" style="4" customWidth="1"/>
    <col min="4882" max="4882" width="2.28515625" style="4" customWidth="1"/>
    <col min="4883" max="4884" width="3.7109375" style="4" customWidth="1"/>
    <col min="4885" max="4885" width="2.28515625" style="4" customWidth="1"/>
    <col min="4886" max="4887" width="3.7109375" style="4" customWidth="1"/>
    <col min="4888" max="4888" width="2.28515625" style="4" customWidth="1"/>
    <col min="4889" max="4890" width="3.7109375" style="4" customWidth="1"/>
    <col min="4891" max="4891" width="2.28515625" style="4" customWidth="1"/>
    <col min="4892" max="4893" width="3.7109375" style="4" customWidth="1"/>
    <col min="4894" max="4894" width="2.28515625" style="4" customWidth="1"/>
    <col min="4895" max="4895" width="3.7109375" style="4" customWidth="1"/>
    <col min="4896" max="4896" width="9.7109375" style="4" customWidth="1"/>
    <col min="4897" max="4906" width="3.7109375" style="4" customWidth="1"/>
    <col min="4907" max="4907" width="11" style="4" customWidth="1"/>
    <col min="4908" max="4910" width="8.7109375" style="4"/>
    <col min="4911" max="4911" width="21" style="4" customWidth="1"/>
    <col min="4912" max="4912" width="24.42578125" style="4" customWidth="1"/>
    <col min="4913" max="4913" width="15.28515625" style="4" customWidth="1"/>
    <col min="4914" max="4914" width="10.5703125" style="4" customWidth="1"/>
    <col min="4915" max="4915" width="11.28515625" style="4" customWidth="1"/>
    <col min="4916" max="4916" width="25" style="4" customWidth="1"/>
    <col min="4917" max="4917" width="6" style="4" customWidth="1"/>
    <col min="4918" max="5121" width="8.7109375" style="4"/>
    <col min="5122" max="5122" width="3.7109375" style="4" customWidth="1"/>
    <col min="5123" max="5123" width="2.28515625" style="4" customWidth="1"/>
    <col min="5124" max="5125" width="3.7109375" style="4" customWidth="1"/>
    <col min="5126" max="5126" width="2.28515625" style="4" customWidth="1"/>
    <col min="5127" max="5128" width="3.7109375" style="4" customWidth="1"/>
    <col min="5129" max="5129" width="2.28515625" style="4" customWidth="1"/>
    <col min="5130" max="5131" width="3.7109375" style="4" customWidth="1"/>
    <col min="5132" max="5132" width="2.28515625" style="4" customWidth="1"/>
    <col min="5133" max="5134" width="3.7109375" style="4" customWidth="1"/>
    <col min="5135" max="5135" width="2.28515625" style="4" customWidth="1"/>
    <col min="5136" max="5137" width="3.7109375" style="4" customWidth="1"/>
    <col min="5138" max="5138" width="2.28515625" style="4" customWidth="1"/>
    <col min="5139" max="5140" width="3.7109375" style="4" customWidth="1"/>
    <col min="5141" max="5141" width="2.28515625" style="4" customWidth="1"/>
    <col min="5142" max="5143" width="3.7109375" style="4" customWidth="1"/>
    <col min="5144" max="5144" width="2.28515625" style="4" customWidth="1"/>
    <col min="5145" max="5146" width="3.7109375" style="4" customWidth="1"/>
    <col min="5147" max="5147" width="2.28515625" style="4" customWidth="1"/>
    <col min="5148" max="5149" width="3.7109375" style="4" customWidth="1"/>
    <col min="5150" max="5150" width="2.28515625" style="4" customWidth="1"/>
    <col min="5151" max="5151" width="3.7109375" style="4" customWidth="1"/>
    <col min="5152" max="5152" width="9.7109375" style="4" customWidth="1"/>
    <col min="5153" max="5162" width="3.7109375" style="4" customWidth="1"/>
    <col min="5163" max="5163" width="11" style="4" customWidth="1"/>
    <col min="5164" max="5166" width="8.7109375" style="4"/>
    <col min="5167" max="5167" width="21" style="4" customWidth="1"/>
    <col min="5168" max="5168" width="24.42578125" style="4" customWidth="1"/>
    <col min="5169" max="5169" width="15.28515625" style="4" customWidth="1"/>
    <col min="5170" max="5170" width="10.5703125" style="4" customWidth="1"/>
    <col min="5171" max="5171" width="11.28515625" style="4" customWidth="1"/>
    <col min="5172" max="5172" width="25" style="4" customWidth="1"/>
    <col min="5173" max="5173" width="6" style="4" customWidth="1"/>
    <col min="5174" max="5377" width="8.7109375" style="4"/>
    <col min="5378" max="5378" width="3.7109375" style="4" customWidth="1"/>
    <col min="5379" max="5379" width="2.28515625" style="4" customWidth="1"/>
    <col min="5380" max="5381" width="3.7109375" style="4" customWidth="1"/>
    <col min="5382" max="5382" width="2.28515625" style="4" customWidth="1"/>
    <col min="5383" max="5384" width="3.7109375" style="4" customWidth="1"/>
    <col min="5385" max="5385" width="2.28515625" style="4" customWidth="1"/>
    <col min="5386" max="5387" width="3.7109375" style="4" customWidth="1"/>
    <col min="5388" max="5388" width="2.28515625" style="4" customWidth="1"/>
    <col min="5389" max="5390" width="3.7109375" style="4" customWidth="1"/>
    <col min="5391" max="5391" width="2.28515625" style="4" customWidth="1"/>
    <col min="5392" max="5393" width="3.7109375" style="4" customWidth="1"/>
    <col min="5394" max="5394" width="2.28515625" style="4" customWidth="1"/>
    <col min="5395" max="5396" width="3.7109375" style="4" customWidth="1"/>
    <col min="5397" max="5397" width="2.28515625" style="4" customWidth="1"/>
    <col min="5398" max="5399" width="3.7109375" style="4" customWidth="1"/>
    <col min="5400" max="5400" width="2.28515625" style="4" customWidth="1"/>
    <col min="5401" max="5402" width="3.7109375" style="4" customWidth="1"/>
    <col min="5403" max="5403" width="2.28515625" style="4" customWidth="1"/>
    <col min="5404" max="5405" width="3.7109375" style="4" customWidth="1"/>
    <col min="5406" max="5406" width="2.28515625" style="4" customWidth="1"/>
    <col min="5407" max="5407" width="3.7109375" style="4" customWidth="1"/>
    <col min="5408" max="5408" width="9.7109375" style="4" customWidth="1"/>
    <col min="5409" max="5418" width="3.7109375" style="4" customWidth="1"/>
    <col min="5419" max="5419" width="11" style="4" customWidth="1"/>
    <col min="5420" max="5422" width="8.7109375" style="4"/>
    <col min="5423" max="5423" width="21" style="4" customWidth="1"/>
    <col min="5424" max="5424" width="24.42578125" style="4" customWidth="1"/>
    <col min="5425" max="5425" width="15.28515625" style="4" customWidth="1"/>
    <col min="5426" max="5426" width="10.5703125" style="4" customWidth="1"/>
    <col min="5427" max="5427" width="11.28515625" style="4" customWidth="1"/>
    <col min="5428" max="5428" width="25" style="4" customWidth="1"/>
    <col min="5429" max="5429" width="6" style="4" customWidth="1"/>
    <col min="5430" max="5633" width="8.7109375" style="4"/>
    <col min="5634" max="5634" width="3.7109375" style="4" customWidth="1"/>
    <col min="5635" max="5635" width="2.28515625" style="4" customWidth="1"/>
    <col min="5636" max="5637" width="3.7109375" style="4" customWidth="1"/>
    <col min="5638" max="5638" width="2.28515625" style="4" customWidth="1"/>
    <col min="5639" max="5640" width="3.7109375" style="4" customWidth="1"/>
    <col min="5641" max="5641" width="2.28515625" style="4" customWidth="1"/>
    <col min="5642" max="5643" width="3.7109375" style="4" customWidth="1"/>
    <col min="5644" max="5644" width="2.28515625" style="4" customWidth="1"/>
    <col min="5645" max="5646" width="3.7109375" style="4" customWidth="1"/>
    <col min="5647" max="5647" width="2.28515625" style="4" customWidth="1"/>
    <col min="5648" max="5649" width="3.7109375" style="4" customWidth="1"/>
    <col min="5650" max="5650" width="2.28515625" style="4" customWidth="1"/>
    <col min="5651" max="5652" width="3.7109375" style="4" customWidth="1"/>
    <col min="5653" max="5653" width="2.28515625" style="4" customWidth="1"/>
    <col min="5654" max="5655" width="3.7109375" style="4" customWidth="1"/>
    <col min="5656" max="5656" width="2.28515625" style="4" customWidth="1"/>
    <col min="5657" max="5658" width="3.7109375" style="4" customWidth="1"/>
    <col min="5659" max="5659" width="2.28515625" style="4" customWidth="1"/>
    <col min="5660" max="5661" width="3.7109375" style="4" customWidth="1"/>
    <col min="5662" max="5662" width="2.28515625" style="4" customWidth="1"/>
    <col min="5663" max="5663" width="3.7109375" style="4" customWidth="1"/>
    <col min="5664" max="5664" width="9.7109375" style="4" customWidth="1"/>
    <col min="5665" max="5674" width="3.7109375" style="4" customWidth="1"/>
    <col min="5675" max="5675" width="11" style="4" customWidth="1"/>
    <col min="5676" max="5678" width="8.7109375" style="4"/>
    <col min="5679" max="5679" width="21" style="4" customWidth="1"/>
    <col min="5680" max="5680" width="24.42578125" style="4" customWidth="1"/>
    <col min="5681" max="5681" width="15.28515625" style="4" customWidth="1"/>
    <col min="5682" max="5682" width="10.5703125" style="4" customWidth="1"/>
    <col min="5683" max="5683" width="11.28515625" style="4" customWidth="1"/>
    <col min="5684" max="5684" width="25" style="4" customWidth="1"/>
    <col min="5685" max="5685" width="6" style="4" customWidth="1"/>
    <col min="5686" max="5889" width="8.7109375" style="4"/>
    <col min="5890" max="5890" width="3.7109375" style="4" customWidth="1"/>
    <col min="5891" max="5891" width="2.28515625" style="4" customWidth="1"/>
    <col min="5892" max="5893" width="3.7109375" style="4" customWidth="1"/>
    <col min="5894" max="5894" width="2.28515625" style="4" customWidth="1"/>
    <col min="5895" max="5896" width="3.7109375" style="4" customWidth="1"/>
    <col min="5897" max="5897" width="2.28515625" style="4" customWidth="1"/>
    <col min="5898" max="5899" width="3.7109375" style="4" customWidth="1"/>
    <col min="5900" max="5900" width="2.28515625" style="4" customWidth="1"/>
    <col min="5901" max="5902" width="3.7109375" style="4" customWidth="1"/>
    <col min="5903" max="5903" width="2.28515625" style="4" customWidth="1"/>
    <col min="5904" max="5905" width="3.7109375" style="4" customWidth="1"/>
    <col min="5906" max="5906" width="2.28515625" style="4" customWidth="1"/>
    <col min="5907" max="5908" width="3.7109375" style="4" customWidth="1"/>
    <col min="5909" max="5909" width="2.28515625" style="4" customWidth="1"/>
    <col min="5910" max="5911" width="3.7109375" style="4" customWidth="1"/>
    <col min="5912" max="5912" width="2.28515625" style="4" customWidth="1"/>
    <col min="5913" max="5914" width="3.7109375" style="4" customWidth="1"/>
    <col min="5915" max="5915" width="2.28515625" style="4" customWidth="1"/>
    <col min="5916" max="5917" width="3.7109375" style="4" customWidth="1"/>
    <col min="5918" max="5918" width="2.28515625" style="4" customWidth="1"/>
    <col min="5919" max="5919" width="3.7109375" style="4" customWidth="1"/>
    <col min="5920" max="5920" width="9.7109375" style="4" customWidth="1"/>
    <col min="5921" max="5930" width="3.7109375" style="4" customWidth="1"/>
    <col min="5931" max="5931" width="11" style="4" customWidth="1"/>
    <col min="5932" max="5934" width="8.7109375" style="4"/>
    <col min="5935" max="5935" width="21" style="4" customWidth="1"/>
    <col min="5936" max="5936" width="24.42578125" style="4" customWidth="1"/>
    <col min="5937" max="5937" width="15.28515625" style="4" customWidth="1"/>
    <col min="5938" max="5938" width="10.5703125" style="4" customWidth="1"/>
    <col min="5939" max="5939" width="11.28515625" style="4" customWidth="1"/>
    <col min="5940" max="5940" width="25" style="4" customWidth="1"/>
    <col min="5941" max="5941" width="6" style="4" customWidth="1"/>
    <col min="5942" max="6145" width="8.7109375" style="4"/>
    <col min="6146" max="6146" width="3.7109375" style="4" customWidth="1"/>
    <col min="6147" max="6147" width="2.28515625" style="4" customWidth="1"/>
    <col min="6148" max="6149" width="3.7109375" style="4" customWidth="1"/>
    <col min="6150" max="6150" width="2.28515625" style="4" customWidth="1"/>
    <col min="6151" max="6152" width="3.7109375" style="4" customWidth="1"/>
    <col min="6153" max="6153" width="2.28515625" style="4" customWidth="1"/>
    <col min="6154" max="6155" width="3.7109375" style="4" customWidth="1"/>
    <col min="6156" max="6156" width="2.28515625" style="4" customWidth="1"/>
    <col min="6157" max="6158" width="3.7109375" style="4" customWidth="1"/>
    <col min="6159" max="6159" width="2.28515625" style="4" customWidth="1"/>
    <col min="6160" max="6161" width="3.7109375" style="4" customWidth="1"/>
    <col min="6162" max="6162" width="2.28515625" style="4" customWidth="1"/>
    <col min="6163" max="6164" width="3.7109375" style="4" customWidth="1"/>
    <col min="6165" max="6165" width="2.28515625" style="4" customWidth="1"/>
    <col min="6166" max="6167" width="3.7109375" style="4" customWidth="1"/>
    <col min="6168" max="6168" width="2.28515625" style="4" customWidth="1"/>
    <col min="6169" max="6170" width="3.7109375" style="4" customWidth="1"/>
    <col min="6171" max="6171" width="2.28515625" style="4" customWidth="1"/>
    <col min="6172" max="6173" width="3.7109375" style="4" customWidth="1"/>
    <col min="6174" max="6174" width="2.28515625" style="4" customWidth="1"/>
    <col min="6175" max="6175" width="3.7109375" style="4" customWidth="1"/>
    <col min="6176" max="6176" width="9.7109375" style="4" customWidth="1"/>
    <col min="6177" max="6186" width="3.7109375" style="4" customWidth="1"/>
    <col min="6187" max="6187" width="11" style="4" customWidth="1"/>
    <col min="6188" max="6190" width="8.7109375" style="4"/>
    <col min="6191" max="6191" width="21" style="4" customWidth="1"/>
    <col min="6192" max="6192" width="24.42578125" style="4" customWidth="1"/>
    <col min="6193" max="6193" width="15.28515625" style="4" customWidth="1"/>
    <col min="6194" max="6194" width="10.5703125" style="4" customWidth="1"/>
    <col min="6195" max="6195" width="11.28515625" style="4" customWidth="1"/>
    <col min="6196" max="6196" width="25" style="4" customWidth="1"/>
    <col min="6197" max="6197" width="6" style="4" customWidth="1"/>
    <col min="6198" max="6401" width="8.7109375" style="4"/>
    <col min="6402" max="6402" width="3.7109375" style="4" customWidth="1"/>
    <col min="6403" max="6403" width="2.28515625" style="4" customWidth="1"/>
    <col min="6404" max="6405" width="3.7109375" style="4" customWidth="1"/>
    <col min="6406" max="6406" width="2.28515625" style="4" customWidth="1"/>
    <col min="6407" max="6408" width="3.7109375" style="4" customWidth="1"/>
    <col min="6409" max="6409" width="2.28515625" style="4" customWidth="1"/>
    <col min="6410" max="6411" width="3.7109375" style="4" customWidth="1"/>
    <col min="6412" max="6412" width="2.28515625" style="4" customWidth="1"/>
    <col min="6413" max="6414" width="3.7109375" style="4" customWidth="1"/>
    <col min="6415" max="6415" width="2.28515625" style="4" customWidth="1"/>
    <col min="6416" max="6417" width="3.7109375" style="4" customWidth="1"/>
    <col min="6418" max="6418" width="2.28515625" style="4" customWidth="1"/>
    <col min="6419" max="6420" width="3.7109375" style="4" customWidth="1"/>
    <col min="6421" max="6421" width="2.28515625" style="4" customWidth="1"/>
    <col min="6422" max="6423" width="3.7109375" style="4" customWidth="1"/>
    <col min="6424" max="6424" width="2.28515625" style="4" customWidth="1"/>
    <col min="6425" max="6426" width="3.7109375" style="4" customWidth="1"/>
    <col min="6427" max="6427" width="2.28515625" style="4" customWidth="1"/>
    <col min="6428" max="6429" width="3.7109375" style="4" customWidth="1"/>
    <col min="6430" max="6430" width="2.28515625" style="4" customWidth="1"/>
    <col min="6431" max="6431" width="3.7109375" style="4" customWidth="1"/>
    <col min="6432" max="6432" width="9.7109375" style="4" customWidth="1"/>
    <col min="6433" max="6442" width="3.7109375" style="4" customWidth="1"/>
    <col min="6443" max="6443" width="11" style="4" customWidth="1"/>
    <col min="6444" max="6446" width="8.7109375" style="4"/>
    <col min="6447" max="6447" width="21" style="4" customWidth="1"/>
    <col min="6448" max="6448" width="24.42578125" style="4" customWidth="1"/>
    <col min="6449" max="6449" width="15.28515625" style="4" customWidth="1"/>
    <col min="6450" max="6450" width="10.5703125" style="4" customWidth="1"/>
    <col min="6451" max="6451" width="11.28515625" style="4" customWidth="1"/>
    <col min="6452" max="6452" width="25" style="4" customWidth="1"/>
    <col min="6453" max="6453" width="6" style="4" customWidth="1"/>
    <col min="6454" max="6657" width="8.7109375" style="4"/>
    <col min="6658" max="6658" width="3.7109375" style="4" customWidth="1"/>
    <col min="6659" max="6659" width="2.28515625" style="4" customWidth="1"/>
    <col min="6660" max="6661" width="3.7109375" style="4" customWidth="1"/>
    <col min="6662" max="6662" width="2.28515625" style="4" customWidth="1"/>
    <col min="6663" max="6664" width="3.7109375" style="4" customWidth="1"/>
    <col min="6665" max="6665" width="2.28515625" style="4" customWidth="1"/>
    <col min="6666" max="6667" width="3.7109375" style="4" customWidth="1"/>
    <col min="6668" max="6668" width="2.28515625" style="4" customWidth="1"/>
    <col min="6669" max="6670" width="3.7109375" style="4" customWidth="1"/>
    <col min="6671" max="6671" width="2.28515625" style="4" customWidth="1"/>
    <col min="6672" max="6673" width="3.7109375" style="4" customWidth="1"/>
    <col min="6674" max="6674" width="2.28515625" style="4" customWidth="1"/>
    <col min="6675" max="6676" width="3.7109375" style="4" customWidth="1"/>
    <col min="6677" max="6677" width="2.28515625" style="4" customWidth="1"/>
    <col min="6678" max="6679" width="3.7109375" style="4" customWidth="1"/>
    <col min="6680" max="6680" width="2.28515625" style="4" customWidth="1"/>
    <col min="6681" max="6682" width="3.7109375" style="4" customWidth="1"/>
    <col min="6683" max="6683" width="2.28515625" style="4" customWidth="1"/>
    <col min="6684" max="6685" width="3.7109375" style="4" customWidth="1"/>
    <col min="6686" max="6686" width="2.28515625" style="4" customWidth="1"/>
    <col min="6687" max="6687" width="3.7109375" style="4" customWidth="1"/>
    <col min="6688" max="6688" width="9.7109375" style="4" customWidth="1"/>
    <col min="6689" max="6698" width="3.7109375" style="4" customWidth="1"/>
    <col min="6699" max="6699" width="11" style="4" customWidth="1"/>
    <col min="6700" max="6702" width="8.7109375" style="4"/>
    <col min="6703" max="6703" width="21" style="4" customWidth="1"/>
    <col min="6704" max="6704" width="24.42578125" style="4" customWidth="1"/>
    <col min="6705" max="6705" width="15.28515625" style="4" customWidth="1"/>
    <col min="6706" max="6706" width="10.5703125" style="4" customWidth="1"/>
    <col min="6707" max="6707" width="11.28515625" style="4" customWidth="1"/>
    <col min="6708" max="6708" width="25" style="4" customWidth="1"/>
    <col min="6709" max="6709" width="6" style="4" customWidth="1"/>
    <col min="6710" max="6913" width="8.7109375" style="4"/>
    <col min="6914" max="6914" width="3.7109375" style="4" customWidth="1"/>
    <col min="6915" max="6915" width="2.28515625" style="4" customWidth="1"/>
    <col min="6916" max="6917" width="3.7109375" style="4" customWidth="1"/>
    <col min="6918" max="6918" width="2.28515625" style="4" customWidth="1"/>
    <col min="6919" max="6920" width="3.7109375" style="4" customWidth="1"/>
    <col min="6921" max="6921" width="2.28515625" style="4" customWidth="1"/>
    <col min="6922" max="6923" width="3.7109375" style="4" customWidth="1"/>
    <col min="6924" max="6924" width="2.28515625" style="4" customWidth="1"/>
    <col min="6925" max="6926" width="3.7109375" style="4" customWidth="1"/>
    <col min="6927" max="6927" width="2.28515625" style="4" customWidth="1"/>
    <col min="6928" max="6929" width="3.7109375" style="4" customWidth="1"/>
    <col min="6930" max="6930" width="2.28515625" style="4" customWidth="1"/>
    <col min="6931" max="6932" width="3.7109375" style="4" customWidth="1"/>
    <col min="6933" max="6933" width="2.28515625" style="4" customWidth="1"/>
    <col min="6934" max="6935" width="3.7109375" style="4" customWidth="1"/>
    <col min="6936" max="6936" width="2.28515625" style="4" customWidth="1"/>
    <col min="6937" max="6938" width="3.7109375" style="4" customWidth="1"/>
    <col min="6939" max="6939" width="2.28515625" style="4" customWidth="1"/>
    <col min="6940" max="6941" width="3.7109375" style="4" customWidth="1"/>
    <col min="6942" max="6942" width="2.28515625" style="4" customWidth="1"/>
    <col min="6943" max="6943" width="3.7109375" style="4" customWidth="1"/>
    <col min="6944" max="6944" width="9.7109375" style="4" customWidth="1"/>
    <col min="6945" max="6954" width="3.7109375" style="4" customWidth="1"/>
    <col min="6955" max="6955" width="11" style="4" customWidth="1"/>
    <col min="6956" max="6958" width="8.7109375" style="4"/>
    <col min="6959" max="6959" width="21" style="4" customWidth="1"/>
    <col min="6960" max="6960" width="24.42578125" style="4" customWidth="1"/>
    <col min="6961" max="6961" width="15.28515625" style="4" customWidth="1"/>
    <col min="6962" max="6962" width="10.5703125" style="4" customWidth="1"/>
    <col min="6963" max="6963" width="11.28515625" style="4" customWidth="1"/>
    <col min="6964" max="6964" width="25" style="4" customWidth="1"/>
    <col min="6965" max="6965" width="6" style="4" customWidth="1"/>
    <col min="6966" max="7169" width="8.7109375" style="4"/>
    <col min="7170" max="7170" width="3.7109375" style="4" customWidth="1"/>
    <col min="7171" max="7171" width="2.28515625" style="4" customWidth="1"/>
    <col min="7172" max="7173" width="3.7109375" style="4" customWidth="1"/>
    <col min="7174" max="7174" width="2.28515625" style="4" customWidth="1"/>
    <col min="7175" max="7176" width="3.7109375" style="4" customWidth="1"/>
    <col min="7177" max="7177" width="2.28515625" style="4" customWidth="1"/>
    <col min="7178" max="7179" width="3.7109375" style="4" customWidth="1"/>
    <col min="7180" max="7180" width="2.28515625" style="4" customWidth="1"/>
    <col min="7181" max="7182" width="3.7109375" style="4" customWidth="1"/>
    <col min="7183" max="7183" width="2.28515625" style="4" customWidth="1"/>
    <col min="7184" max="7185" width="3.7109375" style="4" customWidth="1"/>
    <col min="7186" max="7186" width="2.28515625" style="4" customWidth="1"/>
    <col min="7187" max="7188" width="3.7109375" style="4" customWidth="1"/>
    <col min="7189" max="7189" width="2.28515625" style="4" customWidth="1"/>
    <col min="7190" max="7191" width="3.7109375" style="4" customWidth="1"/>
    <col min="7192" max="7192" width="2.28515625" style="4" customWidth="1"/>
    <col min="7193" max="7194" width="3.7109375" style="4" customWidth="1"/>
    <col min="7195" max="7195" width="2.28515625" style="4" customWidth="1"/>
    <col min="7196" max="7197" width="3.7109375" style="4" customWidth="1"/>
    <col min="7198" max="7198" width="2.28515625" style="4" customWidth="1"/>
    <col min="7199" max="7199" width="3.7109375" style="4" customWidth="1"/>
    <col min="7200" max="7200" width="9.7109375" style="4" customWidth="1"/>
    <col min="7201" max="7210" width="3.7109375" style="4" customWidth="1"/>
    <col min="7211" max="7211" width="11" style="4" customWidth="1"/>
    <col min="7212" max="7214" width="8.7109375" style="4"/>
    <col min="7215" max="7215" width="21" style="4" customWidth="1"/>
    <col min="7216" max="7216" width="24.42578125" style="4" customWidth="1"/>
    <col min="7217" max="7217" width="15.28515625" style="4" customWidth="1"/>
    <col min="7218" max="7218" width="10.5703125" style="4" customWidth="1"/>
    <col min="7219" max="7219" width="11.28515625" style="4" customWidth="1"/>
    <col min="7220" max="7220" width="25" style="4" customWidth="1"/>
    <col min="7221" max="7221" width="6" style="4" customWidth="1"/>
    <col min="7222" max="7425" width="8.7109375" style="4"/>
    <col min="7426" max="7426" width="3.7109375" style="4" customWidth="1"/>
    <col min="7427" max="7427" width="2.28515625" style="4" customWidth="1"/>
    <col min="7428" max="7429" width="3.7109375" style="4" customWidth="1"/>
    <col min="7430" max="7430" width="2.28515625" style="4" customWidth="1"/>
    <col min="7431" max="7432" width="3.7109375" style="4" customWidth="1"/>
    <col min="7433" max="7433" width="2.28515625" style="4" customWidth="1"/>
    <col min="7434" max="7435" width="3.7109375" style="4" customWidth="1"/>
    <col min="7436" max="7436" width="2.28515625" style="4" customWidth="1"/>
    <col min="7437" max="7438" width="3.7109375" style="4" customWidth="1"/>
    <col min="7439" max="7439" width="2.28515625" style="4" customWidth="1"/>
    <col min="7440" max="7441" width="3.7109375" style="4" customWidth="1"/>
    <col min="7442" max="7442" width="2.28515625" style="4" customWidth="1"/>
    <col min="7443" max="7444" width="3.7109375" style="4" customWidth="1"/>
    <col min="7445" max="7445" width="2.28515625" style="4" customWidth="1"/>
    <col min="7446" max="7447" width="3.7109375" style="4" customWidth="1"/>
    <col min="7448" max="7448" width="2.28515625" style="4" customWidth="1"/>
    <col min="7449" max="7450" width="3.7109375" style="4" customWidth="1"/>
    <col min="7451" max="7451" width="2.28515625" style="4" customWidth="1"/>
    <col min="7452" max="7453" width="3.7109375" style="4" customWidth="1"/>
    <col min="7454" max="7454" width="2.28515625" style="4" customWidth="1"/>
    <col min="7455" max="7455" width="3.7109375" style="4" customWidth="1"/>
    <col min="7456" max="7456" width="9.7109375" style="4" customWidth="1"/>
    <col min="7457" max="7466" width="3.7109375" style="4" customWidth="1"/>
    <col min="7467" max="7467" width="11" style="4" customWidth="1"/>
    <col min="7468" max="7470" width="8.7109375" style="4"/>
    <col min="7471" max="7471" width="21" style="4" customWidth="1"/>
    <col min="7472" max="7472" width="24.42578125" style="4" customWidth="1"/>
    <col min="7473" max="7473" width="15.28515625" style="4" customWidth="1"/>
    <col min="7474" max="7474" width="10.5703125" style="4" customWidth="1"/>
    <col min="7475" max="7475" width="11.28515625" style="4" customWidth="1"/>
    <col min="7476" max="7476" width="25" style="4" customWidth="1"/>
    <col min="7477" max="7477" width="6" style="4" customWidth="1"/>
    <col min="7478" max="7681" width="8.7109375" style="4"/>
    <col min="7682" max="7682" width="3.7109375" style="4" customWidth="1"/>
    <col min="7683" max="7683" width="2.28515625" style="4" customWidth="1"/>
    <col min="7684" max="7685" width="3.7109375" style="4" customWidth="1"/>
    <col min="7686" max="7686" width="2.28515625" style="4" customWidth="1"/>
    <col min="7687" max="7688" width="3.7109375" style="4" customWidth="1"/>
    <col min="7689" max="7689" width="2.28515625" style="4" customWidth="1"/>
    <col min="7690" max="7691" width="3.7109375" style="4" customWidth="1"/>
    <col min="7692" max="7692" width="2.28515625" style="4" customWidth="1"/>
    <col min="7693" max="7694" width="3.7109375" style="4" customWidth="1"/>
    <col min="7695" max="7695" width="2.28515625" style="4" customWidth="1"/>
    <col min="7696" max="7697" width="3.7109375" style="4" customWidth="1"/>
    <col min="7698" max="7698" width="2.28515625" style="4" customWidth="1"/>
    <col min="7699" max="7700" width="3.7109375" style="4" customWidth="1"/>
    <col min="7701" max="7701" width="2.28515625" style="4" customWidth="1"/>
    <col min="7702" max="7703" width="3.7109375" style="4" customWidth="1"/>
    <col min="7704" max="7704" width="2.28515625" style="4" customWidth="1"/>
    <col min="7705" max="7706" width="3.7109375" style="4" customWidth="1"/>
    <col min="7707" max="7707" width="2.28515625" style="4" customWidth="1"/>
    <col min="7708" max="7709" width="3.7109375" style="4" customWidth="1"/>
    <col min="7710" max="7710" width="2.28515625" style="4" customWidth="1"/>
    <col min="7711" max="7711" width="3.7109375" style="4" customWidth="1"/>
    <col min="7712" max="7712" width="9.7109375" style="4" customWidth="1"/>
    <col min="7713" max="7722" width="3.7109375" style="4" customWidth="1"/>
    <col min="7723" max="7723" width="11" style="4" customWidth="1"/>
    <col min="7724" max="7726" width="8.7109375" style="4"/>
    <col min="7727" max="7727" width="21" style="4" customWidth="1"/>
    <col min="7728" max="7728" width="24.42578125" style="4" customWidth="1"/>
    <col min="7729" max="7729" width="15.28515625" style="4" customWidth="1"/>
    <col min="7730" max="7730" width="10.5703125" style="4" customWidth="1"/>
    <col min="7731" max="7731" width="11.28515625" style="4" customWidth="1"/>
    <col min="7732" max="7732" width="25" style="4" customWidth="1"/>
    <col min="7733" max="7733" width="6" style="4" customWidth="1"/>
    <col min="7734" max="7937" width="8.7109375" style="4"/>
    <col min="7938" max="7938" width="3.7109375" style="4" customWidth="1"/>
    <col min="7939" max="7939" width="2.28515625" style="4" customWidth="1"/>
    <col min="7940" max="7941" width="3.7109375" style="4" customWidth="1"/>
    <col min="7942" max="7942" width="2.28515625" style="4" customWidth="1"/>
    <col min="7943" max="7944" width="3.7109375" style="4" customWidth="1"/>
    <col min="7945" max="7945" width="2.28515625" style="4" customWidth="1"/>
    <col min="7946" max="7947" width="3.7109375" style="4" customWidth="1"/>
    <col min="7948" max="7948" width="2.28515625" style="4" customWidth="1"/>
    <col min="7949" max="7950" width="3.7109375" style="4" customWidth="1"/>
    <col min="7951" max="7951" width="2.28515625" style="4" customWidth="1"/>
    <col min="7952" max="7953" width="3.7109375" style="4" customWidth="1"/>
    <col min="7954" max="7954" width="2.28515625" style="4" customWidth="1"/>
    <col min="7955" max="7956" width="3.7109375" style="4" customWidth="1"/>
    <col min="7957" max="7957" width="2.28515625" style="4" customWidth="1"/>
    <col min="7958" max="7959" width="3.7109375" style="4" customWidth="1"/>
    <col min="7960" max="7960" width="2.28515625" style="4" customWidth="1"/>
    <col min="7961" max="7962" width="3.7109375" style="4" customWidth="1"/>
    <col min="7963" max="7963" width="2.28515625" style="4" customWidth="1"/>
    <col min="7964" max="7965" width="3.7109375" style="4" customWidth="1"/>
    <col min="7966" max="7966" width="2.28515625" style="4" customWidth="1"/>
    <col min="7967" max="7967" width="3.7109375" style="4" customWidth="1"/>
    <col min="7968" max="7968" width="9.7109375" style="4" customWidth="1"/>
    <col min="7969" max="7978" width="3.7109375" style="4" customWidth="1"/>
    <col min="7979" max="7979" width="11" style="4" customWidth="1"/>
    <col min="7980" max="7982" width="8.7109375" style="4"/>
    <col min="7983" max="7983" width="21" style="4" customWidth="1"/>
    <col min="7984" max="7984" width="24.42578125" style="4" customWidth="1"/>
    <col min="7985" max="7985" width="15.28515625" style="4" customWidth="1"/>
    <col min="7986" max="7986" width="10.5703125" style="4" customWidth="1"/>
    <col min="7987" max="7987" width="11.28515625" style="4" customWidth="1"/>
    <col min="7988" max="7988" width="25" style="4" customWidth="1"/>
    <col min="7989" max="7989" width="6" style="4" customWidth="1"/>
    <col min="7990" max="8193" width="8.7109375" style="4"/>
    <col min="8194" max="8194" width="3.7109375" style="4" customWidth="1"/>
    <col min="8195" max="8195" width="2.28515625" style="4" customWidth="1"/>
    <col min="8196" max="8197" width="3.7109375" style="4" customWidth="1"/>
    <col min="8198" max="8198" width="2.28515625" style="4" customWidth="1"/>
    <col min="8199" max="8200" width="3.7109375" style="4" customWidth="1"/>
    <col min="8201" max="8201" width="2.28515625" style="4" customWidth="1"/>
    <col min="8202" max="8203" width="3.7109375" style="4" customWidth="1"/>
    <col min="8204" max="8204" width="2.28515625" style="4" customWidth="1"/>
    <col min="8205" max="8206" width="3.7109375" style="4" customWidth="1"/>
    <col min="8207" max="8207" width="2.28515625" style="4" customWidth="1"/>
    <col min="8208" max="8209" width="3.7109375" style="4" customWidth="1"/>
    <col min="8210" max="8210" width="2.28515625" style="4" customWidth="1"/>
    <col min="8211" max="8212" width="3.7109375" style="4" customWidth="1"/>
    <col min="8213" max="8213" width="2.28515625" style="4" customWidth="1"/>
    <col min="8214" max="8215" width="3.7109375" style="4" customWidth="1"/>
    <col min="8216" max="8216" width="2.28515625" style="4" customWidth="1"/>
    <col min="8217" max="8218" width="3.7109375" style="4" customWidth="1"/>
    <col min="8219" max="8219" width="2.28515625" style="4" customWidth="1"/>
    <col min="8220" max="8221" width="3.7109375" style="4" customWidth="1"/>
    <col min="8222" max="8222" width="2.28515625" style="4" customWidth="1"/>
    <col min="8223" max="8223" width="3.7109375" style="4" customWidth="1"/>
    <col min="8224" max="8224" width="9.7109375" style="4" customWidth="1"/>
    <col min="8225" max="8234" width="3.7109375" style="4" customWidth="1"/>
    <col min="8235" max="8235" width="11" style="4" customWidth="1"/>
    <col min="8236" max="8238" width="8.7109375" style="4"/>
    <col min="8239" max="8239" width="21" style="4" customWidth="1"/>
    <col min="8240" max="8240" width="24.42578125" style="4" customWidth="1"/>
    <col min="8241" max="8241" width="15.28515625" style="4" customWidth="1"/>
    <col min="8242" max="8242" width="10.5703125" style="4" customWidth="1"/>
    <col min="8243" max="8243" width="11.28515625" style="4" customWidth="1"/>
    <col min="8244" max="8244" width="25" style="4" customWidth="1"/>
    <col min="8245" max="8245" width="6" style="4" customWidth="1"/>
    <col min="8246" max="8449" width="8.7109375" style="4"/>
    <col min="8450" max="8450" width="3.7109375" style="4" customWidth="1"/>
    <col min="8451" max="8451" width="2.28515625" style="4" customWidth="1"/>
    <col min="8452" max="8453" width="3.7109375" style="4" customWidth="1"/>
    <col min="8454" max="8454" width="2.28515625" style="4" customWidth="1"/>
    <col min="8455" max="8456" width="3.7109375" style="4" customWidth="1"/>
    <col min="8457" max="8457" width="2.28515625" style="4" customWidth="1"/>
    <col min="8458" max="8459" width="3.7109375" style="4" customWidth="1"/>
    <col min="8460" max="8460" width="2.28515625" style="4" customWidth="1"/>
    <col min="8461" max="8462" width="3.7109375" style="4" customWidth="1"/>
    <col min="8463" max="8463" width="2.28515625" style="4" customWidth="1"/>
    <col min="8464" max="8465" width="3.7109375" style="4" customWidth="1"/>
    <col min="8466" max="8466" width="2.28515625" style="4" customWidth="1"/>
    <col min="8467" max="8468" width="3.7109375" style="4" customWidth="1"/>
    <col min="8469" max="8469" width="2.28515625" style="4" customWidth="1"/>
    <col min="8470" max="8471" width="3.7109375" style="4" customWidth="1"/>
    <col min="8472" max="8472" width="2.28515625" style="4" customWidth="1"/>
    <col min="8473" max="8474" width="3.7109375" style="4" customWidth="1"/>
    <col min="8475" max="8475" width="2.28515625" style="4" customWidth="1"/>
    <col min="8476" max="8477" width="3.7109375" style="4" customWidth="1"/>
    <col min="8478" max="8478" width="2.28515625" style="4" customWidth="1"/>
    <col min="8479" max="8479" width="3.7109375" style="4" customWidth="1"/>
    <col min="8480" max="8480" width="9.7109375" style="4" customWidth="1"/>
    <col min="8481" max="8490" width="3.7109375" style="4" customWidth="1"/>
    <col min="8491" max="8491" width="11" style="4" customWidth="1"/>
    <col min="8492" max="8494" width="8.7109375" style="4"/>
    <col min="8495" max="8495" width="21" style="4" customWidth="1"/>
    <col min="8496" max="8496" width="24.42578125" style="4" customWidth="1"/>
    <col min="8497" max="8497" width="15.28515625" style="4" customWidth="1"/>
    <col min="8498" max="8498" width="10.5703125" style="4" customWidth="1"/>
    <col min="8499" max="8499" width="11.28515625" style="4" customWidth="1"/>
    <col min="8500" max="8500" width="25" style="4" customWidth="1"/>
    <col min="8501" max="8501" width="6" style="4" customWidth="1"/>
    <col min="8502" max="8705" width="8.7109375" style="4"/>
    <col min="8706" max="8706" width="3.7109375" style="4" customWidth="1"/>
    <col min="8707" max="8707" width="2.28515625" style="4" customWidth="1"/>
    <col min="8708" max="8709" width="3.7109375" style="4" customWidth="1"/>
    <col min="8710" max="8710" width="2.28515625" style="4" customWidth="1"/>
    <col min="8711" max="8712" width="3.7109375" style="4" customWidth="1"/>
    <col min="8713" max="8713" width="2.28515625" style="4" customWidth="1"/>
    <col min="8714" max="8715" width="3.7109375" style="4" customWidth="1"/>
    <col min="8716" max="8716" width="2.28515625" style="4" customWidth="1"/>
    <col min="8717" max="8718" width="3.7109375" style="4" customWidth="1"/>
    <col min="8719" max="8719" width="2.28515625" style="4" customWidth="1"/>
    <col min="8720" max="8721" width="3.7109375" style="4" customWidth="1"/>
    <col min="8722" max="8722" width="2.28515625" style="4" customWidth="1"/>
    <col min="8723" max="8724" width="3.7109375" style="4" customWidth="1"/>
    <col min="8725" max="8725" width="2.28515625" style="4" customWidth="1"/>
    <col min="8726" max="8727" width="3.7109375" style="4" customWidth="1"/>
    <col min="8728" max="8728" width="2.28515625" style="4" customWidth="1"/>
    <col min="8729" max="8730" width="3.7109375" style="4" customWidth="1"/>
    <col min="8731" max="8731" width="2.28515625" style="4" customWidth="1"/>
    <col min="8732" max="8733" width="3.7109375" style="4" customWidth="1"/>
    <col min="8734" max="8734" width="2.28515625" style="4" customWidth="1"/>
    <col min="8735" max="8735" width="3.7109375" style="4" customWidth="1"/>
    <col min="8736" max="8736" width="9.7109375" style="4" customWidth="1"/>
    <col min="8737" max="8746" width="3.7109375" style="4" customWidth="1"/>
    <col min="8747" max="8747" width="11" style="4" customWidth="1"/>
    <col min="8748" max="8750" width="8.7109375" style="4"/>
    <col min="8751" max="8751" width="21" style="4" customWidth="1"/>
    <col min="8752" max="8752" width="24.42578125" style="4" customWidth="1"/>
    <col min="8753" max="8753" width="15.28515625" style="4" customWidth="1"/>
    <col min="8754" max="8754" width="10.5703125" style="4" customWidth="1"/>
    <col min="8755" max="8755" width="11.28515625" style="4" customWidth="1"/>
    <col min="8756" max="8756" width="25" style="4" customWidth="1"/>
    <col min="8757" max="8757" width="6" style="4" customWidth="1"/>
    <col min="8758" max="8961" width="8.7109375" style="4"/>
    <col min="8962" max="8962" width="3.7109375" style="4" customWidth="1"/>
    <col min="8963" max="8963" width="2.28515625" style="4" customWidth="1"/>
    <col min="8964" max="8965" width="3.7109375" style="4" customWidth="1"/>
    <col min="8966" max="8966" width="2.28515625" style="4" customWidth="1"/>
    <col min="8967" max="8968" width="3.7109375" style="4" customWidth="1"/>
    <col min="8969" max="8969" width="2.28515625" style="4" customWidth="1"/>
    <col min="8970" max="8971" width="3.7109375" style="4" customWidth="1"/>
    <col min="8972" max="8972" width="2.28515625" style="4" customWidth="1"/>
    <col min="8973" max="8974" width="3.7109375" style="4" customWidth="1"/>
    <col min="8975" max="8975" width="2.28515625" style="4" customWidth="1"/>
    <col min="8976" max="8977" width="3.7109375" style="4" customWidth="1"/>
    <col min="8978" max="8978" width="2.28515625" style="4" customWidth="1"/>
    <col min="8979" max="8980" width="3.7109375" style="4" customWidth="1"/>
    <col min="8981" max="8981" width="2.28515625" style="4" customWidth="1"/>
    <col min="8982" max="8983" width="3.7109375" style="4" customWidth="1"/>
    <col min="8984" max="8984" width="2.28515625" style="4" customWidth="1"/>
    <col min="8985" max="8986" width="3.7109375" style="4" customWidth="1"/>
    <col min="8987" max="8987" width="2.28515625" style="4" customWidth="1"/>
    <col min="8988" max="8989" width="3.7109375" style="4" customWidth="1"/>
    <col min="8990" max="8990" width="2.28515625" style="4" customWidth="1"/>
    <col min="8991" max="8991" width="3.7109375" style="4" customWidth="1"/>
    <col min="8992" max="8992" width="9.7109375" style="4" customWidth="1"/>
    <col min="8993" max="9002" width="3.7109375" style="4" customWidth="1"/>
    <col min="9003" max="9003" width="11" style="4" customWidth="1"/>
    <col min="9004" max="9006" width="8.7109375" style="4"/>
    <col min="9007" max="9007" width="21" style="4" customWidth="1"/>
    <col min="9008" max="9008" width="24.42578125" style="4" customWidth="1"/>
    <col min="9009" max="9009" width="15.28515625" style="4" customWidth="1"/>
    <col min="9010" max="9010" width="10.5703125" style="4" customWidth="1"/>
    <col min="9011" max="9011" width="11.28515625" style="4" customWidth="1"/>
    <col min="9012" max="9012" width="25" style="4" customWidth="1"/>
    <col min="9013" max="9013" width="6" style="4" customWidth="1"/>
    <col min="9014" max="9217" width="8.7109375" style="4"/>
    <col min="9218" max="9218" width="3.7109375" style="4" customWidth="1"/>
    <col min="9219" max="9219" width="2.28515625" style="4" customWidth="1"/>
    <col min="9220" max="9221" width="3.7109375" style="4" customWidth="1"/>
    <col min="9222" max="9222" width="2.28515625" style="4" customWidth="1"/>
    <col min="9223" max="9224" width="3.7109375" style="4" customWidth="1"/>
    <col min="9225" max="9225" width="2.28515625" style="4" customWidth="1"/>
    <col min="9226" max="9227" width="3.7109375" style="4" customWidth="1"/>
    <col min="9228" max="9228" width="2.28515625" style="4" customWidth="1"/>
    <col min="9229" max="9230" width="3.7109375" style="4" customWidth="1"/>
    <col min="9231" max="9231" width="2.28515625" style="4" customWidth="1"/>
    <col min="9232" max="9233" width="3.7109375" style="4" customWidth="1"/>
    <col min="9234" max="9234" width="2.28515625" style="4" customWidth="1"/>
    <col min="9235" max="9236" width="3.7109375" style="4" customWidth="1"/>
    <col min="9237" max="9237" width="2.28515625" style="4" customWidth="1"/>
    <col min="9238" max="9239" width="3.7109375" style="4" customWidth="1"/>
    <col min="9240" max="9240" width="2.28515625" style="4" customWidth="1"/>
    <col min="9241" max="9242" width="3.7109375" style="4" customWidth="1"/>
    <col min="9243" max="9243" width="2.28515625" style="4" customWidth="1"/>
    <col min="9244" max="9245" width="3.7109375" style="4" customWidth="1"/>
    <col min="9246" max="9246" width="2.28515625" style="4" customWidth="1"/>
    <col min="9247" max="9247" width="3.7109375" style="4" customWidth="1"/>
    <col min="9248" max="9248" width="9.7109375" style="4" customWidth="1"/>
    <col min="9249" max="9258" width="3.7109375" style="4" customWidth="1"/>
    <col min="9259" max="9259" width="11" style="4" customWidth="1"/>
    <col min="9260" max="9262" width="8.7109375" style="4"/>
    <col min="9263" max="9263" width="21" style="4" customWidth="1"/>
    <col min="9264" max="9264" width="24.42578125" style="4" customWidth="1"/>
    <col min="9265" max="9265" width="15.28515625" style="4" customWidth="1"/>
    <col min="9266" max="9266" width="10.5703125" style="4" customWidth="1"/>
    <col min="9267" max="9267" width="11.28515625" style="4" customWidth="1"/>
    <col min="9268" max="9268" width="25" style="4" customWidth="1"/>
    <col min="9269" max="9269" width="6" style="4" customWidth="1"/>
    <col min="9270" max="9473" width="8.7109375" style="4"/>
    <col min="9474" max="9474" width="3.7109375" style="4" customWidth="1"/>
    <col min="9475" max="9475" width="2.28515625" style="4" customWidth="1"/>
    <col min="9476" max="9477" width="3.7109375" style="4" customWidth="1"/>
    <col min="9478" max="9478" width="2.28515625" style="4" customWidth="1"/>
    <col min="9479" max="9480" width="3.7109375" style="4" customWidth="1"/>
    <col min="9481" max="9481" width="2.28515625" style="4" customWidth="1"/>
    <col min="9482" max="9483" width="3.7109375" style="4" customWidth="1"/>
    <col min="9484" max="9484" width="2.28515625" style="4" customWidth="1"/>
    <col min="9485" max="9486" width="3.7109375" style="4" customWidth="1"/>
    <col min="9487" max="9487" width="2.28515625" style="4" customWidth="1"/>
    <col min="9488" max="9489" width="3.7109375" style="4" customWidth="1"/>
    <col min="9490" max="9490" width="2.28515625" style="4" customWidth="1"/>
    <col min="9491" max="9492" width="3.7109375" style="4" customWidth="1"/>
    <col min="9493" max="9493" width="2.28515625" style="4" customWidth="1"/>
    <col min="9494" max="9495" width="3.7109375" style="4" customWidth="1"/>
    <col min="9496" max="9496" width="2.28515625" style="4" customWidth="1"/>
    <col min="9497" max="9498" width="3.7109375" style="4" customWidth="1"/>
    <col min="9499" max="9499" width="2.28515625" style="4" customWidth="1"/>
    <col min="9500" max="9501" width="3.7109375" style="4" customWidth="1"/>
    <col min="9502" max="9502" width="2.28515625" style="4" customWidth="1"/>
    <col min="9503" max="9503" width="3.7109375" style="4" customWidth="1"/>
    <col min="9504" max="9504" width="9.7109375" style="4" customWidth="1"/>
    <col min="9505" max="9514" width="3.7109375" style="4" customWidth="1"/>
    <col min="9515" max="9515" width="11" style="4" customWidth="1"/>
    <col min="9516" max="9518" width="8.7109375" style="4"/>
    <col min="9519" max="9519" width="21" style="4" customWidth="1"/>
    <col min="9520" max="9520" width="24.42578125" style="4" customWidth="1"/>
    <col min="9521" max="9521" width="15.28515625" style="4" customWidth="1"/>
    <col min="9522" max="9522" width="10.5703125" style="4" customWidth="1"/>
    <col min="9523" max="9523" width="11.28515625" style="4" customWidth="1"/>
    <col min="9524" max="9524" width="25" style="4" customWidth="1"/>
    <col min="9525" max="9525" width="6" style="4" customWidth="1"/>
    <col min="9526" max="9729" width="8.7109375" style="4"/>
    <col min="9730" max="9730" width="3.7109375" style="4" customWidth="1"/>
    <col min="9731" max="9731" width="2.28515625" style="4" customWidth="1"/>
    <col min="9732" max="9733" width="3.7109375" style="4" customWidth="1"/>
    <col min="9734" max="9734" width="2.28515625" style="4" customWidth="1"/>
    <col min="9735" max="9736" width="3.7109375" style="4" customWidth="1"/>
    <col min="9737" max="9737" width="2.28515625" style="4" customWidth="1"/>
    <col min="9738" max="9739" width="3.7109375" style="4" customWidth="1"/>
    <col min="9740" max="9740" width="2.28515625" style="4" customWidth="1"/>
    <col min="9741" max="9742" width="3.7109375" style="4" customWidth="1"/>
    <col min="9743" max="9743" width="2.28515625" style="4" customWidth="1"/>
    <col min="9744" max="9745" width="3.7109375" style="4" customWidth="1"/>
    <col min="9746" max="9746" width="2.28515625" style="4" customWidth="1"/>
    <col min="9747" max="9748" width="3.7109375" style="4" customWidth="1"/>
    <col min="9749" max="9749" width="2.28515625" style="4" customWidth="1"/>
    <col min="9750" max="9751" width="3.7109375" style="4" customWidth="1"/>
    <col min="9752" max="9752" width="2.28515625" style="4" customWidth="1"/>
    <col min="9753" max="9754" width="3.7109375" style="4" customWidth="1"/>
    <col min="9755" max="9755" width="2.28515625" style="4" customWidth="1"/>
    <col min="9756" max="9757" width="3.7109375" style="4" customWidth="1"/>
    <col min="9758" max="9758" width="2.28515625" style="4" customWidth="1"/>
    <col min="9759" max="9759" width="3.7109375" style="4" customWidth="1"/>
    <col min="9760" max="9760" width="9.7109375" style="4" customWidth="1"/>
    <col min="9761" max="9770" width="3.7109375" style="4" customWidth="1"/>
    <col min="9771" max="9771" width="11" style="4" customWidth="1"/>
    <col min="9772" max="9774" width="8.7109375" style="4"/>
    <col min="9775" max="9775" width="21" style="4" customWidth="1"/>
    <col min="9776" max="9776" width="24.42578125" style="4" customWidth="1"/>
    <col min="9777" max="9777" width="15.28515625" style="4" customWidth="1"/>
    <col min="9778" max="9778" width="10.5703125" style="4" customWidth="1"/>
    <col min="9779" max="9779" width="11.28515625" style="4" customWidth="1"/>
    <col min="9780" max="9780" width="25" style="4" customWidth="1"/>
    <col min="9781" max="9781" width="6" style="4" customWidth="1"/>
    <col min="9782" max="9985" width="8.7109375" style="4"/>
    <col min="9986" max="9986" width="3.7109375" style="4" customWidth="1"/>
    <col min="9987" max="9987" width="2.28515625" style="4" customWidth="1"/>
    <col min="9988" max="9989" width="3.7109375" style="4" customWidth="1"/>
    <col min="9990" max="9990" width="2.28515625" style="4" customWidth="1"/>
    <col min="9991" max="9992" width="3.7109375" style="4" customWidth="1"/>
    <col min="9993" max="9993" width="2.28515625" style="4" customWidth="1"/>
    <col min="9994" max="9995" width="3.7109375" style="4" customWidth="1"/>
    <col min="9996" max="9996" width="2.28515625" style="4" customWidth="1"/>
    <col min="9997" max="9998" width="3.7109375" style="4" customWidth="1"/>
    <col min="9999" max="9999" width="2.28515625" style="4" customWidth="1"/>
    <col min="10000" max="10001" width="3.7109375" style="4" customWidth="1"/>
    <col min="10002" max="10002" width="2.28515625" style="4" customWidth="1"/>
    <col min="10003" max="10004" width="3.7109375" style="4" customWidth="1"/>
    <col min="10005" max="10005" width="2.28515625" style="4" customWidth="1"/>
    <col min="10006" max="10007" width="3.7109375" style="4" customWidth="1"/>
    <col min="10008" max="10008" width="2.28515625" style="4" customWidth="1"/>
    <col min="10009" max="10010" width="3.7109375" style="4" customWidth="1"/>
    <col min="10011" max="10011" width="2.28515625" style="4" customWidth="1"/>
    <col min="10012" max="10013" width="3.7109375" style="4" customWidth="1"/>
    <col min="10014" max="10014" width="2.28515625" style="4" customWidth="1"/>
    <col min="10015" max="10015" width="3.7109375" style="4" customWidth="1"/>
    <col min="10016" max="10016" width="9.7109375" style="4" customWidth="1"/>
    <col min="10017" max="10026" width="3.7109375" style="4" customWidth="1"/>
    <col min="10027" max="10027" width="11" style="4" customWidth="1"/>
    <col min="10028" max="10030" width="8.7109375" style="4"/>
    <col min="10031" max="10031" width="21" style="4" customWidth="1"/>
    <col min="10032" max="10032" width="24.42578125" style="4" customWidth="1"/>
    <col min="10033" max="10033" width="15.28515625" style="4" customWidth="1"/>
    <col min="10034" max="10034" width="10.5703125" style="4" customWidth="1"/>
    <col min="10035" max="10035" width="11.28515625" style="4" customWidth="1"/>
    <col min="10036" max="10036" width="25" style="4" customWidth="1"/>
    <col min="10037" max="10037" width="6" style="4" customWidth="1"/>
    <col min="10038" max="10241" width="8.7109375" style="4"/>
    <col min="10242" max="10242" width="3.7109375" style="4" customWidth="1"/>
    <col min="10243" max="10243" width="2.28515625" style="4" customWidth="1"/>
    <col min="10244" max="10245" width="3.7109375" style="4" customWidth="1"/>
    <col min="10246" max="10246" width="2.28515625" style="4" customWidth="1"/>
    <col min="10247" max="10248" width="3.7109375" style="4" customWidth="1"/>
    <col min="10249" max="10249" width="2.28515625" style="4" customWidth="1"/>
    <col min="10250" max="10251" width="3.7109375" style="4" customWidth="1"/>
    <col min="10252" max="10252" width="2.28515625" style="4" customWidth="1"/>
    <col min="10253" max="10254" width="3.7109375" style="4" customWidth="1"/>
    <col min="10255" max="10255" width="2.28515625" style="4" customWidth="1"/>
    <col min="10256" max="10257" width="3.7109375" style="4" customWidth="1"/>
    <col min="10258" max="10258" width="2.28515625" style="4" customWidth="1"/>
    <col min="10259" max="10260" width="3.7109375" style="4" customWidth="1"/>
    <col min="10261" max="10261" width="2.28515625" style="4" customWidth="1"/>
    <col min="10262" max="10263" width="3.7109375" style="4" customWidth="1"/>
    <col min="10264" max="10264" width="2.28515625" style="4" customWidth="1"/>
    <col min="10265" max="10266" width="3.7109375" style="4" customWidth="1"/>
    <col min="10267" max="10267" width="2.28515625" style="4" customWidth="1"/>
    <col min="10268" max="10269" width="3.7109375" style="4" customWidth="1"/>
    <col min="10270" max="10270" width="2.28515625" style="4" customWidth="1"/>
    <col min="10271" max="10271" width="3.7109375" style="4" customWidth="1"/>
    <col min="10272" max="10272" width="9.7109375" style="4" customWidth="1"/>
    <col min="10273" max="10282" width="3.7109375" style="4" customWidth="1"/>
    <col min="10283" max="10283" width="11" style="4" customWidth="1"/>
    <col min="10284" max="10286" width="8.7109375" style="4"/>
    <col min="10287" max="10287" width="21" style="4" customWidth="1"/>
    <col min="10288" max="10288" width="24.42578125" style="4" customWidth="1"/>
    <col min="10289" max="10289" width="15.28515625" style="4" customWidth="1"/>
    <col min="10290" max="10290" width="10.5703125" style="4" customWidth="1"/>
    <col min="10291" max="10291" width="11.28515625" style="4" customWidth="1"/>
    <col min="10292" max="10292" width="25" style="4" customWidth="1"/>
    <col min="10293" max="10293" width="6" style="4" customWidth="1"/>
    <col min="10294" max="10497" width="8.7109375" style="4"/>
    <col min="10498" max="10498" width="3.7109375" style="4" customWidth="1"/>
    <col min="10499" max="10499" width="2.28515625" style="4" customWidth="1"/>
    <col min="10500" max="10501" width="3.7109375" style="4" customWidth="1"/>
    <col min="10502" max="10502" width="2.28515625" style="4" customWidth="1"/>
    <col min="10503" max="10504" width="3.7109375" style="4" customWidth="1"/>
    <col min="10505" max="10505" width="2.28515625" style="4" customWidth="1"/>
    <col min="10506" max="10507" width="3.7109375" style="4" customWidth="1"/>
    <col min="10508" max="10508" width="2.28515625" style="4" customWidth="1"/>
    <col min="10509" max="10510" width="3.7109375" style="4" customWidth="1"/>
    <col min="10511" max="10511" width="2.28515625" style="4" customWidth="1"/>
    <col min="10512" max="10513" width="3.7109375" style="4" customWidth="1"/>
    <col min="10514" max="10514" width="2.28515625" style="4" customWidth="1"/>
    <col min="10515" max="10516" width="3.7109375" style="4" customWidth="1"/>
    <col min="10517" max="10517" width="2.28515625" style="4" customWidth="1"/>
    <col min="10518" max="10519" width="3.7109375" style="4" customWidth="1"/>
    <col min="10520" max="10520" width="2.28515625" style="4" customWidth="1"/>
    <col min="10521" max="10522" width="3.7109375" style="4" customWidth="1"/>
    <col min="10523" max="10523" width="2.28515625" style="4" customWidth="1"/>
    <col min="10524" max="10525" width="3.7109375" style="4" customWidth="1"/>
    <col min="10526" max="10526" width="2.28515625" style="4" customWidth="1"/>
    <col min="10527" max="10527" width="3.7109375" style="4" customWidth="1"/>
    <col min="10528" max="10528" width="9.7109375" style="4" customWidth="1"/>
    <col min="10529" max="10538" width="3.7109375" style="4" customWidth="1"/>
    <col min="10539" max="10539" width="11" style="4" customWidth="1"/>
    <col min="10540" max="10542" width="8.7109375" style="4"/>
    <col min="10543" max="10543" width="21" style="4" customWidth="1"/>
    <col min="10544" max="10544" width="24.42578125" style="4" customWidth="1"/>
    <col min="10545" max="10545" width="15.28515625" style="4" customWidth="1"/>
    <col min="10546" max="10546" width="10.5703125" style="4" customWidth="1"/>
    <col min="10547" max="10547" width="11.28515625" style="4" customWidth="1"/>
    <col min="10548" max="10548" width="25" style="4" customWidth="1"/>
    <col min="10549" max="10549" width="6" style="4" customWidth="1"/>
    <col min="10550" max="10753" width="8.7109375" style="4"/>
    <col min="10754" max="10754" width="3.7109375" style="4" customWidth="1"/>
    <col min="10755" max="10755" width="2.28515625" style="4" customWidth="1"/>
    <col min="10756" max="10757" width="3.7109375" style="4" customWidth="1"/>
    <col min="10758" max="10758" width="2.28515625" style="4" customWidth="1"/>
    <col min="10759" max="10760" width="3.7109375" style="4" customWidth="1"/>
    <col min="10761" max="10761" width="2.28515625" style="4" customWidth="1"/>
    <col min="10762" max="10763" width="3.7109375" style="4" customWidth="1"/>
    <col min="10764" max="10764" width="2.28515625" style="4" customWidth="1"/>
    <col min="10765" max="10766" width="3.7109375" style="4" customWidth="1"/>
    <col min="10767" max="10767" width="2.28515625" style="4" customWidth="1"/>
    <col min="10768" max="10769" width="3.7109375" style="4" customWidth="1"/>
    <col min="10770" max="10770" width="2.28515625" style="4" customWidth="1"/>
    <col min="10771" max="10772" width="3.7109375" style="4" customWidth="1"/>
    <col min="10773" max="10773" width="2.28515625" style="4" customWidth="1"/>
    <col min="10774" max="10775" width="3.7109375" style="4" customWidth="1"/>
    <col min="10776" max="10776" width="2.28515625" style="4" customWidth="1"/>
    <col min="10777" max="10778" width="3.7109375" style="4" customWidth="1"/>
    <col min="10779" max="10779" width="2.28515625" style="4" customWidth="1"/>
    <col min="10780" max="10781" width="3.7109375" style="4" customWidth="1"/>
    <col min="10782" max="10782" width="2.28515625" style="4" customWidth="1"/>
    <col min="10783" max="10783" width="3.7109375" style="4" customWidth="1"/>
    <col min="10784" max="10784" width="9.7109375" style="4" customWidth="1"/>
    <col min="10785" max="10794" width="3.7109375" style="4" customWidth="1"/>
    <col min="10795" max="10795" width="11" style="4" customWidth="1"/>
    <col min="10796" max="10798" width="8.7109375" style="4"/>
    <col min="10799" max="10799" width="21" style="4" customWidth="1"/>
    <col min="10800" max="10800" width="24.42578125" style="4" customWidth="1"/>
    <col min="10801" max="10801" width="15.28515625" style="4" customWidth="1"/>
    <col min="10802" max="10802" width="10.5703125" style="4" customWidth="1"/>
    <col min="10803" max="10803" width="11.28515625" style="4" customWidth="1"/>
    <col min="10804" max="10804" width="25" style="4" customWidth="1"/>
    <col min="10805" max="10805" width="6" style="4" customWidth="1"/>
    <col min="10806" max="11009" width="8.7109375" style="4"/>
    <col min="11010" max="11010" width="3.7109375" style="4" customWidth="1"/>
    <col min="11011" max="11011" width="2.28515625" style="4" customWidth="1"/>
    <col min="11012" max="11013" width="3.7109375" style="4" customWidth="1"/>
    <col min="11014" max="11014" width="2.28515625" style="4" customWidth="1"/>
    <col min="11015" max="11016" width="3.7109375" style="4" customWidth="1"/>
    <col min="11017" max="11017" width="2.28515625" style="4" customWidth="1"/>
    <col min="11018" max="11019" width="3.7109375" style="4" customWidth="1"/>
    <col min="11020" max="11020" width="2.28515625" style="4" customWidth="1"/>
    <col min="11021" max="11022" width="3.7109375" style="4" customWidth="1"/>
    <col min="11023" max="11023" width="2.28515625" style="4" customWidth="1"/>
    <col min="11024" max="11025" width="3.7109375" style="4" customWidth="1"/>
    <col min="11026" max="11026" width="2.28515625" style="4" customWidth="1"/>
    <col min="11027" max="11028" width="3.7109375" style="4" customWidth="1"/>
    <col min="11029" max="11029" width="2.28515625" style="4" customWidth="1"/>
    <col min="11030" max="11031" width="3.7109375" style="4" customWidth="1"/>
    <col min="11032" max="11032" width="2.28515625" style="4" customWidth="1"/>
    <col min="11033" max="11034" width="3.7109375" style="4" customWidth="1"/>
    <col min="11035" max="11035" width="2.28515625" style="4" customWidth="1"/>
    <col min="11036" max="11037" width="3.7109375" style="4" customWidth="1"/>
    <col min="11038" max="11038" width="2.28515625" style="4" customWidth="1"/>
    <col min="11039" max="11039" width="3.7109375" style="4" customWidth="1"/>
    <col min="11040" max="11040" width="9.7109375" style="4" customWidth="1"/>
    <col min="11041" max="11050" width="3.7109375" style="4" customWidth="1"/>
    <col min="11051" max="11051" width="11" style="4" customWidth="1"/>
    <col min="11052" max="11054" width="8.7109375" style="4"/>
    <col min="11055" max="11055" width="21" style="4" customWidth="1"/>
    <col min="11056" max="11056" width="24.42578125" style="4" customWidth="1"/>
    <col min="11057" max="11057" width="15.28515625" style="4" customWidth="1"/>
    <col min="11058" max="11058" width="10.5703125" style="4" customWidth="1"/>
    <col min="11059" max="11059" width="11.28515625" style="4" customWidth="1"/>
    <col min="11060" max="11060" width="25" style="4" customWidth="1"/>
    <col min="11061" max="11061" width="6" style="4" customWidth="1"/>
    <col min="11062" max="11265" width="8.7109375" style="4"/>
    <col min="11266" max="11266" width="3.7109375" style="4" customWidth="1"/>
    <col min="11267" max="11267" width="2.28515625" style="4" customWidth="1"/>
    <col min="11268" max="11269" width="3.7109375" style="4" customWidth="1"/>
    <col min="11270" max="11270" width="2.28515625" style="4" customWidth="1"/>
    <col min="11271" max="11272" width="3.7109375" style="4" customWidth="1"/>
    <col min="11273" max="11273" width="2.28515625" style="4" customWidth="1"/>
    <col min="11274" max="11275" width="3.7109375" style="4" customWidth="1"/>
    <col min="11276" max="11276" width="2.28515625" style="4" customWidth="1"/>
    <col min="11277" max="11278" width="3.7109375" style="4" customWidth="1"/>
    <col min="11279" max="11279" width="2.28515625" style="4" customWidth="1"/>
    <col min="11280" max="11281" width="3.7109375" style="4" customWidth="1"/>
    <col min="11282" max="11282" width="2.28515625" style="4" customWidth="1"/>
    <col min="11283" max="11284" width="3.7109375" style="4" customWidth="1"/>
    <col min="11285" max="11285" width="2.28515625" style="4" customWidth="1"/>
    <col min="11286" max="11287" width="3.7109375" style="4" customWidth="1"/>
    <col min="11288" max="11288" width="2.28515625" style="4" customWidth="1"/>
    <col min="11289" max="11290" width="3.7109375" style="4" customWidth="1"/>
    <col min="11291" max="11291" width="2.28515625" style="4" customWidth="1"/>
    <col min="11292" max="11293" width="3.7109375" style="4" customWidth="1"/>
    <col min="11294" max="11294" width="2.28515625" style="4" customWidth="1"/>
    <col min="11295" max="11295" width="3.7109375" style="4" customWidth="1"/>
    <col min="11296" max="11296" width="9.7109375" style="4" customWidth="1"/>
    <col min="11297" max="11306" width="3.7109375" style="4" customWidth="1"/>
    <col min="11307" max="11307" width="11" style="4" customWidth="1"/>
    <col min="11308" max="11310" width="8.7109375" style="4"/>
    <col min="11311" max="11311" width="21" style="4" customWidth="1"/>
    <col min="11312" max="11312" width="24.42578125" style="4" customWidth="1"/>
    <col min="11313" max="11313" width="15.28515625" style="4" customWidth="1"/>
    <col min="11314" max="11314" width="10.5703125" style="4" customWidth="1"/>
    <col min="11315" max="11315" width="11.28515625" style="4" customWidth="1"/>
    <col min="11316" max="11316" width="25" style="4" customWidth="1"/>
    <col min="11317" max="11317" width="6" style="4" customWidth="1"/>
    <col min="11318" max="11521" width="8.7109375" style="4"/>
    <col min="11522" max="11522" width="3.7109375" style="4" customWidth="1"/>
    <col min="11523" max="11523" width="2.28515625" style="4" customWidth="1"/>
    <col min="11524" max="11525" width="3.7109375" style="4" customWidth="1"/>
    <col min="11526" max="11526" width="2.28515625" style="4" customWidth="1"/>
    <col min="11527" max="11528" width="3.7109375" style="4" customWidth="1"/>
    <col min="11529" max="11529" width="2.28515625" style="4" customWidth="1"/>
    <col min="11530" max="11531" width="3.7109375" style="4" customWidth="1"/>
    <col min="11532" max="11532" width="2.28515625" style="4" customWidth="1"/>
    <col min="11533" max="11534" width="3.7109375" style="4" customWidth="1"/>
    <col min="11535" max="11535" width="2.28515625" style="4" customWidth="1"/>
    <col min="11536" max="11537" width="3.7109375" style="4" customWidth="1"/>
    <col min="11538" max="11538" width="2.28515625" style="4" customWidth="1"/>
    <col min="11539" max="11540" width="3.7109375" style="4" customWidth="1"/>
    <col min="11541" max="11541" width="2.28515625" style="4" customWidth="1"/>
    <col min="11542" max="11543" width="3.7109375" style="4" customWidth="1"/>
    <col min="11544" max="11544" width="2.28515625" style="4" customWidth="1"/>
    <col min="11545" max="11546" width="3.7109375" style="4" customWidth="1"/>
    <col min="11547" max="11547" width="2.28515625" style="4" customWidth="1"/>
    <col min="11548" max="11549" width="3.7109375" style="4" customWidth="1"/>
    <col min="11550" max="11550" width="2.28515625" style="4" customWidth="1"/>
    <col min="11551" max="11551" width="3.7109375" style="4" customWidth="1"/>
    <col min="11552" max="11552" width="9.7109375" style="4" customWidth="1"/>
    <col min="11553" max="11562" width="3.7109375" style="4" customWidth="1"/>
    <col min="11563" max="11563" width="11" style="4" customWidth="1"/>
    <col min="11564" max="11566" width="8.7109375" style="4"/>
    <col min="11567" max="11567" width="21" style="4" customWidth="1"/>
    <col min="11568" max="11568" width="24.42578125" style="4" customWidth="1"/>
    <col min="11569" max="11569" width="15.28515625" style="4" customWidth="1"/>
    <col min="11570" max="11570" width="10.5703125" style="4" customWidth="1"/>
    <col min="11571" max="11571" width="11.28515625" style="4" customWidth="1"/>
    <col min="11572" max="11572" width="25" style="4" customWidth="1"/>
    <col min="11573" max="11573" width="6" style="4" customWidth="1"/>
    <col min="11574" max="11777" width="8.7109375" style="4"/>
    <col min="11778" max="11778" width="3.7109375" style="4" customWidth="1"/>
    <col min="11779" max="11779" width="2.28515625" style="4" customWidth="1"/>
    <col min="11780" max="11781" width="3.7109375" style="4" customWidth="1"/>
    <col min="11782" max="11782" width="2.28515625" style="4" customWidth="1"/>
    <col min="11783" max="11784" width="3.7109375" style="4" customWidth="1"/>
    <col min="11785" max="11785" width="2.28515625" style="4" customWidth="1"/>
    <col min="11786" max="11787" width="3.7109375" style="4" customWidth="1"/>
    <col min="11788" max="11788" width="2.28515625" style="4" customWidth="1"/>
    <col min="11789" max="11790" width="3.7109375" style="4" customWidth="1"/>
    <col min="11791" max="11791" width="2.28515625" style="4" customWidth="1"/>
    <col min="11792" max="11793" width="3.7109375" style="4" customWidth="1"/>
    <col min="11794" max="11794" width="2.28515625" style="4" customWidth="1"/>
    <col min="11795" max="11796" width="3.7109375" style="4" customWidth="1"/>
    <col min="11797" max="11797" width="2.28515625" style="4" customWidth="1"/>
    <col min="11798" max="11799" width="3.7109375" style="4" customWidth="1"/>
    <col min="11800" max="11800" width="2.28515625" style="4" customWidth="1"/>
    <col min="11801" max="11802" width="3.7109375" style="4" customWidth="1"/>
    <col min="11803" max="11803" width="2.28515625" style="4" customWidth="1"/>
    <col min="11804" max="11805" width="3.7109375" style="4" customWidth="1"/>
    <col min="11806" max="11806" width="2.28515625" style="4" customWidth="1"/>
    <col min="11807" max="11807" width="3.7109375" style="4" customWidth="1"/>
    <col min="11808" max="11808" width="9.7109375" style="4" customWidth="1"/>
    <col min="11809" max="11818" width="3.7109375" style="4" customWidth="1"/>
    <col min="11819" max="11819" width="11" style="4" customWidth="1"/>
    <col min="11820" max="11822" width="8.7109375" style="4"/>
    <col min="11823" max="11823" width="21" style="4" customWidth="1"/>
    <col min="11824" max="11824" width="24.42578125" style="4" customWidth="1"/>
    <col min="11825" max="11825" width="15.28515625" style="4" customWidth="1"/>
    <col min="11826" max="11826" width="10.5703125" style="4" customWidth="1"/>
    <col min="11827" max="11827" width="11.28515625" style="4" customWidth="1"/>
    <col min="11828" max="11828" width="25" style="4" customWidth="1"/>
    <col min="11829" max="11829" width="6" style="4" customWidth="1"/>
    <col min="11830" max="12033" width="8.7109375" style="4"/>
    <col min="12034" max="12034" width="3.7109375" style="4" customWidth="1"/>
    <col min="12035" max="12035" width="2.28515625" style="4" customWidth="1"/>
    <col min="12036" max="12037" width="3.7109375" style="4" customWidth="1"/>
    <col min="12038" max="12038" width="2.28515625" style="4" customWidth="1"/>
    <col min="12039" max="12040" width="3.7109375" style="4" customWidth="1"/>
    <col min="12041" max="12041" width="2.28515625" style="4" customWidth="1"/>
    <col min="12042" max="12043" width="3.7109375" style="4" customWidth="1"/>
    <col min="12044" max="12044" width="2.28515625" style="4" customWidth="1"/>
    <col min="12045" max="12046" width="3.7109375" style="4" customWidth="1"/>
    <col min="12047" max="12047" width="2.28515625" style="4" customWidth="1"/>
    <col min="12048" max="12049" width="3.7109375" style="4" customWidth="1"/>
    <col min="12050" max="12050" width="2.28515625" style="4" customWidth="1"/>
    <col min="12051" max="12052" width="3.7109375" style="4" customWidth="1"/>
    <col min="12053" max="12053" width="2.28515625" style="4" customWidth="1"/>
    <col min="12054" max="12055" width="3.7109375" style="4" customWidth="1"/>
    <col min="12056" max="12056" width="2.28515625" style="4" customWidth="1"/>
    <col min="12057" max="12058" width="3.7109375" style="4" customWidth="1"/>
    <col min="12059" max="12059" width="2.28515625" style="4" customWidth="1"/>
    <col min="12060" max="12061" width="3.7109375" style="4" customWidth="1"/>
    <col min="12062" max="12062" width="2.28515625" style="4" customWidth="1"/>
    <col min="12063" max="12063" width="3.7109375" style="4" customWidth="1"/>
    <col min="12064" max="12064" width="9.7109375" style="4" customWidth="1"/>
    <col min="12065" max="12074" width="3.7109375" style="4" customWidth="1"/>
    <col min="12075" max="12075" width="11" style="4" customWidth="1"/>
    <col min="12076" max="12078" width="8.7109375" style="4"/>
    <col min="12079" max="12079" width="21" style="4" customWidth="1"/>
    <col min="12080" max="12080" width="24.42578125" style="4" customWidth="1"/>
    <col min="12081" max="12081" width="15.28515625" style="4" customWidth="1"/>
    <col min="12082" max="12082" width="10.5703125" style="4" customWidth="1"/>
    <col min="12083" max="12083" width="11.28515625" style="4" customWidth="1"/>
    <col min="12084" max="12084" width="25" style="4" customWidth="1"/>
    <col min="12085" max="12085" width="6" style="4" customWidth="1"/>
    <col min="12086" max="12289" width="8.7109375" style="4"/>
    <col min="12290" max="12290" width="3.7109375" style="4" customWidth="1"/>
    <col min="12291" max="12291" width="2.28515625" style="4" customWidth="1"/>
    <col min="12292" max="12293" width="3.7109375" style="4" customWidth="1"/>
    <col min="12294" max="12294" width="2.28515625" style="4" customWidth="1"/>
    <col min="12295" max="12296" width="3.7109375" style="4" customWidth="1"/>
    <col min="12297" max="12297" width="2.28515625" style="4" customWidth="1"/>
    <col min="12298" max="12299" width="3.7109375" style="4" customWidth="1"/>
    <col min="12300" max="12300" width="2.28515625" style="4" customWidth="1"/>
    <col min="12301" max="12302" width="3.7109375" style="4" customWidth="1"/>
    <col min="12303" max="12303" width="2.28515625" style="4" customWidth="1"/>
    <col min="12304" max="12305" width="3.7109375" style="4" customWidth="1"/>
    <col min="12306" max="12306" width="2.28515625" style="4" customWidth="1"/>
    <col min="12307" max="12308" width="3.7109375" style="4" customWidth="1"/>
    <col min="12309" max="12309" width="2.28515625" style="4" customWidth="1"/>
    <col min="12310" max="12311" width="3.7109375" style="4" customWidth="1"/>
    <col min="12312" max="12312" width="2.28515625" style="4" customWidth="1"/>
    <col min="12313" max="12314" width="3.7109375" style="4" customWidth="1"/>
    <col min="12315" max="12315" width="2.28515625" style="4" customWidth="1"/>
    <col min="12316" max="12317" width="3.7109375" style="4" customWidth="1"/>
    <col min="12318" max="12318" width="2.28515625" style="4" customWidth="1"/>
    <col min="12319" max="12319" width="3.7109375" style="4" customWidth="1"/>
    <col min="12320" max="12320" width="9.7109375" style="4" customWidth="1"/>
    <col min="12321" max="12330" width="3.7109375" style="4" customWidth="1"/>
    <col min="12331" max="12331" width="11" style="4" customWidth="1"/>
    <col min="12332" max="12334" width="8.7109375" style="4"/>
    <col min="12335" max="12335" width="21" style="4" customWidth="1"/>
    <col min="12336" max="12336" width="24.42578125" style="4" customWidth="1"/>
    <col min="12337" max="12337" width="15.28515625" style="4" customWidth="1"/>
    <col min="12338" max="12338" width="10.5703125" style="4" customWidth="1"/>
    <col min="12339" max="12339" width="11.28515625" style="4" customWidth="1"/>
    <col min="12340" max="12340" width="25" style="4" customWidth="1"/>
    <col min="12341" max="12341" width="6" style="4" customWidth="1"/>
    <col min="12342" max="12545" width="8.7109375" style="4"/>
    <col min="12546" max="12546" width="3.7109375" style="4" customWidth="1"/>
    <col min="12547" max="12547" width="2.28515625" style="4" customWidth="1"/>
    <col min="12548" max="12549" width="3.7109375" style="4" customWidth="1"/>
    <col min="12550" max="12550" width="2.28515625" style="4" customWidth="1"/>
    <col min="12551" max="12552" width="3.7109375" style="4" customWidth="1"/>
    <col min="12553" max="12553" width="2.28515625" style="4" customWidth="1"/>
    <col min="12554" max="12555" width="3.7109375" style="4" customWidth="1"/>
    <col min="12556" max="12556" width="2.28515625" style="4" customWidth="1"/>
    <col min="12557" max="12558" width="3.7109375" style="4" customWidth="1"/>
    <col min="12559" max="12559" width="2.28515625" style="4" customWidth="1"/>
    <col min="12560" max="12561" width="3.7109375" style="4" customWidth="1"/>
    <col min="12562" max="12562" width="2.28515625" style="4" customWidth="1"/>
    <col min="12563" max="12564" width="3.7109375" style="4" customWidth="1"/>
    <col min="12565" max="12565" width="2.28515625" style="4" customWidth="1"/>
    <col min="12566" max="12567" width="3.7109375" style="4" customWidth="1"/>
    <col min="12568" max="12568" width="2.28515625" style="4" customWidth="1"/>
    <col min="12569" max="12570" width="3.7109375" style="4" customWidth="1"/>
    <col min="12571" max="12571" width="2.28515625" style="4" customWidth="1"/>
    <col min="12572" max="12573" width="3.7109375" style="4" customWidth="1"/>
    <col min="12574" max="12574" width="2.28515625" style="4" customWidth="1"/>
    <col min="12575" max="12575" width="3.7109375" style="4" customWidth="1"/>
    <col min="12576" max="12576" width="9.7109375" style="4" customWidth="1"/>
    <col min="12577" max="12586" width="3.7109375" style="4" customWidth="1"/>
    <col min="12587" max="12587" width="11" style="4" customWidth="1"/>
    <col min="12588" max="12590" width="8.7109375" style="4"/>
    <col min="12591" max="12591" width="21" style="4" customWidth="1"/>
    <col min="12592" max="12592" width="24.42578125" style="4" customWidth="1"/>
    <col min="12593" max="12593" width="15.28515625" style="4" customWidth="1"/>
    <col min="12594" max="12594" width="10.5703125" style="4" customWidth="1"/>
    <col min="12595" max="12595" width="11.28515625" style="4" customWidth="1"/>
    <col min="12596" max="12596" width="25" style="4" customWidth="1"/>
    <col min="12597" max="12597" width="6" style="4" customWidth="1"/>
    <col min="12598" max="12801" width="8.7109375" style="4"/>
    <col min="12802" max="12802" width="3.7109375" style="4" customWidth="1"/>
    <col min="12803" max="12803" width="2.28515625" style="4" customWidth="1"/>
    <col min="12804" max="12805" width="3.7109375" style="4" customWidth="1"/>
    <col min="12806" max="12806" width="2.28515625" style="4" customWidth="1"/>
    <col min="12807" max="12808" width="3.7109375" style="4" customWidth="1"/>
    <col min="12809" max="12809" width="2.28515625" style="4" customWidth="1"/>
    <col min="12810" max="12811" width="3.7109375" style="4" customWidth="1"/>
    <col min="12812" max="12812" width="2.28515625" style="4" customWidth="1"/>
    <col min="12813" max="12814" width="3.7109375" style="4" customWidth="1"/>
    <col min="12815" max="12815" width="2.28515625" style="4" customWidth="1"/>
    <col min="12816" max="12817" width="3.7109375" style="4" customWidth="1"/>
    <col min="12818" max="12818" width="2.28515625" style="4" customWidth="1"/>
    <col min="12819" max="12820" width="3.7109375" style="4" customWidth="1"/>
    <col min="12821" max="12821" width="2.28515625" style="4" customWidth="1"/>
    <col min="12822" max="12823" width="3.7109375" style="4" customWidth="1"/>
    <col min="12824" max="12824" width="2.28515625" style="4" customWidth="1"/>
    <col min="12825" max="12826" width="3.7109375" style="4" customWidth="1"/>
    <col min="12827" max="12827" width="2.28515625" style="4" customWidth="1"/>
    <col min="12828" max="12829" width="3.7109375" style="4" customWidth="1"/>
    <col min="12830" max="12830" width="2.28515625" style="4" customWidth="1"/>
    <col min="12831" max="12831" width="3.7109375" style="4" customWidth="1"/>
    <col min="12832" max="12832" width="9.7109375" style="4" customWidth="1"/>
    <col min="12833" max="12842" width="3.7109375" style="4" customWidth="1"/>
    <col min="12843" max="12843" width="11" style="4" customWidth="1"/>
    <col min="12844" max="12846" width="8.7109375" style="4"/>
    <col min="12847" max="12847" width="21" style="4" customWidth="1"/>
    <col min="12848" max="12848" width="24.42578125" style="4" customWidth="1"/>
    <col min="12849" max="12849" width="15.28515625" style="4" customWidth="1"/>
    <col min="12850" max="12850" width="10.5703125" style="4" customWidth="1"/>
    <col min="12851" max="12851" width="11.28515625" style="4" customWidth="1"/>
    <col min="12852" max="12852" width="25" style="4" customWidth="1"/>
    <col min="12853" max="12853" width="6" style="4" customWidth="1"/>
    <col min="12854" max="13057" width="8.7109375" style="4"/>
    <col min="13058" max="13058" width="3.7109375" style="4" customWidth="1"/>
    <col min="13059" max="13059" width="2.28515625" style="4" customWidth="1"/>
    <col min="13060" max="13061" width="3.7109375" style="4" customWidth="1"/>
    <col min="13062" max="13062" width="2.28515625" style="4" customWidth="1"/>
    <col min="13063" max="13064" width="3.7109375" style="4" customWidth="1"/>
    <col min="13065" max="13065" width="2.28515625" style="4" customWidth="1"/>
    <col min="13066" max="13067" width="3.7109375" style="4" customWidth="1"/>
    <col min="13068" max="13068" width="2.28515625" style="4" customWidth="1"/>
    <col min="13069" max="13070" width="3.7109375" style="4" customWidth="1"/>
    <col min="13071" max="13071" width="2.28515625" style="4" customWidth="1"/>
    <col min="13072" max="13073" width="3.7109375" style="4" customWidth="1"/>
    <col min="13074" max="13074" width="2.28515625" style="4" customWidth="1"/>
    <col min="13075" max="13076" width="3.7109375" style="4" customWidth="1"/>
    <col min="13077" max="13077" width="2.28515625" style="4" customWidth="1"/>
    <col min="13078" max="13079" width="3.7109375" style="4" customWidth="1"/>
    <col min="13080" max="13080" width="2.28515625" style="4" customWidth="1"/>
    <col min="13081" max="13082" width="3.7109375" style="4" customWidth="1"/>
    <col min="13083" max="13083" width="2.28515625" style="4" customWidth="1"/>
    <col min="13084" max="13085" width="3.7109375" style="4" customWidth="1"/>
    <col min="13086" max="13086" width="2.28515625" style="4" customWidth="1"/>
    <col min="13087" max="13087" width="3.7109375" style="4" customWidth="1"/>
    <col min="13088" max="13088" width="9.7109375" style="4" customWidth="1"/>
    <col min="13089" max="13098" width="3.7109375" style="4" customWidth="1"/>
    <col min="13099" max="13099" width="11" style="4" customWidth="1"/>
    <col min="13100" max="13102" width="8.7109375" style="4"/>
    <col min="13103" max="13103" width="21" style="4" customWidth="1"/>
    <col min="13104" max="13104" width="24.42578125" style="4" customWidth="1"/>
    <col min="13105" max="13105" width="15.28515625" style="4" customWidth="1"/>
    <col min="13106" max="13106" width="10.5703125" style="4" customWidth="1"/>
    <col min="13107" max="13107" width="11.28515625" style="4" customWidth="1"/>
    <col min="13108" max="13108" width="25" style="4" customWidth="1"/>
    <col min="13109" max="13109" width="6" style="4" customWidth="1"/>
    <col min="13110" max="13313" width="8.7109375" style="4"/>
    <col min="13314" max="13314" width="3.7109375" style="4" customWidth="1"/>
    <col min="13315" max="13315" width="2.28515625" style="4" customWidth="1"/>
    <col min="13316" max="13317" width="3.7109375" style="4" customWidth="1"/>
    <col min="13318" max="13318" width="2.28515625" style="4" customWidth="1"/>
    <col min="13319" max="13320" width="3.7109375" style="4" customWidth="1"/>
    <col min="13321" max="13321" width="2.28515625" style="4" customWidth="1"/>
    <col min="13322" max="13323" width="3.7109375" style="4" customWidth="1"/>
    <col min="13324" max="13324" width="2.28515625" style="4" customWidth="1"/>
    <col min="13325" max="13326" width="3.7109375" style="4" customWidth="1"/>
    <col min="13327" max="13327" width="2.28515625" style="4" customWidth="1"/>
    <col min="13328" max="13329" width="3.7109375" style="4" customWidth="1"/>
    <col min="13330" max="13330" width="2.28515625" style="4" customWidth="1"/>
    <col min="13331" max="13332" width="3.7109375" style="4" customWidth="1"/>
    <col min="13333" max="13333" width="2.28515625" style="4" customWidth="1"/>
    <col min="13334" max="13335" width="3.7109375" style="4" customWidth="1"/>
    <col min="13336" max="13336" width="2.28515625" style="4" customWidth="1"/>
    <col min="13337" max="13338" width="3.7109375" style="4" customWidth="1"/>
    <col min="13339" max="13339" width="2.28515625" style="4" customWidth="1"/>
    <col min="13340" max="13341" width="3.7109375" style="4" customWidth="1"/>
    <col min="13342" max="13342" width="2.28515625" style="4" customWidth="1"/>
    <col min="13343" max="13343" width="3.7109375" style="4" customWidth="1"/>
    <col min="13344" max="13344" width="9.7109375" style="4" customWidth="1"/>
    <col min="13345" max="13354" width="3.7109375" style="4" customWidth="1"/>
    <col min="13355" max="13355" width="11" style="4" customWidth="1"/>
    <col min="13356" max="13358" width="8.7109375" style="4"/>
    <col min="13359" max="13359" width="21" style="4" customWidth="1"/>
    <col min="13360" max="13360" width="24.42578125" style="4" customWidth="1"/>
    <col min="13361" max="13361" width="15.28515625" style="4" customWidth="1"/>
    <col min="13362" max="13362" width="10.5703125" style="4" customWidth="1"/>
    <col min="13363" max="13363" width="11.28515625" style="4" customWidth="1"/>
    <col min="13364" max="13364" width="25" style="4" customWidth="1"/>
    <col min="13365" max="13365" width="6" style="4" customWidth="1"/>
    <col min="13366" max="13569" width="8.7109375" style="4"/>
    <col min="13570" max="13570" width="3.7109375" style="4" customWidth="1"/>
    <col min="13571" max="13571" width="2.28515625" style="4" customWidth="1"/>
    <col min="13572" max="13573" width="3.7109375" style="4" customWidth="1"/>
    <col min="13574" max="13574" width="2.28515625" style="4" customWidth="1"/>
    <col min="13575" max="13576" width="3.7109375" style="4" customWidth="1"/>
    <col min="13577" max="13577" width="2.28515625" style="4" customWidth="1"/>
    <col min="13578" max="13579" width="3.7109375" style="4" customWidth="1"/>
    <col min="13580" max="13580" width="2.28515625" style="4" customWidth="1"/>
    <col min="13581" max="13582" width="3.7109375" style="4" customWidth="1"/>
    <col min="13583" max="13583" width="2.28515625" style="4" customWidth="1"/>
    <col min="13584" max="13585" width="3.7109375" style="4" customWidth="1"/>
    <col min="13586" max="13586" width="2.28515625" style="4" customWidth="1"/>
    <col min="13587" max="13588" width="3.7109375" style="4" customWidth="1"/>
    <col min="13589" max="13589" width="2.28515625" style="4" customWidth="1"/>
    <col min="13590" max="13591" width="3.7109375" style="4" customWidth="1"/>
    <col min="13592" max="13592" width="2.28515625" style="4" customWidth="1"/>
    <col min="13593" max="13594" width="3.7109375" style="4" customWidth="1"/>
    <col min="13595" max="13595" width="2.28515625" style="4" customWidth="1"/>
    <col min="13596" max="13597" width="3.7109375" style="4" customWidth="1"/>
    <col min="13598" max="13598" width="2.28515625" style="4" customWidth="1"/>
    <col min="13599" max="13599" width="3.7109375" style="4" customWidth="1"/>
    <col min="13600" max="13600" width="9.7109375" style="4" customWidth="1"/>
    <col min="13601" max="13610" width="3.7109375" style="4" customWidth="1"/>
    <col min="13611" max="13611" width="11" style="4" customWidth="1"/>
    <col min="13612" max="13614" width="8.7109375" style="4"/>
    <col min="13615" max="13615" width="21" style="4" customWidth="1"/>
    <col min="13616" max="13616" width="24.42578125" style="4" customWidth="1"/>
    <col min="13617" max="13617" width="15.28515625" style="4" customWidth="1"/>
    <col min="13618" max="13618" width="10.5703125" style="4" customWidth="1"/>
    <col min="13619" max="13619" width="11.28515625" style="4" customWidth="1"/>
    <col min="13620" max="13620" width="25" style="4" customWidth="1"/>
    <col min="13621" max="13621" width="6" style="4" customWidth="1"/>
    <col min="13622" max="13825" width="8.7109375" style="4"/>
    <col min="13826" max="13826" width="3.7109375" style="4" customWidth="1"/>
    <col min="13827" max="13827" width="2.28515625" style="4" customWidth="1"/>
    <col min="13828" max="13829" width="3.7109375" style="4" customWidth="1"/>
    <col min="13830" max="13830" width="2.28515625" style="4" customWidth="1"/>
    <col min="13831" max="13832" width="3.7109375" style="4" customWidth="1"/>
    <col min="13833" max="13833" width="2.28515625" style="4" customWidth="1"/>
    <col min="13834" max="13835" width="3.7109375" style="4" customWidth="1"/>
    <col min="13836" max="13836" width="2.28515625" style="4" customWidth="1"/>
    <col min="13837" max="13838" width="3.7109375" style="4" customWidth="1"/>
    <col min="13839" max="13839" width="2.28515625" style="4" customWidth="1"/>
    <col min="13840" max="13841" width="3.7109375" style="4" customWidth="1"/>
    <col min="13842" max="13842" width="2.28515625" style="4" customWidth="1"/>
    <col min="13843" max="13844" width="3.7109375" style="4" customWidth="1"/>
    <col min="13845" max="13845" width="2.28515625" style="4" customWidth="1"/>
    <col min="13846" max="13847" width="3.7109375" style="4" customWidth="1"/>
    <col min="13848" max="13848" width="2.28515625" style="4" customWidth="1"/>
    <col min="13849" max="13850" width="3.7109375" style="4" customWidth="1"/>
    <col min="13851" max="13851" width="2.28515625" style="4" customWidth="1"/>
    <col min="13852" max="13853" width="3.7109375" style="4" customWidth="1"/>
    <col min="13854" max="13854" width="2.28515625" style="4" customWidth="1"/>
    <col min="13855" max="13855" width="3.7109375" style="4" customWidth="1"/>
    <col min="13856" max="13856" width="9.7109375" style="4" customWidth="1"/>
    <col min="13857" max="13866" width="3.7109375" style="4" customWidth="1"/>
    <col min="13867" max="13867" width="11" style="4" customWidth="1"/>
    <col min="13868" max="13870" width="8.7109375" style="4"/>
    <col min="13871" max="13871" width="21" style="4" customWidth="1"/>
    <col min="13872" max="13872" width="24.42578125" style="4" customWidth="1"/>
    <col min="13873" max="13873" width="15.28515625" style="4" customWidth="1"/>
    <col min="13874" max="13874" width="10.5703125" style="4" customWidth="1"/>
    <col min="13875" max="13875" width="11.28515625" style="4" customWidth="1"/>
    <col min="13876" max="13876" width="25" style="4" customWidth="1"/>
    <col min="13877" max="13877" width="6" style="4" customWidth="1"/>
    <col min="13878" max="14081" width="8.7109375" style="4"/>
    <col min="14082" max="14082" width="3.7109375" style="4" customWidth="1"/>
    <col min="14083" max="14083" width="2.28515625" style="4" customWidth="1"/>
    <col min="14084" max="14085" width="3.7109375" style="4" customWidth="1"/>
    <col min="14086" max="14086" width="2.28515625" style="4" customWidth="1"/>
    <col min="14087" max="14088" width="3.7109375" style="4" customWidth="1"/>
    <col min="14089" max="14089" width="2.28515625" style="4" customWidth="1"/>
    <col min="14090" max="14091" width="3.7109375" style="4" customWidth="1"/>
    <col min="14092" max="14092" width="2.28515625" style="4" customWidth="1"/>
    <col min="14093" max="14094" width="3.7109375" style="4" customWidth="1"/>
    <col min="14095" max="14095" width="2.28515625" style="4" customWidth="1"/>
    <col min="14096" max="14097" width="3.7109375" style="4" customWidth="1"/>
    <col min="14098" max="14098" width="2.28515625" style="4" customWidth="1"/>
    <col min="14099" max="14100" width="3.7109375" style="4" customWidth="1"/>
    <col min="14101" max="14101" width="2.28515625" style="4" customWidth="1"/>
    <col min="14102" max="14103" width="3.7109375" style="4" customWidth="1"/>
    <col min="14104" max="14104" width="2.28515625" style="4" customWidth="1"/>
    <col min="14105" max="14106" width="3.7109375" style="4" customWidth="1"/>
    <col min="14107" max="14107" width="2.28515625" style="4" customWidth="1"/>
    <col min="14108" max="14109" width="3.7109375" style="4" customWidth="1"/>
    <col min="14110" max="14110" width="2.28515625" style="4" customWidth="1"/>
    <col min="14111" max="14111" width="3.7109375" style="4" customWidth="1"/>
    <col min="14112" max="14112" width="9.7109375" style="4" customWidth="1"/>
    <col min="14113" max="14122" width="3.7109375" style="4" customWidth="1"/>
    <col min="14123" max="14123" width="11" style="4" customWidth="1"/>
    <col min="14124" max="14126" width="8.7109375" style="4"/>
    <col min="14127" max="14127" width="21" style="4" customWidth="1"/>
    <col min="14128" max="14128" width="24.42578125" style="4" customWidth="1"/>
    <col min="14129" max="14129" width="15.28515625" style="4" customWidth="1"/>
    <col min="14130" max="14130" width="10.5703125" style="4" customWidth="1"/>
    <col min="14131" max="14131" width="11.28515625" style="4" customWidth="1"/>
    <col min="14132" max="14132" width="25" style="4" customWidth="1"/>
    <col min="14133" max="14133" width="6" style="4" customWidth="1"/>
    <col min="14134" max="14337" width="8.7109375" style="4"/>
    <col min="14338" max="14338" width="3.7109375" style="4" customWidth="1"/>
    <col min="14339" max="14339" width="2.28515625" style="4" customWidth="1"/>
    <col min="14340" max="14341" width="3.7109375" style="4" customWidth="1"/>
    <col min="14342" max="14342" width="2.28515625" style="4" customWidth="1"/>
    <col min="14343" max="14344" width="3.7109375" style="4" customWidth="1"/>
    <col min="14345" max="14345" width="2.28515625" style="4" customWidth="1"/>
    <col min="14346" max="14347" width="3.7109375" style="4" customWidth="1"/>
    <col min="14348" max="14348" width="2.28515625" style="4" customWidth="1"/>
    <col min="14349" max="14350" width="3.7109375" style="4" customWidth="1"/>
    <col min="14351" max="14351" width="2.28515625" style="4" customWidth="1"/>
    <col min="14352" max="14353" width="3.7109375" style="4" customWidth="1"/>
    <col min="14354" max="14354" width="2.28515625" style="4" customWidth="1"/>
    <col min="14355" max="14356" width="3.7109375" style="4" customWidth="1"/>
    <col min="14357" max="14357" width="2.28515625" style="4" customWidth="1"/>
    <col min="14358" max="14359" width="3.7109375" style="4" customWidth="1"/>
    <col min="14360" max="14360" width="2.28515625" style="4" customWidth="1"/>
    <col min="14361" max="14362" width="3.7109375" style="4" customWidth="1"/>
    <col min="14363" max="14363" width="2.28515625" style="4" customWidth="1"/>
    <col min="14364" max="14365" width="3.7109375" style="4" customWidth="1"/>
    <col min="14366" max="14366" width="2.28515625" style="4" customWidth="1"/>
    <col min="14367" max="14367" width="3.7109375" style="4" customWidth="1"/>
    <col min="14368" max="14368" width="9.7109375" style="4" customWidth="1"/>
    <col min="14369" max="14378" width="3.7109375" style="4" customWidth="1"/>
    <col min="14379" max="14379" width="11" style="4" customWidth="1"/>
    <col min="14380" max="14382" width="8.7109375" style="4"/>
    <col min="14383" max="14383" width="21" style="4" customWidth="1"/>
    <col min="14384" max="14384" width="24.42578125" style="4" customWidth="1"/>
    <col min="14385" max="14385" width="15.28515625" style="4" customWidth="1"/>
    <col min="14386" max="14386" width="10.5703125" style="4" customWidth="1"/>
    <col min="14387" max="14387" width="11.28515625" style="4" customWidth="1"/>
    <col min="14388" max="14388" width="25" style="4" customWidth="1"/>
    <col min="14389" max="14389" width="6" style="4" customWidth="1"/>
    <col min="14390" max="14593" width="8.7109375" style="4"/>
    <col min="14594" max="14594" width="3.7109375" style="4" customWidth="1"/>
    <col min="14595" max="14595" width="2.28515625" style="4" customWidth="1"/>
    <col min="14596" max="14597" width="3.7109375" style="4" customWidth="1"/>
    <col min="14598" max="14598" width="2.28515625" style="4" customWidth="1"/>
    <col min="14599" max="14600" width="3.7109375" style="4" customWidth="1"/>
    <col min="14601" max="14601" width="2.28515625" style="4" customWidth="1"/>
    <col min="14602" max="14603" width="3.7109375" style="4" customWidth="1"/>
    <col min="14604" max="14604" width="2.28515625" style="4" customWidth="1"/>
    <col min="14605" max="14606" width="3.7109375" style="4" customWidth="1"/>
    <col min="14607" max="14607" width="2.28515625" style="4" customWidth="1"/>
    <col min="14608" max="14609" width="3.7109375" style="4" customWidth="1"/>
    <col min="14610" max="14610" width="2.28515625" style="4" customWidth="1"/>
    <col min="14611" max="14612" width="3.7109375" style="4" customWidth="1"/>
    <col min="14613" max="14613" width="2.28515625" style="4" customWidth="1"/>
    <col min="14614" max="14615" width="3.7109375" style="4" customWidth="1"/>
    <col min="14616" max="14616" width="2.28515625" style="4" customWidth="1"/>
    <col min="14617" max="14618" width="3.7109375" style="4" customWidth="1"/>
    <col min="14619" max="14619" width="2.28515625" style="4" customWidth="1"/>
    <col min="14620" max="14621" width="3.7109375" style="4" customWidth="1"/>
    <col min="14622" max="14622" width="2.28515625" style="4" customWidth="1"/>
    <col min="14623" max="14623" width="3.7109375" style="4" customWidth="1"/>
    <col min="14624" max="14624" width="9.7109375" style="4" customWidth="1"/>
    <col min="14625" max="14634" width="3.7109375" style="4" customWidth="1"/>
    <col min="14635" max="14635" width="11" style="4" customWidth="1"/>
    <col min="14636" max="14638" width="8.7109375" style="4"/>
    <col min="14639" max="14639" width="21" style="4" customWidth="1"/>
    <col min="14640" max="14640" width="24.42578125" style="4" customWidth="1"/>
    <col min="14641" max="14641" width="15.28515625" style="4" customWidth="1"/>
    <col min="14642" max="14642" width="10.5703125" style="4" customWidth="1"/>
    <col min="14643" max="14643" width="11.28515625" style="4" customWidth="1"/>
    <col min="14644" max="14644" width="25" style="4" customWidth="1"/>
    <col min="14645" max="14645" width="6" style="4" customWidth="1"/>
    <col min="14646" max="14849" width="8.7109375" style="4"/>
    <col min="14850" max="14850" width="3.7109375" style="4" customWidth="1"/>
    <col min="14851" max="14851" width="2.28515625" style="4" customWidth="1"/>
    <col min="14852" max="14853" width="3.7109375" style="4" customWidth="1"/>
    <col min="14854" max="14854" width="2.28515625" style="4" customWidth="1"/>
    <col min="14855" max="14856" width="3.7109375" style="4" customWidth="1"/>
    <col min="14857" max="14857" width="2.28515625" style="4" customWidth="1"/>
    <col min="14858" max="14859" width="3.7109375" style="4" customWidth="1"/>
    <col min="14860" max="14860" width="2.28515625" style="4" customWidth="1"/>
    <col min="14861" max="14862" width="3.7109375" style="4" customWidth="1"/>
    <col min="14863" max="14863" width="2.28515625" style="4" customWidth="1"/>
    <col min="14864" max="14865" width="3.7109375" style="4" customWidth="1"/>
    <col min="14866" max="14866" width="2.28515625" style="4" customWidth="1"/>
    <col min="14867" max="14868" width="3.7109375" style="4" customWidth="1"/>
    <col min="14869" max="14869" width="2.28515625" style="4" customWidth="1"/>
    <col min="14870" max="14871" width="3.7109375" style="4" customWidth="1"/>
    <col min="14872" max="14872" width="2.28515625" style="4" customWidth="1"/>
    <col min="14873" max="14874" width="3.7109375" style="4" customWidth="1"/>
    <col min="14875" max="14875" width="2.28515625" style="4" customWidth="1"/>
    <col min="14876" max="14877" width="3.7109375" style="4" customWidth="1"/>
    <col min="14878" max="14878" width="2.28515625" style="4" customWidth="1"/>
    <col min="14879" max="14879" width="3.7109375" style="4" customWidth="1"/>
    <col min="14880" max="14880" width="9.7109375" style="4" customWidth="1"/>
    <col min="14881" max="14890" width="3.7109375" style="4" customWidth="1"/>
    <col min="14891" max="14891" width="11" style="4" customWidth="1"/>
    <col min="14892" max="14894" width="8.7109375" style="4"/>
    <col min="14895" max="14895" width="21" style="4" customWidth="1"/>
    <col min="14896" max="14896" width="24.42578125" style="4" customWidth="1"/>
    <col min="14897" max="14897" width="15.28515625" style="4" customWidth="1"/>
    <col min="14898" max="14898" width="10.5703125" style="4" customWidth="1"/>
    <col min="14899" max="14899" width="11.28515625" style="4" customWidth="1"/>
    <col min="14900" max="14900" width="25" style="4" customWidth="1"/>
    <col min="14901" max="14901" width="6" style="4" customWidth="1"/>
    <col min="14902" max="15105" width="8.7109375" style="4"/>
    <col min="15106" max="15106" width="3.7109375" style="4" customWidth="1"/>
    <col min="15107" max="15107" width="2.28515625" style="4" customWidth="1"/>
    <col min="15108" max="15109" width="3.7109375" style="4" customWidth="1"/>
    <col min="15110" max="15110" width="2.28515625" style="4" customWidth="1"/>
    <col min="15111" max="15112" width="3.7109375" style="4" customWidth="1"/>
    <col min="15113" max="15113" width="2.28515625" style="4" customWidth="1"/>
    <col min="15114" max="15115" width="3.7109375" style="4" customWidth="1"/>
    <col min="15116" max="15116" width="2.28515625" style="4" customWidth="1"/>
    <col min="15117" max="15118" width="3.7109375" style="4" customWidth="1"/>
    <col min="15119" max="15119" width="2.28515625" style="4" customWidth="1"/>
    <col min="15120" max="15121" width="3.7109375" style="4" customWidth="1"/>
    <col min="15122" max="15122" width="2.28515625" style="4" customWidth="1"/>
    <col min="15123" max="15124" width="3.7109375" style="4" customWidth="1"/>
    <col min="15125" max="15125" width="2.28515625" style="4" customWidth="1"/>
    <col min="15126" max="15127" width="3.7109375" style="4" customWidth="1"/>
    <col min="15128" max="15128" width="2.28515625" style="4" customWidth="1"/>
    <col min="15129" max="15130" width="3.7109375" style="4" customWidth="1"/>
    <col min="15131" max="15131" width="2.28515625" style="4" customWidth="1"/>
    <col min="15132" max="15133" width="3.7109375" style="4" customWidth="1"/>
    <col min="15134" max="15134" width="2.28515625" style="4" customWidth="1"/>
    <col min="15135" max="15135" width="3.7109375" style="4" customWidth="1"/>
    <col min="15136" max="15136" width="9.7109375" style="4" customWidth="1"/>
    <col min="15137" max="15146" width="3.7109375" style="4" customWidth="1"/>
    <col min="15147" max="15147" width="11" style="4" customWidth="1"/>
    <col min="15148" max="15150" width="8.7109375" style="4"/>
    <col min="15151" max="15151" width="21" style="4" customWidth="1"/>
    <col min="15152" max="15152" width="24.42578125" style="4" customWidth="1"/>
    <col min="15153" max="15153" width="15.28515625" style="4" customWidth="1"/>
    <col min="15154" max="15154" width="10.5703125" style="4" customWidth="1"/>
    <col min="15155" max="15155" width="11.28515625" style="4" customWidth="1"/>
    <col min="15156" max="15156" width="25" style="4" customWidth="1"/>
    <col min="15157" max="15157" width="6" style="4" customWidth="1"/>
    <col min="15158" max="15361" width="8.7109375" style="4"/>
    <col min="15362" max="15362" width="3.7109375" style="4" customWidth="1"/>
    <col min="15363" max="15363" width="2.28515625" style="4" customWidth="1"/>
    <col min="15364" max="15365" width="3.7109375" style="4" customWidth="1"/>
    <col min="15366" max="15366" width="2.28515625" style="4" customWidth="1"/>
    <col min="15367" max="15368" width="3.7109375" style="4" customWidth="1"/>
    <col min="15369" max="15369" width="2.28515625" style="4" customWidth="1"/>
    <col min="15370" max="15371" width="3.7109375" style="4" customWidth="1"/>
    <col min="15372" max="15372" width="2.28515625" style="4" customWidth="1"/>
    <col min="15373" max="15374" width="3.7109375" style="4" customWidth="1"/>
    <col min="15375" max="15375" width="2.28515625" style="4" customWidth="1"/>
    <col min="15376" max="15377" width="3.7109375" style="4" customWidth="1"/>
    <col min="15378" max="15378" width="2.28515625" style="4" customWidth="1"/>
    <col min="15379" max="15380" width="3.7109375" style="4" customWidth="1"/>
    <col min="15381" max="15381" width="2.28515625" style="4" customWidth="1"/>
    <col min="15382" max="15383" width="3.7109375" style="4" customWidth="1"/>
    <col min="15384" max="15384" width="2.28515625" style="4" customWidth="1"/>
    <col min="15385" max="15386" width="3.7109375" style="4" customWidth="1"/>
    <col min="15387" max="15387" width="2.28515625" style="4" customWidth="1"/>
    <col min="15388" max="15389" width="3.7109375" style="4" customWidth="1"/>
    <col min="15390" max="15390" width="2.28515625" style="4" customWidth="1"/>
    <col min="15391" max="15391" width="3.7109375" style="4" customWidth="1"/>
    <col min="15392" max="15392" width="9.7109375" style="4" customWidth="1"/>
    <col min="15393" max="15402" width="3.7109375" style="4" customWidth="1"/>
    <col min="15403" max="15403" width="11" style="4" customWidth="1"/>
    <col min="15404" max="15406" width="8.7109375" style="4"/>
    <col min="15407" max="15407" width="21" style="4" customWidth="1"/>
    <col min="15408" max="15408" width="24.42578125" style="4" customWidth="1"/>
    <col min="15409" max="15409" width="15.28515625" style="4" customWidth="1"/>
    <col min="15410" max="15410" width="10.5703125" style="4" customWidth="1"/>
    <col min="15411" max="15411" width="11.28515625" style="4" customWidth="1"/>
    <col min="15412" max="15412" width="25" style="4" customWidth="1"/>
    <col min="15413" max="15413" width="6" style="4" customWidth="1"/>
    <col min="15414" max="15617" width="8.7109375" style="4"/>
    <col min="15618" max="15618" width="3.7109375" style="4" customWidth="1"/>
    <col min="15619" max="15619" width="2.28515625" style="4" customWidth="1"/>
    <col min="15620" max="15621" width="3.7109375" style="4" customWidth="1"/>
    <col min="15622" max="15622" width="2.28515625" style="4" customWidth="1"/>
    <col min="15623" max="15624" width="3.7109375" style="4" customWidth="1"/>
    <col min="15625" max="15625" width="2.28515625" style="4" customWidth="1"/>
    <col min="15626" max="15627" width="3.7109375" style="4" customWidth="1"/>
    <col min="15628" max="15628" width="2.28515625" style="4" customWidth="1"/>
    <col min="15629" max="15630" width="3.7109375" style="4" customWidth="1"/>
    <col min="15631" max="15631" width="2.28515625" style="4" customWidth="1"/>
    <col min="15632" max="15633" width="3.7109375" style="4" customWidth="1"/>
    <col min="15634" max="15634" width="2.28515625" style="4" customWidth="1"/>
    <col min="15635" max="15636" width="3.7109375" style="4" customWidth="1"/>
    <col min="15637" max="15637" width="2.28515625" style="4" customWidth="1"/>
    <col min="15638" max="15639" width="3.7109375" style="4" customWidth="1"/>
    <col min="15640" max="15640" width="2.28515625" style="4" customWidth="1"/>
    <col min="15641" max="15642" width="3.7109375" style="4" customWidth="1"/>
    <col min="15643" max="15643" width="2.28515625" style="4" customWidth="1"/>
    <col min="15644" max="15645" width="3.7109375" style="4" customWidth="1"/>
    <col min="15646" max="15646" width="2.28515625" style="4" customWidth="1"/>
    <col min="15647" max="15647" width="3.7109375" style="4" customWidth="1"/>
    <col min="15648" max="15648" width="9.7109375" style="4" customWidth="1"/>
    <col min="15649" max="15658" width="3.7109375" style="4" customWidth="1"/>
    <col min="15659" max="15659" width="11" style="4" customWidth="1"/>
    <col min="15660" max="15662" width="8.7109375" style="4"/>
    <col min="15663" max="15663" width="21" style="4" customWidth="1"/>
    <col min="15664" max="15664" width="24.42578125" style="4" customWidth="1"/>
    <col min="15665" max="15665" width="15.28515625" style="4" customWidth="1"/>
    <col min="15666" max="15666" width="10.5703125" style="4" customWidth="1"/>
    <col min="15667" max="15667" width="11.28515625" style="4" customWidth="1"/>
    <col min="15668" max="15668" width="25" style="4" customWidth="1"/>
    <col min="15669" max="15669" width="6" style="4" customWidth="1"/>
    <col min="15670" max="15873" width="8.7109375" style="4"/>
    <col min="15874" max="15874" width="3.7109375" style="4" customWidth="1"/>
    <col min="15875" max="15875" width="2.28515625" style="4" customWidth="1"/>
    <col min="15876" max="15877" width="3.7109375" style="4" customWidth="1"/>
    <col min="15878" max="15878" width="2.28515625" style="4" customWidth="1"/>
    <col min="15879" max="15880" width="3.7109375" style="4" customWidth="1"/>
    <col min="15881" max="15881" width="2.28515625" style="4" customWidth="1"/>
    <col min="15882" max="15883" width="3.7109375" style="4" customWidth="1"/>
    <col min="15884" max="15884" width="2.28515625" style="4" customWidth="1"/>
    <col min="15885" max="15886" width="3.7109375" style="4" customWidth="1"/>
    <col min="15887" max="15887" width="2.28515625" style="4" customWidth="1"/>
    <col min="15888" max="15889" width="3.7109375" style="4" customWidth="1"/>
    <col min="15890" max="15890" width="2.28515625" style="4" customWidth="1"/>
    <col min="15891" max="15892" width="3.7109375" style="4" customWidth="1"/>
    <col min="15893" max="15893" width="2.28515625" style="4" customWidth="1"/>
    <col min="15894" max="15895" width="3.7109375" style="4" customWidth="1"/>
    <col min="15896" max="15896" width="2.28515625" style="4" customWidth="1"/>
    <col min="15897" max="15898" width="3.7109375" style="4" customWidth="1"/>
    <col min="15899" max="15899" width="2.28515625" style="4" customWidth="1"/>
    <col min="15900" max="15901" width="3.7109375" style="4" customWidth="1"/>
    <col min="15902" max="15902" width="2.28515625" style="4" customWidth="1"/>
    <col min="15903" max="15903" width="3.7109375" style="4" customWidth="1"/>
    <col min="15904" max="15904" width="9.7109375" style="4" customWidth="1"/>
    <col min="15905" max="15914" width="3.7109375" style="4" customWidth="1"/>
    <col min="15915" max="15915" width="11" style="4" customWidth="1"/>
    <col min="15916" max="15918" width="8.7109375" style="4"/>
    <col min="15919" max="15919" width="21" style="4" customWidth="1"/>
    <col min="15920" max="15920" width="24.42578125" style="4" customWidth="1"/>
    <col min="15921" max="15921" width="15.28515625" style="4" customWidth="1"/>
    <col min="15922" max="15922" width="10.5703125" style="4" customWidth="1"/>
    <col min="15923" max="15923" width="11.28515625" style="4" customWidth="1"/>
    <col min="15924" max="15924" width="25" style="4" customWidth="1"/>
    <col min="15925" max="15925" width="6" style="4" customWidth="1"/>
    <col min="15926" max="16129" width="8.7109375" style="4"/>
    <col min="16130" max="16130" width="3.7109375" style="4" customWidth="1"/>
    <col min="16131" max="16131" width="2.28515625" style="4" customWidth="1"/>
    <col min="16132" max="16133" width="3.7109375" style="4" customWidth="1"/>
    <col min="16134" max="16134" width="2.28515625" style="4" customWidth="1"/>
    <col min="16135" max="16136" width="3.7109375" style="4" customWidth="1"/>
    <col min="16137" max="16137" width="2.28515625" style="4" customWidth="1"/>
    <col min="16138" max="16139" width="3.7109375" style="4" customWidth="1"/>
    <col min="16140" max="16140" width="2.28515625" style="4" customWidth="1"/>
    <col min="16141" max="16142" width="3.7109375" style="4" customWidth="1"/>
    <col min="16143" max="16143" width="2.28515625" style="4" customWidth="1"/>
    <col min="16144" max="16145" width="3.7109375" style="4" customWidth="1"/>
    <col min="16146" max="16146" width="2.28515625" style="4" customWidth="1"/>
    <col min="16147" max="16148" width="3.7109375" style="4" customWidth="1"/>
    <col min="16149" max="16149" width="2.28515625" style="4" customWidth="1"/>
    <col min="16150" max="16151" width="3.7109375" style="4" customWidth="1"/>
    <col min="16152" max="16152" width="2.28515625" style="4" customWidth="1"/>
    <col min="16153" max="16154" width="3.7109375" style="4" customWidth="1"/>
    <col min="16155" max="16155" width="2.28515625" style="4" customWidth="1"/>
    <col min="16156" max="16157" width="3.7109375" style="4" customWidth="1"/>
    <col min="16158" max="16158" width="2.28515625" style="4" customWidth="1"/>
    <col min="16159" max="16159" width="3.7109375" style="4" customWidth="1"/>
    <col min="16160" max="16160" width="9.7109375" style="4" customWidth="1"/>
    <col min="16161" max="16170" width="3.7109375" style="4" customWidth="1"/>
    <col min="16171" max="16171" width="11" style="4" customWidth="1"/>
    <col min="16172" max="16174" width="8.7109375" style="4"/>
    <col min="16175" max="16175" width="21" style="4" customWidth="1"/>
    <col min="16176" max="16176" width="24.42578125" style="4" customWidth="1"/>
    <col min="16177" max="16177" width="15.28515625" style="4" customWidth="1"/>
    <col min="16178" max="16178" width="10.5703125" style="4" customWidth="1"/>
    <col min="16179" max="16179" width="11.28515625" style="4" customWidth="1"/>
    <col min="16180" max="16180" width="25" style="4" customWidth="1"/>
    <col min="16181" max="16181" width="6" style="4" customWidth="1"/>
    <col min="16182" max="16384" width="8.7109375" style="4"/>
  </cols>
  <sheetData>
    <row r="1" spans="1:53" ht="13.5" thickBot="1" x14ac:dyDescent="0.25">
      <c r="A1" s="827" t="s">
        <v>0</v>
      </c>
      <c r="B1" s="827"/>
      <c r="C1" s="827"/>
      <c r="D1" s="827"/>
      <c r="E1" s="827"/>
      <c r="F1" s="827"/>
      <c r="G1" s="827"/>
      <c r="H1" s="827"/>
      <c r="I1" s="827"/>
      <c r="J1" s="827"/>
      <c r="K1" s="827"/>
      <c r="L1" s="827"/>
      <c r="M1" s="827"/>
      <c r="N1" s="827"/>
      <c r="O1" s="827"/>
      <c r="P1" s="827"/>
      <c r="Q1" s="827"/>
      <c r="R1" s="827"/>
      <c r="S1" s="827"/>
      <c r="T1" s="827"/>
      <c r="U1" s="827"/>
      <c r="V1" s="827"/>
      <c r="W1" s="827"/>
      <c r="X1" s="827"/>
      <c r="Y1" s="827"/>
      <c r="Z1" s="827"/>
      <c r="AA1" s="827"/>
      <c r="AB1" s="827"/>
      <c r="AC1" s="827"/>
      <c r="AD1" s="827"/>
      <c r="AE1" s="827"/>
      <c r="AF1" s="827"/>
      <c r="AG1" s="827"/>
      <c r="AH1" s="827"/>
      <c r="AI1" s="827"/>
      <c r="AJ1" s="1"/>
      <c r="AK1" s="1"/>
      <c r="AL1" s="1"/>
      <c r="AM1" s="1"/>
      <c r="AN1" s="1"/>
      <c r="AO1" s="1"/>
      <c r="AP1" s="1"/>
      <c r="AQ1" s="2" t="s">
        <v>1</v>
      </c>
      <c r="AR1" s="3"/>
      <c r="AT1" s="828" t="s">
        <v>2</v>
      </c>
      <c r="AU1" s="829"/>
      <c r="AV1" s="829"/>
      <c r="AW1" s="830"/>
      <c r="AX1" s="831" t="s">
        <v>3</v>
      </c>
      <c r="AY1" s="832"/>
      <c r="AZ1" s="5" t="s">
        <v>4</v>
      </c>
      <c r="BA1" s="6">
        <v>32</v>
      </c>
    </row>
    <row r="2" spans="1:53" ht="18.75" customHeight="1" thickBot="1" x14ac:dyDescent="0.3">
      <c r="A2" s="833" t="s">
        <v>5</v>
      </c>
      <c r="B2" s="834"/>
      <c r="C2" s="834"/>
      <c r="D2" s="834"/>
      <c r="E2" s="834"/>
      <c r="F2" s="834"/>
      <c r="G2" s="834"/>
      <c r="H2" s="834"/>
      <c r="I2" s="835"/>
      <c r="J2" s="836" t="s">
        <v>6</v>
      </c>
      <c r="K2" s="837"/>
      <c r="L2" s="837"/>
      <c r="M2" s="837"/>
      <c r="N2" s="837"/>
      <c r="O2" s="837"/>
      <c r="P2" s="837"/>
      <c r="Q2" s="837"/>
      <c r="R2" s="837"/>
      <c r="S2" s="837"/>
      <c r="T2" s="837"/>
      <c r="U2" s="837"/>
      <c r="V2" s="837"/>
      <c r="W2" s="837"/>
      <c r="X2" s="838"/>
      <c r="Y2" s="839" t="s">
        <v>7</v>
      </c>
      <c r="Z2" s="840"/>
      <c r="AA2" s="840"/>
      <c r="AB2" s="840"/>
      <c r="AC2" s="841"/>
      <c r="AD2" s="810" t="s">
        <v>168</v>
      </c>
      <c r="AE2" s="810"/>
      <c r="AF2" s="810"/>
      <c r="AG2" s="810"/>
      <c r="AH2" s="810"/>
      <c r="AI2" s="811"/>
      <c r="AJ2" s="7"/>
      <c r="AK2" s="7"/>
      <c r="AL2" s="7"/>
      <c r="AM2" s="7"/>
      <c r="AN2" s="7"/>
      <c r="AO2" s="7"/>
      <c r="AP2" s="7"/>
      <c r="AQ2" s="7"/>
      <c r="AR2" s="3"/>
      <c r="AT2" s="8" t="s">
        <v>9</v>
      </c>
      <c r="AU2" s="9" t="s">
        <v>10</v>
      </c>
      <c r="AV2" s="10" t="s">
        <v>11</v>
      </c>
      <c r="AW2" s="11" t="s">
        <v>12</v>
      </c>
      <c r="AX2" s="12" t="s">
        <v>13</v>
      </c>
      <c r="AY2" s="11" t="s">
        <v>14</v>
      </c>
      <c r="AZ2" s="5" t="s">
        <v>15</v>
      </c>
      <c r="BA2" s="6">
        <v>16</v>
      </c>
    </row>
    <row r="3" spans="1:53" ht="18.75" customHeight="1" thickBot="1" x14ac:dyDescent="0.3">
      <c r="A3" s="13" t="s">
        <v>16</v>
      </c>
      <c r="B3" s="812" t="s">
        <v>1140</v>
      </c>
      <c r="C3" s="813"/>
      <c r="D3" s="813"/>
      <c r="E3" s="813"/>
      <c r="F3" s="813"/>
      <c r="G3" s="813"/>
      <c r="H3" s="813"/>
      <c r="I3" s="813"/>
      <c r="J3" s="813"/>
      <c r="K3" s="813"/>
      <c r="L3" s="813"/>
      <c r="M3" s="813"/>
      <c r="N3" s="813"/>
      <c r="O3" s="814"/>
      <c r="P3" s="815" t="s">
        <v>18</v>
      </c>
      <c r="Q3" s="816"/>
      <c r="R3" s="816"/>
      <c r="S3" s="817">
        <v>16</v>
      </c>
      <c r="T3" s="818"/>
      <c r="U3" s="818"/>
      <c r="V3" s="818"/>
      <c r="W3" s="818"/>
      <c r="X3" s="819"/>
      <c r="Y3" s="820" t="s">
        <v>19</v>
      </c>
      <c r="Z3" s="821"/>
      <c r="AA3" s="821"/>
      <c r="AB3" s="821"/>
      <c r="AC3" s="821"/>
      <c r="AD3" s="822"/>
      <c r="AE3" s="823" t="s">
        <v>20</v>
      </c>
      <c r="AF3" s="824"/>
      <c r="AG3" s="825" t="s">
        <v>21</v>
      </c>
      <c r="AH3" s="825"/>
      <c r="AI3" s="826"/>
      <c r="AJ3" s="7"/>
      <c r="AK3" s="7"/>
      <c r="AL3" s="7"/>
      <c r="AM3" s="7"/>
      <c r="AN3" s="7"/>
      <c r="AO3" s="7"/>
      <c r="AP3" s="7"/>
      <c r="AQ3" s="7"/>
      <c r="AR3" s="3"/>
      <c r="AT3" s="14">
        <v>1</v>
      </c>
      <c r="AU3" s="1245" t="s">
        <v>945</v>
      </c>
      <c r="AV3" s="1245" t="s">
        <v>944</v>
      </c>
      <c r="AW3" s="147">
        <f>VLOOKUP(AV3,Initial!G:K,5,FALSE)</f>
        <v>2310.9610496243463</v>
      </c>
      <c r="AX3" s="16">
        <f t="shared" ref="AX3:AX12" si="0">VLOOKUP(AU3,AT$79:AU$174,2,FALSE)</f>
        <v>2385.0033796686489</v>
      </c>
      <c r="AY3" s="17">
        <f t="shared" ref="AY3:AY12" si="1">IF(ISNA(VLOOKUP(AU3,AT$182:AU$234,2,FALSE)),AX3,VLOOKUP(AU3,AT$182:AU$234,2,FALSE))</f>
        <v>2402.3375292126752</v>
      </c>
    </row>
    <row r="4" spans="1:53" ht="24" customHeight="1" thickBot="1" x14ac:dyDescent="0.25">
      <c r="A4" s="803" t="s">
        <v>24</v>
      </c>
      <c r="B4" s="804"/>
      <c r="C4" s="804"/>
      <c r="D4" s="805"/>
      <c r="E4" s="806" t="s">
        <v>25</v>
      </c>
      <c r="F4" s="807"/>
      <c r="G4" s="807"/>
      <c r="H4" s="807"/>
      <c r="I4" s="807"/>
      <c r="J4" s="807"/>
      <c r="K4" s="807"/>
      <c r="L4" s="807"/>
      <c r="M4" s="808"/>
      <c r="N4" s="803" t="s">
        <v>26</v>
      </c>
      <c r="O4" s="804"/>
      <c r="P4" s="804"/>
      <c r="Q4" s="805"/>
      <c r="R4" s="809"/>
      <c r="S4" s="810"/>
      <c r="T4" s="810"/>
      <c r="U4" s="810"/>
      <c r="V4" s="810"/>
      <c r="W4" s="810"/>
      <c r="X4" s="810"/>
      <c r="Y4" s="810"/>
      <c r="Z4" s="810"/>
      <c r="AA4" s="811"/>
      <c r="AB4" s="803" t="s">
        <v>27</v>
      </c>
      <c r="AC4" s="804"/>
      <c r="AD4" s="804"/>
      <c r="AE4" s="805"/>
      <c r="AF4" s="809"/>
      <c r="AG4" s="810"/>
      <c r="AH4" s="810"/>
      <c r="AI4" s="811"/>
      <c r="AJ4" s="7"/>
      <c r="AK4" s="7"/>
      <c r="AL4" s="7"/>
      <c r="AM4" s="7"/>
      <c r="AN4" s="7"/>
      <c r="AO4" s="7"/>
      <c r="AP4" s="7"/>
      <c r="AQ4" s="7"/>
      <c r="AR4" s="3"/>
      <c r="AT4" s="18">
        <v>2</v>
      </c>
      <c r="AU4" s="1245" t="s">
        <v>905</v>
      </c>
      <c r="AV4" s="1245" t="s">
        <v>904</v>
      </c>
      <c r="AW4" s="147">
        <f>VLOOKUP(AV4,Initial!G:K,5,FALSE)</f>
        <v>2308.3203044824509</v>
      </c>
      <c r="AX4" s="19">
        <f t="shared" si="0"/>
        <v>2290.0966754055007</v>
      </c>
      <c r="AY4" s="20">
        <f t="shared" si="1"/>
        <v>2284.2292031823108</v>
      </c>
    </row>
    <row r="5" spans="1:53" ht="15.75" thickBot="1" x14ac:dyDescent="0.25">
      <c r="A5" s="1" t="s">
        <v>30</v>
      </c>
      <c r="B5" s="800" t="s">
        <v>30</v>
      </c>
      <c r="C5" s="801"/>
      <c r="D5" s="801"/>
      <c r="E5" s="801"/>
      <c r="F5" s="801"/>
      <c r="G5" s="801"/>
      <c r="H5" s="801"/>
      <c r="I5" s="801"/>
      <c r="J5" s="801"/>
      <c r="K5" s="802" t="s">
        <v>30</v>
      </c>
      <c r="L5" s="802"/>
      <c r="M5" s="802"/>
      <c r="N5" s="802"/>
      <c r="O5" s="802"/>
      <c r="P5" s="802"/>
      <c r="Q5" s="802"/>
      <c r="R5" s="802"/>
      <c r="S5" s="802"/>
      <c r="T5" s="802"/>
      <c r="U5" s="802"/>
      <c r="V5" s="802"/>
      <c r="W5" s="802"/>
      <c r="X5" s="802"/>
      <c r="Y5" s="802"/>
      <c r="Z5" s="802"/>
      <c r="AA5" s="802"/>
      <c r="AB5" s="802"/>
      <c r="AC5" s="802"/>
      <c r="AD5" s="802"/>
      <c r="AE5" s="802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3"/>
      <c r="AT5" s="18">
        <v>3</v>
      </c>
      <c r="AU5" s="1245" t="s">
        <v>912</v>
      </c>
      <c r="AV5" s="1245" t="s">
        <v>910</v>
      </c>
      <c r="AW5" s="147">
        <f>VLOOKUP(AV5,Initial!G:K,5,FALSE)</f>
        <v>2276.1308192442684</v>
      </c>
      <c r="AX5" s="19">
        <f t="shared" si="0"/>
        <v>2284.1470297422529</v>
      </c>
      <c r="AY5" s="20">
        <f t="shared" si="1"/>
        <v>2278.1955182796933</v>
      </c>
    </row>
    <row r="6" spans="1:53" ht="24" customHeight="1" thickBot="1" x14ac:dyDescent="0.25">
      <c r="A6" s="21" t="s">
        <v>33</v>
      </c>
      <c r="B6" s="22" t="s">
        <v>34</v>
      </c>
      <c r="C6" s="775" t="s">
        <v>35</v>
      </c>
      <c r="D6" s="776"/>
      <c r="E6" s="776"/>
      <c r="F6" s="776"/>
      <c r="G6" s="776"/>
      <c r="H6" s="777"/>
      <c r="I6" s="778">
        <v>1</v>
      </c>
      <c r="J6" s="779"/>
      <c r="K6" s="780" t="str">
        <f>"Pool "&amp;B6&amp;" - Round 1 - Court "&amp;I6</f>
        <v>Pool A - Round 1 - Court 1</v>
      </c>
      <c r="L6" s="781"/>
      <c r="M6" s="781"/>
      <c r="N6" s="781"/>
      <c r="O6" s="781"/>
      <c r="P6" s="781"/>
      <c r="Q6" s="781"/>
      <c r="R6" s="781"/>
      <c r="S6" s="781"/>
      <c r="T6" s="781"/>
      <c r="U6" s="781"/>
      <c r="V6" s="781"/>
      <c r="W6" s="781"/>
      <c r="X6" s="781"/>
      <c r="Y6" s="781"/>
      <c r="Z6" s="781"/>
      <c r="AA6" s="781"/>
      <c r="AB6" s="781"/>
      <c r="AC6" s="781"/>
      <c r="AD6" s="781"/>
      <c r="AE6" s="781"/>
      <c r="AF6" s="781"/>
      <c r="AG6" s="781"/>
      <c r="AH6" s="781"/>
      <c r="AI6" s="782"/>
      <c r="AJ6" s="7"/>
      <c r="AK6" s="7"/>
      <c r="AL6" s="7"/>
      <c r="AM6" s="7"/>
      <c r="AN6" s="7"/>
      <c r="AO6" s="7"/>
      <c r="AP6" s="7"/>
      <c r="AQ6" s="7"/>
      <c r="AT6" s="18">
        <v>4</v>
      </c>
      <c r="AU6" s="1245" t="s">
        <v>914</v>
      </c>
      <c r="AV6" s="1245" t="s">
        <v>913</v>
      </c>
      <c r="AW6" s="147">
        <f>VLOOKUP(AV6,Initial!G:K,5,FALSE)</f>
        <v>2239.1016155301213</v>
      </c>
      <c r="AX6" s="19">
        <f t="shared" si="0"/>
        <v>2245.8480710664699</v>
      </c>
      <c r="AY6" s="20">
        <f t="shared" si="1"/>
        <v>2266.7639928315944</v>
      </c>
    </row>
    <row r="7" spans="1:53" ht="27" customHeight="1" thickBot="1" x14ac:dyDescent="0.25">
      <c r="A7" s="23" t="s">
        <v>38</v>
      </c>
      <c r="B7" s="783" t="s">
        <v>10</v>
      </c>
      <c r="C7" s="784"/>
      <c r="D7" s="784"/>
      <c r="E7" s="784"/>
      <c r="F7" s="784"/>
      <c r="G7" s="784"/>
      <c r="H7" s="784"/>
      <c r="I7" s="784"/>
      <c r="J7" s="784"/>
      <c r="K7" s="784"/>
      <c r="L7" s="783" t="str">
        <f>IF($AK10=0,"Games Won","Matches Won")</f>
        <v>Games Won</v>
      </c>
      <c r="M7" s="784"/>
      <c r="N7" s="784"/>
      <c r="O7" s="784"/>
      <c r="P7" s="784"/>
      <c r="Q7" s="785"/>
      <c r="R7" s="783" t="str">
        <f>IF($AK10=0,"Games Lost","Matches Lost")</f>
        <v>Games Lost</v>
      </c>
      <c r="S7" s="786"/>
      <c r="T7" s="786"/>
      <c r="U7" s="786"/>
      <c r="V7" s="787"/>
      <c r="W7" s="788" t="s">
        <v>39</v>
      </c>
      <c r="X7" s="789"/>
      <c r="Y7" s="790"/>
      <c r="Z7" s="788" t="s">
        <v>40</v>
      </c>
      <c r="AA7" s="789"/>
      <c r="AB7" s="790"/>
      <c r="AC7" s="791" t="s">
        <v>41</v>
      </c>
      <c r="AD7" s="792"/>
      <c r="AE7" s="793"/>
      <c r="AF7" s="24" t="s">
        <v>42</v>
      </c>
      <c r="AG7" s="25" t="s">
        <v>9</v>
      </c>
      <c r="AH7" s="773" t="s">
        <v>43</v>
      </c>
      <c r="AI7" s="774"/>
      <c r="AJ7" s="26"/>
      <c r="AK7" s="27">
        <v>2</v>
      </c>
      <c r="AL7" s="28" t="s">
        <v>44</v>
      </c>
      <c r="AM7" s="28"/>
      <c r="AN7" s="28"/>
      <c r="AO7" s="28"/>
      <c r="AP7" s="28"/>
      <c r="AQ7" s="28"/>
      <c r="AR7" s="29"/>
      <c r="AT7" s="18">
        <v>5</v>
      </c>
      <c r="AU7" s="1245" t="s">
        <v>696</v>
      </c>
      <c r="AV7" s="1245" t="s">
        <v>695</v>
      </c>
      <c r="AW7" s="147">
        <f>VLOOKUP(AV7,Initial!G:K,5,FALSE)</f>
        <v>2140.9672825573971</v>
      </c>
      <c r="AX7" s="19">
        <f t="shared" si="0"/>
        <v>2043.4409293967788</v>
      </c>
      <c r="AY7" s="20">
        <f t="shared" si="1"/>
        <v>2043.4409293967788</v>
      </c>
    </row>
    <row r="8" spans="1:53" ht="18.75" customHeight="1" thickBot="1" x14ac:dyDescent="0.25">
      <c r="A8" s="742" t="str">
        <f>IF($AK9&gt;0,"1","")</f>
        <v>1</v>
      </c>
      <c r="B8" s="770" t="s">
        <v>10</v>
      </c>
      <c r="C8" s="771"/>
      <c r="D8" s="772"/>
      <c r="E8" s="746" t="str">
        <f>AU3</f>
        <v>Sumter VBC 16 Heath</v>
      </c>
      <c r="F8" s="747"/>
      <c r="G8" s="747"/>
      <c r="H8" s="747"/>
      <c r="I8" s="747"/>
      <c r="J8" s="747"/>
      <c r="K8" s="748"/>
      <c r="L8" s="749">
        <f>IF($AK10=0,AF64,AF46)</f>
        <v>8</v>
      </c>
      <c r="M8" s="750"/>
      <c r="N8" s="750"/>
      <c r="O8" s="750"/>
      <c r="P8" s="750"/>
      <c r="Q8" s="785"/>
      <c r="R8" s="749">
        <f>IF($AK10=0,AG64,AG46)</f>
        <v>0</v>
      </c>
      <c r="S8" s="750"/>
      <c r="T8" s="750"/>
      <c r="U8" s="750"/>
      <c r="V8" s="750"/>
      <c r="W8" s="749">
        <f>AQ24</f>
        <v>64</v>
      </c>
      <c r="X8" s="750"/>
      <c r="Y8" s="750"/>
      <c r="Z8" s="722">
        <f>IF(AF58&gt;0,(AQ24/AF58),0)</f>
        <v>0.32</v>
      </c>
      <c r="AA8" s="723"/>
      <c r="AB8" s="723"/>
      <c r="AC8" s="726">
        <f>IF(AF72=0,0,(AF64/AF72))</f>
        <v>1</v>
      </c>
      <c r="AD8" s="727"/>
      <c r="AE8" s="728"/>
      <c r="AF8" s="732">
        <v>1</v>
      </c>
      <c r="AG8" s="732">
        <v>1</v>
      </c>
      <c r="AH8" s="734">
        <v>1</v>
      </c>
      <c r="AI8" s="735"/>
      <c r="AJ8" s="26"/>
      <c r="AK8" s="27">
        <v>10</v>
      </c>
      <c r="AL8" s="28" t="s">
        <v>47</v>
      </c>
      <c r="AM8" s="28"/>
      <c r="AN8" s="28"/>
      <c r="AO8" s="28"/>
      <c r="AP8" s="28"/>
      <c r="AQ8" s="28"/>
      <c r="AR8" s="29"/>
      <c r="AT8" s="18">
        <v>6</v>
      </c>
      <c r="AU8" s="1245" t="s">
        <v>936</v>
      </c>
      <c r="AV8" s="1245" t="s">
        <v>935</v>
      </c>
      <c r="AW8" s="147">
        <f>VLOOKUP(AV8,Initial!G:K,5,FALSE)</f>
        <v>2222.3068225794136</v>
      </c>
      <c r="AX8" s="19">
        <f t="shared" si="0"/>
        <v>2228.3137729922109</v>
      </c>
      <c r="AY8" s="20">
        <f t="shared" si="1"/>
        <v>2218.4199647772912</v>
      </c>
    </row>
    <row r="9" spans="1:53" ht="18.75" customHeight="1" thickBot="1" x14ac:dyDescent="0.25">
      <c r="A9" s="743"/>
      <c r="B9" s="767" t="s">
        <v>11</v>
      </c>
      <c r="C9" s="768"/>
      <c r="D9" s="769"/>
      <c r="E9" s="763" t="str">
        <f>AV3</f>
        <v>fj6sumtr1pm</v>
      </c>
      <c r="F9" s="764"/>
      <c r="G9" s="764"/>
      <c r="H9" s="764"/>
      <c r="I9" s="764"/>
      <c r="J9" s="764"/>
      <c r="K9" s="764"/>
      <c r="L9" s="765"/>
      <c r="M9" s="766"/>
      <c r="N9" s="766"/>
      <c r="O9" s="766"/>
      <c r="P9" s="766"/>
      <c r="Q9" s="785"/>
      <c r="R9" s="765"/>
      <c r="S9" s="766"/>
      <c r="T9" s="766"/>
      <c r="U9" s="766"/>
      <c r="V9" s="766"/>
      <c r="W9" s="765"/>
      <c r="X9" s="766"/>
      <c r="Y9" s="766"/>
      <c r="Z9" s="753"/>
      <c r="AA9" s="754"/>
      <c r="AB9" s="754"/>
      <c r="AC9" s="755"/>
      <c r="AD9" s="756"/>
      <c r="AE9" s="757"/>
      <c r="AF9" s="758"/>
      <c r="AG9" s="758"/>
      <c r="AH9" s="759"/>
      <c r="AI9" s="760"/>
      <c r="AJ9" s="26"/>
      <c r="AK9" s="27">
        <v>5</v>
      </c>
      <c r="AL9" s="28" t="s">
        <v>50</v>
      </c>
      <c r="AM9" s="26"/>
      <c r="AN9" s="26"/>
      <c r="AO9" s="26"/>
      <c r="AP9" s="26"/>
      <c r="AQ9" s="26"/>
      <c r="AR9" s="3"/>
      <c r="AT9" s="18">
        <v>7</v>
      </c>
      <c r="AU9" s="1245" t="s">
        <v>955</v>
      </c>
      <c r="AV9" s="1245" t="s">
        <v>954</v>
      </c>
      <c r="AW9" s="147">
        <f>VLOOKUP(AV9,Initial!G:K,5,FALSE)</f>
        <v>2148.4247333494636</v>
      </c>
      <c r="AX9" s="19">
        <f t="shared" si="0"/>
        <v>2145.14887459797</v>
      </c>
      <c r="AY9" s="20">
        <f t="shared" si="1"/>
        <v>2139.4047424288392</v>
      </c>
    </row>
    <row r="10" spans="1:53" ht="18.75" customHeight="1" thickBot="1" x14ac:dyDescent="0.25">
      <c r="A10" s="742" t="str">
        <f>IF($AK9&gt;1,"2","")</f>
        <v>2</v>
      </c>
      <c r="B10" s="770" t="s">
        <v>10</v>
      </c>
      <c r="C10" s="771"/>
      <c r="D10" s="772"/>
      <c r="E10" s="746" t="str">
        <f>AU6</f>
        <v>Beaufort16 Club</v>
      </c>
      <c r="F10" s="747"/>
      <c r="G10" s="747"/>
      <c r="H10" s="747"/>
      <c r="I10" s="747"/>
      <c r="J10" s="747"/>
      <c r="K10" s="748"/>
      <c r="L10" s="749">
        <f>IF($AK10=0,AF65,AF47)</f>
        <v>5</v>
      </c>
      <c r="M10" s="750"/>
      <c r="N10" s="750"/>
      <c r="O10" s="750"/>
      <c r="P10" s="750"/>
      <c r="Q10" s="785"/>
      <c r="R10" s="749">
        <f>IF($AK10=0,AG65,AG47)</f>
        <v>3</v>
      </c>
      <c r="S10" s="750"/>
      <c r="T10" s="750"/>
      <c r="U10" s="750"/>
      <c r="V10" s="750"/>
      <c r="W10" s="749">
        <f>AQ25</f>
        <v>29</v>
      </c>
      <c r="X10" s="750"/>
      <c r="Y10" s="750"/>
      <c r="Z10" s="722">
        <f>IF(AF59&gt;0,(AQ25/AF59),0)</f>
        <v>0.14499999999999999</v>
      </c>
      <c r="AA10" s="723"/>
      <c r="AB10" s="723"/>
      <c r="AC10" s="726">
        <f>IF(AF73=0,0,(AF65/AF73))</f>
        <v>0.625</v>
      </c>
      <c r="AD10" s="727"/>
      <c r="AE10" s="728"/>
      <c r="AF10" s="732">
        <v>3</v>
      </c>
      <c r="AG10" s="732">
        <v>3</v>
      </c>
      <c r="AH10" s="734">
        <v>5</v>
      </c>
      <c r="AI10" s="735"/>
      <c r="AJ10" s="26"/>
      <c r="AK10" s="27">
        <v>0</v>
      </c>
      <c r="AL10" s="28" t="s">
        <v>53</v>
      </c>
      <c r="AM10" s="28"/>
      <c r="AN10" s="28"/>
      <c r="AO10" s="28"/>
      <c r="AP10" s="28"/>
      <c r="AQ10" s="28"/>
      <c r="AR10" s="29"/>
      <c r="AT10" s="18">
        <v>8</v>
      </c>
      <c r="AU10" s="1245" t="s">
        <v>938</v>
      </c>
      <c r="AV10" s="1245" t="s">
        <v>937</v>
      </c>
      <c r="AW10" s="147">
        <f>VLOOKUP(AV10,Initial!G:K,5,FALSE)</f>
        <v>2138.5872760572856</v>
      </c>
      <c r="AX10" s="19">
        <f t="shared" si="0"/>
        <v>2105.1902917103066</v>
      </c>
      <c r="AY10" s="20">
        <f t="shared" si="1"/>
        <v>2099.9123103292327</v>
      </c>
    </row>
    <row r="11" spans="1:53" ht="18.75" customHeight="1" thickBot="1" x14ac:dyDescent="0.25">
      <c r="A11" s="743"/>
      <c r="B11" s="761" t="s">
        <v>11</v>
      </c>
      <c r="C11" s="762"/>
      <c r="D11" s="762"/>
      <c r="E11" s="763" t="str">
        <f>AV6</f>
        <v>fj6beauf1pm</v>
      </c>
      <c r="F11" s="764"/>
      <c r="G11" s="764"/>
      <c r="H11" s="764"/>
      <c r="I11" s="764"/>
      <c r="J11" s="764"/>
      <c r="K11" s="764"/>
      <c r="L11" s="765"/>
      <c r="M11" s="766"/>
      <c r="N11" s="766"/>
      <c r="O11" s="766"/>
      <c r="P11" s="766"/>
      <c r="Q11" s="785"/>
      <c r="R11" s="765"/>
      <c r="S11" s="766"/>
      <c r="T11" s="766"/>
      <c r="U11" s="766"/>
      <c r="V11" s="766"/>
      <c r="W11" s="765"/>
      <c r="X11" s="766"/>
      <c r="Y11" s="766"/>
      <c r="Z11" s="753"/>
      <c r="AA11" s="754"/>
      <c r="AB11" s="754"/>
      <c r="AC11" s="755"/>
      <c r="AD11" s="756"/>
      <c r="AE11" s="757"/>
      <c r="AF11" s="758"/>
      <c r="AG11" s="758"/>
      <c r="AH11" s="759"/>
      <c r="AI11" s="760"/>
      <c r="AJ11" s="26"/>
      <c r="AK11" s="27">
        <v>1</v>
      </c>
      <c r="AL11" s="28" t="s">
        <v>56</v>
      </c>
      <c r="AM11" s="26"/>
      <c r="AN11" s="26"/>
      <c r="AO11" s="26"/>
      <c r="AP11" s="26"/>
      <c r="AQ11" s="26"/>
      <c r="AR11" s="3"/>
      <c r="AT11" s="18">
        <v>9</v>
      </c>
      <c r="AU11" s="1245" t="s">
        <v>918</v>
      </c>
      <c r="AV11" s="1245" t="s">
        <v>917</v>
      </c>
      <c r="AW11" s="147">
        <f>VLOOKUP(AV11,Initial!G:K,5,FALSE)</f>
        <v>2122.4112829190817</v>
      </c>
      <c r="AX11" s="19">
        <f t="shared" si="0"/>
        <v>2172.5458348460279</v>
      </c>
      <c r="AY11" s="20">
        <f t="shared" si="1"/>
        <v>2167.0306689877511</v>
      </c>
    </row>
    <row r="12" spans="1:53" ht="18.75" customHeight="1" thickBot="1" x14ac:dyDescent="0.25">
      <c r="A12" s="742" t="str">
        <f>IF($AK9&gt;2,"3","")</f>
        <v>3</v>
      </c>
      <c r="B12" s="744" t="s">
        <v>10</v>
      </c>
      <c r="C12" s="745"/>
      <c r="D12" s="745"/>
      <c r="E12" s="746" t="str">
        <f>AU7</f>
        <v>Coastal 16 Hurricanes</v>
      </c>
      <c r="F12" s="747"/>
      <c r="G12" s="747"/>
      <c r="H12" s="747"/>
      <c r="I12" s="747"/>
      <c r="J12" s="747"/>
      <c r="K12" s="748"/>
      <c r="L12" s="749">
        <f>IF($AK10=0,AF66,AF48)</f>
        <v>0</v>
      </c>
      <c r="M12" s="750"/>
      <c r="N12" s="750"/>
      <c r="O12" s="750"/>
      <c r="P12" s="750"/>
      <c r="Q12" s="785"/>
      <c r="R12" s="749">
        <f>IF($AK10=0,AG66,AG48)</f>
        <v>8</v>
      </c>
      <c r="S12" s="750"/>
      <c r="T12" s="750"/>
      <c r="U12" s="750"/>
      <c r="V12" s="750"/>
      <c r="W12" s="749">
        <f>AQ26</f>
        <v>-63</v>
      </c>
      <c r="X12" s="750"/>
      <c r="Y12" s="750"/>
      <c r="Z12" s="722">
        <f>IF(AF60&gt;0,(AQ26/AF60),0)</f>
        <v>-0.315</v>
      </c>
      <c r="AA12" s="723"/>
      <c r="AB12" s="723"/>
      <c r="AC12" s="726">
        <f>IF(AF74=0,0,(AF66/AF74))</f>
        <v>0</v>
      </c>
      <c r="AD12" s="727"/>
      <c r="AE12" s="728"/>
      <c r="AF12" s="732">
        <v>5</v>
      </c>
      <c r="AG12" s="732">
        <v>1</v>
      </c>
      <c r="AH12" s="734">
        <v>10</v>
      </c>
      <c r="AI12" s="735"/>
      <c r="AJ12" s="30"/>
      <c r="AK12" s="27">
        <v>8</v>
      </c>
      <c r="AL12" s="31" t="s">
        <v>59</v>
      </c>
      <c r="AM12" s="28"/>
      <c r="AN12" s="28"/>
      <c r="AO12" s="28"/>
      <c r="AP12" s="28"/>
      <c r="AQ12" s="28"/>
      <c r="AR12" s="29"/>
      <c r="AT12" s="32">
        <v>10</v>
      </c>
      <c r="AU12" s="1246" t="s">
        <v>947</v>
      </c>
      <c r="AV12" s="1245" t="s">
        <v>946</v>
      </c>
      <c r="AW12" s="147">
        <f>VLOOKUP(AV12,Initial!G:K,5,FALSE)</f>
        <v>2098.9025643154096</v>
      </c>
      <c r="AX12" s="33">
        <f t="shared" si="0"/>
        <v>2106.3788912330715</v>
      </c>
      <c r="AY12" s="34">
        <f t="shared" si="1"/>
        <v>2106.3788912330715</v>
      </c>
    </row>
    <row r="13" spans="1:53" ht="18.75" customHeight="1" thickBot="1" x14ac:dyDescent="0.25">
      <c r="A13" s="743"/>
      <c r="B13" s="761" t="s">
        <v>11</v>
      </c>
      <c r="C13" s="762"/>
      <c r="D13" s="762"/>
      <c r="E13" s="763" t="str">
        <f>AV7</f>
        <v>fj5ccoas2pm</v>
      </c>
      <c r="F13" s="764"/>
      <c r="G13" s="764"/>
      <c r="H13" s="764"/>
      <c r="I13" s="764"/>
      <c r="J13" s="764"/>
      <c r="K13" s="764"/>
      <c r="L13" s="765"/>
      <c r="M13" s="766"/>
      <c r="N13" s="766"/>
      <c r="O13" s="766"/>
      <c r="P13" s="766"/>
      <c r="Q13" s="785"/>
      <c r="R13" s="765"/>
      <c r="S13" s="766"/>
      <c r="T13" s="766"/>
      <c r="U13" s="766"/>
      <c r="V13" s="766"/>
      <c r="W13" s="765"/>
      <c r="X13" s="766"/>
      <c r="Y13" s="766"/>
      <c r="Z13" s="753"/>
      <c r="AA13" s="754"/>
      <c r="AB13" s="754"/>
      <c r="AC13" s="755"/>
      <c r="AD13" s="756"/>
      <c r="AE13" s="757"/>
      <c r="AF13" s="758"/>
      <c r="AG13" s="758"/>
      <c r="AH13" s="759"/>
      <c r="AI13" s="760"/>
      <c r="AJ13" s="30"/>
      <c r="AK13" s="35"/>
      <c r="AL13" s="36"/>
      <c r="AM13" s="36"/>
      <c r="AN13" s="36"/>
      <c r="AO13" s="36"/>
      <c r="AP13" s="36"/>
      <c r="AQ13" s="26"/>
      <c r="AR13" s="3"/>
      <c r="AT13" s="794" t="s">
        <v>62</v>
      </c>
      <c r="AU13" s="795"/>
      <c r="AV13" s="795"/>
      <c r="AW13" s="795"/>
      <c r="AX13" s="795"/>
      <c r="AY13" s="796"/>
    </row>
    <row r="14" spans="1:53" ht="18.75" customHeight="1" thickBot="1" x14ac:dyDescent="0.25">
      <c r="A14" s="742" t="str">
        <f>IF($AK9&gt;3,"4","")</f>
        <v>4</v>
      </c>
      <c r="B14" s="744" t="s">
        <v>10</v>
      </c>
      <c r="C14" s="745"/>
      <c r="D14" s="745"/>
      <c r="E14" s="746" t="str">
        <f>AU10</f>
        <v>SC Midlands 16 Garnet</v>
      </c>
      <c r="F14" s="747"/>
      <c r="G14" s="747"/>
      <c r="H14" s="747"/>
      <c r="I14" s="747"/>
      <c r="J14" s="747"/>
      <c r="K14" s="748"/>
      <c r="L14" s="749">
        <f>IF($AK10=0,AF67,AF49)</f>
        <v>2</v>
      </c>
      <c r="M14" s="750"/>
      <c r="N14" s="750"/>
      <c r="O14" s="750"/>
      <c r="P14" s="750"/>
      <c r="Q14" s="785"/>
      <c r="R14" s="749">
        <f>IF($AK10=0,AG67,AG49)</f>
        <v>6</v>
      </c>
      <c r="S14" s="750"/>
      <c r="T14" s="750"/>
      <c r="U14" s="750"/>
      <c r="V14" s="750"/>
      <c r="W14" s="749">
        <f>AQ27</f>
        <v>-44</v>
      </c>
      <c r="X14" s="750"/>
      <c r="Y14" s="750"/>
      <c r="Z14" s="722">
        <f>IF(AF61&gt;0,(AQ27/AF61),0)</f>
        <v>-0.22</v>
      </c>
      <c r="AA14" s="723"/>
      <c r="AB14" s="723"/>
      <c r="AC14" s="726">
        <f>IF(AF75=0,0,(AF67/AF75))</f>
        <v>0.25</v>
      </c>
      <c r="AD14" s="727"/>
      <c r="AE14" s="728"/>
      <c r="AF14" s="732">
        <v>4</v>
      </c>
      <c r="AG14" s="732">
        <v>1</v>
      </c>
      <c r="AH14" s="734">
        <v>7</v>
      </c>
      <c r="AI14" s="735"/>
      <c r="AJ14" s="7"/>
      <c r="AK14" s="36"/>
      <c r="AL14" s="36"/>
      <c r="AM14" s="36"/>
      <c r="AN14" s="36"/>
      <c r="AO14" s="36"/>
      <c r="AP14" s="36"/>
      <c r="AQ14" s="28"/>
      <c r="AR14" s="29"/>
      <c r="AT14" s="797"/>
      <c r="AU14" s="798"/>
      <c r="AV14" s="798"/>
      <c r="AW14" s="798"/>
      <c r="AX14" s="798"/>
      <c r="AY14" s="799"/>
    </row>
    <row r="15" spans="1:53" ht="18.75" customHeight="1" thickBot="1" x14ac:dyDescent="0.25">
      <c r="A15" s="743"/>
      <c r="B15" s="761" t="s">
        <v>11</v>
      </c>
      <c r="C15" s="762"/>
      <c r="D15" s="762"/>
      <c r="E15" s="763" t="str">
        <f>AV10</f>
        <v>fj6scmid4pm</v>
      </c>
      <c r="F15" s="764"/>
      <c r="G15" s="764"/>
      <c r="H15" s="764"/>
      <c r="I15" s="764"/>
      <c r="J15" s="764"/>
      <c r="K15" s="764"/>
      <c r="L15" s="765"/>
      <c r="M15" s="766"/>
      <c r="N15" s="766"/>
      <c r="O15" s="766"/>
      <c r="P15" s="766"/>
      <c r="Q15" s="785"/>
      <c r="R15" s="765"/>
      <c r="S15" s="766"/>
      <c r="T15" s="766"/>
      <c r="U15" s="766"/>
      <c r="V15" s="766"/>
      <c r="W15" s="765"/>
      <c r="X15" s="766"/>
      <c r="Y15" s="766"/>
      <c r="Z15" s="753"/>
      <c r="AA15" s="754"/>
      <c r="AB15" s="754"/>
      <c r="AC15" s="755"/>
      <c r="AD15" s="756"/>
      <c r="AE15" s="757"/>
      <c r="AF15" s="758"/>
      <c r="AG15" s="758"/>
      <c r="AH15" s="759"/>
      <c r="AI15" s="760"/>
      <c r="AJ15" s="7"/>
      <c r="AK15" s="36"/>
      <c r="AL15" s="36"/>
      <c r="AM15" s="36"/>
      <c r="AN15" s="36"/>
      <c r="AO15" s="36"/>
      <c r="AP15" s="36"/>
      <c r="AQ15" s="7"/>
      <c r="AR15" s="3"/>
      <c r="AW15" s="96"/>
      <c r="AX15" s="96"/>
      <c r="AY15" s="96"/>
    </row>
    <row r="16" spans="1:53" ht="18.75" customHeight="1" thickBot="1" x14ac:dyDescent="0.25">
      <c r="A16" s="742" t="str">
        <f>IF($AK9&gt;4,"5","")</f>
        <v>5</v>
      </c>
      <c r="B16" s="744" t="s">
        <v>10</v>
      </c>
      <c r="C16" s="745"/>
      <c r="D16" s="745"/>
      <c r="E16" s="746" t="str">
        <f>AU11</f>
        <v>CSRA Heat 16 Red</v>
      </c>
      <c r="F16" s="747"/>
      <c r="G16" s="747"/>
      <c r="H16" s="747"/>
      <c r="I16" s="747"/>
      <c r="J16" s="747"/>
      <c r="K16" s="748"/>
      <c r="L16" s="749">
        <f>IF($AK10=0,AF68,AF50)</f>
        <v>5</v>
      </c>
      <c r="M16" s="750"/>
      <c r="N16" s="750"/>
      <c r="O16" s="750"/>
      <c r="P16" s="750"/>
      <c r="Q16" s="785"/>
      <c r="R16" s="749">
        <f>IF($AK10=0,AG68,AG50)</f>
        <v>3</v>
      </c>
      <c r="S16" s="750"/>
      <c r="T16" s="750"/>
      <c r="U16" s="750"/>
      <c r="V16" s="750"/>
      <c r="W16" s="749">
        <f>AQ28</f>
        <v>14</v>
      </c>
      <c r="X16" s="750"/>
      <c r="Y16" s="750"/>
      <c r="Z16" s="722">
        <f>IF(AF62&gt;0,(AQ28/AF62),0)</f>
        <v>7.0000000000000007E-2</v>
      </c>
      <c r="AA16" s="723"/>
      <c r="AB16" s="723"/>
      <c r="AC16" s="726">
        <f>IF(AF76=0,0,(AF68/AF76))</f>
        <v>0.625</v>
      </c>
      <c r="AD16" s="727"/>
      <c r="AE16" s="728"/>
      <c r="AF16" s="732">
        <v>2</v>
      </c>
      <c r="AG16" s="732">
        <v>3</v>
      </c>
      <c r="AH16" s="734">
        <v>3</v>
      </c>
      <c r="AI16" s="735"/>
      <c r="AJ16" s="7"/>
      <c r="AK16" s="36"/>
      <c r="AL16" s="36"/>
      <c r="AM16" s="36"/>
      <c r="AN16" s="36"/>
      <c r="AO16" s="36"/>
      <c r="AP16" s="36"/>
      <c r="AQ16" s="7"/>
      <c r="AR16" s="3"/>
      <c r="AT16" s="38"/>
      <c r="AU16" s="96"/>
      <c r="AV16" s="96"/>
      <c r="AW16" s="96"/>
      <c r="AX16" s="96"/>
      <c r="AY16" s="96"/>
    </row>
    <row r="17" spans="1:51" ht="18.75" customHeight="1" thickBot="1" x14ac:dyDescent="0.25">
      <c r="A17" s="743"/>
      <c r="B17" s="738" t="s">
        <v>11</v>
      </c>
      <c r="C17" s="739"/>
      <c r="D17" s="739"/>
      <c r="E17" s="740" t="str">
        <f>AV11</f>
        <v>fj6csrah3pm</v>
      </c>
      <c r="F17" s="741"/>
      <c r="G17" s="741"/>
      <c r="H17" s="741"/>
      <c r="I17" s="741"/>
      <c r="J17" s="741"/>
      <c r="K17" s="741"/>
      <c r="L17" s="751"/>
      <c r="M17" s="752"/>
      <c r="N17" s="752"/>
      <c r="O17" s="752"/>
      <c r="P17" s="752"/>
      <c r="Q17" s="785"/>
      <c r="R17" s="751"/>
      <c r="S17" s="752"/>
      <c r="T17" s="752"/>
      <c r="U17" s="752"/>
      <c r="V17" s="752"/>
      <c r="W17" s="751"/>
      <c r="X17" s="752"/>
      <c r="Y17" s="752"/>
      <c r="Z17" s="724"/>
      <c r="AA17" s="725"/>
      <c r="AB17" s="725"/>
      <c r="AC17" s="729"/>
      <c r="AD17" s="730"/>
      <c r="AE17" s="731"/>
      <c r="AF17" s="733"/>
      <c r="AG17" s="733"/>
      <c r="AH17" s="736"/>
      <c r="AI17" s="737"/>
      <c r="AJ17" s="7"/>
      <c r="AK17" s="36"/>
      <c r="AL17" s="36"/>
      <c r="AM17" s="36"/>
      <c r="AN17" s="36"/>
      <c r="AO17" s="36"/>
      <c r="AP17" s="36"/>
      <c r="AQ17" s="7"/>
      <c r="AR17" s="3"/>
      <c r="AT17" s="38"/>
      <c r="AU17" s="1245"/>
      <c r="AV17" s="1245"/>
      <c r="AW17" s="96"/>
      <c r="AX17" s="96"/>
      <c r="AY17" s="96"/>
    </row>
    <row r="18" spans="1:51" ht="21" customHeight="1" thickTop="1" thickBot="1" x14ac:dyDescent="0.25">
      <c r="A18" s="39"/>
      <c r="B18" s="719" t="s">
        <v>1141</v>
      </c>
      <c r="C18" s="720"/>
      <c r="D18" s="720"/>
      <c r="E18" s="720"/>
      <c r="F18" s="720"/>
      <c r="G18" s="720"/>
      <c r="H18" s="720"/>
      <c r="I18" s="720"/>
      <c r="J18" s="720"/>
      <c r="K18" s="720"/>
      <c r="L18" s="720"/>
      <c r="M18" s="720"/>
      <c r="N18" s="720"/>
      <c r="O18" s="720"/>
      <c r="P18" s="720"/>
      <c r="Q18" s="720"/>
      <c r="R18" s="720"/>
      <c r="S18" s="720"/>
      <c r="T18" s="720"/>
      <c r="U18" s="720"/>
      <c r="V18" s="720"/>
      <c r="W18" s="720"/>
      <c r="X18" s="720"/>
      <c r="Y18" s="720"/>
      <c r="Z18" s="720"/>
      <c r="AA18" s="720"/>
      <c r="AB18" s="720"/>
      <c r="AC18" s="720"/>
      <c r="AD18" s="720"/>
      <c r="AE18" s="720"/>
      <c r="AF18" s="720"/>
      <c r="AG18" s="720"/>
      <c r="AH18" s="720"/>
      <c r="AI18" s="721"/>
      <c r="AJ18" s="7"/>
      <c r="AK18" s="36"/>
      <c r="AL18" s="36"/>
      <c r="AM18" s="36"/>
      <c r="AN18" s="36"/>
      <c r="AO18" s="36"/>
      <c r="AP18" s="36"/>
      <c r="AQ18" s="7"/>
      <c r="AR18" s="3"/>
      <c r="AT18" s="38"/>
      <c r="AU18" s="96"/>
      <c r="AV18" s="96"/>
      <c r="AW18" s="4"/>
    </row>
    <row r="19" spans="1:51" ht="13.5" thickTop="1" x14ac:dyDescent="0.2">
      <c r="A19" s="4" t="s">
        <v>64</v>
      </c>
      <c r="B19" s="708">
        <v>0.35416666666666669</v>
      </c>
      <c r="C19" s="709"/>
      <c r="D19" s="710"/>
      <c r="E19" s="708">
        <v>0.38541666666666669</v>
      </c>
      <c r="F19" s="709"/>
      <c r="G19" s="710"/>
      <c r="H19" s="708">
        <v>0.41666666666666669</v>
      </c>
      <c r="I19" s="709"/>
      <c r="J19" s="710"/>
      <c r="K19" s="708">
        <v>0.44791666666666669</v>
      </c>
      <c r="L19" s="709"/>
      <c r="M19" s="710"/>
      <c r="N19" s="708">
        <v>0.47916666666666669</v>
      </c>
      <c r="O19" s="709"/>
      <c r="P19" s="710"/>
      <c r="Q19" s="708">
        <v>0.51041666666666663</v>
      </c>
      <c r="R19" s="709"/>
      <c r="S19" s="710"/>
      <c r="T19" s="708">
        <v>4.1666666666666664E-2</v>
      </c>
      <c r="U19" s="709"/>
      <c r="V19" s="710"/>
      <c r="W19" s="708">
        <v>7.2916666666666671E-2</v>
      </c>
      <c r="X19" s="709"/>
      <c r="Y19" s="710"/>
      <c r="Z19" s="708">
        <v>0.10416666666666667</v>
      </c>
      <c r="AA19" s="709"/>
      <c r="AB19" s="710"/>
      <c r="AC19" s="708">
        <v>0.13541666666666666</v>
      </c>
      <c r="AD19" s="709"/>
      <c r="AE19" s="710"/>
      <c r="AF19" s="711" t="s">
        <v>65</v>
      </c>
      <c r="AG19" s="712"/>
      <c r="AH19" s="712"/>
      <c r="AI19" s="712"/>
      <c r="AJ19" s="713"/>
      <c r="AK19" s="713"/>
      <c r="AL19" s="713"/>
      <c r="AM19" s="713"/>
      <c r="AN19" s="713"/>
      <c r="AO19" s="713"/>
      <c r="AP19" s="713"/>
      <c r="AQ19" s="714"/>
      <c r="AT19" s="38"/>
      <c r="AU19" s="96"/>
      <c r="AV19" s="96"/>
      <c r="AW19" s="4"/>
    </row>
    <row r="20" spans="1:51" x14ac:dyDescent="0.2">
      <c r="A20" s="40" t="s">
        <v>66</v>
      </c>
      <c r="B20" s="705"/>
      <c r="C20" s="706"/>
      <c r="D20" s="707"/>
      <c r="E20" s="705"/>
      <c r="F20" s="706"/>
      <c r="G20" s="707"/>
      <c r="H20" s="705"/>
      <c r="I20" s="706"/>
      <c r="J20" s="707"/>
      <c r="K20" s="705"/>
      <c r="L20" s="706"/>
      <c r="M20" s="707"/>
      <c r="N20" s="705"/>
      <c r="O20" s="706"/>
      <c r="P20" s="707"/>
      <c r="Q20" s="705"/>
      <c r="R20" s="706"/>
      <c r="S20" s="707"/>
      <c r="T20" s="705"/>
      <c r="U20" s="706"/>
      <c r="V20" s="707"/>
      <c r="W20" s="705"/>
      <c r="X20" s="706"/>
      <c r="Y20" s="707"/>
      <c r="Z20" s="705"/>
      <c r="AA20" s="706"/>
      <c r="AB20" s="707"/>
      <c r="AC20" s="705"/>
      <c r="AD20" s="706"/>
      <c r="AE20" s="707"/>
      <c r="AF20" s="711"/>
      <c r="AG20" s="712"/>
      <c r="AH20" s="712"/>
      <c r="AI20" s="712"/>
      <c r="AJ20" s="712"/>
      <c r="AK20" s="712"/>
      <c r="AL20" s="712"/>
      <c r="AM20" s="712"/>
      <c r="AN20" s="712"/>
      <c r="AO20" s="712"/>
      <c r="AP20" s="712"/>
      <c r="AQ20" s="715"/>
      <c r="AT20" s="38"/>
      <c r="AU20" s="96"/>
      <c r="AV20" s="96"/>
      <c r="AW20" s="4"/>
    </row>
    <row r="21" spans="1:51" x14ac:dyDescent="0.2">
      <c r="A21" s="40" t="s">
        <v>67</v>
      </c>
      <c r="B21" s="705"/>
      <c r="C21" s="706"/>
      <c r="D21" s="707"/>
      <c r="E21" s="705"/>
      <c r="F21" s="706"/>
      <c r="G21" s="707"/>
      <c r="H21" s="705"/>
      <c r="I21" s="706"/>
      <c r="J21" s="707"/>
      <c r="K21" s="705"/>
      <c r="L21" s="706"/>
      <c r="M21" s="707"/>
      <c r="N21" s="705"/>
      <c r="O21" s="706"/>
      <c r="P21" s="707"/>
      <c r="Q21" s="705"/>
      <c r="R21" s="706"/>
      <c r="S21" s="707"/>
      <c r="T21" s="705"/>
      <c r="U21" s="706"/>
      <c r="V21" s="707"/>
      <c r="W21" s="705"/>
      <c r="X21" s="706"/>
      <c r="Y21" s="707"/>
      <c r="Z21" s="705"/>
      <c r="AA21" s="706"/>
      <c r="AB21" s="707"/>
      <c r="AC21" s="705"/>
      <c r="AD21" s="706"/>
      <c r="AE21" s="707"/>
      <c r="AF21" s="711"/>
      <c r="AG21" s="712"/>
      <c r="AH21" s="712"/>
      <c r="AI21" s="712"/>
      <c r="AJ21" s="712"/>
      <c r="AK21" s="712"/>
      <c r="AL21" s="712"/>
      <c r="AM21" s="712"/>
      <c r="AN21" s="712"/>
      <c r="AO21" s="712"/>
      <c r="AP21" s="712"/>
      <c r="AQ21" s="715"/>
      <c r="AT21" s="6"/>
      <c r="AU21" s="6"/>
      <c r="AV21" s="6"/>
      <c r="AW21" s="4"/>
    </row>
    <row r="22" spans="1:51" ht="13.5" thickBot="1" x14ac:dyDescent="0.25">
      <c r="A22" s="7"/>
      <c r="B22" s="597" t="s">
        <v>68</v>
      </c>
      <c r="C22" s="598"/>
      <c r="D22" s="604"/>
      <c r="E22" s="597" t="str">
        <f>IF($AK8&gt;1,"Match 2","")</f>
        <v>Match 2</v>
      </c>
      <c r="F22" s="598"/>
      <c r="G22" s="604"/>
      <c r="H22" s="597" t="str">
        <f>IF($AK8&gt;2,"Match 3","")</f>
        <v>Match 3</v>
      </c>
      <c r="I22" s="598"/>
      <c r="J22" s="604"/>
      <c r="K22" s="597" t="str">
        <f>IF($AK8&gt;3,"Match 4","")</f>
        <v>Match 4</v>
      </c>
      <c r="L22" s="598"/>
      <c r="M22" s="604"/>
      <c r="N22" s="597" t="str">
        <f>IF($AK8&gt;4,"Match 5","")</f>
        <v>Match 5</v>
      </c>
      <c r="O22" s="598"/>
      <c r="P22" s="604"/>
      <c r="Q22" s="597" t="str">
        <f>IF($AK8&gt;5,"Match 6","")</f>
        <v>Match 6</v>
      </c>
      <c r="R22" s="598"/>
      <c r="S22" s="604"/>
      <c r="T22" s="597" t="str">
        <f>IF($AK8&gt;6,"Match 7","")</f>
        <v>Match 7</v>
      </c>
      <c r="U22" s="598"/>
      <c r="V22" s="604"/>
      <c r="W22" s="597" t="str">
        <f>IF($AK8&gt;7,"Match 8","")</f>
        <v>Match 8</v>
      </c>
      <c r="X22" s="598"/>
      <c r="Y22" s="604"/>
      <c r="Z22" s="597" t="str">
        <f>IF($AK8&gt;8,"Match 9","")</f>
        <v>Match 9</v>
      </c>
      <c r="AA22" s="598"/>
      <c r="AB22" s="604"/>
      <c r="AC22" s="597" t="str">
        <f>IF($AK8&gt;9,"Match 10","")</f>
        <v>Match 10</v>
      </c>
      <c r="AD22" s="598"/>
      <c r="AE22" s="604"/>
      <c r="AF22" s="716"/>
      <c r="AG22" s="717"/>
      <c r="AH22" s="717"/>
      <c r="AI22" s="717"/>
      <c r="AJ22" s="717"/>
      <c r="AK22" s="717"/>
      <c r="AL22" s="717"/>
      <c r="AM22" s="717"/>
      <c r="AN22" s="717"/>
      <c r="AO22" s="717"/>
      <c r="AP22" s="717"/>
      <c r="AQ22" s="718"/>
      <c r="AT22" s="38"/>
      <c r="AU22" s="96"/>
      <c r="AV22" s="96"/>
      <c r="AW22" s="4"/>
    </row>
    <row r="23" spans="1:51" ht="15.75" x14ac:dyDescent="0.25">
      <c r="A23" s="7"/>
      <c r="B23" s="699" t="s">
        <v>69</v>
      </c>
      <c r="C23" s="700"/>
      <c r="D23" s="701"/>
      <c r="E23" s="699" t="s">
        <v>70</v>
      </c>
      <c r="F23" s="700"/>
      <c r="G23" s="701"/>
      <c r="H23" s="699" t="s">
        <v>71</v>
      </c>
      <c r="I23" s="700"/>
      <c r="J23" s="701"/>
      <c r="K23" s="699" t="s">
        <v>72</v>
      </c>
      <c r="L23" s="700"/>
      <c r="M23" s="701"/>
      <c r="N23" s="699" t="s">
        <v>73</v>
      </c>
      <c r="O23" s="700"/>
      <c r="P23" s="701"/>
      <c r="Q23" s="699" t="s">
        <v>71</v>
      </c>
      <c r="R23" s="700"/>
      <c r="S23" s="701"/>
      <c r="T23" s="699" t="s">
        <v>69</v>
      </c>
      <c r="U23" s="700"/>
      <c r="V23" s="701"/>
      <c r="W23" s="699" t="s">
        <v>73</v>
      </c>
      <c r="X23" s="700"/>
      <c r="Y23" s="701"/>
      <c r="Z23" s="699" t="s">
        <v>72</v>
      </c>
      <c r="AA23" s="700"/>
      <c r="AB23" s="701"/>
      <c r="AC23" s="699" t="s">
        <v>70</v>
      </c>
      <c r="AD23" s="700"/>
      <c r="AE23" s="701"/>
      <c r="AF23" s="41" t="s">
        <v>74</v>
      </c>
      <c r="AG23" s="42">
        <v>1</v>
      </c>
      <c r="AH23" s="42">
        <v>2</v>
      </c>
      <c r="AI23" s="42">
        <v>3</v>
      </c>
      <c r="AJ23" s="42">
        <v>4</v>
      </c>
      <c r="AK23" s="42">
        <v>5</v>
      </c>
      <c r="AL23" s="42">
        <v>6</v>
      </c>
      <c r="AM23" s="42">
        <v>7</v>
      </c>
      <c r="AN23" s="42">
        <v>8</v>
      </c>
      <c r="AO23" s="42">
        <v>9</v>
      </c>
      <c r="AP23" s="42">
        <v>10</v>
      </c>
      <c r="AQ23" s="43" t="s">
        <v>75</v>
      </c>
      <c r="AT23" s="38"/>
      <c r="AU23" s="96"/>
      <c r="AV23" s="96"/>
      <c r="AW23" s="96"/>
      <c r="AX23" s="96"/>
      <c r="AY23" s="96"/>
    </row>
    <row r="24" spans="1:51" ht="15.75" x14ac:dyDescent="0.25">
      <c r="A24" s="7"/>
      <c r="B24" s="44">
        <v>2</v>
      </c>
      <c r="C24" s="45" t="s">
        <v>76</v>
      </c>
      <c r="D24" s="46">
        <v>5</v>
      </c>
      <c r="E24" s="44">
        <v>1</v>
      </c>
      <c r="F24" s="45" t="str">
        <f>IF($AK8&gt;1,"v","")</f>
        <v>v</v>
      </c>
      <c r="G24" s="46">
        <v>4</v>
      </c>
      <c r="H24" s="44">
        <v>3</v>
      </c>
      <c r="I24" s="45" t="str">
        <f>IF($AK8&gt;2,"v","")</f>
        <v>v</v>
      </c>
      <c r="J24" s="46">
        <v>5</v>
      </c>
      <c r="K24" s="44">
        <v>2</v>
      </c>
      <c r="L24" s="45" t="str">
        <f>IF($AK8&gt;3,"v","")</f>
        <v>v</v>
      </c>
      <c r="M24" s="46">
        <v>4</v>
      </c>
      <c r="N24" s="44">
        <v>1</v>
      </c>
      <c r="O24" s="45" t="str">
        <f>IF($AK8&gt;4,"v","")</f>
        <v>v</v>
      </c>
      <c r="P24" s="46">
        <v>3</v>
      </c>
      <c r="Q24" s="44">
        <v>4</v>
      </c>
      <c r="R24" s="45" t="str">
        <f>IF($AK8&gt;5,"v","")</f>
        <v>v</v>
      </c>
      <c r="S24" s="46">
        <v>5</v>
      </c>
      <c r="T24" s="44">
        <v>2</v>
      </c>
      <c r="U24" s="45" t="str">
        <f>IF($AK8&gt;6,"v","")</f>
        <v>v</v>
      </c>
      <c r="V24" s="46">
        <v>3</v>
      </c>
      <c r="W24" s="44">
        <v>1</v>
      </c>
      <c r="X24" s="45" t="str">
        <f>IF($AK8&gt;7,"v","")</f>
        <v>v</v>
      </c>
      <c r="Y24" s="46">
        <v>5</v>
      </c>
      <c r="Z24" s="44">
        <v>3</v>
      </c>
      <c r="AA24" s="45" t="str">
        <f>IF($AK8&gt;8,"v","")</f>
        <v>v</v>
      </c>
      <c r="AB24" s="46">
        <v>4</v>
      </c>
      <c r="AC24" s="44">
        <v>1</v>
      </c>
      <c r="AD24" s="45" t="str">
        <f>IF($AK8&gt;9,"v","")</f>
        <v>v</v>
      </c>
      <c r="AE24" s="46">
        <v>2</v>
      </c>
      <c r="AF24" s="41" t="str">
        <f>IF($AK9&gt;0,"Team 1","")</f>
        <v>Team 1</v>
      </c>
      <c r="AG24" s="47" t="str">
        <f>IF($AK9&lt;1,"",IF($AK8&lt;1,"",IF(B24=1,B30-D30,IF(D24=1,D30-B30,""))))</f>
        <v/>
      </c>
      <c r="AH24" s="47">
        <f>IF($AK9&lt;1,"",IF($AK8&lt;2,"",IF(E24=1,E30-G30,IF(G24=1,G30-E30,""))))</f>
        <v>20</v>
      </c>
      <c r="AI24" s="47" t="str">
        <f>IF($AK9&lt;1,"",IF($AK8&lt;3,"",IF(H24=1,H30-J30,IF(J24=1,J30-H30,""))))</f>
        <v/>
      </c>
      <c r="AJ24" s="47" t="str">
        <f>IF($AK9&lt;1,"",IF($AK8&lt;4,"",IF(K24=1,K30-M30,IF(M24=1,M30-K30,""))))</f>
        <v/>
      </c>
      <c r="AK24" s="47">
        <f>IF($AK9&lt;1,"",IF($AK8&lt;5,"",IF(N24=1,N30-P30,IF(P24=1,P30-N30,""))))</f>
        <v>12</v>
      </c>
      <c r="AL24" s="47" t="str">
        <f>IF($AK9&lt;1,"",IF($AK8&lt;6,"",IF(Q24=1,Q30-S30,IF(S24=1,S30-Q30,""))))</f>
        <v/>
      </c>
      <c r="AM24" s="47" t="str">
        <f>IF($AK9&lt;1,"",IF($AK8&lt;7,"",IF(T24=1,T30-V30,IF(V24=1,V30-T30,""))))</f>
        <v/>
      </c>
      <c r="AN24" s="47">
        <f>IF($AK9&lt;1,"",IF($AK8&lt;8,"",IF(W24=1,W30-Y30,IF(Y24=1,Y30-W30,""))))</f>
        <v>19</v>
      </c>
      <c r="AO24" s="47" t="str">
        <f>IF($AK9&lt;1,"",IF($AK8&lt;9,"",IF(Z24=1,Z30-AB30,IF(AB24=1,AB30-Z30,""))))</f>
        <v/>
      </c>
      <c r="AP24" s="47">
        <f>IF($AK9&lt;1,"",IF($AK8&lt;10,"",IF(AC24=1,AC30-AE30,IF(AE24=1,AE30-AC30,""))))</f>
        <v>13</v>
      </c>
      <c r="AQ24" s="43">
        <f>SUM(AG24:AP24)</f>
        <v>64</v>
      </c>
      <c r="AT24" s="38"/>
      <c r="AU24" s="96"/>
      <c r="AV24" s="96"/>
      <c r="AW24" s="96"/>
      <c r="AX24" s="96"/>
      <c r="AY24" s="96"/>
    </row>
    <row r="25" spans="1:51" ht="15" x14ac:dyDescent="0.2">
      <c r="A25" s="4" t="s">
        <v>77</v>
      </c>
      <c r="B25" s="48">
        <v>25</v>
      </c>
      <c r="C25" s="49" t="s">
        <v>78</v>
      </c>
      <c r="D25" s="50">
        <v>20</v>
      </c>
      <c r="E25" s="48">
        <v>25</v>
      </c>
      <c r="F25" s="49" t="str">
        <f>IF($AK8&gt;1,"/","")</f>
        <v>/</v>
      </c>
      <c r="G25" s="50">
        <v>15</v>
      </c>
      <c r="H25" s="48">
        <v>16</v>
      </c>
      <c r="I25" s="49" t="str">
        <f>IF($AK8&gt;2,"/","")</f>
        <v>/</v>
      </c>
      <c r="J25" s="50">
        <v>25</v>
      </c>
      <c r="K25" s="48">
        <v>25</v>
      </c>
      <c r="L25" s="49" t="str">
        <f>IF($AK8&gt;3,"/","")</f>
        <v>/</v>
      </c>
      <c r="M25" s="50">
        <v>13</v>
      </c>
      <c r="N25" s="48">
        <v>25</v>
      </c>
      <c r="O25" s="49" t="str">
        <f>IF($AK8&gt;4,"/","")</f>
        <v>/</v>
      </c>
      <c r="P25" s="50">
        <v>22</v>
      </c>
      <c r="Q25" s="48">
        <v>19</v>
      </c>
      <c r="R25" s="49" t="str">
        <f>IF($AK8&gt;5,"/","")</f>
        <v>/</v>
      </c>
      <c r="S25" s="50">
        <v>25</v>
      </c>
      <c r="T25" s="48">
        <v>25</v>
      </c>
      <c r="U25" s="49" t="str">
        <f>IF($AK8&gt;6,"/","")</f>
        <v>/</v>
      </c>
      <c r="V25" s="50">
        <v>10</v>
      </c>
      <c r="W25" s="48">
        <v>25</v>
      </c>
      <c r="X25" s="49" t="str">
        <f>IF($AK8&gt;7,"/","")</f>
        <v>/</v>
      </c>
      <c r="Y25" s="50">
        <v>11</v>
      </c>
      <c r="Z25" s="48">
        <v>18</v>
      </c>
      <c r="AA25" s="49" t="str">
        <f>IF($AK8&gt;8,"/","")</f>
        <v>/</v>
      </c>
      <c r="AB25" s="50">
        <v>25</v>
      </c>
      <c r="AC25" s="48">
        <v>25</v>
      </c>
      <c r="AD25" s="49" t="str">
        <f>IF($AK8&gt;9,"/","")</f>
        <v>/</v>
      </c>
      <c r="AE25" s="50">
        <v>19</v>
      </c>
      <c r="AF25" s="41" t="str">
        <f>IF($AK9&gt;1,"Team 2","")</f>
        <v>Team 2</v>
      </c>
      <c r="AG25" s="47">
        <f>IF($AK9&lt;2,"",IF($AK8&lt;1,"",IF(B24=2,B30-D30,IF(D24=2,D30-B30,""))))</f>
        <v>-2</v>
      </c>
      <c r="AH25" s="47" t="str">
        <f>IF($AK9&lt;2,"",IF($AK8&lt;2,"",IF(E24=2,E30-G30,IF(G24=2,G30-E30,""))))</f>
        <v/>
      </c>
      <c r="AI25" s="47" t="str">
        <f>IF($AK9&lt;2,"",IF($AK8&lt;3,"",IF(H24=2,H30-J30,IF(J24=2,J30-H30,""))))</f>
        <v/>
      </c>
      <c r="AJ25" s="47">
        <f>IF($AK9&lt;2,"",IF($AK8&lt;4,"",IF(K24=2,K30-M30,IF(M24=2,M30-K30,""))))</f>
        <v>20</v>
      </c>
      <c r="AK25" s="47" t="str">
        <f>IF($AK9&lt;2,"",IF($AK8&lt;5,"",IF(N24=2,N30-P30,IF(P24=2,P30-N30,""))))</f>
        <v/>
      </c>
      <c r="AL25" s="47" t="str">
        <f>IF($AK9&lt;2,"",IF($AK8&lt;6,"",IF(Q24=2,Q30-S30,IF(S24=2,S30-Q30,""))))</f>
        <v/>
      </c>
      <c r="AM25" s="47">
        <f>IF($AK9&lt;2,"",IF($AK8&lt;7,"",IF(T24=2,T30-V30,IF(V24=2,V30-T30,""))))</f>
        <v>24</v>
      </c>
      <c r="AN25" s="47" t="str">
        <f>IF($AK9&lt;2,"",IF($AK8&lt;8,"",IF(W24=2,W30-Y30,IF(Y24=2,Y30-W30,""))))</f>
        <v/>
      </c>
      <c r="AO25" s="47" t="str">
        <f>IF($AK9&lt;2,"",IF($AK8&lt;9,"",IF(Z24=2,Z30-AB30,IF(AB24=2,AB30-Z30,""))))</f>
        <v/>
      </c>
      <c r="AP25" s="47">
        <f>IF($AK9&lt;2,"",IF($AK8&lt;10,"",IF(AC24=2,AC30-AE30,IF(AE24=2,AE30-AC30,""))))</f>
        <v>-13</v>
      </c>
      <c r="AQ25" s="43">
        <f>SUM(AG25:AP25)</f>
        <v>29</v>
      </c>
      <c r="AW25" s="4"/>
    </row>
    <row r="26" spans="1:51" ht="15" x14ac:dyDescent="0.2">
      <c r="A26" s="3" t="str">
        <f>IF($AK7&gt;1,"Game 2","")</f>
        <v>Game 2</v>
      </c>
      <c r="B26" s="48">
        <v>18</v>
      </c>
      <c r="C26" s="49" t="s">
        <v>78</v>
      </c>
      <c r="D26" s="50">
        <v>25</v>
      </c>
      <c r="E26" s="48">
        <v>25</v>
      </c>
      <c r="F26" s="49" t="str">
        <f>IF($AK8&gt;1,IF($AK7&gt;1,"/",""),"")</f>
        <v>/</v>
      </c>
      <c r="G26" s="50">
        <v>15</v>
      </c>
      <c r="H26" s="48">
        <v>21</v>
      </c>
      <c r="I26" s="49" t="str">
        <f>IF($AK8&gt;2,IF($AK7&gt;1,"/",""),"")</f>
        <v>/</v>
      </c>
      <c r="J26" s="50">
        <v>25</v>
      </c>
      <c r="K26" s="48">
        <v>25</v>
      </c>
      <c r="L26" s="49" t="str">
        <f>IF($AK8&gt;3,IF($AK7&gt;1,"/",""),"")</f>
        <v>/</v>
      </c>
      <c r="M26" s="50">
        <v>17</v>
      </c>
      <c r="N26" s="48">
        <v>25</v>
      </c>
      <c r="O26" s="49" t="str">
        <f>IF($AK8&gt;4,IF($AK7&gt;1,"/",""),"")</f>
        <v>/</v>
      </c>
      <c r="P26" s="50">
        <v>16</v>
      </c>
      <c r="Q26" s="48">
        <v>13</v>
      </c>
      <c r="R26" s="49" t="str">
        <f>IF($AK8&gt;5,IF($AK7&gt;1,"/",""),"")</f>
        <v>/</v>
      </c>
      <c r="S26" s="50">
        <v>25</v>
      </c>
      <c r="T26" s="48">
        <v>25</v>
      </c>
      <c r="U26" s="49" t="str">
        <f>IF($AK8&gt;6,IF($AK7&gt;1,"/",""),"")</f>
        <v>/</v>
      </c>
      <c r="V26" s="50">
        <v>16</v>
      </c>
      <c r="W26" s="48">
        <v>25</v>
      </c>
      <c r="X26" s="49" t="str">
        <f>IF($AK8&gt;7,IF($AK7&gt;1,"/",""),"")</f>
        <v>/</v>
      </c>
      <c r="Y26" s="50">
        <v>20</v>
      </c>
      <c r="Z26" s="48">
        <v>18</v>
      </c>
      <c r="AA26" s="49" t="str">
        <f>IF($AK8&gt;8,IF($AK7&gt;1,"/",""),"")</f>
        <v>/</v>
      </c>
      <c r="AB26" s="50">
        <v>25</v>
      </c>
      <c r="AC26" s="48">
        <v>25</v>
      </c>
      <c r="AD26" s="49" t="str">
        <f>IF($AK8&gt;9,IF($AK7&gt;1,"/",""),"")</f>
        <v>/</v>
      </c>
      <c r="AE26" s="50">
        <v>18</v>
      </c>
      <c r="AF26" s="41" t="str">
        <f>IF($AK9&gt;2,"Team 3","")</f>
        <v>Team 3</v>
      </c>
      <c r="AG26" s="47" t="str">
        <f>IF($AK9&lt;3,"",IF($AK8&lt;1,"",IF(B24=3,B30-D30,IF(D24=3,D30-B30,""))))</f>
        <v/>
      </c>
      <c r="AH26" s="47" t="str">
        <f>IF($AK9&lt;3,"",IF($AK8&lt;2,"",IF(E24=3,E30-G30,IF(G24=3,G30-E30,""))))</f>
        <v/>
      </c>
      <c r="AI26" s="47">
        <f>IF($AK9&lt;3,"",IF($AK8&lt;3,"",IF(H24=3,H30-J30,IF(J24=3,J30-H30,""))))</f>
        <v>-13</v>
      </c>
      <c r="AJ26" s="47" t="str">
        <f>IF($AK9&lt;3,"",IF($AK8&lt;4,"",IF(K24=3,K30-M30,IF(M24=3,M30-K30,""))))</f>
        <v/>
      </c>
      <c r="AK26" s="47">
        <f>IF($AK9&lt;3,"",IF($AK8&lt;5,"",IF(N24=3,N30-P30,IF(P24=3,P30-N30,""))))</f>
        <v>-12</v>
      </c>
      <c r="AL26" s="47" t="str">
        <f>IF($AK9&lt;3,"",IF($AK8&lt;6,"",IF(Q24=3,Q30-S30,IF(S24=3,S30-Q30,""))))</f>
        <v/>
      </c>
      <c r="AM26" s="47">
        <f>IF($AK9&lt;3,"",IF($AK8&lt;7,"",IF(T24=3,T30-V30,IF(V24=3,V30-T30,""))))</f>
        <v>-24</v>
      </c>
      <c r="AN26" s="47" t="str">
        <f>IF($AK9&lt;3,"",IF($AK8&lt;8,"",IF(W24=3,W30-Y30,IF(Y24=3,Y30-W30,""))))</f>
        <v/>
      </c>
      <c r="AO26" s="47">
        <f>IF($AK9&lt;3,"",IF($AK8&lt;9,"",IF(Z24=3,Z30-AB30,IF(AB24=3,AB30-Z30,""))))</f>
        <v>-14</v>
      </c>
      <c r="AP26" s="47" t="str">
        <f>IF($AK9&lt;3,"",IF($AK8&lt;9,"",IF(AC24=3,AC30-AE30,IF(AE24=3,AE30-AC30,""))))</f>
        <v/>
      </c>
      <c r="AQ26" s="43">
        <f>SUM(AG26:AP26)</f>
        <v>-63</v>
      </c>
      <c r="AW26" s="4"/>
    </row>
    <row r="27" spans="1:51" ht="15" x14ac:dyDescent="0.2">
      <c r="A27" s="3" t="str">
        <f>IF($AK7&gt;2,"Game 3","")</f>
        <v/>
      </c>
      <c r="B27" s="48"/>
      <c r="C27" s="49" t="s">
        <v>78</v>
      </c>
      <c r="D27" s="50"/>
      <c r="E27" s="48"/>
      <c r="F27" s="49" t="str">
        <f>IF($AK8&gt;1,IF($AK7&gt;2,"/",""),"")</f>
        <v/>
      </c>
      <c r="G27" s="50"/>
      <c r="H27" s="48"/>
      <c r="I27" s="49" t="str">
        <f>IF($AK8&gt;2,IF($AK7&gt;2,"/",""),"")</f>
        <v/>
      </c>
      <c r="J27" s="50"/>
      <c r="K27" s="48"/>
      <c r="L27" s="49" t="str">
        <f>IF($AK8&gt;3,IF($AK7&gt;2,"/",""),"")</f>
        <v/>
      </c>
      <c r="M27" s="50"/>
      <c r="N27" s="48"/>
      <c r="O27" s="49" t="str">
        <f>IF($AK8&gt;4,IF($AK7&gt;2,"/",""),"")</f>
        <v/>
      </c>
      <c r="P27" s="50"/>
      <c r="Q27" s="48"/>
      <c r="R27" s="49" t="str">
        <f>IF($AK8&gt;5,IF($AK7&gt;2,"/",""),"")</f>
        <v/>
      </c>
      <c r="S27" s="50"/>
      <c r="T27" s="48"/>
      <c r="U27" s="49" t="str">
        <f>IF($AK8&gt;6,IF($AK7&gt;2,"/",""),"")</f>
        <v/>
      </c>
      <c r="V27" s="50"/>
      <c r="W27" s="48"/>
      <c r="X27" s="49" t="str">
        <f>IF($AK8&gt;7,IF($AK7&gt;2,"/",""),"")</f>
        <v/>
      </c>
      <c r="Y27" s="50"/>
      <c r="Z27" s="48"/>
      <c r="AA27" s="49" t="str">
        <f>IF($AK8&gt;8,IF($AK7&gt;2,"/",""),"")</f>
        <v/>
      </c>
      <c r="AB27" s="50"/>
      <c r="AC27" s="48"/>
      <c r="AD27" s="49" t="str">
        <f>IF($AK8&gt;9,IF($AK7&gt;2,"/",""),"")</f>
        <v/>
      </c>
      <c r="AE27" s="50"/>
      <c r="AF27" s="41" t="str">
        <f>IF($AK9&gt;3,"Team 4","")</f>
        <v>Team 4</v>
      </c>
      <c r="AG27" s="47" t="str">
        <f>IF($AK9&lt;4,"",IF($AK8&lt;1,"",IF(B24=4,B30-D30,IF(D24=4,D30-B30,""))))</f>
        <v/>
      </c>
      <c r="AH27" s="47">
        <f>IF($AK9&lt;4,"",IF($AK8&lt;2,"",IF(E24=4,E30-G30,IF(G24=4,G30-E30,""))))</f>
        <v>-20</v>
      </c>
      <c r="AI27" s="47" t="str">
        <f>IF($AK9&lt;4,"",IF($AK8&lt;3,"",IF(H24=4,H30-J30,IF(J24=4,J30-H30,""))))</f>
        <v/>
      </c>
      <c r="AJ27" s="47">
        <f>IF($AK9&lt;4,"",IF($AK8&lt;4,"",IF(K24=4,K30-M30,IF(M24=4,M30-K30,""))))</f>
        <v>-20</v>
      </c>
      <c r="AK27" s="47" t="str">
        <f>IF($AK9&lt;4,"",IF($AK8&lt;5,"",IF(N24=4,N30-P30,IF(P24=4,P30-N30,""))))</f>
        <v/>
      </c>
      <c r="AL27" s="47">
        <f>IF($AK9&lt;4,"",IF($AK8&lt;6,"",IF(Q24=4,Q30-S30,IF(S24=4,S30-Q30,""))))</f>
        <v>-18</v>
      </c>
      <c r="AM27" s="47" t="str">
        <f>IF($AK9&lt;4,"",IF($AK8&lt;7,"",IF(T24=4,T30-V30,IF(V24=4,V30-T30,""))))</f>
        <v/>
      </c>
      <c r="AN27" s="47" t="str">
        <f>IF($AK9&lt;4,"",IF($AK8&lt;8,"",IF(W24=4,W30-Y30,IF(Y24=4,Y30-W30,""))))</f>
        <v/>
      </c>
      <c r="AO27" s="47">
        <f>IF($AK9&lt;4,"",IF($AK8&lt;9,"",IF(Z24=4,Z30-AB30,IF(AB24=4,AB30-Z30,""))))</f>
        <v>14</v>
      </c>
      <c r="AP27" s="47" t="str">
        <f>IF($AK9&lt;4,"",IF($AK8&lt;10,"",IF(AC24=4,AC30-AE30,IF(AE24=4,AE30-AC30,""))))</f>
        <v/>
      </c>
      <c r="AQ27" s="43">
        <f>SUM(AG27:AP27)</f>
        <v>-44</v>
      </c>
      <c r="AW27" s="4"/>
    </row>
    <row r="28" spans="1:51" ht="15" x14ac:dyDescent="0.2">
      <c r="A28" s="3" t="str">
        <f>IF($AK7&gt;3,"Game 4","")</f>
        <v/>
      </c>
      <c r="B28" s="48"/>
      <c r="C28" s="49" t="s">
        <v>78</v>
      </c>
      <c r="D28" s="50"/>
      <c r="E28" s="48"/>
      <c r="F28" s="49" t="str">
        <f>IF($AK8&gt;1,IF($AK7&gt;3,"/",""),"")</f>
        <v/>
      </c>
      <c r="G28" s="50"/>
      <c r="H28" s="48"/>
      <c r="I28" s="49" t="str">
        <f>IF($AK8&gt;2,IF($AK7&gt;3,"/",""),"")</f>
        <v/>
      </c>
      <c r="J28" s="50"/>
      <c r="K28" s="48"/>
      <c r="L28" s="49" t="str">
        <f>IF($AK8&gt;3,IF($AK7&gt;3,"/",""),"")</f>
        <v/>
      </c>
      <c r="M28" s="50"/>
      <c r="N28" s="48"/>
      <c r="O28" s="49" t="str">
        <f>IF($AK8&gt;4,IF($AK7&gt;3,"/",""),"")</f>
        <v/>
      </c>
      <c r="P28" s="50"/>
      <c r="Q28" s="48"/>
      <c r="R28" s="49" t="str">
        <f>IF($AK8&gt;5,IF($AK7&gt;3,"/",""),"")</f>
        <v/>
      </c>
      <c r="S28" s="50"/>
      <c r="T28" s="48"/>
      <c r="U28" s="49" t="str">
        <f>IF($AK8&gt;6,IF($AK7&gt;3,"/",""),"")</f>
        <v/>
      </c>
      <c r="V28" s="50"/>
      <c r="W28" s="48"/>
      <c r="X28" s="49" t="str">
        <f>IF($AK8&gt;7,IF($AK7&gt;3,"/",""),"")</f>
        <v/>
      </c>
      <c r="Y28" s="50"/>
      <c r="Z28" s="48"/>
      <c r="AA28" s="49" t="str">
        <f>IF($AK8&gt;8,IF($AK7&gt;3,"/",""),"")</f>
        <v/>
      </c>
      <c r="AB28" s="50"/>
      <c r="AC28" s="48"/>
      <c r="AD28" s="49" t="str">
        <f>IF($AK8&gt;9,IF($AK7&gt;3,"/",""),"")</f>
        <v/>
      </c>
      <c r="AE28" s="50"/>
      <c r="AF28" s="41" t="str">
        <f>IF($AK9&gt;4,"Team 5","")</f>
        <v>Team 5</v>
      </c>
      <c r="AG28" s="51">
        <f>IF($AK9&lt;5,"",IF($AK8&lt;1,"",IF(B24=5,B30-D30,IF(D24=5,D30-B30,""))))</f>
        <v>2</v>
      </c>
      <c r="AH28" s="47" t="str">
        <f>IF($AK9&lt;5,"",IF($AK8&lt;2,"",IF(E24=5,E30-G30,IF(G24=5,G30-E30,""))))</f>
        <v/>
      </c>
      <c r="AI28" s="47">
        <f>IF($AK9&lt;5,"",IF($AK8&lt;3,"",IF(H24=5,H30-J30,IF(J24=5,J30-H30,""))))</f>
        <v>13</v>
      </c>
      <c r="AJ28" s="47" t="str">
        <f>IF($AK9&lt;5,"",IF($AK8&lt;4,"",IF(K24=5,K30-M30,IF(M24=5,M30-K30,""))))</f>
        <v/>
      </c>
      <c r="AK28" s="47" t="str">
        <f>IF($AK9&lt;5,"",IF($AK8&lt;5,"",IF(N24=5,N30-P30,IF(P24=5,P30-N30,""))))</f>
        <v/>
      </c>
      <c r="AL28" s="47">
        <f>IF($AK9&lt;5,"",IF($AK8&lt;6,"",IF(Q24=5,Q30-S30,IF(S24=5,S30-Q30,""))))</f>
        <v>18</v>
      </c>
      <c r="AM28" s="47" t="str">
        <f>IF($AK9&lt;5,"",IF($AK8&lt;7,"",IF(T24=5,T30-V30,IF(V24=5,V30-T30,""))))</f>
        <v/>
      </c>
      <c r="AN28" s="47">
        <f>IF($AK9&lt;5,"",IF($AK8&lt;8,"",IF(W24=5,W30-Y30,IF(Y24=5,Y30-W30,""))))</f>
        <v>-19</v>
      </c>
      <c r="AO28" s="47" t="str">
        <f>IF($AK9&lt;5,"",IF($AK8&lt;9,"",IF(Z24=5,Z30-AB30,IF(AB24=5,AB30-Z30,""))))</f>
        <v/>
      </c>
      <c r="AP28" s="47" t="str">
        <f>IF($AK9&lt;5,"",IF($AK8&lt;10,"",IF(AC24=5,AC30-AE30,IF(AE24=5,AE30-AC30,""))))</f>
        <v/>
      </c>
      <c r="AQ28" s="43">
        <f>SUM(AG28:AP28)</f>
        <v>14</v>
      </c>
      <c r="AW28" s="6"/>
      <c r="AX28" s="6"/>
      <c r="AY28" s="6"/>
    </row>
    <row r="29" spans="1:51" ht="15" x14ac:dyDescent="0.2">
      <c r="A29" s="3" t="str">
        <f>IF($AK7&gt;4,"Game 5","")</f>
        <v/>
      </c>
      <c r="B29" s="48"/>
      <c r="C29" s="49" t="s">
        <v>78</v>
      </c>
      <c r="D29" s="50"/>
      <c r="E29" s="48"/>
      <c r="F29" s="49" t="str">
        <f>IF($AK8&gt;1,IF($AK7&gt;4,"/",""),"")</f>
        <v/>
      </c>
      <c r="G29" s="50"/>
      <c r="H29" s="48"/>
      <c r="I29" s="49" t="str">
        <f>IF($AK8&gt;2,IF($AK7&gt;4,"/",""),"")</f>
        <v/>
      </c>
      <c r="J29" s="50"/>
      <c r="K29" s="48"/>
      <c r="L29" s="49" t="str">
        <f>IF($AK8&gt;3,IF($AK7&gt;4,"/",""),"")</f>
        <v/>
      </c>
      <c r="M29" s="50"/>
      <c r="N29" s="48"/>
      <c r="O29" s="49" t="str">
        <f>IF($AK8&gt;4,IF($AK7&gt;4,"/",""),"")</f>
        <v/>
      </c>
      <c r="P29" s="50"/>
      <c r="Q29" s="48"/>
      <c r="R29" s="49" t="str">
        <f>IF($AK8&gt;5,IF($AK7&gt;4,"/",""),"")</f>
        <v/>
      </c>
      <c r="S29" s="50"/>
      <c r="T29" s="48"/>
      <c r="U29" s="49" t="str">
        <f>IF($AK8&gt;6,IF($AK7&gt;4,"/",""),"")</f>
        <v/>
      </c>
      <c r="V29" s="50"/>
      <c r="W29" s="48"/>
      <c r="X29" s="49" t="str">
        <f>IF($AK8&gt;7,IF($AK7&gt;4,"/",""),"")</f>
        <v/>
      </c>
      <c r="Y29" s="50"/>
      <c r="Z29" s="48"/>
      <c r="AA29" s="49" t="str">
        <f>IF($AK8&gt;8,IF($AK7&gt;4,"/",""),"")</f>
        <v/>
      </c>
      <c r="AB29" s="50"/>
      <c r="AC29" s="48"/>
      <c r="AD29" s="49" t="str">
        <f>IF($AK8&gt;9,IF($AK7&gt;4,"/",""),"")</f>
        <v/>
      </c>
      <c r="AE29" s="50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W29" s="6"/>
      <c r="AX29" s="6"/>
      <c r="AY29" s="6"/>
    </row>
    <row r="30" spans="1:51" hidden="1" x14ac:dyDescent="0.2">
      <c r="A30" s="52"/>
      <c r="B30" s="52">
        <f>IF($AK7=5,SUM(B25:B29),IF($AK7=4,SUM(B25:B28),IF($AK7=3,SUM(B25:B27),IF($AK7=2,SUM(B25:B26),B25))))</f>
        <v>43</v>
      </c>
      <c r="C30" s="52"/>
      <c r="D30" s="52">
        <f>IF($AK7=5,SUM(D25:D29),IF($AK7=4,SUM(D25:D28),IF($AK7=3,SUM(D25:D27),IF($AK7=2,SUM(D25:D26),D25))))</f>
        <v>45</v>
      </c>
      <c r="E30" s="52">
        <f>IF($AK7=5,SUM(E25:E29),IF($AK7=4,SUM(E25:E28),IF($AK7=3,SUM(E25:E27),IF($AK7=2,SUM(E25:E26),E25))))</f>
        <v>50</v>
      </c>
      <c r="F30" s="52"/>
      <c r="G30" s="52">
        <f>IF($AK7=5,SUM(G25:G29),IF($AK7=4,SUM(G25:G28),IF($AK7=3,SUM(G25:G27),IF($AK7=2,SUM(G25:G26),G25))))</f>
        <v>30</v>
      </c>
      <c r="H30" s="52">
        <f>IF($AK7=5,SUM(H25:H29),IF($AK7=4,SUM(H25:H28),IF($AK7=3,SUM(H25:H27),IF($AK7=2,SUM(H25:H26),H25))))</f>
        <v>37</v>
      </c>
      <c r="I30" s="52"/>
      <c r="J30" s="52">
        <f>IF($AK7=5,SUM(J25:J29),IF($AK7=4,SUM(J25:J28),IF($AK7=3,SUM(J25:J27),IF($AK7=2,SUM(J25:J26),J25))))</f>
        <v>50</v>
      </c>
      <c r="K30" s="52">
        <f>IF($AK7=5,SUM(K25:K29),IF($AK7=4,SUM(K25:K28),IF($AK7=3,SUM(K25:K27),IF($AK7=2,SUM(K25:K26),K25))))</f>
        <v>50</v>
      </c>
      <c r="L30" s="52"/>
      <c r="M30" s="52">
        <f>IF($AK7=5,SUM(M25:M29),IF($AK7=4,SUM(M25:M28),IF($AK7=3,SUM(M25:M27),IF($AK7=2,SUM(M25:M26),M25))))</f>
        <v>30</v>
      </c>
      <c r="N30" s="52">
        <f>IF($AK7=5,SUM(N25:N29),IF($AK7=4,SUM(N25:N28),IF($AK7=3,SUM(N25:N27),IF($AK7=2,SUM(N25:N26),N25))))</f>
        <v>50</v>
      </c>
      <c r="O30" s="52"/>
      <c r="P30" s="52">
        <f>IF($AK7=5,SUM(P25:P29),IF($AK7=4,SUM(P25:P28),IF($AK7=3,SUM(P25:P27),IF($AK7=2,SUM(P25:P26),P25))))</f>
        <v>38</v>
      </c>
      <c r="Q30" s="52">
        <f>IF($AK7=5,SUM(Q25:Q29),IF($AK7=4,SUM(Q25:Q28),IF($AK7=3,SUM(Q25:Q27),IF($AK7=2,SUM(Q25:Q26),Q25))))</f>
        <v>32</v>
      </c>
      <c r="R30" s="52"/>
      <c r="S30" s="52">
        <f>IF($AK7=5,SUM(S25:S29),IF($AK7=4,SUM(S25:S28),IF($AK7=3,SUM(S25:S27),IF($AK7=2,SUM(S25:S26),S25))))</f>
        <v>50</v>
      </c>
      <c r="T30" s="52">
        <f>IF($AK7=5,SUM(T25:T29),IF($AK7=4,SUM(T25:T28),IF($AK7=3,SUM(T25:T27),IF($AK7=2,SUM(T25:T26),T25))))</f>
        <v>50</v>
      </c>
      <c r="U30" s="52"/>
      <c r="V30" s="52">
        <f>IF($AK7=5,SUM(V25:V29),IF($AK7=4,SUM(V25:V28),IF($AK7=3,SUM(V25:V27),IF($AK7=2,SUM(V25:V26),V25))))</f>
        <v>26</v>
      </c>
      <c r="W30" s="52">
        <f>IF($AK7=5,SUM(W25:W29),IF($AK7=4,SUM(W25:W28),IF($AK7=3,SUM(W25:W27),IF($AK7=2,SUM(W25:W26),W25))))</f>
        <v>50</v>
      </c>
      <c r="X30" s="52"/>
      <c r="Y30" s="52">
        <f>IF($AK7=5,SUM(Y25:Y29),IF($AK7=4,SUM(Y25:Y28),IF($AK7=3,SUM(Y25:Y27),IF($AK7=2,SUM(Y25:Y26),Y25))))</f>
        <v>31</v>
      </c>
      <c r="Z30" s="52">
        <f>IF($AK7=5,SUM(Z25:Z29),IF($AK7=4,SUM(Z25:Z28),IF($AK7=3,SUM(Z25:Z27),IF($AK7=2,SUM(Z25:Z26),Z25))))</f>
        <v>36</v>
      </c>
      <c r="AA30" s="52"/>
      <c r="AB30" s="52">
        <f>IF($AK7=5,SUM(AB25:AB29),IF($AK7=4,SUM(AB25:AB28),IF($AK7=3,SUM(AB25:AB27),IF($AK7=2,SUM(AB25:AB26),AB25))))</f>
        <v>50</v>
      </c>
      <c r="AC30" s="52">
        <f>IF($AK7=5,SUM(AC25:AC29),IF($AK7=4,SUM(AC25:AC28),IF($AK7=3,SUM(AC25:AC27),IF($AK7=2,SUM(AC25:AC26),AC25))))</f>
        <v>50</v>
      </c>
      <c r="AD30" s="52"/>
      <c r="AE30" s="52">
        <f>IF($AK7=5,SUM(AE25:AE29),IF($AK7=4,SUM(AE25:AE28),IF($AK7=3,SUM(AE25:AE27),IF($AK7=2,SUM(AE25:AE26),AE25))))</f>
        <v>37</v>
      </c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</row>
    <row r="31" spans="1:51" s="54" customFormat="1" ht="12.75" hidden="1" customHeight="1" x14ac:dyDescent="0.2">
      <c r="A31" s="54" t="s">
        <v>79</v>
      </c>
      <c r="B31" s="55">
        <f>IF(AND(B25&gt;D25,$AK8&gt;0,ISNUMBER(B25),ISNUMBER(D25)),1,0)</f>
        <v>1</v>
      </c>
      <c r="C31" s="55"/>
      <c r="D31" s="56">
        <f>IF(AND(D25&gt;B25,$AK8&gt;0,ISNUMBER(B25),ISNUMBER(D25)),1,0)</f>
        <v>0</v>
      </c>
      <c r="E31" s="55">
        <f>IF(AND(E25&gt;G25,$AK8&gt;1,ISNUMBER(E25),ISNUMBER(G25)),1,0)</f>
        <v>1</v>
      </c>
      <c r="F31" s="55"/>
      <c r="G31" s="56">
        <f>IF(AND(G25&gt;E25,$AK8&gt;1,ISNUMBER(E25),ISNUMBER(G25)),1,0)</f>
        <v>0</v>
      </c>
      <c r="H31" s="55">
        <f>IF(AND(H25&gt;J25,$AK8&gt;2,ISNUMBER(H25),ISNUMBER(J25)),1,0)</f>
        <v>0</v>
      </c>
      <c r="I31" s="55"/>
      <c r="J31" s="56">
        <f>IF(AND(J25&gt;H25,$AK8&gt;2,ISNUMBER(H25),ISNUMBER(J25)),1,0)</f>
        <v>1</v>
      </c>
      <c r="K31" s="55">
        <f>IF(AND(K25&gt;M25,$AK8&gt;3,ISNUMBER(K25),ISNUMBER(M25)),1,0)</f>
        <v>1</v>
      </c>
      <c r="L31" s="55"/>
      <c r="M31" s="56">
        <f>IF(AND(M25&gt;K25,$AK8&gt;3,ISNUMBER(K25),ISNUMBER(M25)),1,0)</f>
        <v>0</v>
      </c>
      <c r="N31" s="55">
        <f>IF(AND(N25&gt;P25,$AK8&gt;4,ISNUMBER(N25),ISNUMBER(P25)),1,0)</f>
        <v>1</v>
      </c>
      <c r="O31" s="55"/>
      <c r="P31" s="56">
        <f>IF(AND(P25&gt;N25,$AK8&gt;4,ISNUMBER(N25),ISNUMBER(P25)),1,0)</f>
        <v>0</v>
      </c>
      <c r="Q31" s="55">
        <f>IF(AND(Q25&gt;S25,$AK8&gt;5,ISNUMBER(Q25),ISNUMBER(S25)),1,0)</f>
        <v>0</v>
      </c>
      <c r="R31" s="55"/>
      <c r="S31" s="56">
        <f>IF(AND(S25&gt;Q25,$AK8&gt;5,ISNUMBER(Q25),ISNUMBER(S25)),1,0)</f>
        <v>1</v>
      </c>
      <c r="T31" s="55">
        <f>IF(AND(T25&gt;V25,$AK8&gt;6,ISNUMBER(T25),ISNUMBER(V25)),1,0)</f>
        <v>1</v>
      </c>
      <c r="U31" s="55"/>
      <c r="V31" s="56">
        <f>IF(AND(V25&gt;T25,$AK8&gt;6,ISNUMBER(T25),ISNUMBER(V25)),1,0)</f>
        <v>0</v>
      </c>
      <c r="W31" s="55">
        <f>IF(AND(W25&gt;Y25,$AK8&gt;7,ISNUMBER(W25),ISNUMBER(Y25)),1,0)</f>
        <v>1</v>
      </c>
      <c r="X31" s="55"/>
      <c r="Y31" s="56">
        <f>IF(AND(Y25&gt;W25,$AK8&gt;7,ISNUMBER(W25),ISNUMBER(Y25)),1,0)</f>
        <v>0</v>
      </c>
      <c r="Z31" s="55">
        <f>IF(AND(Z25&gt;AB25,$AK8&gt;8,ISNUMBER(Z25),ISNUMBER(AB25)),1,0)</f>
        <v>0</v>
      </c>
      <c r="AA31" s="55"/>
      <c r="AB31" s="56">
        <f>IF(AND(AB25&gt;Z25,$AK8&gt;8,ISNUMBER(Z25),ISNUMBER(AB25)),1,0)</f>
        <v>1</v>
      </c>
      <c r="AC31" s="55">
        <f>IF(AND(AC25&gt;AE25,$AK8&gt;9,ISNUMBER(AC25),ISNUMBER(AE25)),1,0)</f>
        <v>1</v>
      </c>
      <c r="AD31" s="55"/>
      <c r="AE31" s="56">
        <f>IF(AND(AE25&gt;AC25,$AK8&gt;9,ISNUMBER(AC25),ISNUMBER(AE25)),1,0)</f>
        <v>0</v>
      </c>
      <c r="AW31" s="57"/>
    </row>
    <row r="32" spans="1:51" s="54" customFormat="1" ht="12.75" hidden="1" customHeight="1" x14ac:dyDescent="0.2">
      <c r="A32" s="54" t="s">
        <v>80</v>
      </c>
      <c r="B32" s="55">
        <f>IF(AND(B26&gt;D26,$AK8&gt;0,$AK7&gt;1,ISNUMBER(B26),ISNUMBER(D26)),1,0)</f>
        <v>0</v>
      </c>
      <c r="C32" s="55"/>
      <c r="D32" s="56">
        <f>IF(AND(D26&gt;B26,$AK8&gt;0,$AK7&gt;1,ISNUMBER(B26),ISNUMBER(D26)),1,0)</f>
        <v>1</v>
      </c>
      <c r="E32" s="55">
        <f>IF(AND(E26&gt;G26,$AK8&gt;1,$AK7&gt;1,ISNUMBER(E26),ISNUMBER(G26)),1,0)</f>
        <v>1</v>
      </c>
      <c r="F32" s="55"/>
      <c r="G32" s="56">
        <f>IF(AND(G26&gt;E26,$AK8&gt;1,$AK7&gt;1,ISNUMBER(E26),ISNUMBER(G26)),1,0)</f>
        <v>0</v>
      </c>
      <c r="H32" s="55">
        <f>IF(AND(H26&gt;J26,$AK8&gt;2,$AK7&gt;1,ISNUMBER(H26),ISNUMBER(J26)),1,0)</f>
        <v>0</v>
      </c>
      <c r="I32" s="55"/>
      <c r="J32" s="56">
        <f>IF(AND(J26&gt;H26,$AK8&gt;2,$AK7&gt;1,ISNUMBER(H26),ISNUMBER(J26)),1,0)</f>
        <v>1</v>
      </c>
      <c r="K32" s="55">
        <f>IF(AND(K26&gt;M26,$AK8&gt;3,$AK7&gt;1,ISNUMBER(K26),ISNUMBER(M26)),1,0)</f>
        <v>1</v>
      </c>
      <c r="L32" s="55"/>
      <c r="M32" s="56">
        <f>IF(AND(M26&gt;K26,$AK8&gt;3,$AK7&gt;1,ISNUMBER(K26),ISNUMBER(M26)),1,0)</f>
        <v>0</v>
      </c>
      <c r="N32" s="55">
        <f>IF(AND(N26&gt;P26,$AK8&gt;4,$AK7&gt;1,ISNUMBER(N26),ISNUMBER(P26)),1,0)</f>
        <v>1</v>
      </c>
      <c r="O32" s="55"/>
      <c r="P32" s="56">
        <f>IF(AND(P26&gt;N26,$AK8&gt;4,$AK7&gt;1,ISNUMBER(N26),ISNUMBER(P26)),1,0)</f>
        <v>0</v>
      </c>
      <c r="Q32" s="55">
        <f>IF(AND(Q26&gt;S26,$AK8&gt;5,$AK7&gt;1,ISNUMBER(Q26),ISNUMBER(S26)),1,0)</f>
        <v>0</v>
      </c>
      <c r="R32" s="55"/>
      <c r="S32" s="56">
        <f>IF(AND(S26&gt;Q26,$AK8&gt;5,$AK7&gt;1,ISNUMBER(Q26),ISNUMBER(S26)),1,0)</f>
        <v>1</v>
      </c>
      <c r="T32" s="55">
        <f>IF(AND(T26&gt;V26,$AK8&gt;6,$AK7&gt;1,ISNUMBER(T26),ISNUMBER(V26)),1,0)</f>
        <v>1</v>
      </c>
      <c r="U32" s="55"/>
      <c r="V32" s="56">
        <f>IF(AND(V26&gt;T26,$AK8&gt;6,$AK7&gt;1,ISNUMBER(T26),ISNUMBER(V26)),1,0)</f>
        <v>0</v>
      </c>
      <c r="W32" s="55">
        <f>IF(AND(W26&gt;Y26,$AK8&gt;7,$AK7&gt;1,ISNUMBER(W26),ISNUMBER(Y26)),1,0)</f>
        <v>1</v>
      </c>
      <c r="X32" s="55"/>
      <c r="Y32" s="56">
        <f>IF(AND(Y26&gt;W26,$AK8&gt;7,$AK7&gt;1,ISNUMBER(W26),ISNUMBER(Y26)),1,0)</f>
        <v>0</v>
      </c>
      <c r="Z32" s="55">
        <f>IF(AND(Z26&gt;AB26,$AK8&gt;8,$AK7&gt;1,ISNUMBER(Z26),ISNUMBER(AB26)),1,0)</f>
        <v>0</v>
      </c>
      <c r="AA32" s="55"/>
      <c r="AB32" s="56">
        <f>IF(AND(AB26&gt;Z26,$AK8&gt;8,$AK7&gt;1,ISNUMBER(Z26),ISNUMBER(AB26)),1,0)</f>
        <v>1</v>
      </c>
      <c r="AC32" s="55">
        <f>IF(AND(AC26&gt;AE26,$AK8&gt;9,$AK7&gt;1,ISNUMBER(AC26),ISNUMBER(AE26)),1,0)</f>
        <v>1</v>
      </c>
      <c r="AD32" s="55"/>
      <c r="AE32" s="56">
        <f>IF(AND(AE26&gt;AC26,$AK8&gt;9,$AK7&gt;1,ISNUMBER(AC26),ISNUMBER(AE26)),1,0)</f>
        <v>0</v>
      </c>
      <c r="AW32" s="57"/>
    </row>
    <row r="33" spans="1:49" s="54" customFormat="1" ht="12.75" hidden="1" customHeight="1" x14ac:dyDescent="0.2">
      <c r="A33" s="54" t="s">
        <v>81</v>
      </c>
      <c r="B33" s="55">
        <f>IF(AND(B27&gt;D27,$AK8&gt;0,$AK7&gt;2,ISNUMBER(B27),ISNUMBER(D27)),1,0)</f>
        <v>0</v>
      </c>
      <c r="C33" s="55"/>
      <c r="D33" s="56">
        <f>IF(AND(D27&gt;B27,$AK8&gt;0,$AK7&gt;2,ISNUMBER(B27),ISNUMBER(D27)),1,0)</f>
        <v>0</v>
      </c>
      <c r="E33" s="55">
        <f>IF(AND(E27&gt;G27,$AK8&gt;1,$AK7&gt;2,ISNUMBER(E27),ISNUMBER(G27)),1,0)</f>
        <v>0</v>
      </c>
      <c r="F33" s="55"/>
      <c r="G33" s="56">
        <f>IF(AND(G27&gt;E27,$AK8&gt;1,$AK7&gt;2,ISNUMBER(E27),ISNUMBER(G27)),1,0)</f>
        <v>0</v>
      </c>
      <c r="H33" s="55">
        <f>IF(AND(H27&gt;J27,$AK8&gt;2,$AK7&gt;2,ISNUMBER(H27),ISNUMBER(J27)),1,0)</f>
        <v>0</v>
      </c>
      <c r="I33" s="55"/>
      <c r="J33" s="56">
        <f>IF(AND(J27&gt;H27,$AK8&gt;2,$AK7&gt;2,ISNUMBER(H27),ISNUMBER(J27)),1,0)</f>
        <v>0</v>
      </c>
      <c r="K33" s="55">
        <f>IF(AND(K27&gt;M27,$AK8&gt;3,$AK7&gt;2,ISNUMBER(K27),ISNUMBER(M27)),1,0)</f>
        <v>0</v>
      </c>
      <c r="L33" s="55"/>
      <c r="M33" s="56">
        <f>IF(AND(M27&gt;K27,$AK8&gt;3,$AK7&gt;2,ISNUMBER(K27),ISNUMBER(M27)),1,0)</f>
        <v>0</v>
      </c>
      <c r="N33" s="55">
        <f>IF(AND(N27&gt;P27,$AK8&gt;4,$AK7&gt;2,ISNUMBER(N27),ISNUMBER(P27)),1,0)</f>
        <v>0</v>
      </c>
      <c r="O33" s="55"/>
      <c r="P33" s="56">
        <f>IF(AND(P27&gt;N27,$AK8&gt;4,$AK7&gt;2,ISNUMBER(N27),ISNUMBER(P27)),1,0)</f>
        <v>0</v>
      </c>
      <c r="Q33" s="55">
        <f>IF(AND(Q27&gt;S27,$AK8&gt;5,$AK7&gt;2,ISNUMBER(Q27),ISNUMBER(S27)),1,0)</f>
        <v>0</v>
      </c>
      <c r="R33" s="55"/>
      <c r="S33" s="56">
        <f>IF(AND(S27&gt;Q27,$AK8&gt;5,$AK7&gt;2,ISNUMBER(Q27),ISNUMBER(S27)),1,0)</f>
        <v>0</v>
      </c>
      <c r="T33" s="55">
        <f>IF(AND(T27&gt;V27,$AK8&gt;6,$AK7&gt;2,ISNUMBER(T27),ISNUMBER(V27)),1,0)</f>
        <v>0</v>
      </c>
      <c r="U33" s="55"/>
      <c r="V33" s="56">
        <f>IF(AND(V27&gt;T27,$AK8&gt;6,$AK7&gt;2,ISNUMBER(T27),ISNUMBER(V27)),1,0)</f>
        <v>0</v>
      </c>
      <c r="W33" s="55">
        <f>IF(AND(W27&gt;Y27,$AK8&gt;7,$AK7&gt;2,ISNUMBER(W27),ISNUMBER(Y27)),1,0)</f>
        <v>0</v>
      </c>
      <c r="X33" s="55"/>
      <c r="Y33" s="56">
        <f>IF(AND(Y27&gt;W27,$AK8&gt;7,$AK7&gt;2,ISNUMBER(W27),ISNUMBER(Y27)),1,0)</f>
        <v>0</v>
      </c>
      <c r="Z33" s="55">
        <f>IF(AND(Z27&gt;AB27,$AK8&gt;8,$AK7&gt;2,ISNUMBER(Z27),ISNUMBER(AB27)),1,0)</f>
        <v>0</v>
      </c>
      <c r="AA33" s="55"/>
      <c r="AB33" s="56">
        <f>IF(AND(AB27&gt;Z27,$AK8&gt;8,$AK7&gt;2,ISNUMBER(Z27),ISNUMBER(AB27)),1,0)</f>
        <v>0</v>
      </c>
      <c r="AC33" s="55">
        <f>IF(AND(AC27&gt;AE27,$AK8&gt;9,$AK7&gt;2,ISNUMBER(AC27),ISNUMBER(AE27)),1,0)</f>
        <v>0</v>
      </c>
      <c r="AD33" s="55"/>
      <c r="AE33" s="56">
        <f>IF(AND(AE27&gt;AC27,$AK8&gt;9,$AK7&gt;2,ISNUMBER(AC27),ISNUMBER(AE27)),1,0)</f>
        <v>0</v>
      </c>
      <c r="AW33" s="57"/>
    </row>
    <row r="34" spans="1:49" s="54" customFormat="1" ht="12.75" hidden="1" customHeight="1" x14ac:dyDescent="0.2">
      <c r="A34" s="54" t="s">
        <v>82</v>
      </c>
      <c r="B34" s="55">
        <f>IF(AND(B28&gt;D28,$AK8&gt;0,$AK7&gt;3,ISNUMBER(B28),ISNUMBER(D28)),1,0)</f>
        <v>0</v>
      </c>
      <c r="C34" s="55"/>
      <c r="D34" s="56">
        <f>IF(AND(D28&gt;B28,$AK8&gt;0,$AK7&gt;3,ISNUMBER(B28),ISNUMBER(D28)),1,0)</f>
        <v>0</v>
      </c>
      <c r="E34" s="55">
        <f>IF(AND(E28&gt;G28,$AK8&gt;1,$AK7&gt;3,ISNUMBER(E28),ISNUMBER(G28)),1,0)</f>
        <v>0</v>
      </c>
      <c r="F34" s="55"/>
      <c r="G34" s="56">
        <f>IF(AND(G28&gt;E28,$AK8&gt;1,$AK7&gt;3,ISNUMBER(E28),ISNUMBER(G28)),1,0)</f>
        <v>0</v>
      </c>
      <c r="H34" s="55">
        <f>IF(AND(H28&gt;J28,$AK8&gt;2,$AK7&gt;3,ISNUMBER(H28),ISNUMBER(J28)),1,0)</f>
        <v>0</v>
      </c>
      <c r="I34" s="55"/>
      <c r="J34" s="56">
        <f>IF(AND(J28&gt;H28,$AK8&gt;2,$AK7&gt;3,ISNUMBER(H28),ISNUMBER(J28)),1,0)</f>
        <v>0</v>
      </c>
      <c r="K34" s="55">
        <f>IF(AND(K28&gt;M28,$AK8&gt;3,$AK7&gt;3,ISNUMBER(K28),ISNUMBER(M28)),1,0)</f>
        <v>0</v>
      </c>
      <c r="L34" s="55"/>
      <c r="M34" s="56">
        <f>IF(AND(M28&gt;K28,$AK8&gt;3,$AK7&gt;3,ISNUMBER(K28),ISNUMBER(M28)),1,0)</f>
        <v>0</v>
      </c>
      <c r="N34" s="55">
        <f>IF(AND(N28&gt;P28,$AK8&gt;4,$AK7&gt;3,ISNUMBER(N28),ISNUMBER(P28)),1,0)</f>
        <v>0</v>
      </c>
      <c r="O34" s="55"/>
      <c r="P34" s="56">
        <f>IF(AND(P28&gt;N28,$AK8&gt;4,$AK7&gt;3,ISNUMBER(N28),ISNUMBER(P28)),1,0)</f>
        <v>0</v>
      </c>
      <c r="Q34" s="55">
        <f>IF(AND(Q28&gt;S28,$AK8&gt;5,$AK7&gt;3,ISNUMBER(Q28),ISNUMBER(S28)),1,0)</f>
        <v>0</v>
      </c>
      <c r="R34" s="55"/>
      <c r="S34" s="56">
        <f>IF(AND(S28&gt;Q28,$AK8&gt;5,$AK7&gt;3,ISNUMBER(Q28),ISNUMBER(S28)),1,0)</f>
        <v>0</v>
      </c>
      <c r="T34" s="55">
        <f>IF(AND(T28&gt;V28,$AK8&gt;6,$AK7&gt;3,ISNUMBER(T28),ISNUMBER(V28)),1,0)</f>
        <v>0</v>
      </c>
      <c r="U34" s="55"/>
      <c r="V34" s="56">
        <f>IF(AND(V28&gt;T28,$AK8&gt;6,$AK7&gt;3,ISNUMBER(T28),ISNUMBER(V28)),1,0)</f>
        <v>0</v>
      </c>
      <c r="W34" s="55">
        <f>IF(AND(W28&gt;Y28,$AK8&gt;7,$AK7&gt;3,ISNUMBER(W28),ISNUMBER(Y28)),1,0)</f>
        <v>0</v>
      </c>
      <c r="X34" s="55"/>
      <c r="Y34" s="56">
        <f>IF(AND(Y28&gt;W28,$AK8&gt;7,$AK7&gt;3,ISNUMBER(W28),ISNUMBER(Y28)),1,0)</f>
        <v>0</v>
      </c>
      <c r="Z34" s="55">
        <f>IF(AND(Z28&gt;AB28,$AK8&gt;8,$AK7&gt;3,ISNUMBER(Z28),ISNUMBER(AB28)),1,0)</f>
        <v>0</v>
      </c>
      <c r="AA34" s="55"/>
      <c r="AB34" s="56">
        <f>IF(AND(AB28&gt;Z28,$AK8&gt;8,$AK7&gt;3,ISNUMBER(Z28),ISNUMBER(AB28)),1,0)</f>
        <v>0</v>
      </c>
      <c r="AC34" s="55">
        <f>IF(AND(AC28&gt;AE28,$AK8&gt;9,$AK7&gt;3,ISNUMBER(AC28),ISNUMBER(AE28)),1,0)</f>
        <v>0</v>
      </c>
      <c r="AD34" s="55"/>
      <c r="AE34" s="56">
        <f>IF(AND(AE28&gt;AC28,$AK8&gt;9,$AK7&gt;3,ISNUMBER(AC28),ISNUMBER(AE28)),1,0)</f>
        <v>0</v>
      </c>
      <c r="AW34" s="57"/>
    </row>
    <row r="35" spans="1:49" s="54" customFormat="1" ht="12.75" hidden="1" customHeight="1" x14ac:dyDescent="0.2">
      <c r="A35" s="54" t="s">
        <v>83</v>
      </c>
      <c r="B35" s="55">
        <f>IF(AND(B29&gt;D29,$AK8&gt;0,$AK7&gt;4,ISNUMBER(B29),ISNUMBER(D29)),1,0)</f>
        <v>0</v>
      </c>
      <c r="C35" s="55"/>
      <c r="D35" s="56">
        <f>IF(AND(D29&gt;B29,$AK8&gt;0,$AK7&gt;4,ISNUMBER(B29),ISNUMBER(D29)),1,0)</f>
        <v>0</v>
      </c>
      <c r="E35" s="55">
        <f>IF(AND(E29&gt;G29,$AK8&gt;1,$AK7&gt;4,ISNUMBER(E29),ISNUMBER(G29)),1,0)</f>
        <v>0</v>
      </c>
      <c r="F35" s="55"/>
      <c r="G35" s="56">
        <f>IF(AND(G29&gt;E29,$AK8&gt;1,$AK7&gt;4,ISNUMBER(E29),ISNUMBER(G29)),1,0)</f>
        <v>0</v>
      </c>
      <c r="H35" s="55">
        <f>IF(AND(H29&gt;J29,$AK8&gt;2,$AK7&gt;4,ISNUMBER(H29),ISNUMBER(J29)),1,0)</f>
        <v>0</v>
      </c>
      <c r="I35" s="55"/>
      <c r="J35" s="56">
        <f>IF(AND(J29&gt;H29,$AK8&gt;2,$AK7&gt;4,ISNUMBER(H29),ISNUMBER(J29)),1,0)</f>
        <v>0</v>
      </c>
      <c r="K35" s="55">
        <f>IF(AND(K29&gt;M29,$AK8&gt;3,$AK7&gt;4,ISNUMBER(K29),ISNUMBER(M29)),1,0)</f>
        <v>0</v>
      </c>
      <c r="L35" s="55"/>
      <c r="M35" s="56">
        <f>IF(AND(M29&gt;K29,$AK8&gt;3,$AK7&gt;4,ISNUMBER(K29),ISNUMBER(M29)),1,0)</f>
        <v>0</v>
      </c>
      <c r="N35" s="55">
        <f>IF(AND(N29&gt;P29,$AK8&gt;4,$AK7&gt;4,ISNUMBER(N29),ISNUMBER(P29)),1,0)</f>
        <v>0</v>
      </c>
      <c r="O35" s="55"/>
      <c r="P35" s="56">
        <f>IF(AND(P29&gt;N29,$AK8&gt;4,$AK7&gt;4,ISNUMBER(N29),ISNUMBER(P29)),1,0)</f>
        <v>0</v>
      </c>
      <c r="Q35" s="55">
        <f>IF(AND(Q29&gt;S29,$AK8&gt;5,$AK7&gt;4,ISNUMBER(Q29),ISNUMBER(S29)),1,0)</f>
        <v>0</v>
      </c>
      <c r="R35" s="55"/>
      <c r="S35" s="56">
        <f>IF(AND(S29&gt;Q29,$AK8&gt;5,$AK7&gt;4,ISNUMBER(Q29),ISNUMBER(S29)),1,0)</f>
        <v>0</v>
      </c>
      <c r="T35" s="55">
        <f>IF(AND(T29&gt;V29,$AK8&gt;6,$AK7&gt;4,ISNUMBER(T29),ISNUMBER(V29)),1,0)</f>
        <v>0</v>
      </c>
      <c r="U35" s="55"/>
      <c r="V35" s="56">
        <f>IF(AND(V29&gt;T29,$AK8&gt;6,$AK7&gt;4,ISNUMBER(T29),ISNUMBER(V29)),1,0)</f>
        <v>0</v>
      </c>
      <c r="W35" s="55">
        <f>IF(AND(W29&gt;Y29,$AK8&gt;7,$AK7&gt;4,ISNUMBER(W29),ISNUMBER(Y29)),1,0)</f>
        <v>0</v>
      </c>
      <c r="X35" s="55"/>
      <c r="Y35" s="56">
        <f>IF(AND(Y29&gt;W29,$AK8&gt;7,$AK7&gt;4,ISNUMBER(W29),ISNUMBER(Y29)),1,0)</f>
        <v>0</v>
      </c>
      <c r="Z35" s="55">
        <f>IF(AND(Z29&gt;AB29,$AK8&gt;8,$AK7&gt;4,ISNUMBER(Z29),ISNUMBER(AB29)),1,0)</f>
        <v>0</v>
      </c>
      <c r="AA35" s="55"/>
      <c r="AB35" s="56">
        <f>IF(AND(AB29&gt;Z29,$AK8&gt;8,$AK7&gt;4,ISNUMBER(Z29),ISNUMBER(AB29)),1,0)</f>
        <v>0</v>
      </c>
      <c r="AC35" s="55">
        <f>IF(AND(AC29&gt;AE29,$AK8&gt;9,$AK7&gt;4,ISNUMBER(AC29),ISNUMBER(AE29)),1,0)</f>
        <v>0</v>
      </c>
      <c r="AD35" s="55"/>
      <c r="AE35" s="56">
        <f>IF(AND(AE29&gt;AC29,$AK8&gt;9,$AK7&gt;4,ISNUMBER(AC29),ISNUMBER(AE29)),1,0)</f>
        <v>0</v>
      </c>
      <c r="AW35" s="57"/>
    </row>
    <row r="36" spans="1:49" s="54" customFormat="1" ht="38.25" hidden="1" customHeight="1" x14ac:dyDescent="0.2">
      <c r="A36" s="58" t="s">
        <v>84</v>
      </c>
      <c r="B36" s="54">
        <f>SUM(B31:B35)</f>
        <v>1</v>
      </c>
      <c r="D36" s="59">
        <f>SUM(D31:D35)</f>
        <v>1</v>
      </c>
      <c r="E36" s="54">
        <f>SUM(E31:E35)</f>
        <v>2</v>
      </c>
      <c r="G36" s="59">
        <f>SUM(G31:G35)</f>
        <v>0</v>
      </c>
      <c r="H36" s="54">
        <f>SUM(H31:H35)</f>
        <v>0</v>
      </c>
      <c r="J36" s="59">
        <f>SUM(J31:J35)</f>
        <v>2</v>
      </c>
      <c r="K36" s="54">
        <f>SUM(K31:K35)</f>
        <v>2</v>
      </c>
      <c r="M36" s="59">
        <f>SUM(M31:M35)</f>
        <v>0</v>
      </c>
      <c r="N36" s="54">
        <f>SUM(N31:N35)</f>
        <v>2</v>
      </c>
      <c r="P36" s="59">
        <f>SUM(P31:P35)</f>
        <v>0</v>
      </c>
      <c r="Q36" s="54">
        <f>SUM(Q31:Q35)</f>
        <v>0</v>
      </c>
      <c r="S36" s="59">
        <f>SUM(S31:S35)</f>
        <v>2</v>
      </c>
      <c r="T36" s="54">
        <f>SUM(T31:T35)</f>
        <v>2</v>
      </c>
      <c r="V36" s="59">
        <f>SUM(V31:V35)</f>
        <v>0</v>
      </c>
      <c r="W36" s="54">
        <f>SUM(W31:W35)</f>
        <v>2</v>
      </c>
      <c r="Y36" s="59">
        <f>SUM(Y31:Y35)</f>
        <v>0</v>
      </c>
      <c r="Z36" s="54">
        <f>SUM(Z31:Z35)</f>
        <v>0</v>
      </c>
      <c r="AB36" s="59">
        <f>SUM(AB31:AB35)</f>
        <v>2</v>
      </c>
      <c r="AC36" s="54">
        <f>SUM(AC31:AC35)</f>
        <v>2</v>
      </c>
      <c r="AE36" s="59">
        <f>SUM(AE31:AE35)</f>
        <v>0</v>
      </c>
      <c r="AW36" s="57"/>
    </row>
    <row r="37" spans="1:49" s="54" customFormat="1" ht="25.5" hidden="1" customHeight="1" x14ac:dyDescent="0.2">
      <c r="A37" s="58" t="s">
        <v>85</v>
      </c>
      <c r="B37" s="54">
        <f>IF(B36&gt;D36,IF(C71=AK7,1,IF(C71=AK7-1,1,0)),0)</f>
        <v>0</v>
      </c>
      <c r="C37" s="54">
        <f>B37+D37</f>
        <v>0</v>
      </c>
      <c r="D37" s="59">
        <f>IF(D36&gt;B36,IF(C71=AK7,1,IF(C71=AK7-1,1,0)),0)</f>
        <v>0</v>
      </c>
      <c r="E37" s="54">
        <f>IF(E36&gt;G36,IF(F71=AK7,1,IF(F71=AK7-1,1,0)),0)</f>
        <v>1</v>
      </c>
      <c r="F37" s="54">
        <f>E37+G37</f>
        <v>1</v>
      </c>
      <c r="G37" s="59">
        <f>IF(G36&gt;E36,IF(F71=AK7,1,IF(F71=AK7-1,1,0)),0)</f>
        <v>0</v>
      </c>
      <c r="H37" s="54">
        <f>IF(H36&gt;J36,IF(I71=AK7,1,IF(I71=AK7-1,1,0)),0)</f>
        <v>0</v>
      </c>
      <c r="I37" s="54">
        <f>H37+J37</f>
        <v>1</v>
      </c>
      <c r="J37" s="59">
        <f>IF(J36&gt;H36,IF(I71=AK7,1,IF(I71=AK7-1,1,0)),0)</f>
        <v>1</v>
      </c>
      <c r="K37" s="54">
        <f>IF(K36&gt;M36,IF(L71=AK7,1,IF(L71=AK7-1,1,0)),0)</f>
        <v>1</v>
      </c>
      <c r="L37" s="54">
        <f>K37+M37</f>
        <v>1</v>
      </c>
      <c r="M37" s="59">
        <f>IF(M36&gt;K36,IF(L71=AK7,1,IF(L71=AK7-1,1,0)),0)</f>
        <v>0</v>
      </c>
      <c r="N37" s="54">
        <f>IF(N36&gt;P36,IF(O71=AK7,1,IF(O71=AK7-1,1,0)),0)</f>
        <v>1</v>
      </c>
      <c r="O37" s="54">
        <f>N37+P37</f>
        <v>1</v>
      </c>
      <c r="P37" s="59">
        <f>IF(P36&gt;N36,IF(O71=AK7,1,IF(O71=AK7-1,1,0)),0)</f>
        <v>0</v>
      </c>
      <c r="Q37" s="54">
        <f>IF(Q36&gt;S36,IF(R71=AK7,1,IF(R71=AK7-1,1,0)),0)</f>
        <v>0</v>
      </c>
      <c r="R37" s="54">
        <f>Q37+S37</f>
        <v>1</v>
      </c>
      <c r="S37" s="59">
        <f>IF(S36&gt;Q36,IF(R71=AK7,1,IF(R71=AK7-1,1,0)),0)</f>
        <v>1</v>
      </c>
      <c r="T37" s="54">
        <f>IF(T36&gt;V36,IF(U71=AK7,1,IF(U71=AK7-1,1,0)),0)</f>
        <v>1</v>
      </c>
      <c r="U37" s="54">
        <f>T37+V37</f>
        <v>1</v>
      </c>
      <c r="V37" s="59">
        <f>IF(V36&gt;T36,IF(U71=AK7,1,IF(U71=AK7-1,1,0)),0)</f>
        <v>0</v>
      </c>
      <c r="W37" s="54">
        <f>IF(W36&gt;Y36,IF(X71=AK7,1,IF(X71=AK7-1,1,0)),0)</f>
        <v>1</v>
      </c>
      <c r="X37" s="54">
        <f>W37+Y37</f>
        <v>1</v>
      </c>
      <c r="Y37" s="59">
        <f>IF(Y36&gt;W36,IF(X71=AK7,1,IF(X71=AK7-1,1,0)),0)</f>
        <v>0</v>
      </c>
      <c r="Z37" s="54">
        <f>IF(Z36&gt;AB36,IF(AA71=AK7,1,IF(AA71=AK7-1,1,0)),0)</f>
        <v>0</v>
      </c>
      <c r="AA37" s="54">
        <f>Z37+AB37</f>
        <v>1</v>
      </c>
      <c r="AB37" s="59">
        <f>IF(AB36&gt;Z36,IF(AA71=AK7,1,IF(AA71=AK7-1,1,0)),0)</f>
        <v>1</v>
      </c>
      <c r="AC37" s="54">
        <f>IF(AC36&gt;AE36,IF(AD71=AK7,1,IF(AD71=AK7-1,1,0)),0)</f>
        <v>1</v>
      </c>
      <c r="AD37" s="54">
        <f>AC37+AE37</f>
        <v>1</v>
      </c>
      <c r="AE37" s="59">
        <f>IF(AE36&gt;AC36,IF(AD71=AK7,1,IF(AD71=AK7-1,1,0)),0)</f>
        <v>0</v>
      </c>
      <c r="AW37" s="57"/>
    </row>
    <row r="38" spans="1:49" s="54" customFormat="1" ht="25.5" hidden="1" customHeight="1" x14ac:dyDescent="0.2">
      <c r="A38" s="58"/>
      <c r="D38" s="59"/>
      <c r="G38" s="59"/>
      <c r="J38" s="59"/>
      <c r="M38" s="59"/>
      <c r="P38" s="59"/>
      <c r="S38" s="59"/>
      <c r="V38" s="59"/>
      <c r="Y38" s="59"/>
      <c r="AB38" s="59"/>
      <c r="AE38" s="59"/>
      <c r="AW38" s="57"/>
    </row>
    <row r="39" spans="1:49" s="54" customFormat="1" ht="12.75" hidden="1" customHeight="1" x14ac:dyDescent="0.2">
      <c r="A39" s="54" t="s">
        <v>86</v>
      </c>
      <c r="B39" s="54">
        <f>IF(B31=1,B25,0)</f>
        <v>25</v>
      </c>
      <c r="D39" s="59">
        <f t="shared" ref="D39:E43" si="2">IF(D31=1,D25,0)</f>
        <v>0</v>
      </c>
      <c r="E39" s="54">
        <f t="shared" si="2"/>
        <v>25</v>
      </c>
      <c r="G39" s="59">
        <f t="shared" ref="G39:H43" si="3">IF(G31=1,G25,0)</f>
        <v>0</v>
      </c>
      <c r="H39" s="54">
        <f t="shared" si="3"/>
        <v>0</v>
      </c>
      <c r="J39" s="59">
        <f t="shared" ref="J39:K43" si="4">IF(J31=1,J25,0)</f>
        <v>25</v>
      </c>
      <c r="K39" s="54">
        <f t="shared" si="4"/>
        <v>25</v>
      </c>
      <c r="M39" s="59">
        <f t="shared" ref="M39:N43" si="5">IF(M31=1,M25,0)</f>
        <v>0</v>
      </c>
      <c r="N39" s="54">
        <f t="shared" si="5"/>
        <v>25</v>
      </c>
      <c r="P39" s="59">
        <f t="shared" ref="P39:Q43" si="6">IF(P31=1,P25,0)</f>
        <v>0</v>
      </c>
      <c r="Q39" s="54">
        <f t="shared" si="6"/>
        <v>0</v>
      </c>
      <c r="S39" s="59">
        <f t="shared" ref="S39:T43" si="7">IF(S31=1,S25,0)</f>
        <v>25</v>
      </c>
      <c r="T39" s="54">
        <f t="shared" si="7"/>
        <v>25</v>
      </c>
      <c r="V39" s="59">
        <f t="shared" ref="V39:W43" si="8">IF(V31=1,V25,0)</f>
        <v>0</v>
      </c>
      <c r="W39" s="54">
        <f t="shared" si="8"/>
        <v>25</v>
      </c>
      <c r="Y39" s="59">
        <f t="shared" ref="Y39:Z43" si="9">IF(Y31=1,Y25,0)</f>
        <v>0</v>
      </c>
      <c r="Z39" s="54">
        <f t="shared" si="9"/>
        <v>0</v>
      </c>
      <c r="AB39" s="59">
        <f t="shared" ref="AB39:AC43" si="10">IF(AB31=1,AB25,0)</f>
        <v>25</v>
      </c>
      <c r="AC39" s="54">
        <f t="shared" si="10"/>
        <v>25</v>
      </c>
      <c r="AE39" s="59">
        <f>IF(AE31=1,AE25,0)</f>
        <v>0</v>
      </c>
      <c r="AW39" s="57"/>
    </row>
    <row r="40" spans="1:49" s="54" customFormat="1" ht="12.75" hidden="1" customHeight="1" x14ac:dyDescent="0.2">
      <c r="A40" s="54" t="s">
        <v>87</v>
      </c>
      <c r="B40" s="54">
        <f>IF(B32=1,B26,0)</f>
        <v>0</v>
      </c>
      <c r="D40" s="59">
        <f t="shared" si="2"/>
        <v>25</v>
      </c>
      <c r="E40" s="54">
        <f t="shared" si="2"/>
        <v>25</v>
      </c>
      <c r="G40" s="59">
        <f t="shared" si="3"/>
        <v>0</v>
      </c>
      <c r="H40" s="54">
        <f t="shared" si="3"/>
        <v>0</v>
      </c>
      <c r="J40" s="59">
        <f t="shared" si="4"/>
        <v>25</v>
      </c>
      <c r="K40" s="54">
        <f t="shared" si="4"/>
        <v>25</v>
      </c>
      <c r="M40" s="59">
        <f t="shared" si="5"/>
        <v>0</v>
      </c>
      <c r="N40" s="54">
        <f t="shared" si="5"/>
        <v>25</v>
      </c>
      <c r="P40" s="59">
        <f t="shared" si="6"/>
        <v>0</v>
      </c>
      <c r="Q40" s="54">
        <f t="shared" si="6"/>
        <v>0</v>
      </c>
      <c r="S40" s="59">
        <f t="shared" si="7"/>
        <v>25</v>
      </c>
      <c r="T40" s="54">
        <f t="shared" si="7"/>
        <v>25</v>
      </c>
      <c r="V40" s="59">
        <f t="shared" si="8"/>
        <v>0</v>
      </c>
      <c r="W40" s="54">
        <f t="shared" si="8"/>
        <v>25</v>
      </c>
      <c r="Y40" s="59">
        <f t="shared" si="9"/>
        <v>0</v>
      </c>
      <c r="Z40" s="54">
        <f t="shared" si="9"/>
        <v>0</v>
      </c>
      <c r="AB40" s="59">
        <f t="shared" si="10"/>
        <v>25</v>
      </c>
      <c r="AC40" s="54">
        <f t="shared" si="10"/>
        <v>25</v>
      </c>
      <c r="AE40" s="59">
        <f>IF(AE32=1,AE26,0)</f>
        <v>0</v>
      </c>
      <c r="AW40" s="57"/>
    </row>
    <row r="41" spans="1:49" s="54" customFormat="1" ht="12.75" hidden="1" customHeight="1" x14ac:dyDescent="0.2">
      <c r="A41" s="54" t="s">
        <v>88</v>
      </c>
      <c r="B41" s="54">
        <f>IF(B33=1,B27,0)</f>
        <v>0</v>
      </c>
      <c r="D41" s="59">
        <f t="shared" si="2"/>
        <v>0</v>
      </c>
      <c r="E41" s="54">
        <f t="shared" si="2"/>
        <v>0</v>
      </c>
      <c r="G41" s="59">
        <f t="shared" si="3"/>
        <v>0</v>
      </c>
      <c r="H41" s="54">
        <f t="shared" si="3"/>
        <v>0</v>
      </c>
      <c r="J41" s="59">
        <f t="shared" si="4"/>
        <v>0</v>
      </c>
      <c r="K41" s="54">
        <f t="shared" si="4"/>
        <v>0</v>
      </c>
      <c r="M41" s="59">
        <f t="shared" si="5"/>
        <v>0</v>
      </c>
      <c r="N41" s="54">
        <f t="shared" si="5"/>
        <v>0</v>
      </c>
      <c r="P41" s="59">
        <f t="shared" si="6"/>
        <v>0</v>
      </c>
      <c r="Q41" s="54">
        <f t="shared" si="6"/>
        <v>0</v>
      </c>
      <c r="S41" s="59">
        <f t="shared" si="7"/>
        <v>0</v>
      </c>
      <c r="T41" s="54">
        <f t="shared" si="7"/>
        <v>0</v>
      </c>
      <c r="V41" s="59">
        <f t="shared" si="8"/>
        <v>0</v>
      </c>
      <c r="W41" s="54">
        <f t="shared" si="8"/>
        <v>0</v>
      </c>
      <c r="Y41" s="59">
        <f t="shared" si="9"/>
        <v>0</v>
      </c>
      <c r="Z41" s="54">
        <f t="shared" si="9"/>
        <v>0</v>
      </c>
      <c r="AB41" s="59">
        <f t="shared" si="10"/>
        <v>0</v>
      </c>
      <c r="AC41" s="54">
        <f t="shared" si="10"/>
        <v>0</v>
      </c>
      <c r="AE41" s="59">
        <f>IF(AE33=1,AE27,0)</f>
        <v>0</v>
      </c>
      <c r="AW41" s="57"/>
    </row>
    <row r="42" spans="1:49" s="54" customFormat="1" ht="12.75" hidden="1" customHeight="1" x14ac:dyDescent="0.2">
      <c r="A42" s="54" t="s">
        <v>89</v>
      </c>
      <c r="B42" s="54">
        <f>IF(B34=1,B28,0)</f>
        <v>0</v>
      </c>
      <c r="D42" s="59">
        <f t="shared" si="2"/>
        <v>0</v>
      </c>
      <c r="E42" s="54">
        <f t="shared" si="2"/>
        <v>0</v>
      </c>
      <c r="G42" s="59">
        <f t="shared" si="3"/>
        <v>0</v>
      </c>
      <c r="H42" s="54">
        <f t="shared" si="3"/>
        <v>0</v>
      </c>
      <c r="J42" s="59">
        <f t="shared" si="4"/>
        <v>0</v>
      </c>
      <c r="K42" s="54">
        <f t="shared" si="4"/>
        <v>0</v>
      </c>
      <c r="M42" s="59">
        <f t="shared" si="5"/>
        <v>0</v>
      </c>
      <c r="N42" s="54">
        <f t="shared" si="5"/>
        <v>0</v>
      </c>
      <c r="P42" s="59">
        <f t="shared" si="6"/>
        <v>0</v>
      </c>
      <c r="Q42" s="54">
        <f t="shared" si="6"/>
        <v>0</v>
      </c>
      <c r="S42" s="59">
        <f t="shared" si="7"/>
        <v>0</v>
      </c>
      <c r="T42" s="54">
        <f t="shared" si="7"/>
        <v>0</v>
      </c>
      <c r="V42" s="59">
        <f t="shared" si="8"/>
        <v>0</v>
      </c>
      <c r="W42" s="54">
        <f t="shared" si="8"/>
        <v>0</v>
      </c>
      <c r="Y42" s="59">
        <f t="shared" si="9"/>
        <v>0</v>
      </c>
      <c r="Z42" s="54">
        <f t="shared" si="9"/>
        <v>0</v>
      </c>
      <c r="AB42" s="59">
        <f t="shared" si="10"/>
        <v>0</v>
      </c>
      <c r="AC42" s="54">
        <f t="shared" si="10"/>
        <v>0</v>
      </c>
      <c r="AE42" s="59">
        <f>IF(AE34=1,AE28,0)</f>
        <v>0</v>
      </c>
      <c r="AW42" s="57"/>
    </row>
    <row r="43" spans="1:49" s="54" customFormat="1" ht="12.75" hidden="1" customHeight="1" x14ac:dyDescent="0.2">
      <c r="A43" s="54" t="s">
        <v>90</v>
      </c>
      <c r="B43" s="54">
        <f>IF(B35=1,B29,0)</f>
        <v>0</v>
      </c>
      <c r="D43" s="59">
        <f t="shared" si="2"/>
        <v>0</v>
      </c>
      <c r="E43" s="54">
        <f t="shared" si="2"/>
        <v>0</v>
      </c>
      <c r="G43" s="59">
        <f t="shared" si="3"/>
        <v>0</v>
      </c>
      <c r="H43" s="54">
        <f t="shared" si="3"/>
        <v>0</v>
      </c>
      <c r="J43" s="59">
        <f t="shared" si="4"/>
        <v>0</v>
      </c>
      <c r="K43" s="54">
        <f t="shared" si="4"/>
        <v>0</v>
      </c>
      <c r="M43" s="59">
        <f t="shared" si="5"/>
        <v>0</v>
      </c>
      <c r="N43" s="54">
        <f t="shared" si="5"/>
        <v>0</v>
      </c>
      <c r="P43" s="59">
        <f t="shared" si="6"/>
        <v>0</v>
      </c>
      <c r="Q43" s="54">
        <f t="shared" si="6"/>
        <v>0</v>
      </c>
      <c r="S43" s="59">
        <f t="shared" si="7"/>
        <v>0</v>
      </c>
      <c r="T43" s="54">
        <f t="shared" si="7"/>
        <v>0</v>
      </c>
      <c r="V43" s="59">
        <f t="shared" si="8"/>
        <v>0</v>
      </c>
      <c r="W43" s="54">
        <f t="shared" si="8"/>
        <v>0</v>
      </c>
      <c r="Y43" s="59">
        <f t="shared" si="9"/>
        <v>0</v>
      </c>
      <c r="Z43" s="54">
        <f t="shared" si="9"/>
        <v>0</v>
      </c>
      <c r="AB43" s="59">
        <f t="shared" si="10"/>
        <v>0</v>
      </c>
      <c r="AC43" s="54">
        <f t="shared" si="10"/>
        <v>0</v>
      </c>
      <c r="AE43" s="59">
        <f>IF(AE35=1,AE29,0)</f>
        <v>0</v>
      </c>
      <c r="AW43" s="57"/>
    </row>
    <row r="44" spans="1:49" s="54" customFormat="1" ht="38.25" hidden="1" customHeight="1" x14ac:dyDescent="0.2">
      <c r="A44" s="58" t="s">
        <v>91</v>
      </c>
      <c r="B44" s="54">
        <f>SUM(B39:D43)</f>
        <v>50</v>
      </c>
      <c r="D44" s="59"/>
      <c r="E44" s="54">
        <f>SUM(E39:G43)</f>
        <v>50</v>
      </c>
      <c r="G44" s="59"/>
      <c r="H44" s="54">
        <f>SUM(H39:J43)</f>
        <v>50</v>
      </c>
      <c r="J44" s="59"/>
      <c r="K44" s="54">
        <f>SUM(K39:M43)</f>
        <v>50</v>
      </c>
      <c r="M44" s="59"/>
      <c r="N44" s="54">
        <f>SUM(N39:P43)</f>
        <v>50</v>
      </c>
      <c r="P44" s="59"/>
      <c r="Q44" s="54">
        <f>SUM(Q39:S43)</f>
        <v>50</v>
      </c>
      <c r="S44" s="59"/>
      <c r="T44" s="54">
        <f>SUM(T39:V43)</f>
        <v>50</v>
      </c>
      <c r="V44" s="59"/>
      <c r="W44" s="54">
        <f>SUM(W39:Y43)</f>
        <v>50</v>
      </c>
      <c r="Y44" s="59"/>
      <c r="Z44" s="54">
        <f>SUM(Z39:AB43)</f>
        <v>50</v>
      </c>
      <c r="AB44" s="59"/>
      <c r="AC44" s="54">
        <f>SUM(AC39:AE43)</f>
        <v>50</v>
      </c>
      <c r="AE44" s="59"/>
      <c r="AW44" s="57"/>
    </row>
    <row r="45" spans="1:49" s="54" customFormat="1" ht="38.25" hidden="1" customHeight="1" x14ac:dyDescent="0.2">
      <c r="A45" s="54" t="s">
        <v>92</v>
      </c>
      <c r="D45" s="59"/>
      <c r="G45" s="59"/>
      <c r="J45" s="59"/>
      <c r="M45" s="59"/>
      <c r="P45" s="59"/>
      <c r="S45" s="59"/>
      <c r="V45" s="59"/>
      <c r="Y45" s="59"/>
      <c r="AB45" s="59"/>
      <c r="AE45" s="59"/>
      <c r="AF45" s="58" t="s">
        <v>93</v>
      </c>
      <c r="AG45" s="54" t="s">
        <v>94</v>
      </c>
      <c r="AW45" s="57"/>
    </row>
    <row r="46" spans="1:49" s="54" customFormat="1" ht="12.75" hidden="1" customHeight="1" x14ac:dyDescent="0.2">
      <c r="A46" s="54" t="s">
        <v>95</v>
      </c>
      <c r="B46" s="54">
        <f>IF(B24=1,IF(B37=1,1,0),0)</f>
        <v>0</v>
      </c>
      <c r="D46" s="59">
        <f>IF(D24=1,IF(D37=1,1,0),0)</f>
        <v>0</v>
      </c>
      <c r="E46" s="54">
        <f>IF(E24=1,IF(E37=1,1,0),0)</f>
        <v>1</v>
      </c>
      <c r="G46" s="59">
        <f>IF(G24=1,IF(G37=1,1,0),0)</f>
        <v>0</v>
      </c>
      <c r="H46" s="54">
        <f>IF(H24=1,IF(H37=1,1,0),0)</f>
        <v>0</v>
      </c>
      <c r="J46" s="59">
        <f>IF(J24=1,IF(J37=1,1,0),0)</f>
        <v>0</v>
      </c>
      <c r="K46" s="54">
        <f>IF(K24=1,IF(K37=1,1,0),0)</f>
        <v>0</v>
      </c>
      <c r="M46" s="59">
        <f>IF(M24=1,IF(M37=1,1,0),0)</f>
        <v>0</v>
      </c>
      <c r="N46" s="54">
        <f>IF(N24=1,IF(N37=1,1,0),0)</f>
        <v>1</v>
      </c>
      <c r="P46" s="59">
        <f>IF(P24=1,IF(P37=1,1,0),0)</f>
        <v>0</v>
      </c>
      <c r="Q46" s="54">
        <f>IF(Q24=1,IF(Q37=1,1,0),0)</f>
        <v>0</v>
      </c>
      <c r="S46" s="59">
        <f>IF(S24=1,IF(S37=1,1,0),0)</f>
        <v>0</v>
      </c>
      <c r="T46" s="54">
        <f>IF(T24=1,IF(T37=1,1,0),0)</f>
        <v>0</v>
      </c>
      <c r="V46" s="59">
        <f>IF(V24=1,IF(V37=1,1,0),0)</f>
        <v>0</v>
      </c>
      <c r="W46" s="54">
        <f>IF(W24=1,IF(W37=1,1,0),0)</f>
        <v>1</v>
      </c>
      <c r="Y46" s="59">
        <f>IF(Y24=1,IF(Y37=1,1,0),0)</f>
        <v>0</v>
      </c>
      <c r="Z46" s="54">
        <f>IF(Z24=1,IF(Z37=1,1,0),0)</f>
        <v>0</v>
      </c>
      <c r="AB46" s="59">
        <f>IF(AB24=1,IF(AB37=1,1,0),0)</f>
        <v>0</v>
      </c>
      <c r="AC46" s="54">
        <f>IF(AC24=1,IF(AC37=1,1,0),0)</f>
        <v>1</v>
      </c>
      <c r="AE46" s="59">
        <f>IF(AE24=1,IF(AE37=1,1,0),0)</f>
        <v>0</v>
      </c>
      <c r="AF46" s="54">
        <f>SUM(B46:AE46)</f>
        <v>4</v>
      </c>
      <c r="AG46" s="54">
        <f>AF52-AF46</f>
        <v>0</v>
      </c>
      <c r="AW46" s="57"/>
    </row>
    <row r="47" spans="1:49" s="54" customFormat="1" ht="12.75" hidden="1" customHeight="1" x14ac:dyDescent="0.2">
      <c r="A47" s="54" t="s">
        <v>96</v>
      </c>
      <c r="B47" s="54">
        <f>IF(B24=2,IF(B37=1,1,0),0)</f>
        <v>0</v>
      </c>
      <c r="D47" s="59">
        <f>IF(D24=2,IF(D37=1,1,0),0)</f>
        <v>0</v>
      </c>
      <c r="E47" s="54">
        <f>IF(E24=2,IF(E37=1,1,0),0)</f>
        <v>0</v>
      </c>
      <c r="G47" s="59">
        <f>IF(G24=2,IF(G37=1,1,0),0)</f>
        <v>0</v>
      </c>
      <c r="H47" s="54">
        <f>IF(H24=2,IF(H37=1,1,0),0)</f>
        <v>0</v>
      </c>
      <c r="J47" s="59">
        <f>IF(J24=2,IF(J37=1,1,0),0)</f>
        <v>0</v>
      </c>
      <c r="K47" s="54">
        <f>IF(K24=2,IF(K37=1,1,0),0)</f>
        <v>1</v>
      </c>
      <c r="M47" s="59">
        <f>IF(M24=2,IF(M37=1,1,0),0)</f>
        <v>0</v>
      </c>
      <c r="N47" s="54">
        <f>IF(N24=2,IF(N37=1,1,0),0)</f>
        <v>0</v>
      </c>
      <c r="P47" s="59">
        <f>IF(P24=2,IF(P37=1,1,0),0)</f>
        <v>0</v>
      </c>
      <c r="Q47" s="54">
        <f>IF(Q24=2,IF(Q37=1,1,0),0)</f>
        <v>0</v>
      </c>
      <c r="S47" s="59">
        <f>IF(S24=2,IF(S37=1,1,0),0)</f>
        <v>0</v>
      </c>
      <c r="T47" s="54">
        <f>IF(T24=2,IF(T37=1,1,0),0)</f>
        <v>1</v>
      </c>
      <c r="V47" s="59">
        <f>IF(V24=2,IF(V37=1,1,0),0)</f>
        <v>0</v>
      </c>
      <c r="W47" s="54">
        <f>IF(W24=2,IF(W37=1,1,0),0)</f>
        <v>0</v>
      </c>
      <c r="Y47" s="59">
        <f>IF(Y24=2,IF(Y37=1,1,0),0)</f>
        <v>0</v>
      </c>
      <c r="Z47" s="54">
        <f>IF(Z24=2,IF(Z37=1,1,0),0)</f>
        <v>0</v>
      </c>
      <c r="AB47" s="59">
        <f>IF(AB24=2,IF(AB37=1,1,0),0)</f>
        <v>0</v>
      </c>
      <c r="AC47" s="54">
        <f>IF(AC24=2,IF(AC37=1,1,0),0)</f>
        <v>0</v>
      </c>
      <c r="AE47" s="59">
        <f>IF(AE24=2,IF(AE37=1,1,0),0)</f>
        <v>0</v>
      </c>
      <c r="AF47" s="54">
        <f>SUM(B47:AE47)</f>
        <v>2</v>
      </c>
      <c r="AG47" s="54">
        <f>AF53-AF47</f>
        <v>1</v>
      </c>
      <c r="AW47" s="57"/>
    </row>
    <row r="48" spans="1:49" s="54" customFormat="1" ht="12.75" hidden="1" customHeight="1" x14ac:dyDescent="0.2">
      <c r="A48" s="54" t="s">
        <v>97</v>
      </c>
      <c r="B48" s="54">
        <f>IF(B24=3,IF(B37=1,1,0),0)</f>
        <v>0</v>
      </c>
      <c r="D48" s="59">
        <f>IF(D24=3,IF(D37=1,1,0),0)</f>
        <v>0</v>
      </c>
      <c r="E48" s="54">
        <f>IF(E24=3,IF(E37=1,1,0),0)</f>
        <v>0</v>
      </c>
      <c r="G48" s="59">
        <f>IF(G24=3,IF(G37=1,1,0),0)</f>
        <v>0</v>
      </c>
      <c r="H48" s="54">
        <f>IF(H24=3,IF(H37=1,1,0),0)</f>
        <v>0</v>
      </c>
      <c r="J48" s="59">
        <f>IF(J24=3,IF(J37=1,1,0),0)</f>
        <v>0</v>
      </c>
      <c r="K48" s="54">
        <f>IF(K24=3,IF(K37=1,1,0),0)</f>
        <v>0</v>
      </c>
      <c r="M48" s="59">
        <f>IF(M24=3,IF(M37=1,1,0),0)</f>
        <v>0</v>
      </c>
      <c r="N48" s="54">
        <f>IF(N24=3,IF(N37=1,1,0),0)</f>
        <v>0</v>
      </c>
      <c r="P48" s="59">
        <f>IF(P24=3,IF(P37=1,1,0),0)</f>
        <v>0</v>
      </c>
      <c r="Q48" s="54">
        <f>IF(Q24=3,IF(Q37=1,1,0),0)</f>
        <v>0</v>
      </c>
      <c r="S48" s="59">
        <f>IF(S24=3,IF(S37=1,1,0),0)</f>
        <v>0</v>
      </c>
      <c r="T48" s="54">
        <f>IF(T24=3,IF(T37=1,1,0),0)</f>
        <v>0</v>
      </c>
      <c r="V48" s="59">
        <f>IF(V24=3,IF(V37=1,1,0),0)</f>
        <v>0</v>
      </c>
      <c r="W48" s="54">
        <f>IF(W24=3,IF(W37=1,1,0),0)</f>
        <v>0</v>
      </c>
      <c r="Y48" s="59">
        <f>IF(Y24=3,IF(Y37=1,1,0),0)</f>
        <v>0</v>
      </c>
      <c r="Z48" s="54">
        <f>IF(Z24=3,IF(Z37=1,1,0),0)</f>
        <v>0</v>
      </c>
      <c r="AB48" s="59">
        <f>IF(AB24=3,IF(AB37=1,1,0),0)</f>
        <v>0</v>
      </c>
      <c r="AC48" s="54">
        <f>IF(AC24=3,IF(AC37=1,1,0),0)</f>
        <v>0</v>
      </c>
      <c r="AE48" s="59">
        <f>IF(AE24=3,IF(AE37=1,1,0),0)</f>
        <v>0</v>
      </c>
      <c r="AF48" s="54">
        <f>SUM(B48:AE48)</f>
        <v>0</v>
      </c>
      <c r="AG48" s="54">
        <f>AF54-AF48</f>
        <v>4</v>
      </c>
      <c r="AW48" s="57"/>
    </row>
    <row r="49" spans="1:49" s="54" customFormat="1" ht="12.75" hidden="1" customHeight="1" x14ac:dyDescent="0.2">
      <c r="A49" s="54" t="s">
        <v>98</v>
      </c>
      <c r="B49" s="54">
        <f>IF(B24=4,IF(B37=1,1,0),0)</f>
        <v>0</v>
      </c>
      <c r="D49" s="59">
        <f>IF(D24=4,IF(D37=1,1,0),0)</f>
        <v>0</v>
      </c>
      <c r="E49" s="54">
        <f>IF(E24=4,IF(E37=1,1,0),0)</f>
        <v>0</v>
      </c>
      <c r="G49" s="59">
        <f>IF(G24=4,IF(G37=1,1,0),0)</f>
        <v>0</v>
      </c>
      <c r="H49" s="54">
        <f>IF(H24=4,IF(H37=1,1,0),0)</f>
        <v>0</v>
      </c>
      <c r="J49" s="59">
        <f>IF(J24=4,IF(J37=1,1,0),0)</f>
        <v>0</v>
      </c>
      <c r="K49" s="54">
        <f>IF(K24=4,IF(K37=1,1,0),0)</f>
        <v>0</v>
      </c>
      <c r="M49" s="59">
        <f>IF(M24=4,IF(M37=1,1,0),0)</f>
        <v>0</v>
      </c>
      <c r="N49" s="54">
        <f>IF(N24=4,IF(N37=1,1,0),0)</f>
        <v>0</v>
      </c>
      <c r="P49" s="59">
        <f>IF(P24=4,IF(P37=1,1,0),0)</f>
        <v>0</v>
      </c>
      <c r="Q49" s="54">
        <f>IF(Q24=4,IF(Q37=1,1,0),0)</f>
        <v>0</v>
      </c>
      <c r="S49" s="59">
        <f>IF(S24=4,IF(S37=1,1,0),0)</f>
        <v>0</v>
      </c>
      <c r="T49" s="54">
        <f>IF(T24=4,IF(T37=1,1,0),0)</f>
        <v>0</v>
      </c>
      <c r="V49" s="59">
        <f>IF(V24=4,IF(V37=1,1,0),0)</f>
        <v>0</v>
      </c>
      <c r="W49" s="54">
        <f>IF(W24=4,IF(W37=1,1,0),0)</f>
        <v>0</v>
      </c>
      <c r="Y49" s="59">
        <f>IF(Y24=4,IF(Y37=1,1,0),0)</f>
        <v>0</v>
      </c>
      <c r="Z49" s="54">
        <f>IF(Z24=4,IF(Z37=1,1,0),0)</f>
        <v>0</v>
      </c>
      <c r="AB49" s="59">
        <f>IF(AB24=4,IF(AB37=1,1,0),0)</f>
        <v>1</v>
      </c>
      <c r="AC49" s="54">
        <f>IF(AC24=4,IF(AC37=1,1,0),0)</f>
        <v>0</v>
      </c>
      <c r="AE49" s="59">
        <f>IF(AE24=4,IF(AE37=1,1,0),0)</f>
        <v>0</v>
      </c>
      <c r="AF49" s="54">
        <f>SUM(B49:AE49)</f>
        <v>1</v>
      </c>
      <c r="AG49" s="54">
        <f>AF55-AF49</f>
        <v>3</v>
      </c>
      <c r="AW49" s="57"/>
    </row>
    <row r="50" spans="1:49" s="54" customFormat="1" ht="12.75" hidden="1" customHeight="1" x14ac:dyDescent="0.2">
      <c r="A50" s="54" t="s">
        <v>99</v>
      </c>
      <c r="B50" s="54">
        <f>IF(B24=5,IF(B37=1,1,0),0)</f>
        <v>0</v>
      </c>
      <c r="D50" s="59">
        <f>IF(D24=5,IF(D37=1,1,0),0)</f>
        <v>0</v>
      </c>
      <c r="E50" s="54">
        <f>IF(E24=5,IF(E37=1,1,0),0)</f>
        <v>0</v>
      </c>
      <c r="G50" s="59">
        <f>IF(G24=5,IF(G37=1,1,0),0)</f>
        <v>0</v>
      </c>
      <c r="H50" s="54">
        <f>IF(H24=5,IF(H37=1,1,0),0)</f>
        <v>0</v>
      </c>
      <c r="J50" s="59">
        <f>IF(J24=5,IF(J37=1,1,0),0)</f>
        <v>1</v>
      </c>
      <c r="K50" s="54">
        <f>IF(K24=5,IF(K37=1,1,0),0)</f>
        <v>0</v>
      </c>
      <c r="M50" s="59">
        <f>IF(M24=5,IF(M37=1,1,0),0)</f>
        <v>0</v>
      </c>
      <c r="N50" s="54">
        <f>IF(N24=5,IF(N37=1,1,0),0)</f>
        <v>0</v>
      </c>
      <c r="P50" s="59">
        <f>IF(P24=5,IF(P37=1,1,0),0)</f>
        <v>0</v>
      </c>
      <c r="Q50" s="54">
        <f>IF(Q24=5,IF(Q37=1,1,0),0)</f>
        <v>0</v>
      </c>
      <c r="S50" s="59">
        <f>IF(S24=5,IF(S37=1,1,0),0)</f>
        <v>1</v>
      </c>
      <c r="T50" s="54">
        <f>IF(T24=5,IF(T37=1,1,0),0)</f>
        <v>0</v>
      </c>
      <c r="V50" s="59">
        <f>IF(V24=5,IF(V37=1,1,0),0)</f>
        <v>0</v>
      </c>
      <c r="W50" s="54">
        <f>IF(W24=5,IF(W37=1,1,0),0)</f>
        <v>0</v>
      </c>
      <c r="Y50" s="59">
        <f>IF(Y24=5,IF(Y37=1,1,0),0)</f>
        <v>0</v>
      </c>
      <c r="Z50" s="54">
        <f>IF(Z24=5,IF(Z37=1,1,0),0)</f>
        <v>0</v>
      </c>
      <c r="AB50" s="59">
        <f>IF(AB24=5,IF(AB37=1,1,0),0)</f>
        <v>0</v>
      </c>
      <c r="AC50" s="54">
        <f>IF(AC24=5,IF(AC37=1,1,0),0)</f>
        <v>0</v>
      </c>
      <c r="AE50" s="59">
        <f>IF(AE24=5,IF(AE37=1,1,0),0)</f>
        <v>0</v>
      </c>
      <c r="AF50" s="54">
        <f>SUM(B50:AE50)</f>
        <v>2</v>
      </c>
      <c r="AG50" s="54">
        <f>AF56-AF50</f>
        <v>1</v>
      </c>
      <c r="AW50" s="57"/>
    </row>
    <row r="51" spans="1:49" s="54" customFormat="1" ht="38.25" hidden="1" customHeight="1" x14ac:dyDescent="0.2">
      <c r="A51" s="58"/>
      <c r="D51" s="59"/>
      <c r="G51" s="59"/>
      <c r="J51" s="59"/>
      <c r="M51" s="59"/>
      <c r="P51" s="59"/>
      <c r="S51" s="59"/>
      <c r="V51" s="59"/>
      <c r="Y51" s="59"/>
      <c r="AB51" s="59"/>
      <c r="AE51" s="59"/>
      <c r="AF51" s="58" t="s">
        <v>100</v>
      </c>
      <c r="AW51" s="57"/>
    </row>
    <row r="52" spans="1:49" s="54" customFormat="1" ht="12.75" hidden="1" customHeight="1" x14ac:dyDescent="0.2">
      <c r="A52" s="54" t="s">
        <v>101</v>
      </c>
      <c r="B52" s="54">
        <f>IF(B24=1,IF(C37=1,1,0),0)</f>
        <v>0</v>
      </c>
      <c r="D52" s="59">
        <f>IF(D24=1,IF(C37=1,1,0),0)</f>
        <v>0</v>
      </c>
      <c r="E52" s="54">
        <f>IF(E24=1,IF(F37=1,1,0),0)</f>
        <v>1</v>
      </c>
      <c r="G52" s="59">
        <f>IF(G24=1,IF(F37=1,1,0),0)</f>
        <v>0</v>
      </c>
      <c r="H52" s="54">
        <f>IF(H24=1,IF(I37=1,1,0),0)</f>
        <v>0</v>
      </c>
      <c r="J52" s="59">
        <f>IF(J24=1,IF(I37=1,1,0),0)</f>
        <v>0</v>
      </c>
      <c r="K52" s="54">
        <f>IF(K24=1,IF(L37=1,1,0),0)</f>
        <v>0</v>
      </c>
      <c r="M52" s="59">
        <f>IF(M24=1,IF(L37=1,1,0),0)</f>
        <v>0</v>
      </c>
      <c r="N52" s="54">
        <f>IF(N24=1,IF(O37=1,1,0),0)</f>
        <v>1</v>
      </c>
      <c r="P52" s="59">
        <f>IF(P24=1,IF(O37=1,1,0),0)</f>
        <v>0</v>
      </c>
      <c r="Q52" s="54">
        <f>IF(Q24=1,IF(R37=1,1,0),0)</f>
        <v>0</v>
      </c>
      <c r="S52" s="59">
        <f>IF(S24=1,IF(R37=1,1,0),0)</f>
        <v>0</v>
      </c>
      <c r="T52" s="54">
        <f>IF(T24=1,IF(U37=1,1,0),0)</f>
        <v>0</v>
      </c>
      <c r="V52" s="59">
        <f>IF(V24=1,IF(U37=1,1,0),0)</f>
        <v>0</v>
      </c>
      <c r="W52" s="54">
        <f>IF(W24=1,IF(X37=1,1,0),0)</f>
        <v>1</v>
      </c>
      <c r="Y52" s="59">
        <f>IF(Y24=1,IF(X37=1,1,0),0)</f>
        <v>0</v>
      </c>
      <c r="Z52" s="54">
        <f>IF(Z24=1,IF(AA37=1,1,0),0)</f>
        <v>0</v>
      </c>
      <c r="AB52" s="59">
        <f>IF(AB24=1,IF(AA37=1,1,0),0)</f>
        <v>0</v>
      </c>
      <c r="AC52" s="54">
        <f>IF(AC24=1,IF(AD37=1,1,0),0)</f>
        <v>1</v>
      </c>
      <c r="AE52" s="59">
        <f>IF(AE24=1,IF(AD37=1,1,0),0)</f>
        <v>0</v>
      </c>
      <c r="AF52" s="54">
        <f>SUM(B52:AE52)</f>
        <v>4</v>
      </c>
      <c r="AW52" s="57"/>
    </row>
    <row r="53" spans="1:49" s="54" customFormat="1" ht="12.75" hidden="1" customHeight="1" x14ac:dyDescent="0.2">
      <c r="A53" s="54" t="s">
        <v>102</v>
      </c>
      <c r="B53" s="54">
        <f>IF(B24=2,IF(C37=1,1,0),0)</f>
        <v>0</v>
      </c>
      <c r="D53" s="59">
        <f>IF(D24=2,IF(C37=1,1,0),0)</f>
        <v>0</v>
      </c>
      <c r="E53" s="54">
        <f>IF(E24=2,IF(F37=1,1,0),0)</f>
        <v>0</v>
      </c>
      <c r="G53" s="59">
        <f>IF(G24=2,IF(F37=1,1,0),0)</f>
        <v>0</v>
      </c>
      <c r="H53" s="54">
        <f>IF(H24=2,IF(I37=1,1,0),0)</f>
        <v>0</v>
      </c>
      <c r="J53" s="59">
        <f>IF(J24=2,IF(I37=1,1,0),0)</f>
        <v>0</v>
      </c>
      <c r="K53" s="54">
        <f>IF(K24=2,IF(L37=1,1,0),0)</f>
        <v>1</v>
      </c>
      <c r="M53" s="59">
        <f>IF(M24=2,IF(L37=1,1,0),0)</f>
        <v>0</v>
      </c>
      <c r="N53" s="54">
        <f>IF(N24=2,IF(O37=1,1,0),0)</f>
        <v>0</v>
      </c>
      <c r="P53" s="59">
        <f>IF(P24=2,IF(O37=1,1,0),0)</f>
        <v>0</v>
      </c>
      <c r="Q53" s="54">
        <f>IF(Q24=2,IF(R37=1,1,0),0)</f>
        <v>0</v>
      </c>
      <c r="S53" s="59">
        <f>IF(S24=2,IF(R37=1,1,0),0)</f>
        <v>0</v>
      </c>
      <c r="T53" s="54">
        <f>IF(T24=2,IF(U37=1,1,0),0)</f>
        <v>1</v>
      </c>
      <c r="V53" s="59">
        <f>IF(V24=2,IF(U37=1,1,0),0)</f>
        <v>0</v>
      </c>
      <c r="W53" s="54">
        <f>IF(W24=2,IF(X37=1,1,0),0)</f>
        <v>0</v>
      </c>
      <c r="Y53" s="59">
        <f>IF(Y24=2,IF(X37=1,1,0),0)</f>
        <v>0</v>
      </c>
      <c r="Z53" s="54">
        <f>IF(Z24=2,IF(AA37=1,1,0),0)</f>
        <v>0</v>
      </c>
      <c r="AB53" s="59">
        <f>IF(AB24=2,IF(AA37=1,1,0),0)</f>
        <v>0</v>
      </c>
      <c r="AC53" s="54">
        <f>IF(AC24=2,IF(AD37=1,1,0),0)</f>
        <v>0</v>
      </c>
      <c r="AE53" s="59">
        <f>IF(AE24=2,IF(AD37=1,1,0),0)</f>
        <v>1</v>
      </c>
      <c r="AF53" s="54">
        <f>SUM(B53:AE53)</f>
        <v>3</v>
      </c>
      <c r="AW53" s="57"/>
    </row>
    <row r="54" spans="1:49" s="54" customFormat="1" ht="12.75" hidden="1" customHeight="1" x14ac:dyDescent="0.2">
      <c r="A54" s="54" t="s">
        <v>103</v>
      </c>
      <c r="B54" s="54">
        <f>IF(B24=3,IF(C37=1,1,0),0)</f>
        <v>0</v>
      </c>
      <c r="D54" s="59">
        <f>IF(D24=3,IF(C37=1,1,0),0)</f>
        <v>0</v>
      </c>
      <c r="E54" s="54">
        <f>IF(E24=3,IF(F37=1,1,0),0)</f>
        <v>0</v>
      </c>
      <c r="G54" s="59">
        <f>IF(G24=3,IF(F37=1,1,0),0)</f>
        <v>0</v>
      </c>
      <c r="H54" s="54">
        <f>IF(H24=3,IF(I37=1,1,0),0)</f>
        <v>1</v>
      </c>
      <c r="J54" s="59">
        <f>IF(J24=3,IF(I37=1,1,0),0)</f>
        <v>0</v>
      </c>
      <c r="K54" s="54">
        <f>IF(K24=3,IF(L37=1,1,0),0)</f>
        <v>0</v>
      </c>
      <c r="M54" s="59">
        <f>IF(M24=3,IF(L37=1,1,0),0)</f>
        <v>0</v>
      </c>
      <c r="N54" s="54">
        <f>IF(N24=3,IF(O37=1,1,0),0)</f>
        <v>0</v>
      </c>
      <c r="P54" s="59">
        <f>IF(P24=3,IF(O37=1,1,0),0)</f>
        <v>1</v>
      </c>
      <c r="Q54" s="54">
        <f>IF(Q24=3,IF(R37=1,1,0),0)</f>
        <v>0</v>
      </c>
      <c r="S54" s="59">
        <f>IF(S24=3,IF(R37=1,1,0),0)</f>
        <v>0</v>
      </c>
      <c r="T54" s="54">
        <f>IF(T24=3,IF(U37=1,1,0),0)</f>
        <v>0</v>
      </c>
      <c r="V54" s="59">
        <f>IF(V24=3,IF(U37=1,1,0),0)</f>
        <v>1</v>
      </c>
      <c r="W54" s="54">
        <f>IF(W24=3,IF(X37=1,1,0),0)</f>
        <v>0</v>
      </c>
      <c r="Y54" s="59">
        <f>IF(Y24=3,IF(X37=1,1,0),0)</f>
        <v>0</v>
      </c>
      <c r="Z54" s="54">
        <f>IF(Z24=3,IF(AA37=1,1,0),0)</f>
        <v>1</v>
      </c>
      <c r="AB54" s="59">
        <f>IF(AB24=3,IF(AA37=1,1,0),0)</f>
        <v>0</v>
      </c>
      <c r="AC54" s="54">
        <f>IF(AC24=3,IF(AD37=1,1,0),0)</f>
        <v>0</v>
      </c>
      <c r="AE54" s="59">
        <f>IF(AE24=3,IF(AD37=1,1,0),0)</f>
        <v>0</v>
      </c>
      <c r="AF54" s="54">
        <f>SUM(B54:AE54)</f>
        <v>4</v>
      </c>
      <c r="AW54" s="57"/>
    </row>
    <row r="55" spans="1:49" s="54" customFormat="1" ht="12.75" hidden="1" customHeight="1" x14ac:dyDescent="0.2">
      <c r="A55" s="54" t="s">
        <v>104</v>
      </c>
      <c r="B55" s="54">
        <f>IF(B24=4,IF(C37=1,1,0),0)</f>
        <v>0</v>
      </c>
      <c r="D55" s="59">
        <f>IF(D24=4,IF(C37=1,1,0),0)</f>
        <v>0</v>
      </c>
      <c r="E55" s="54">
        <f>IF(E24=4,IF(F37=1,1,0),0)</f>
        <v>0</v>
      </c>
      <c r="G55" s="59">
        <f>IF(G24=4,IF(F37=1,1,0),0)</f>
        <v>1</v>
      </c>
      <c r="H55" s="54">
        <f>IF(H24=4,IF(I37=1,1,0),0)</f>
        <v>0</v>
      </c>
      <c r="J55" s="59">
        <f>IF(J24=4,IF(I37=1,1,0),0)</f>
        <v>0</v>
      </c>
      <c r="K55" s="54">
        <f>IF(K24=4,IF(L37=1,1,0),0)</f>
        <v>0</v>
      </c>
      <c r="M55" s="59">
        <f>IF(M24=4,IF(L37=1,1,0),0)</f>
        <v>1</v>
      </c>
      <c r="N55" s="54">
        <f>IF(N24=4,IF(O37=1,1,0),0)</f>
        <v>0</v>
      </c>
      <c r="P55" s="59">
        <f>IF(P24=4,IF(O37=1,1,0),0)</f>
        <v>0</v>
      </c>
      <c r="Q55" s="54">
        <f>IF(Q24=4,IF(R37=1,1,0),0)</f>
        <v>1</v>
      </c>
      <c r="S55" s="59">
        <f>IF(S24=4,IF(R37=1,1,0),0)</f>
        <v>0</v>
      </c>
      <c r="T55" s="54">
        <f>IF(T24=4,IF(U37=1,1,0),0)</f>
        <v>0</v>
      </c>
      <c r="V55" s="59">
        <f>IF(V24=4,IF(U37=1,1,0),0)</f>
        <v>0</v>
      </c>
      <c r="W55" s="54">
        <f>IF(W24=4,IF(X37=1,1,0),0)</f>
        <v>0</v>
      </c>
      <c r="Y55" s="59">
        <f>IF(Y24=4,IF(X37=1,1,0),0)</f>
        <v>0</v>
      </c>
      <c r="Z55" s="54">
        <f>IF(Z24=4,IF(AA37=1,1,0),0)</f>
        <v>0</v>
      </c>
      <c r="AB55" s="59">
        <f>IF(AB24=4,IF(AA37=1,1,0),0)</f>
        <v>1</v>
      </c>
      <c r="AC55" s="54">
        <f>IF(AC24=4,IF(AD37=1,1,0),0)</f>
        <v>0</v>
      </c>
      <c r="AE55" s="59">
        <f>IF(AE24=4,IF(AD37=1,1,0),0)</f>
        <v>0</v>
      </c>
      <c r="AF55" s="54">
        <f>SUM(B55:AE55)</f>
        <v>4</v>
      </c>
      <c r="AW55" s="57"/>
    </row>
    <row r="56" spans="1:49" s="54" customFormat="1" ht="12.75" hidden="1" customHeight="1" x14ac:dyDescent="0.2">
      <c r="A56" s="54" t="s">
        <v>105</v>
      </c>
      <c r="B56" s="54">
        <f>IF(B24=5,IF(C37=1,1,0),0)</f>
        <v>0</v>
      </c>
      <c r="D56" s="59">
        <f>IF(D24=5,IF(C37=1,1,0),0)</f>
        <v>0</v>
      </c>
      <c r="E56" s="54">
        <f>IF(E24=5,IF(F37=1,1,0),0)</f>
        <v>0</v>
      </c>
      <c r="G56" s="59">
        <f>IF(G24=5,IF(F37=1,1,0),0)</f>
        <v>0</v>
      </c>
      <c r="H56" s="54">
        <f>IF(H24=5,IF(I37=1,1,0),0)</f>
        <v>0</v>
      </c>
      <c r="J56" s="59">
        <f>IF(J24=5,IF(I37=1,1,0),0)</f>
        <v>1</v>
      </c>
      <c r="K56" s="54">
        <f>IF(K24=5,IF(L37=1,1,0),0)</f>
        <v>0</v>
      </c>
      <c r="M56" s="59">
        <f>IF(M24=5,IF(L37=1,1,0),0)</f>
        <v>0</v>
      </c>
      <c r="N56" s="54">
        <f>IF(N24=5,IF(O37=1,1,0),0)</f>
        <v>0</v>
      </c>
      <c r="P56" s="59">
        <f>IF(P24=5,IF(O37=1,1,0),0)</f>
        <v>0</v>
      </c>
      <c r="Q56" s="54">
        <f>IF(Q24=5,IF(R37=1,1,0),0)</f>
        <v>0</v>
      </c>
      <c r="S56" s="59">
        <f>IF(S24=5,IF(R37=1,1,0),0)</f>
        <v>1</v>
      </c>
      <c r="T56" s="54">
        <f>IF(T24=5,IF(U37=1,1,0),0)</f>
        <v>0</v>
      </c>
      <c r="V56" s="59">
        <f>IF(V24=5,IF(U37=1,1,0),0)</f>
        <v>0</v>
      </c>
      <c r="W56" s="54">
        <f>IF(W24=5,IF(X37=1,1,0),0)</f>
        <v>0</v>
      </c>
      <c r="Y56" s="59">
        <f>IF(Y24=5,IF(X37=1,1,0),0)</f>
        <v>1</v>
      </c>
      <c r="Z56" s="54">
        <f>IF(Z24=5,IF(AA37=1,1,0),0)</f>
        <v>0</v>
      </c>
      <c r="AB56" s="59">
        <f>IF(AB24=5,IF(AA37=1,1,0),0)</f>
        <v>0</v>
      </c>
      <c r="AC56" s="54">
        <f>IF(AC24=5,IF(AD37=1,1,0),0)</f>
        <v>0</v>
      </c>
      <c r="AE56" s="59">
        <f>IF(AE24=5,IF(AD37=1,1,0),0)</f>
        <v>0</v>
      </c>
      <c r="AF56" s="54">
        <f>SUM(B56:AE56)</f>
        <v>3</v>
      </c>
      <c r="AW56" s="57"/>
    </row>
    <row r="57" spans="1:49" s="54" customFormat="1" ht="38.25" hidden="1" customHeight="1" x14ac:dyDescent="0.2">
      <c r="A57" s="58"/>
      <c r="D57" s="59"/>
      <c r="G57" s="59"/>
      <c r="J57" s="59"/>
      <c r="M57" s="59"/>
      <c r="P57" s="59"/>
      <c r="S57" s="59"/>
      <c r="V57" s="59"/>
      <c r="Y57" s="59"/>
      <c r="AB57" s="59"/>
      <c r="AE57" s="59"/>
      <c r="AF57" s="58" t="s">
        <v>106</v>
      </c>
      <c r="AG57" s="702"/>
      <c r="AH57" s="702"/>
      <c r="AI57" s="702"/>
      <c r="AJ57" s="702"/>
      <c r="AK57" s="702"/>
      <c r="AW57" s="57"/>
    </row>
    <row r="58" spans="1:49" s="54" customFormat="1" ht="12.75" hidden="1" customHeight="1" x14ac:dyDescent="0.2">
      <c r="A58" s="54" t="s">
        <v>101</v>
      </c>
      <c r="B58" s="54">
        <f>IF(B24=1,B44,0)</f>
        <v>0</v>
      </c>
      <c r="D58" s="59">
        <f>IF(D24=1,B44,0)</f>
        <v>0</v>
      </c>
      <c r="E58" s="54">
        <f>IF(E24=1,E44,0)</f>
        <v>50</v>
      </c>
      <c r="G58" s="59">
        <f>IF(G24=1,E44,0)</f>
        <v>0</v>
      </c>
      <c r="H58" s="54">
        <f>IF(H24=1,H44,0)</f>
        <v>0</v>
      </c>
      <c r="J58" s="59">
        <f>IF(J24=1,H44,0)</f>
        <v>0</v>
      </c>
      <c r="K58" s="54">
        <f>IF(K24=1,K44,0)</f>
        <v>0</v>
      </c>
      <c r="M58" s="59">
        <f>IF(M24=1,K44,0)</f>
        <v>0</v>
      </c>
      <c r="N58" s="54">
        <f>IF(N24=1,N44,0)</f>
        <v>50</v>
      </c>
      <c r="P58" s="59">
        <f>IF(P24=1,N44,0)</f>
        <v>0</v>
      </c>
      <c r="Q58" s="54">
        <f>IF(Q24=1,Q44,0)</f>
        <v>0</v>
      </c>
      <c r="S58" s="59">
        <f>IF(S24=1,Q44,0)</f>
        <v>0</v>
      </c>
      <c r="T58" s="54">
        <f>IF(T24=1,T44,0)</f>
        <v>0</v>
      </c>
      <c r="V58" s="59">
        <f>IF(V24=1,T44,0)</f>
        <v>0</v>
      </c>
      <c r="W58" s="54">
        <f>IF(W24=1,W44,0)</f>
        <v>50</v>
      </c>
      <c r="Y58" s="59">
        <f>IF(Y24=1,W44,0)</f>
        <v>0</v>
      </c>
      <c r="Z58" s="54">
        <f>IF(Z24=1,Z44,0)</f>
        <v>0</v>
      </c>
      <c r="AB58" s="59">
        <f>IF(AB24=1,Z44,0)</f>
        <v>0</v>
      </c>
      <c r="AC58" s="54">
        <f>IF(AC24=1,AC44,0)</f>
        <v>50</v>
      </c>
      <c r="AE58" s="59">
        <f>IF(AE24=1,AC44,0)</f>
        <v>0</v>
      </c>
      <c r="AF58" s="54">
        <f>SUM(B58:AE58)</f>
        <v>200</v>
      </c>
      <c r="AW58" s="57"/>
    </row>
    <row r="59" spans="1:49" s="54" customFormat="1" ht="12.75" hidden="1" customHeight="1" x14ac:dyDescent="0.2">
      <c r="A59" s="54" t="s">
        <v>102</v>
      </c>
      <c r="B59" s="54">
        <f>IF(B24=2,B44,0)</f>
        <v>50</v>
      </c>
      <c r="D59" s="59">
        <f>IF(D24=2,B44,0)</f>
        <v>0</v>
      </c>
      <c r="E59" s="54">
        <f>IF(E24=2,E44,0)</f>
        <v>0</v>
      </c>
      <c r="G59" s="59">
        <f>IF(G24=2,E44,0)</f>
        <v>0</v>
      </c>
      <c r="H59" s="54">
        <f>IF(H24=2,H44,0)</f>
        <v>0</v>
      </c>
      <c r="J59" s="59">
        <f>IF(J24=2,H44,0)</f>
        <v>0</v>
      </c>
      <c r="K59" s="54">
        <f>IF(K24=2,K44,0)</f>
        <v>50</v>
      </c>
      <c r="M59" s="59">
        <f>IF(M24=2,K44,0)</f>
        <v>0</v>
      </c>
      <c r="N59" s="54">
        <f>IF(N24=2,N44,0)</f>
        <v>0</v>
      </c>
      <c r="P59" s="59">
        <f>IF(P24=2,N44,0)</f>
        <v>0</v>
      </c>
      <c r="Q59" s="54">
        <f>IF(Q24=2,Q44,0)</f>
        <v>0</v>
      </c>
      <c r="S59" s="59">
        <f>IF(S24=2,Q44,0)</f>
        <v>0</v>
      </c>
      <c r="T59" s="54">
        <f>IF(T24=2,T44,0)</f>
        <v>50</v>
      </c>
      <c r="V59" s="59">
        <f>IF(V24=2,T44,0)</f>
        <v>0</v>
      </c>
      <c r="W59" s="54">
        <f>IF(W24=2,W44,0)</f>
        <v>0</v>
      </c>
      <c r="Y59" s="59">
        <f>IF(Y24=2,W44,0)</f>
        <v>0</v>
      </c>
      <c r="Z59" s="54">
        <f>IF(Z24=2,Z44,0)</f>
        <v>0</v>
      </c>
      <c r="AB59" s="59">
        <f>IF(AB24=2,Z44,0)</f>
        <v>0</v>
      </c>
      <c r="AC59" s="54">
        <f>IF(AC24=2,AC44,0)</f>
        <v>0</v>
      </c>
      <c r="AE59" s="59">
        <f>IF(AE24=2,AC44,0)</f>
        <v>50</v>
      </c>
      <c r="AF59" s="54">
        <f>SUM(B59:AE59)</f>
        <v>200</v>
      </c>
      <c r="AW59" s="57"/>
    </row>
    <row r="60" spans="1:49" s="54" customFormat="1" ht="12.75" hidden="1" customHeight="1" x14ac:dyDescent="0.2">
      <c r="A60" s="54" t="s">
        <v>103</v>
      </c>
      <c r="B60" s="54">
        <f>IF(B24=3,B44,0)</f>
        <v>0</v>
      </c>
      <c r="D60" s="59">
        <f>IF(D24=3,B44,0)</f>
        <v>0</v>
      </c>
      <c r="E60" s="54">
        <f>IF(E24=3,E44,0)</f>
        <v>0</v>
      </c>
      <c r="G60" s="59">
        <f>IF(G24=3,E44,0)</f>
        <v>0</v>
      </c>
      <c r="H60" s="54">
        <f>IF(H24=3,H44,0)</f>
        <v>50</v>
      </c>
      <c r="J60" s="59">
        <f>IF(J24=3,H44,0)</f>
        <v>0</v>
      </c>
      <c r="K60" s="54">
        <f>IF(K24=3,K44,0)</f>
        <v>0</v>
      </c>
      <c r="M60" s="59">
        <f>IF(M24=3,K44,0)</f>
        <v>0</v>
      </c>
      <c r="N60" s="54">
        <f>IF(N24=3,N44,0)</f>
        <v>0</v>
      </c>
      <c r="P60" s="59">
        <f>IF(P24=3,N44,0)</f>
        <v>50</v>
      </c>
      <c r="Q60" s="54">
        <f>IF(Q24=3,Q44,0)</f>
        <v>0</v>
      </c>
      <c r="S60" s="59">
        <f>IF(S24=3,Q44,0)</f>
        <v>0</v>
      </c>
      <c r="T60" s="54">
        <f>IF(T24=3,T44,0)</f>
        <v>0</v>
      </c>
      <c r="V60" s="59">
        <f>IF(V24=3,T44,0)</f>
        <v>50</v>
      </c>
      <c r="W60" s="54">
        <f>IF(W24=3,W44,0)</f>
        <v>0</v>
      </c>
      <c r="Y60" s="59">
        <f>IF(Y24=3,W44,0)</f>
        <v>0</v>
      </c>
      <c r="Z60" s="54">
        <f>IF(Z24=3,Z44,0)</f>
        <v>50</v>
      </c>
      <c r="AB60" s="59">
        <f>IF(AB24=3,Z44,0)</f>
        <v>0</v>
      </c>
      <c r="AC60" s="54">
        <f>IF(AC24=3,AC44,0)</f>
        <v>0</v>
      </c>
      <c r="AE60" s="59">
        <f>IF(AE24=3,AC44,0)</f>
        <v>0</v>
      </c>
      <c r="AF60" s="54">
        <f>SUM(B60:AE60)</f>
        <v>200</v>
      </c>
      <c r="AW60" s="57"/>
    </row>
    <row r="61" spans="1:49" s="54" customFormat="1" ht="12.75" hidden="1" customHeight="1" x14ac:dyDescent="0.2">
      <c r="A61" s="54" t="s">
        <v>104</v>
      </c>
      <c r="B61" s="54">
        <f>IF(B24=4,B44,0)</f>
        <v>0</v>
      </c>
      <c r="D61" s="59">
        <f>IF(D24=4,B44,0)</f>
        <v>0</v>
      </c>
      <c r="E61" s="54">
        <f>IF(E24=4,E44,0)</f>
        <v>0</v>
      </c>
      <c r="G61" s="59">
        <f>IF(G24=4,E44,0)</f>
        <v>50</v>
      </c>
      <c r="H61" s="54">
        <f>IF(H24=4,H44,0)</f>
        <v>0</v>
      </c>
      <c r="J61" s="59">
        <f>IF(J24=4,H44,0)</f>
        <v>0</v>
      </c>
      <c r="K61" s="54">
        <f>IF(K24=4,K44,0)</f>
        <v>0</v>
      </c>
      <c r="M61" s="59">
        <f>IF(M24=4,K44,0)</f>
        <v>50</v>
      </c>
      <c r="N61" s="54">
        <f>IF(N24=4,N44,0)</f>
        <v>0</v>
      </c>
      <c r="P61" s="59">
        <f>IF(P24=4,N44,0)</f>
        <v>0</v>
      </c>
      <c r="Q61" s="54">
        <f>IF(Q24=4,Q44,0)</f>
        <v>50</v>
      </c>
      <c r="S61" s="59">
        <f>IF(S24=4,Q44,0)</f>
        <v>0</v>
      </c>
      <c r="T61" s="54">
        <f>IF(T24=4,T44,0)</f>
        <v>0</v>
      </c>
      <c r="V61" s="59">
        <f>IF(V24=4,T44,0)</f>
        <v>0</v>
      </c>
      <c r="W61" s="54">
        <f>IF(W24=4,W44,0)</f>
        <v>0</v>
      </c>
      <c r="Y61" s="59">
        <f>IF(Y24=4,W44,0)</f>
        <v>0</v>
      </c>
      <c r="Z61" s="54">
        <f>IF(Z24=4,Z44,0)</f>
        <v>0</v>
      </c>
      <c r="AB61" s="59">
        <f>IF(AB24=4,Z44,0)</f>
        <v>50</v>
      </c>
      <c r="AC61" s="54">
        <f>IF(AC24=4,AC44,0)</f>
        <v>0</v>
      </c>
      <c r="AE61" s="59">
        <f>IF(AE24=4,AC44,0)</f>
        <v>0</v>
      </c>
      <c r="AF61" s="54">
        <f>SUM(B61:AE61)</f>
        <v>200</v>
      </c>
      <c r="AW61" s="57"/>
    </row>
    <row r="62" spans="1:49" s="54" customFormat="1" ht="12.75" hidden="1" customHeight="1" x14ac:dyDescent="0.2">
      <c r="A62" s="54" t="s">
        <v>105</v>
      </c>
      <c r="B62" s="54">
        <f>IF(B24=5,B44,0)</f>
        <v>0</v>
      </c>
      <c r="D62" s="59">
        <f>IF(D24=5,B44,0)</f>
        <v>50</v>
      </c>
      <c r="E62" s="54">
        <f>IF(E24=5,E44,0)</f>
        <v>0</v>
      </c>
      <c r="G62" s="59">
        <f>IF(G24=5,E44,0)</f>
        <v>0</v>
      </c>
      <c r="H62" s="54">
        <f>IF(H24=5,H44,0)</f>
        <v>0</v>
      </c>
      <c r="J62" s="59">
        <f>IF(J24=5,H44,0)</f>
        <v>50</v>
      </c>
      <c r="K62" s="54">
        <f>IF(K24=5,K44,0)</f>
        <v>0</v>
      </c>
      <c r="M62" s="59">
        <f>IF(M24=5,K44,0)</f>
        <v>0</v>
      </c>
      <c r="N62" s="54">
        <f>IF(N24=5,N44,0)</f>
        <v>0</v>
      </c>
      <c r="P62" s="59">
        <f>IF(P24=5,N44,0)</f>
        <v>0</v>
      </c>
      <c r="Q62" s="54">
        <f>IF(Q24=5,Q44,0)</f>
        <v>0</v>
      </c>
      <c r="S62" s="59">
        <f>IF(S24=5,Q44,0)</f>
        <v>50</v>
      </c>
      <c r="T62" s="54">
        <f>IF(T24=5,T44,0)</f>
        <v>0</v>
      </c>
      <c r="V62" s="59">
        <f>IF(V24=5,T44,0)</f>
        <v>0</v>
      </c>
      <c r="W62" s="54">
        <f>IF(W24=5,W44,0)</f>
        <v>0</v>
      </c>
      <c r="Y62" s="59">
        <f>IF(Y24=5,W44,0)</f>
        <v>50</v>
      </c>
      <c r="Z62" s="54">
        <f>IF(Z24=5,Z44,0)</f>
        <v>0</v>
      </c>
      <c r="AB62" s="59">
        <f>IF(AB24=5,Z44,0)</f>
        <v>0</v>
      </c>
      <c r="AC62" s="54">
        <f>IF(AC24=5,AC44,0)</f>
        <v>0</v>
      </c>
      <c r="AE62" s="59">
        <f>IF(AE24=5,AC44,0)</f>
        <v>0</v>
      </c>
      <c r="AF62" s="54">
        <f>SUM(B62:AE62)</f>
        <v>200</v>
      </c>
      <c r="AW62" s="57"/>
    </row>
    <row r="63" spans="1:49" s="54" customFormat="1" ht="38.25" hidden="1" customHeight="1" x14ac:dyDescent="0.2">
      <c r="A63" s="54" t="s">
        <v>107</v>
      </c>
      <c r="D63" s="59"/>
      <c r="G63" s="59"/>
      <c r="J63" s="59"/>
      <c r="M63" s="59"/>
      <c r="P63" s="59"/>
      <c r="S63" s="59"/>
      <c r="V63" s="59"/>
      <c r="Y63" s="59"/>
      <c r="AB63" s="59"/>
      <c r="AE63" s="59"/>
      <c r="AF63" s="58" t="s">
        <v>108</v>
      </c>
      <c r="AG63" s="54" t="s">
        <v>109</v>
      </c>
      <c r="AW63" s="57"/>
    </row>
    <row r="64" spans="1:49" s="54" customFormat="1" ht="12.75" hidden="1" customHeight="1" x14ac:dyDescent="0.2">
      <c r="A64" s="54" t="s">
        <v>95</v>
      </c>
      <c r="B64" s="54">
        <f>IF(B24=1,SUMIF(B31:B35,"&gt;0"),0)</f>
        <v>0</v>
      </c>
      <c r="D64" s="59">
        <f>IF(D24=1,SUMIF(D31:D35,"&gt;0"),0)</f>
        <v>0</v>
      </c>
      <c r="E64" s="54">
        <f>IF(E24=1,SUMIF(E31:E35,"&gt;0"),0)</f>
        <v>2</v>
      </c>
      <c r="G64" s="59">
        <f>IF(G24=1,SUMIF(G31:G35,"&gt;0"),0)</f>
        <v>0</v>
      </c>
      <c r="H64" s="54">
        <f>IF(H24=1,SUMIF(H31:H35,"&gt;0"),0)</f>
        <v>0</v>
      </c>
      <c r="J64" s="59">
        <f>IF(J24=1,SUMIF(J31:J35,"&gt;0"),0)</f>
        <v>0</v>
      </c>
      <c r="K64" s="54">
        <f>IF(K24=1,SUMIF(K31:K35,"&gt;0"),0)</f>
        <v>0</v>
      </c>
      <c r="M64" s="59">
        <f>IF(M24=1,SUMIF(M31:M35,"&gt;0"),0)</f>
        <v>0</v>
      </c>
      <c r="N64" s="54">
        <f>IF(N24=1,SUMIF(N31:N35,"&gt;0"),0)</f>
        <v>2</v>
      </c>
      <c r="P64" s="59">
        <f>IF(P24=1,SUMIF(P31:P35,"&gt;0"),0)</f>
        <v>0</v>
      </c>
      <c r="Q64" s="54">
        <f>IF(Q24=1,SUMIF(Q31:Q35,"&gt;0"),0)</f>
        <v>0</v>
      </c>
      <c r="S64" s="59">
        <f>IF(S24=1,SUMIF(S31:S35,"&gt;0"),0)</f>
        <v>0</v>
      </c>
      <c r="T64" s="54">
        <f>IF(T24=1,SUMIF(T31:T35,"&gt;0"),0)</f>
        <v>0</v>
      </c>
      <c r="V64" s="59">
        <f>IF(V24=1,SUMIF(V31:V35,"&gt;0"),0)</f>
        <v>0</v>
      </c>
      <c r="W64" s="54">
        <f>IF(W24=1,SUMIF(W31:W35,"&gt;0"),0)</f>
        <v>2</v>
      </c>
      <c r="Y64" s="59">
        <f>IF(Y24=1,SUMIF(Y31:Y35,"&gt;0"),0)</f>
        <v>0</v>
      </c>
      <c r="Z64" s="54">
        <f>IF(Z24=1,SUMIF(Z31:Z35,"&gt;0"),0)</f>
        <v>0</v>
      </c>
      <c r="AB64" s="59">
        <f>IF(AB24=1,SUMIF(AB31:AB35,"&gt;0"),0)</f>
        <v>0</v>
      </c>
      <c r="AC64" s="54">
        <f>IF(AC24=1,SUMIF(AC31:AC35,"&gt;0"),0)</f>
        <v>2</v>
      </c>
      <c r="AE64" s="59">
        <f>IF(AE24=1,SUMIF(AE31:AE35,"&gt;0"),0)</f>
        <v>0</v>
      </c>
      <c r="AF64" s="54">
        <f>SUM(B64:AE64)</f>
        <v>8</v>
      </c>
      <c r="AG64" s="54">
        <f>AF72-AF64</f>
        <v>0</v>
      </c>
      <c r="AW64" s="57"/>
    </row>
    <row r="65" spans="1:54" s="54" customFormat="1" ht="12.75" hidden="1" customHeight="1" x14ac:dyDescent="0.2">
      <c r="A65" s="54" t="s">
        <v>96</v>
      </c>
      <c r="B65" s="54">
        <f>IF(B24=2,SUMIF(B31:B35,"&gt;0"),0)</f>
        <v>1</v>
      </c>
      <c r="D65" s="59">
        <f>IF(D24=2,SUMIF(D31:D35,"&gt;0"),0)</f>
        <v>0</v>
      </c>
      <c r="E65" s="54">
        <f>IF(E24=2,SUMIF(E31:E35,"&gt;0"),0)</f>
        <v>0</v>
      </c>
      <c r="G65" s="59">
        <f>IF(G24=2,SUMIF(G31:G35,"&gt;0"),0)</f>
        <v>0</v>
      </c>
      <c r="H65" s="54">
        <f>IF(H24=2,SUMIF(H31:H35,"&gt;0"),0)</f>
        <v>0</v>
      </c>
      <c r="J65" s="59">
        <f>IF(J24=2,SUMIF(J31:J35,"&gt;0"),0)</f>
        <v>0</v>
      </c>
      <c r="K65" s="54">
        <f>IF(K24=2,SUMIF(K31:K35,"&gt;0"),0)</f>
        <v>2</v>
      </c>
      <c r="M65" s="59">
        <f>IF(M24=2,SUMIF(M31:M35,"&gt;0"),0)</f>
        <v>0</v>
      </c>
      <c r="N65" s="54">
        <f>IF(N24=2,SUMIF(N31:N35,"&gt;0"),0)</f>
        <v>0</v>
      </c>
      <c r="P65" s="59">
        <f>IF(P24=2,SUMIF(P31:P35,"&gt;0"),0)</f>
        <v>0</v>
      </c>
      <c r="Q65" s="54">
        <f>IF(Q24=2,SUMIF(Q31:Q35,"&gt;0"),0)</f>
        <v>0</v>
      </c>
      <c r="S65" s="59">
        <f>IF(S24=2,SUMIF(S31:S35,"&gt;0"),0)</f>
        <v>0</v>
      </c>
      <c r="T65" s="54">
        <f>IF(T24=2,SUMIF(T31:T35,"&gt;0"),0)</f>
        <v>2</v>
      </c>
      <c r="V65" s="59">
        <f>IF(V24=2,SUMIF(V31:V35,"&gt;0"),0)</f>
        <v>0</v>
      </c>
      <c r="W65" s="54">
        <f>IF(W24=2,SUMIF(W31:W35,"&gt;0"),0)</f>
        <v>0</v>
      </c>
      <c r="Y65" s="59">
        <f>IF(Y24=2,SUMIF(Y31:Y35,"&gt;0"),0)</f>
        <v>0</v>
      </c>
      <c r="Z65" s="54">
        <f>IF(Z24=2,SUMIF(Z31:Z35,"&gt;0"),0)</f>
        <v>0</v>
      </c>
      <c r="AB65" s="59">
        <f>IF(AB24=2,SUMIF(AB31:AB35,"&gt;0"),0)</f>
        <v>0</v>
      </c>
      <c r="AC65" s="54">
        <f>IF(AC24=2,SUMIF(AC31:AC35,"&gt;0"),0)</f>
        <v>0</v>
      </c>
      <c r="AE65" s="59">
        <f>IF(AE24=2,SUMIF(AE31:AE35,"&gt;0"),0)</f>
        <v>0</v>
      </c>
      <c r="AF65" s="54">
        <f>SUM(B65:AE65)</f>
        <v>5</v>
      </c>
      <c r="AG65" s="54">
        <f>AF73-AF65</f>
        <v>3</v>
      </c>
      <c r="AW65" s="57"/>
    </row>
    <row r="66" spans="1:54" s="54" customFormat="1" ht="12.75" hidden="1" customHeight="1" x14ac:dyDescent="0.2">
      <c r="A66" s="54" t="s">
        <v>97</v>
      </c>
      <c r="B66" s="54">
        <f>IF(B24=3,SUMIF(B31:B35,"&gt;0"),0)</f>
        <v>0</v>
      </c>
      <c r="D66" s="59">
        <f>IF(D24=3,SUMIF(D31:D35,"&gt;0"),0)</f>
        <v>0</v>
      </c>
      <c r="E66" s="54">
        <f>IF(E24=3,SUMIF(E31:E35,"&gt;0"),0)</f>
        <v>0</v>
      </c>
      <c r="G66" s="59">
        <f>IF(G24=3,SUMIF(G31:G35,"&gt;0"),0)</f>
        <v>0</v>
      </c>
      <c r="H66" s="54">
        <f>IF(H24=3,SUMIF(H31:H35,"&gt;0"),0)</f>
        <v>0</v>
      </c>
      <c r="J66" s="59">
        <f>IF(J24=3,SUMIF(J31:J35,"&gt;0"),0)</f>
        <v>0</v>
      </c>
      <c r="K66" s="54">
        <f>IF(K24=3,SUMIF(K31:K35,"&gt;0"),0)</f>
        <v>0</v>
      </c>
      <c r="M66" s="59">
        <f>IF(M24=3,SUMIF(M31:M35,"&gt;0"),0)</f>
        <v>0</v>
      </c>
      <c r="N66" s="54">
        <f>IF(N24=3,SUMIF(N31:N35,"&gt;0"),0)</f>
        <v>0</v>
      </c>
      <c r="P66" s="59">
        <f>IF(P24=3,SUMIF(P31:P35,"&gt;0"),0)</f>
        <v>0</v>
      </c>
      <c r="Q66" s="54">
        <f>IF(Q24=3,SUMIF(Q31:Q35,"&gt;0"),0)</f>
        <v>0</v>
      </c>
      <c r="S66" s="59">
        <f>IF(S24=3,SUMIF(S31:S35,"&gt;0"),0)</f>
        <v>0</v>
      </c>
      <c r="T66" s="54">
        <f>IF(T24=3,SUMIF(T31:T35,"&gt;0"),0)</f>
        <v>0</v>
      </c>
      <c r="V66" s="59">
        <f>IF(V24=3,SUMIF(V31:V35,"&gt;0"),0)</f>
        <v>0</v>
      </c>
      <c r="W66" s="54">
        <f>IF(W24=3,SUMIF(W31:W35,"&gt;0"),0)</f>
        <v>0</v>
      </c>
      <c r="Y66" s="59">
        <f>IF(Y24=3,SUMIF(Y31:Y35,"&gt;0"),0)</f>
        <v>0</v>
      </c>
      <c r="Z66" s="54">
        <f>IF(Z24=3,SUMIF(Z31:Z35,"&gt;0"),0)</f>
        <v>0</v>
      </c>
      <c r="AB66" s="59">
        <f>IF(AB24=3,SUMIF(AB31:AB35,"&gt;0"),0)</f>
        <v>0</v>
      </c>
      <c r="AC66" s="54">
        <f>IF(AC24=3,SUMIF(AC31:AC35,"&gt;0"),0)</f>
        <v>0</v>
      </c>
      <c r="AE66" s="59">
        <f>IF(AE24=3,SUMIF(AE31:AE35,"&gt;0"),0)</f>
        <v>0</v>
      </c>
      <c r="AF66" s="54">
        <f>SUM(B66:AE66)</f>
        <v>0</v>
      </c>
      <c r="AG66" s="54">
        <f>AF74-AF66</f>
        <v>8</v>
      </c>
      <c r="AW66" s="57"/>
    </row>
    <row r="67" spans="1:54" s="54" customFormat="1" ht="12.75" hidden="1" customHeight="1" x14ac:dyDescent="0.2">
      <c r="A67" s="54" t="s">
        <v>98</v>
      </c>
      <c r="B67" s="54">
        <f>IF(B24=4,SUMIF(B31:B35,"&gt;0"),0)</f>
        <v>0</v>
      </c>
      <c r="D67" s="59">
        <f>IF(D24=4,SUMIF(D31:D35,"&gt;0"),0)</f>
        <v>0</v>
      </c>
      <c r="E67" s="54">
        <f>IF(E24=4,SUMIF(E31:E35,"&gt;0"),0)</f>
        <v>0</v>
      </c>
      <c r="G67" s="59">
        <f>IF(G24=4,SUMIF(G31:G35,"&gt;0"),0)</f>
        <v>0</v>
      </c>
      <c r="H67" s="54">
        <f>IF(H24=4,SUMIF(H31:H35,"&gt;0"),0)</f>
        <v>0</v>
      </c>
      <c r="J67" s="59">
        <f>IF(J24=4,SUMIF(J31:J35,"&gt;0"),0)</f>
        <v>0</v>
      </c>
      <c r="K67" s="54">
        <f>IF(K24=4,SUMIF(K31:K35,"&gt;0"),0)</f>
        <v>0</v>
      </c>
      <c r="M67" s="59">
        <f>IF(M24=4,SUMIF(M31:M35,"&gt;0"),0)</f>
        <v>0</v>
      </c>
      <c r="N67" s="54">
        <f>IF(N24=4,SUMIF(N31:N35,"&gt;0"),0)</f>
        <v>0</v>
      </c>
      <c r="P67" s="59">
        <f>IF(P24=4,SUMIF(P31:P35,"&gt;0"),0)</f>
        <v>0</v>
      </c>
      <c r="Q67" s="54">
        <f>IF(Q24=4,SUMIF(Q31:Q35,"&gt;0"),0)</f>
        <v>0</v>
      </c>
      <c r="S67" s="59">
        <f>IF(S24=4,SUMIF(S31:S35,"&gt;0"),0)</f>
        <v>0</v>
      </c>
      <c r="T67" s="54">
        <f>IF(T24=4,SUMIF(T31:T35,"&gt;0"),0)</f>
        <v>0</v>
      </c>
      <c r="V67" s="59">
        <f>IF(V24=4,SUMIF(V31:V35,"&gt;0"),0)</f>
        <v>0</v>
      </c>
      <c r="W67" s="54">
        <f>IF(W24=4,SUMIF(W31:W35,"&gt;0"),0)</f>
        <v>0</v>
      </c>
      <c r="Y67" s="59">
        <f>IF(Y24=4,SUMIF(Y31:Y35,"&gt;0"),0)</f>
        <v>0</v>
      </c>
      <c r="Z67" s="54">
        <f>IF(Z24=4,SUMIF(Z31:Z35,"&gt;0"),0)</f>
        <v>0</v>
      </c>
      <c r="AB67" s="59">
        <f>IF(AB24=4,SUMIF(AB31:AB35,"&gt;0"),0)</f>
        <v>2</v>
      </c>
      <c r="AC67" s="54">
        <f>IF(AC24=4,SUMIF(AC31:AC35,"&gt;0"),0)</f>
        <v>0</v>
      </c>
      <c r="AE67" s="59">
        <f>IF(AE24=4,SUMIF(AE31:AE35,"&gt;0"),0)</f>
        <v>0</v>
      </c>
      <c r="AF67" s="54">
        <f>SUM(B67:AE67)</f>
        <v>2</v>
      </c>
      <c r="AG67" s="54">
        <f>AF75-AF67</f>
        <v>6</v>
      </c>
      <c r="AW67" s="57"/>
    </row>
    <row r="68" spans="1:54" s="54" customFormat="1" ht="12.75" hidden="1" customHeight="1" x14ac:dyDescent="0.2">
      <c r="A68" s="54" t="s">
        <v>99</v>
      </c>
      <c r="B68" s="54">
        <f>IF(B24=5,SUMIF(B31:B35,"&gt;0"),0)</f>
        <v>0</v>
      </c>
      <c r="D68" s="59">
        <f>IF(D24=5,SUMIF(D31:D35,"&gt;0"),0)</f>
        <v>1</v>
      </c>
      <c r="E68" s="54">
        <f>IF(E24=5,SUMIF(E31:E35,"&gt;0"),0)</f>
        <v>0</v>
      </c>
      <c r="G68" s="59">
        <f>IF(G24=5,SUMIF(G31:G35,"&gt;0"),0)</f>
        <v>0</v>
      </c>
      <c r="H68" s="54">
        <f>IF(H24=5,SUMIF(H31:H35,"&gt;0"),0)</f>
        <v>0</v>
      </c>
      <c r="J68" s="59">
        <f>IF(J24=5,SUMIF(J31:J35,"&gt;0"),0)</f>
        <v>2</v>
      </c>
      <c r="K68" s="54">
        <f>IF(K24=5,SUMIF(K31:K35,"&gt;0"),0)</f>
        <v>0</v>
      </c>
      <c r="M68" s="59">
        <f>IF(M24=5,SUMIF(M31:M35,"&gt;0"),0)</f>
        <v>0</v>
      </c>
      <c r="N68" s="54">
        <f>IF(N24=5,SUMIF(N31:N35,"&gt;0"),0)</f>
        <v>0</v>
      </c>
      <c r="P68" s="59">
        <f>IF(P24=5,SUMIF(P31:P35,"&gt;0"),0)</f>
        <v>0</v>
      </c>
      <c r="Q68" s="54">
        <f>IF(Q24=5,SUMIF(Q31:Q35,"&gt;0"),0)</f>
        <v>0</v>
      </c>
      <c r="S68" s="59">
        <f>IF(S24=5,SUMIF(S31:S35,"&gt;0"),0)</f>
        <v>2</v>
      </c>
      <c r="T68" s="54">
        <f>IF(T24=5,SUMIF(T31:T35,"&gt;0"),0)</f>
        <v>0</v>
      </c>
      <c r="V68" s="59">
        <f>IF(V24=5,SUMIF(V31:V35,"&gt;0"),0)</f>
        <v>0</v>
      </c>
      <c r="W68" s="54">
        <f>IF(W24=5,SUMIF(W31:W35,"&gt;0"),0)</f>
        <v>0</v>
      </c>
      <c r="Y68" s="59">
        <f>IF(Y24=5,SUMIF(Y31:Y35,"&gt;0"),0)</f>
        <v>0</v>
      </c>
      <c r="Z68" s="54">
        <f>IF(Z24=5,SUMIF(Z31:Z35,"&gt;0"),0)</f>
        <v>0</v>
      </c>
      <c r="AB68" s="59">
        <f>IF(AB24=5,SUMIF(AB31:AB35,"&gt;0"),0)</f>
        <v>0</v>
      </c>
      <c r="AC68" s="54">
        <f>IF(AC24=5,SUMIF(AC31:AC35,"&gt;0"),0)</f>
        <v>0</v>
      </c>
      <c r="AE68" s="59">
        <f>IF(AE24=5,SUMIF(AE31:AE35,"&gt;0"),0)</f>
        <v>0</v>
      </c>
      <c r="AF68" s="54">
        <f>SUM(B68:AE68)</f>
        <v>5</v>
      </c>
      <c r="AG68" s="54">
        <f>AF76-AF68</f>
        <v>3</v>
      </c>
      <c r="AW68" s="57"/>
    </row>
    <row r="69" spans="1:54" s="54" customFormat="1" ht="12.75" hidden="1" customHeight="1" x14ac:dyDescent="0.2">
      <c r="D69" s="59"/>
      <c r="G69" s="59"/>
      <c r="J69" s="59"/>
      <c r="M69" s="59"/>
      <c r="P69" s="59"/>
      <c r="S69" s="59"/>
      <c r="V69" s="59"/>
      <c r="Y69" s="59"/>
      <c r="AB69" s="59"/>
      <c r="AE69" s="59"/>
      <c r="AW69" s="57"/>
    </row>
    <row r="70" spans="1:54" s="54" customFormat="1" ht="12.75" hidden="1" customHeight="1" x14ac:dyDescent="0.2">
      <c r="D70" s="59"/>
      <c r="G70" s="59"/>
      <c r="J70" s="59"/>
      <c r="M70" s="59"/>
      <c r="P70" s="59"/>
      <c r="S70" s="59"/>
      <c r="V70" s="59"/>
      <c r="Y70" s="59"/>
      <c r="AB70" s="59"/>
      <c r="AE70" s="59"/>
      <c r="AW70" s="57"/>
    </row>
    <row r="71" spans="1:54" s="54" customFormat="1" ht="51" hidden="1" customHeight="1" x14ac:dyDescent="0.2">
      <c r="A71" s="58" t="s">
        <v>110</v>
      </c>
      <c r="C71" s="54">
        <f>SUMIF(B64:D68,"&gt;0")</f>
        <v>2</v>
      </c>
      <c r="D71" s="59"/>
      <c r="F71" s="54">
        <f>SUMIF(E64:G68,"&gt;0")</f>
        <v>2</v>
      </c>
      <c r="G71" s="59"/>
      <c r="I71" s="54">
        <f>SUMIF(H64:J68,"&gt;0")</f>
        <v>2</v>
      </c>
      <c r="J71" s="59"/>
      <c r="L71" s="54">
        <f>SUMIF(K64:M68,"&gt;0")</f>
        <v>2</v>
      </c>
      <c r="M71" s="59"/>
      <c r="O71" s="54">
        <f>SUMIF(N64:P68,"&gt;0")</f>
        <v>2</v>
      </c>
      <c r="P71" s="59"/>
      <c r="R71" s="54">
        <f>SUMIF(Q64:S68,"&gt;0")</f>
        <v>2</v>
      </c>
      <c r="S71" s="59"/>
      <c r="U71" s="54">
        <f>SUMIF(T64:V68,"&gt;0")</f>
        <v>2</v>
      </c>
      <c r="V71" s="59"/>
      <c r="X71" s="54">
        <f>SUMIF(W64:Y68,"&gt;0")</f>
        <v>2</v>
      </c>
      <c r="Y71" s="59"/>
      <c r="AA71" s="54">
        <f>SUMIF(Z64:AB68,"&gt;0")</f>
        <v>2</v>
      </c>
      <c r="AB71" s="59"/>
      <c r="AD71" s="54">
        <f>SUMIF(AC64:AE68,"&gt;0")</f>
        <v>2</v>
      </c>
      <c r="AE71" s="59"/>
      <c r="AF71" s="58" t="s">
        <v>111</v>
      </c>
      <c r="AW71" s="57"/>
    </row>
    <row r="72" spans="1:54" s="54" customFormat="1" ht="12.75" hidden="1" customHeight="1" x14ac:dyDescent="0.2">
      <c r="A72" s="54" t="s">
        <v>101</v>
      </c>
      <c r="B72" s="54">
        <f>IF(B24=1,C71,0)</f>
        <v>0</v>
      </c>
      <c r="D72" s="59">
        <f>IF(D24=1,C71,0)</f>
        <v>0</v>
      </c>
      <c r="E72" s="54">
        <f>IF(E24=1,F71,0)</f>
        <v>2</v>
      </c>
      <c r="G72" s="59">
        <f>IF(G24=1,F71,0)</f>
        <v>0</v>
      </c>
      <c r="H72" s="54">
        <f>IF(H24=1,I71,0)</f>
        <v>0</v>
      </c>
      <c r="J72" s="59">
        <f>IF(J24=1,I71,0)</f>
        <v>0</v>
      </c>
      <c r="K72" s="54">
        <f>IF(K24=1,L71,0)</f>
        <v>0</v>
      </c>
      <c r="M72" s="59">
        <f>IF(M24=1,L71,0)</f>
        <v>0</v>
      </c>
      <c r="N72" s="54">
        <f>IF(N24=1,O71,0)</f>
        <v>2</v>
      </c>
      <c r="P72" s="59">
        <f>IF(P24=1,O71,0)</f>
        <v>0</v>
      </c>
      <c r="Q72" s="54">
        <f>IF(Q24=1,R71,0)</f>
        <v>0</v>
      </c>
      <c r="S72" s="59">
        <f>IF(S24=1,R71,0)</f>
        <v>0</v>
      </c>
      <c r="T72" s="54">
        <f>IF(T24=1,U71,0)</f>
        <v>0</v>
      </c>
      <c r="V72" s="59">
        <f>IF(V24=1,U71,0)</f>
        <v>0</v>
      </c>
      <c r="W72" s="54">
        <f>IF(W24=1,X71,0)</f>
        <v>2</v>
      </c>
      <c r="Y72" s="59">
        <f>IF(Y24=1,X71,0)</f>
        <v>0</v>
      </c>
      <c r="Z72" s="54">
        <f>IF(Z24=1,AA71,0)</f>
        <v>0</v>
      </c>
      <c r="AB72" s="59">
        <f>IF(AB24=1,AA71,0)</f>
        <v>0</v>
      </c>
      <c r="AC72" s="54">
        <f>IF(AC24=1,AD71,0)</f>
        <v>2</v>
      </c>
      <c r="AE72" s="59">
        <f>IF(AE24=1,AD71,0)</f>
        <v>0</v>
      </c>
      <c r="AF72" s="54">
        <f>SUM(B72:AE72)</f>
        <v>8</v>
      </c>
      <c r="AW72" s="57"/>
    </row>
    <row r="73" spans="1:54" s="54" customFormat="1" ht="12.75" hidden="1" customHeight="1" x14ac:dyDescent="0.2">
      <c r="A73" s="54" t="s">
        <v>102</v>
      </c>
      <c r="B73" s="54">
        <f>IF(B24=2,C71,0)</f>
        <v>2</v>
      </c>
      <c r="D73" s="59">
        <f>IF(D24=2,C71,0)</f>
        <v>0</v>
      </c>
      <c r="E73" s="54">
        <f>IF(E24=2,F71,0)</f>
        <v>0</v>
      </c>
      <c r="G73" s="59">
        <f>IF(G24=2,F71,0)</f>
        <v>0</v>
      </c>
      <c r="H73" s="54">
        <f>IF(H24=2,I71,0)</f>
        <v>0</v>
      </c>
      <c r="J73" s="59">
        <f>IF(J24=2,I71,0)</f>
        <v>0</v>
      </c>
      <c r="K73" s="54">
        <f>IF(K24=2,L71,0)</f>
        <v>2</v>
      </c>
      <c r="M73" s="59">
        <f>IF(M24=2,L71,0)</f>
        <v>0</v>
      </c>
      <c r="N73" s="54">
        <f>IF(N24=2,O71,0)</f>
        <v>0</v>
      </c>
      <c r="P73" s="59">
        <f>IF(P24=2,O71,0)</f>
        <v>0</v>
      </c>
      <c r="Q73" s="54">
        <f>IF(Q24=2,R71,0)</f>
        <v>0</v>
      </c>
      <c r="S73" s="59">
        <f>IF(S24=2,R71,0)</f>
        <v>0</v>
      </c>
      <c r="T73" s="54">
        <f>IF(T24=2,U71,0)</f>
        <v>2</v>
      </c>
      <c r="V73" s="59">
        <f>IF(V24=2,U71,0)</f>
        <v>0</v>
      </c>
      <c r="W73" s="54">
        <f>IF(W24=2,X71,0)</f>
        <v>0</v>
      </c>
      <c r="Y73" s="59">
        <f>IF(Y24=2,X71,0)</f>
        <v>0</v>
      </c>
      <c r="Z73" s="54">
        <f>IF(Z24=2,AA71,0)</f>
        <v>0</v>
      </c>
      <c r="AB73" s="59">
        <f>IF(AB24=2,AA71,0)</f>
        <v>0</v>
      </c>
      <c r="AC73" s="54">
        <f>IF(AC24=2,AD71,0)</f>
        <v>0</v>
      </c>
      <c r="AE73" s="59">
        <f>IF(AE24=2,AD71,0)</f>
        <v>2</v>
      </c>
      <c r="AF73" s="54">
        <f>SUM(B73:AE73)</f>
        <v>8</v>
      </c>
      <c r="AW73" s="57"/>
    </row>
    <row r="74" spans="1:54" s="54" customFormat="1" ht="12.75" hidden="1" customHeight="1" x14ac:dyDescent="0.2">
      <c r="A74" s="54" t="s">
        <v>103</v>
      </c>
      <c r="B74" s="54">
        <f>IF(B24=3,C71,0)</f>
        <v>0</v>
      </c>
      <c r="D74" s="59">
        <f>IF(D24=3,C71,0)</f>
        <v>0</v>
      </c>
      <c r="E74" s="54">
        <f>IF(E24=3,F71,0)</f>
        <v>0</v>
      </c>
      <c r="G74" s="59">
        <f>IF(G24=3,F71,0)</f>
        <v>0</v>
      </c>
      <c r="H74" s="54">
        <f>IF(H24=3,I71,0)</f>
        <v>2</v>
      </c>
      <c r="J74" s="59">
        <f>IF(J24=3,I71,0)</f>
        <v>0</v>
      </c>
      <c r="K74" s="54">
        <f>IF(K24=3,L71,0)</f>
        <v>0</v>
      </c>
      <c r="M74" s="59">
        <f>IF(M24=3,L71,0)</f>
        <v>0</v>
      </c>
      <c r="N74" s="54">
        <f>IF(N24=3,O71,0)</f>
        <v>0</v>
      </c>
      <c r="P74" s="59">
        <f>IF(P24=3,O71,0)</f>
        <v>2</v>
      </c>
      <c r="Q74" s="54">
        <f>IF(Q24=3,R71,0)</f>
        <v>0</v>
      </c>
      <c r="S74" s="59">
        <f>IF(S24=3,R71,0)</f>
        <v>0</v>
      </c>
      <c r="T74" s="54">
        <f>IF(T24=3,U71,0)</f>
        <v>0</v>
      </c>
      <c r="V74" s="59">
        <f>IF(V24=3,U71,0)</f>
        <v>2</v>
      </c>
      <c r="W74" s="54">
        <f>IF(W24=3,X71,0)</f>
        <v>0</v>
      </c>
      <c r="Y74" s="59">
        <f>IF(Y24=3,X71,0)</f>
        <v>0</v>
      </c>
      <c r="Z74" s="54">
        <f>IF(Z24=3,AA71,0)</f>
        <v>2</v>
      </c>
      <c r="AB74" s="59">
        <f>IF(AB24=3,AA71,0)</f>
        <v>0</v>
      </c>
      <c r="AC74" s="54">
        <f>IF(AC24=3,AD71,0)</f>
        <v>0</v>
      </c>
      <c r="AE74" s="59">
        <f>IF(AE24=3,AD71,0)</f>
        <v>0</v>
      </c>
      <c r="AF74" s="54">
        <f>SUM(B74:AE74)</f>
        <v>8</v>
      </c>
      <c r="AW74" s="57"/>
    </row>
    <row r="75" spans="1:54" s="54" customFormat="1" ht="12.75" hidden="1" customHeight="1" x14ac:dyDescent="0.2">
      <c r="A75" s="54" t="s">
        <v>104</v>
      </c>
      <c r="B75" s="54">
        <f>IF(B24=4,C71,0)</f>
        <v>0</v>
      </c>
      <c r="D75" s="59">
        <f>IF(D24=4,C71,0)</f>
        <v>0</v>
      </c>
      <c r="E75" s="54">
        <f>IF(E24=4,F71,0)</f>
        <v>0</v>
      </c>
      <c r="G75" s="59">
        <f>IF(G24=4,F71,0)</f>
        <v>2</v>
      </c>
      <c r="H75" s="54">
        <f>IF(H24=4,I71,0)</f>
        <v>0</v>
      </c>
      <c r="J75" s="59">
        <f>IF(J24=4,I71,0)</f>
        <v>0</v>
      </c>
      <c r="K75" s="54">
        <f>IF(K24=4,L71,0)</f>
        <v>0</v>
      </c>
      <c r="M75" s="59">
        <f>IF(M24=4,L71,0)</f>
        <v>2</v>
      </c>
      <c r="N75" s="54">
        <f>IF(N24=4,O71,0)</f>
        <v>0</v>
      </c>
      <c r="P75" s="59">
        <f>IF(P24=4,O71,0)</f>
        <v>0</v>
      </c>
      <c r="Q75" s="54">
        <f>IF(Q24=4,R71,0)</f>
        <v>2</v>
      </c>
      <c r="S75" s="59">
        <f>IF(S24=4,R71,0)</f>
        <v>0</v>
      </c>
      <c r="T75" s="54">
        <f>IF(T24=4,U71,0)</f>
        <v>0</v>
      </c>
      <c r="V75" s="59">
        <f>IF(V24=4,U71,0)</f>
        <v>0</v>
      </c>
      <c r="W75" s="54">
        <f>IF(W24=4,X71,0)</f>
        <v>0</v>
      </c>
      <c r="Y75" s="59">
        <f>IF(Y24=4,X71,0)</f>
        <v>0</v>
      </c>
      <c r="Z75" s="54">
        <f>IF(Z24=4,AA71,0)</f>
        <v>0</v>
      </c>
      <c r="AB75" s="59">
        <f>IF(AB24=4,AA71,0)</f>
        <v>2</v>
      </c>
      <c r="AC75" s="54">
        <f>IF(AC24=4,AD71,0)</f>
        <v>0</v>
      </c>
      <c r="AE75" s="59">
        <f>IF(AE24=4,AD71,0)</f>
        <v>0</v>
      </c>
      <c r="AF75" s="54">
        <f>SUM(B75:AE75)</f>
        <v>8</v>
      </c>
      <c r="AW75" s="57"/>
    </row>
    <row r="76" spans="1:54" s="54" customFormat="1" ht="12.75" hidden="1" customHeight="1" x14ac:dyDescent="0.2">
      <c r="A76" s="54" t="s">
        <v>105</v>
      </c>
      <c r="B76" s="54">
        <f>IF(B24=5,C71,0)</f>
        <v>0</v>
      </c>
      <c r="D76" s="59">
        <f>IF(D24=5,C71,0)</f>
        <v>2</v>
      </c>
      <c r="E76" s="54">
        <f>IF(E24=5,F71,0)</f>
        <v>0</v>
      </c>
      <c r="G76" s="59">
        <f>IF(G24=5,F71,0)</f>
        <v>0</v>
      </c>
      <c r="H76" s="54">
        <f>IF(H24=5,I71,0)</f>
        <v>0</v>
      </c>
      <c r="J76" s="59">
        <f>IF(J24=5,I71,0)</f>
        <v>2</v>
      </c>
      <c r="K76" s="54">
        <f>IF(K24=5,L71,0)</f>
        <v>0</v>
      </c>
      <c r="M76" s="59">
        <f>IF(M24=5,L71,0)</f>
        <v>0</v>
      </c>
      <c r="N76" s="54">
        <f>IF(N24=5,O71,0)</f>
        <v>0</v>
      </c>
      <c r="P76" s="59">
        <f>IF(P24=5,O71,0)</f>
        <v>0</v>
      </c>
      <c r="Q76" s="54">
        <f>IF(Q24=5,R71,0)</f>
        <v>0</v>
      </c>
      <c r="S76" s="59">
        <f>IF(S24=5,R71,0)</f>
        <v>2</v>
      </c>
      <c r="T76" s="54">
        <f>IF(T24=5,U71,0)</f>
        <v>0</v>
      </c>
      <c r="V76" s="59">
        <f>IF(V24=5,U71,0)</f>
        <v>0</v>
      </c>
      <c r="W76" s="54">
        <f>IF(W24=5,X71,0)</f>
        <v>0</v>
      </c>
      <c r="Y76" s="59">
        <f>IF(Y24=5,X71,0)</f>
        <v>2</v>
      </c>
      <c r="Z76" s="54">
        <f>IF(Z24=5,AA71,0)</f>
        <v>0</v>
      </c>
      <c r="AB76" s="59">
        <f>IF(AB24=5,AA71,0)</f>
        <v>0</v>
      </c>
      <c r="AC76" s="54">
        <f>IF(AC24=5,AD71,0)</f>
        <v>0</v>
      </c>
      <c r="AE76" s="59">
        <f>IF(AE24=5,AD71,0)</f>
        <v>0</v>
      </c>
      <c r="AF76" s="54">
        <f>SUM(B76:AE76)</f>
        <v>8</v>
      </c>
      <c r="AW76" s="57"/>
    </row>
    <row r="77" spans="1:54" hidden="1" x14ac:dyDescent="0.2">
      <c r="A77" s="79"/>
      <c r="B77" s="79"/>
      <c r="C77" s="79"/>
      <c r="D77" s="79"/>
      <c r="E77" s="79"/>
      <c r="F77" s="79"/>
      <c r="G77" s="79"/>
      <c r="H77" s="79"/>
      <c r="I77" s="79"/>
      <c r="J77" s="79"/>
      <c r="K77" s="79"/>
      <c r="L77" s="79"/>
      <c r="M77" s="79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9"/>
      <c r="AB77" s="79"/>
      <c r="AC77" s="79"/>
      <c r="AD77" s="79"/>
      <c r="AE77" s="79"/>
      <c r="AF77" s="79"/>
      <c r="AG77" s="79"/>
      <c r="AH77" s="79"/>
      <c r="AI77" s="79"/>
      <c r="AJ77" s="79"/>
      <c r="AK77" s="79"/>
      <c r="AL77" s="79"/>
      <c r="AM77" s="79"/>
      <c r="AN77" s="80"/>
      <c r="AO77" s="80"/>
      <c r="AP77" s="80"/>
      <c r="AQ77" s="80"/>
      <c r="AR77" s="62"/>
      <c r="AS77" s="62"/>
      <c r="AT77" s="62"/>
      <c r="AU77" s="62"/>
      <c r="AV77" s="62"/>
      <c r="BB77" s="129"/>
    </row>
    <row r="78" spans="1:54" s="62" customFormat="1" hidden="1" x14ac:dyDescent="0.2">
      <c r="A78" s="63"/>
      <c r="B78" s="63"/>
      <c r="C78" s="63" t="s">
        <v>112</v>
      </c>
      <c r="D78" s="63">
        <v>1</v>
      </c>
      <c r="E78" s="63"/>
      <c r="F78" s="63"/>
      <c r="G78" s="63">
        <v>2</v>
      </c>
      <c r="H78" s="63"/>
      <c r="I78" s="63"/>
      <c r="J78" s="63">
        <v>3</v>
      </c>
      <c r="K78" s="63"/>
      <c r="L78" s="63"/>
      <c r="M78" s="63">
        <v>4</v>
      </c>
      <c r="N78" s="63"/>
      <c r="O78" s="63"/>
      <c r="P78" s="63">
        <v>5</v>
      </c>
      <c r="Q78" s="63"/>
      <c r="R78" s="63"/>
      <c r="S78" s="63">
        <v>6</v>
      </c>
      <c r="T78" s="63"/>
      <c r="U78" s="63"/>
      <c r="V78" s="63">
        <v>7</v>
      </c>
      <c r="W78" s="63"/>
      <c r="X78" s="63"/>
      <c r="Y78" s="63">
        <v>8</v>
      </c>
      <c r="Z78" s="63"/>
      <c r="AA78" s="63"/>
      <c r="AB78" s="63">
        <v>9</v>
      </c>
      <c r="AC78" s="63"/>
      <c r="AD78" s="63"/>
      <c r="AE78" s="63">
        <v>10</v>
      </c>
      <c r="AF78" s="4"/>
      <c r="AG78" s="63"/>
      <c r="AI78" s="64"/>
      <c r="AJ78" s="4"/>
      <c r="AK78" s="4"/>
      <c r="AL78" s="4"/>
      <c r="AM78" s="4"/>
      <c r="AN78" s="4"/>
      <c r="AO78" s="4"/>
      <c r="AT78" s="64" t="s">
        <v>113</v>
      </c>
      <c r="AW78" s="65"/>
      <c r="BB78" s="65"/>
    </row>
    <row r="79" spans="1:54" s="62" customFormat="1" hidden="1" x14ac:dyDescent="0.2">
      <c r="A79" s="66">
        <v>1</v>
      </c>
      <c r="B79" s="66" t="str">
        <f>E8</f>
        <v>Sumter VBC 16 Heath</v>
      </c>
      <c r="C79" s="66">
        <f>VLOOKUP(B79,AU$3:AY$12,3,FALSE)</f>
        <v>2310.9610496243463</v>
      </c>
      <c r="D79" s="66">
        <f>IF(B72,B87,IF(D72,D87,C79))</f>
        <v>2310.9610496243463</v>
      </c>
      <c r="E79" s="66"/>
      <c r="F79" s="66"/>
      <c r="G79" s="66">
        <f>IF(E72,E87,IF(G72,G87,D79))</f>
        <v>2328.2708278262844</v>
      </c>
      <c r="H79" s="66"/>
      <c r="I79" s="66"/>
      <c r="J79" s="66">
        <f>IF(H72,H87,IF(J72,J87,G79))</f>
        <v>2328.2708278262844</v>
      </c>
      <c r="K79" s="66"/>
      <c r="L79" s="66"/>
      <c r="M79" s="66">
        <f>IF(K72,K87,IF(M72,M87,J79))</f>
        <v>2328.2708278262844</v>
      </c>
      <c r="N79" s="66"/>
      <c r="O79" s="66"/>
      <c r="P79" s="66">
        <f>IF(N72,N87,IF(P72,P87,M79))</f>
        <v>2342.3388555327042</v>
      </c>
      <c r="Q79" s="66"/>
      <c r="R79" s="66"/>
      <c r="S79" s="66">
        <f>IF(Q72,Q87,IF(S72,S87,P79))</f>
        <v>2342.3388555327042</v>
      </c>
      <c r="T79" s="66"/>
      <c r="U79" s="66"/>
      <c r="V79" s="66">
        <f>IF(T72,T87,IF(V72,V87,S79))</f>
        <v>2342.3388555327042</v>
      </c>
      <c r="W79" s="66"/>
      <c r="X79" s="66"/>
      <c r="Y79" s="66">
        <f>IF(W72,W87,IF(Y72,Y87,V79))</f>
        <v>2361.2548749414805</v>
      </c>
      <c r="Z79" s="66"/>
      <c r="AA79" s="66"/>
      <c r="AB79" s="66">
        <f>IF(Z72,Z87,IF(AB72,AB87,Y79))</f>
        <v>2361.2548749414805</v>
      </c>
      <c r="AC79" s="66"/>
      <c r="AD79" s="66"/>
      <c r="AE79" s="66">
        <f>IF(AC72,AC87,IF(AE72,AE87,AB79))</f>
        <v>2385.0033796686489</v>
      </c>
      <c r="AF79" s="4"/>
      <c r="AG79" s="4"/>
      <c r="AJ79" s="4"/>
      <c r="AK79" s="4"/>
      <c r="AL79" s="4"/>
      <c r="AM79" s="4"/>
      <c r="AN79" s="4"/>
      <c r="AO79" s="4"/>
      <c r="AT79" s="62" t="str">
        <f>B79</f>
        <v>Sumter VBC 16 Heath</v>
      </c>
      <c r="AU79" s="62">
        <f>AE79</f>
        <v>2385.0033796686489</v>
      </c>
      <c r="AW79" s="65"/>
      <c r="BB79" s="65"/>
    </row>
    <row r="80" spans="1:54" s="62" customFormat="1" hidden="1" x14ac:dyDescent="0.2">
      <c r="A80" s="66">
        <v>2</v>
      </c>
      <c r="B80" s="66" t="str">
        <f>E10</f>
        <v>Beaufort16 Club</v>
      </c>
      <c r="C80" s="66">
        <f>VLOOKUP(B80,AU$3:AY$12,3,FALSE)</f>
        <v>2239.1016155301213</v>
      </c>
      <c r="D80" s="66">
        <f>IF(B73,B87,IF(D73,D87,C80))</f>
        <v>2228.740720580086</v>
      </c>
      <c r="E80" s="66"/>
      <c r="F80" s="66"/>
      <c r="G80" s="66">
        <f>IF(E73,E87,IF(G73,G87,D80))</f>
        <v>2228.740720580086</v>
      </c>
      <c r="H80" s="66"/>
      <c r="I80" s="66"/>
      <c r="J80" s="66">
        <f>IF(H73,H87,IF(J73,J87,G80))</f>
        <v>2228.740720580086</v>
      </c>
      <c r="K80" s="66"/>
      <c r="L80" s="66"/>
      <c r="M80" s="66">
        <f>IF(K73,K87,IF(M73,M87,J80))</f>
        <v>2251.1469988456793</v>
      </c>
      <c r="N80" s="66"/>
      <c r="O80" s="66"/>
      <c r="P80" s="66">
        <f>IF(N73,N87,IF(P73,P87,M80))</f>
        <v>2251.1469988456793</v>
      </c>
      <c r="Q80" s="66"/>
      <c r="R80" s="66"/>
      <c r="S80" s="66">
        <f>IF(Q73,Q87,IF(S73,S87,P80))</f>
        <v>2251.1469988456793</v>
      </c>
      <c r="T80" s="66"/>
      <c r="U80" s="66"/>
      <c r="V80" s="66">
        <f>IF(T73,T87,IF(V73,V87,S80))</f>
        <v>2269.5965757936383</v>
      </c>
      <c r="W80" s="66"/>
      <c r="X80" s="66"/>
      <c r="Y80" s="66">
        <f>IF(W73,W87,IF(Y73,Y87,V80))</f>
        <v>2269.5965757936383</v>
      </c>
      <c r="Z80" s="66"/>
      <c r="AA80" s="66"/>
      <c r="AB80" s="66">
        <f>IF(Z73,Z87,IF(AB73,AB87,Y80))</f>
        <v>2269.5965757936383</v>
      </c>
      <c r="AC80" s="66"/>
      <c r="AD80" s="66"/>
      <c r="AE80" s="66">
        <f>IF(AC73,AC87,IF(AE73,AE87,AB80))</f>
        <v>2245.8480710664699</v>
      </c>
      <c r="AF80" s="4"/>
      <c r="AG80" s="4"/>
      <c r="AJ80" s="4"/>
      <c r="AL80" s="4"/>
      <c r="AM80" s="4"/>
      <c r="AN80" s="4"/>
      <c r="AO80" s="4"/>
      <c r="AT80" s="62" t="str">
        <f>B80</f>
        <v>Beaufort16 Club</v>
      </c>
      <c r="AU80" s="62">
        <f>AE80</f>
        <v>2245.8480710664699</v>
      </c>
      <c r="AW80" s="65"/>
      <c r="BB80" s="65"/>
    </row>
    <row r="81" spans="1:54" s="62" customFormat="1" hidden="1" x14ac:dyDescent="0.2">
      <c r="A81" s="66">
        <v>3</v>
      </c>
      <c r="B81" s="66" t="str">
        <f>E12</f>
        <v>Coastal 16 Hurricanes</v>
      </c>
      <c r="C81" s="66">
        <f>VLOOKUP(B81,AU$3:AY$12,3,FALSE)</f>
        <v>2140.9672825573971</v>
      </c>
      <c r="D81" s="66">
        <f>IF(B74,B87,IF(D74,D87,C81))</f>
        <v>2140.9672825573971</v>
      </c>
      <c r="E81" s="66"/>
      <c r="F81" s="66"/>
      <c r="G81" s="66">
        <f>IF(E74,E87,IF(G74,G87,D81))</f>
        <v>2140.9672825573971</v>
      </c>
      <c r="H81" s="66"/>
      <c r="I81" s="66"/>
      <c r="J81" s="66">
        <f>IF(H74,H87,IF(J74,J87,G81))</f>
        <v>2108.2126254717036</v>
      </c>
      <c r="K81" s="66"/>
      <c r="L81" s="66"/>
      <c r="M81" s="66">
        <f>IF(K74,K87,IF(M74,M87,J81))</f>
        <v>2108.2126254717036</v>
      </c>
      <c r="N81" s="66"/>
      <c r="O81" s="66"/>
      <c r="P81" s="66">
        <f>IF(N74,N87,IF(P74,P87,M81))</f>
        <v>2094.1445977652838</v>
      </c>
      <c r="Q81" s="66"/>
      <c r="R81" s="66"/>
      <c r="S81" s="66">
        <f>IF(Q74,Q87,IF(S74,S87,P81))</f>
        <v>2094.1445977652838</v>
      </c>
      <c r="T81" s="66"/>
      <c r="U81" s="66"/>
      <c r="V81" s="66">
        <f>IF(T74,T87,IF(V74,V87,S81))</f>
        <v>2075.6950208173248</v>
      </c>
      <c r="W81" s="66"/>
      <c r="X81" s="66"/>
      <c r="Y81" s="66">
        <f>IF(W74,W87,IF(Y74,Y87,V81))</f>
        <v>2075.6950208173248</v>
      </c>
      <c r="Z81" s="66"/>
      <c r="AA81" s="66"/>
      <c r="AB81" s="66">
        <f>IF(Z74,Z87,IF(AB74,AB87,Y81))</f>
        <v>2043.4409293967788</v>
      </c>
      <c r="AC81" s="66"/>
      <c r="AD81" s="66"/>
      <c r="AE81" s="66">
        <f>IF(AC74,AC87,IF(AE74,AE87,AB81))</f>
        <v>2043.4409293967788</v>
      </c>
      <c r="AF81" s="4"/>
      <c r="AG81" s="4"/>
      <c r="AJ81" s="4"/>
      <c r="AL81" s="4"/>
      <c r="AM81" s="4"/>
      <c r="AN81" s="4"/>
      <c r="AO81" s="4"/>
      <c r="AT81" s="62" t="str">
        <f>B81</f>
        <v>Coastal 16 Hurricanes</v>
      </c>
      <c r="AU81" s="62">
        <f>AE81</f>
        <v>2043.4409293967788</v>
      </c>
      <c r="AW81" s="65"/>
      <c r="BB81" s="65"/>
    </row>
    <row r="82" spans="1:54" s="62" customFormat="1" hidden="1" x14ac:dyDescent="0.2">
      <c r="A82" s="66">
        <v>4</v>
      </c>
      <c r="B82" s="66" t="str">
        <f>E14</f>
        <v>SC Midlands 16 Garnet</v>
      </c>
      <c r="C82" s="66">
        <f>VLOOKUP(B82,AU$3:AY$12,3,FALSE)</f>
        <v>2138.5872760572856</v>
      </c>
      <c r="D82" s="66">
        <f>IF(B75,B87,IF(D75,D87,C82))</f>
        <v>2138.5872760572856</v>
      </c>
      <c r="E82" s="66"/>
      <c r="F82" s="66"/>
      <c r="G82" s="66">
        <f>IF(E75,E87,IF(G75,G87,D82))</f>
        <v>2121.2774978553475</v>
      </c>
      <c r="H82" s="66"/>
      <c r="I82" s="66"/>
      <c r="J82" s="66">
        <f>IF(H75,H87,IF(J75,J87,G82))</f>
        <v>2121.2774978553475</v>
      </c>
      <c r="K82" s="66"/>
      <c r="L82" s="66"/>
      <c r="M82" s="66">
        <f>IF(K75,K87,IF(M75,M87,J82))</f>
        <v>2098.8712195897542</v>
      </c>
      <c r="N82" s="66"/>
      <c r="O82" s="66"/>
      <c r="P82" s="66">
        <f>IF(N75,N87,IF(P75,P87,M82))</f>
        <v>2098.8712195897542</v>
      </c>
      <c r="Q82" s="66"/>
      <c r="R82" s="66"/>
      <c r="S82" s="66">
        <f>IF(Q75,Q87,IF(S75,S87,P82))</f>
        <v>2072.9362002897606</v>
      </c>
      <c r="T82" s="66"/>
      <c r="U82" s="66"/>
      <c r="V82" s="66">
        <f>IF(T75,T87,IF(V75,V87,S82))</f>
        <v>2072.9362002897606</v>
      </c>
      <c r="W82" s="66"/>
      <c r="X82" s="66"/>
      <c r="Y82" s="66">
        <f>IF(W75,W87,IF(Y75,Y87,V82))</f>
        <v>2072.9362002897606</v>
      </c>
      <c r="Z82" s="66"/>
      <c r="AA82" s="66"/>
      <c r="AB82" s="66">
        <f>IF(Z75,Z87,IF(AB75,AB87,Y82))</f>
        <v>2105.1902917103066</v>
      </c>
      <c r="AC82" s="66"/>
      <c r="AD82" s="66"/>
      <c r="AE82" s="66">
        <f>IF(AC75,AC87,IF(AE75,AE87,AB82))</f>
        <v>2105.1902917103066</v>
      </c>
      <c r="AF82" s="4"/>
      <c r="AG82" s="4"/>
      <c r="AJ82" s="4"/>
      <c r="AL82" s="4"/>
      <c r="AM82" s="4"/>
      <c r="AN82" s="4"/>
      <c r="AO82" s="4"/>
      <c r="AT82" s="62" t="str">
        <f>B82</f>
        <v>SC Midlands 16 Garnet</v>
      </c>
      <c r="AU82" s="62">
        <f>AE82</f>
        <v>2105.1902917103066</v>
      </c>
      <c r="AW82" s="65"/>
      <c r="BB82" s="65"/>
    </row>
    <row r="83" spans="1:54" s="62" customFormat="1" hidden="1" x14ac:dyDescent="0.2">
      <c r="A83" s="66">
        <v>5</v>
      </c>
      <c r="B83" s="66" t="str">
        <f>E16</f>
        <v>CSRA Heat 16 Red</v>
      </c>
      <c r="C83" s="66">
        <f>VLOOKUP(B83,AU$3:AY$12,3,FALSE)</f>
        <v>2122.4112829190817</v>
      </c>
      <c r="D83" s="66">
        <f>IF(B76,B87,IF(D76,D87,C83))</f>
        <v>2132.7721778691171</v>
      </c>
      <c r="E83" s="66"/>
      <c r="F83" s="66"/>
      <c r="G83" s="66">
        <f>IF(E76,E87,IF(G76,G87,D83))</f>
        <v>2132.7721778691171</v>
      </c>
      <c r="H83" s="66"/>
      <c r="I83" s="66"/>
      <c r="J83" s="66">
        <f>IF(H76,H87,IF(J76,J87,G83))</f>
        <v>2165.5268349548105</v>
      </c>
      <c r="K83" s="66"/>
      <c r="L83" s="66"/>
      <c r="M83" s="66">
        <f>IF(K76,K87,IF(M76,M87,J83))</f>
        <v>2165.5268349548105</v>
      </c>
      <c r="N83" s="66"/>
      <c r="O83" s="66"/>
      <c r="P83" s="66">
        <f>IF(N76,N87,IF(P76,P87,M83))</f>
        <v>2165.5268349548105</v>
      </c>
      <c r="Q83" s="66"/>
      <c r="R83" s="66"/>
      <c r="S83" s="66">
        <f>IF(Q76,Q87,IF(S76,S87,P83))</f>
        <v>2191.4618542548042</v>
      </c>
      <c r="T83" s="66"/>
      <c r="U83" s="66"/>
      <c r="V83" s="66">
        <f>IF(T76,T87,IF(V76,V87,S83))</f>
        <v>2191.4618542548042</v>
      </c>
      <c r="W83" s="66"/>
      <c r="X83" s="66"/>
      <c r="Y83" s="66">
        <f>IF(W76,W87,IF(Y76,Y87,V83))</f>
        <v>2172.5458348460279</v>
      </c>
      <c r="Z83" s="66"/>
      <c r="AA83" s="66"/>
      <c r="AB83" s="66">
        <f>IF(Z76,Z87,IF(AB76,AB87,Y83))</f>
        <v>2172.5458348460279</v>
      </c>
      <c r="AC83" s="66"/>
      <c r="AD83" s="66"/>
      <c r="AE83" s="66">
        <f>IF(AC76,AC87,IF(AE76,AE87,AB83))</f>
        <v>2172.5458348460279</v>
      </c>
      <c r="AF83" s="4"/>
      <c r="AG83" s="4"/>
      <c r="AJ83" s="4"/>
      <c r="AL83" s="4"/>
      <c r="AM83" s="4"/>
      <c r="AN83" s="4"/>
      <c r="AO83" s="4"/>
      <c r="AT83" s="62" t="str">
        <f>B83</f>
        <v>CSRA Heat 16 Red</v>
      </c>
      <c r="AU83" s="62">
        <f>AE83</f>
        <v>2172.5458348460279</v>
      </c>
      <c r="AW83" s="65"/>
      <c r="BB83" s="65"/>
    </row>
    <row r="84" spans="1:54" s="62" customFormat="1" hidden="1" x14ac:dyDescent="0.2">
      <c r="A84" s="66"/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66"/>
      <c r="AE84" s="66"/>
      <c r="AF84" s="4"/>
      <c r="AG84" s="4"/>
      <c r="AJ84" s="4"/>
      <c r="AL84" s="4"/>
      <c r="AM84" s="4"/>
      <c r="AN84" s="4"/>
      <c r="AO84" s="4"/>
      <c r="AW84" s="65"/>
      <c r="BB84" s="65"/>
    </row>
    <row r="85" spans="1:54" s="62" customFormat="1" hidden="1" x14ac:dyDescent="0.2">
      <c r="A85" s="66" t="s">
        <v>114</v>
      </c>
      <c r="B85" s="66">
        <f>VLOOKUP(B24,$A79:$AE83,3,FALSE)</f>
        <v>2239.1016155301213</v>
      </c>
      <c r="C85" s="66">
        <v>1</v>
      </c>
      <c r="D85" s="66">
        <f>VLOOKUP(D24,$A79:$AE83,3,FALSE)</f>
        <v>2122.4112829190817</v>
      </c>
      <c r="E85" s="66">
        <f>VLOOKUP(E24,$A79:$AE83,4,FALSE)</f>
        <v>2310.9610496243463</v>
      </c>
      <c r="F85" s="66">
        <v>2</v>
      </c>
      <c r="G85" s="66">
        <f>VLOOKUP(G24,$A79:$AE83,4,FALSE)</f>
        <v>2138.5872760572856</v>
      </c>
      <c r="H85" s="66">
        <f>VLOOKUP(H24,$A79:$AE83,7,FALSE)</f>
        <v>2140.9672825573971</v>
      </c>
      <c r="I85" s="66">
        <v>3</v>
      </c>
      <c r="J85" s="66">
        <f>VLOOKUP(J24,$A79:$AE83,7,FALSE)</f>
        <v>2132.7721778691171</v>
      </c>
      <c r="K85" s="66">
        <f>VLOOKUP(K24,$A79:$AE83,10,FALSE)</f>
        <v>2228.740720580086</v>
      </c>
      <c r="L85" s="66">
        <v>4</v>
      </c>
      <c r="M85" s="66">
        <f>VLOOKUP(M24,$A79:$AE83,10,FALSE)</f>
        <v>2121.2774978553475</v>
      </c>
      <c r="N85" s="66">
        <f>VLOOKUP(N24,$A79:$AE83,13,FALSE)</f>
        <v>2328.2708278262844</v>
      </c>
      <c r="O85" s="66">
        <v>5</v>
      </c>
      <c r="P85" s="66">
        <f>VLOOKUP(P24,$A79:$AE83,13,FALSE)</f>
        <v>2108.2126254717036</v>
      </c>
      <c r="Q85" s="66">
        <f>VLOOKUP(Q24,$A79:$AE83,16,FALSE)</f>
        <v>2098.8712195897542</v>
      </c>
      <c r="R85" s="66">
        <v>6</v>
      </c>
      <c r="S85" s="66">
        <f>VLOOKUP(S24,$A79:$AE83,16,FALSE)</f>
        <v>2165.5268349548105</v>
      </c>
      <c r="T85" s="66">
        <f>VLOOKUP(T24,$A79:$AE83,19,FALSE)</f>
        <v>2251.1469988456793</v>
      </c>
      <c r="U85" s="66">
        <v>7</v>
      </c>
      <c r="V85" s="66">
        <f>VLOOKUP(V24,$A79:$AE83,19,FALSE)</f>
        <v>2094.1445977652838</v>
      </c>
      <c r="W85" s="66">
        <f>VLOOKUP(W24,$A79:$AE83,22,FALSE)</f>
        <v>2342.3388555327042</v>
      </c>
      <c r="X85" s="66">
        <v>8</v>
      </c>
      <c r="Y85" s="66">
        <f>VLOOKUP(Y24,$A79:$AE83,22,FALSE)</f>
        <v>2191.4618542548042</v>
      </c>
      <c r="Z85" s="66">
        <f>VLOOKUP(Z24,$A79:$AE83,25,FALSE)</f>
        <v>2075.6950208173248</v>
      </c>
      <c r="AA85" s="66">
        <v>9</v>
      </c>
      <c r="AB85" s="66">
        <f>VLOOKUP(AB24,$A79:$AE83,25,FALSE)</f>
        <v>2072.9362002897606</v>
      </c>
      <c r="AC85" s="66">
        <f>VLOOKUP(AC24,$A79:$AE83,28,FALSE)</f>
        <v>2361.2548749414805</v>
      </c>
      <c r="AD85" s="66">
        <v>10</v>
      </c>
      <c r="AE85" s="66">
        <f>VLOOKUP(AE24,$A79:$AE83,28,FALSE)</f>
        <v>2269.5965757936383</v>
      </c>
      <c r="AF85" s="4"/>
      <c r="AG85" s="79"/>
      <c r="AH85" s="79"/>
      <c r="AI85" s="79"/>
      <c r="AJ85" s="79"/>
      <c r="AK85" s="79"/>
      <c r="AL85" s="79"/>
      <c r="AM85" s="79"/>
      <c r="AN85" s="80"/>
      <c r="AO85" s="80"/>
      <c r="AP85" s="80"/>
      <c r="AQ85" s="80"/>
      <c r="AW85" s="65"/>
      <c r="BB85" s="65"/>
    </row>
    <row r="86" spans="1:54" s="71" customFormat="1" hidden="1" x14ac:dyDescent="0.2">
      <c r="A86" s="67" t="s">
        <v>115</v>
      </c>
      <c r="B86" s="67">
        <f>1/(1+(10^-((B85-D85)/400)))*(B36+D36)</f>
        <v>1.323777967188601</v>
      </c>
      <c r="C86" s="67"/>
      <c r="D86" s="67">
        <f>1/(1+(10^-((D85-B85)/400)))*(B36+D36)</f>
        <v>0.67622203281139914</v>
      </c>
      <c r="E86" s="67">
        <f>1/(1+(10^-((E85-G85)/400)))*(E36+G36)</f>
        <v>1.4590694311894312</v>
      </c>
      <c r="F86" s="67"/>
      <c r="G86" s="67">
        <f>1/(1+(10^-((G85-E85)/400)))*(E36+G36)</f>
        <v>0.54093056881056889</v>
      </c>
      <c r="H86" s="67">
        <f>1/(1+(10^-((H85-J85)/400)))*(H36+J36)</f>
        <v>1.0235830339279248</v>
      </c>
      <c r="I86" s="67"/>
      <c r="J86" s="67">
        <f>1/(1+(10^-((J85-H85)/400)))*(H36+J36)</f>
        <v>0.97641696607207518</v>
      </c>
      <c r="K86" s="67">
        <f>1/(1+(10^-((K85-M85)/400)))*(K36+M36)</f>
        <v>1.2998038042002025</v>
      </c>
      <c r="L86" s="67"/>
      <c r="M86" s="67">
        <f>1/(1+(10^-((M85-K85)/400)))*(K36+M36)</f>
        <v>0.70019619579979742</v>
      </c>
      <c r="N86" s="67">
        <f>1/(1+(10^-((N85-P85)/400)))*(N36+P36)</f>
        <v>1.5603741341743858</v>
      </c>
      <c r="O86" s="67"/>
      <c r="P86" s="67">
        <f>1/(1+(10^-((P85-N85)/400)))*(N36+P36)</f>
        <v>0.43962586582561425</v>
      </c>
      <c r="Q86" s="67">
        <f>1/(1+(10^-((Q85-S85)/400)))*(Q36+S36)</f>
        <v>0.81046935312480062</v>
      </c>
      <c r="R86" s="67"/>
      <c r="S86" s="67">
        <f>1/(1+(10^-((S85-Q85)/400)))*(Q36+S36)</f>
        <v>1.1895306468751994</v>
      </c>
      <c r="T86" s="67">
        <f>1/(1+(10^-((T85-V85)/400)))*(T36+V36)</f>
        <v>1.4234507203762863</v>
      </c>
      <c r="U86" s="67"/>
      <c r="V86" s="67">
        <f>1/(1+(10^-((V85-T85)/400)))*(T36+V36)</f>
        <v>0.57654927962371372</v>
      </c>
      <c r="W86" s="67">
        <f>1/(1+(10^-((W85-Y85)/400)))*(W36+Y36)</f>
        <v>1.4088743934757431</v>
      </c>
      <c r="X86" s="67"/>
      <c r="Y86" s="67">
        <f>1/(1+(10^-((Y85-W85)/400)))*(W36+Y36)</f>
        <v>0.59112560652425694</v>
      </c>
      <c r="Z86" s="67">
        <f>1/(1+(10^-((Z85-AB85)/400)))*(Z36+AB36)</f>
        <v>1.0079403568920606</v>
      </c>
      <c r="AA86" s="67"/>
      <c r="AB86" s="67">
        <f>1/(1+(10^-((AB85-Z85)/400)))*(Z36+AB36)</f>
        <v>0.99205964310793937</v>
      </c>
      <c r="AC86" s="67">
        <f>1/(1+(10^-((AC85-AE85)/400)))*(AC36+AE36)</f>
        <v>1.2578592272759908</v>
      </c>
      <c r="AD86" s="67"/>
      <c r="AE86" s="67">
        <f>1/(1+(10^-((AE85-AC85)/400)))*(AC36+AE36)</f>
        <v>0.74214077272400913</v>
      </c>
      <c r="AF86" s="68"/>
      <c r="AG86" s="69"/>
      <c r="AH86" s="69"/>
      <c r="AI86" s="69"/>
      <c r="AJ86" s="69"/>
      <c r="AK86" s="69"/>
      <c r="AL86" s="69"/>
      <c r="AM86" s="69"/>
      <c r="AN86" s="70"/>
      <c r="AO86" s="70"/>
      <c r="AP86" s="70"/>
      <c r="AQ86" s="70"/>
      <c r="AW86" s="72"/>
      <c r="BB86" s="72"/>
    </row>
    <row r="87" spans="1:54" s="77" customFormat="1" hidden="1" x14ac:dyDescent="0.2">
      <c r="A87" s="73" t="s">
        <v>116</v>
      </c>
      <c r="B87" s="73">
        <f>B85+(B36-B86)*$BA$1</f>
        <v>2228.740720580086</v>
      </c>
      <c r="C87" s="73"/>
      <c r="D87" s="73">
        <f>D85+(D36-D86)*$BA$1</f>
        <v>2132.7721778691171</v>
      </c>
      <c r="E87" s="73">
        <f>E85+(E36-E86)*$BA$1</f>
        <v>2328.2708278262844</v>
      </c>
      <c r="F87" s="73"/>
      <c r="G87" s="73">
        <f>G85+(G36-G86)*$BA$1</f>
        <v>2121.2774978553475</v>
      </c>
      <c r="H87" s="73">
        <f>H85+(H36-H86)*$BA$1</f>
        <v>2108.2126254717036</v>
      </c>
      <c r="I87" s="73"/>
      <c r="J87" s="73">
        <f>J85+(J36-J86)*$BA$1</f>
        <v>2165.5268349548105</v>
      </c>
      <c r="K87" s="73">
        <f>K85+(K36-K86)*$BA$1</f>
        <v>2251.1469988456793</v>
      </c>
      <c r="L87" s="73"/>
      <c r="M87" s="73">
        <f>M85+(M36-M86)*$BA$1</f>
        <v>2098.8712195897542</v>
      </c>
      <c r="N87" s="73">
        <f>N85+(N36-N86)*$BA$1</f>
        <v>2342.3388555327042</v>
      </c>
      <c r="O87" s="73"/>
      <c r="P87" s="73">
        <f>P85+(P36-P86)*$BA$1</f>
        <v>2094.1445977652838</v>
      </c>
      <c r="Q87" s="73">
        <f>Q85+(Q36-Q86)*$BA$1</f>
        <v>2072.9362002897606</v>
      </c>
      <c r="R87" s="73"/>
      <c r="S87" s="73">
        <f>S85+(S36-S86)*$BA$1</f>
        <v>2191.4618542548042</v>
      </c>
      <c r="T87" s="73">
        <f>T85+(T36-T86)*$BA$1</f>
        <v>2269.5965757936383</v>
      </c>
      <c r="U87" s="73"/>
      <c r="V87" s="73">
        <f>V85+(V36-V86)*$BA$1</f>
        <v>2075.6950208173248</v>
      </c>
      <c r="W87" s="73">
        <f>W85+(W36-W86)*$BA$1</f>
        <v>2361.2548749414805</v>
      </c>
      <c r="X87" s="73"/>
      <c r="Y87" s="73">
        <f>Y85+(Y36-Y86)*$BA$1</f>
        <v>2172.5458348460279</v>
      </c>
      <c r="Z87" s="73">
        <f>Z85+(Z36-Z86)*$BA$1</f>
        <v>2043.4409293967788</v>
      </c>
      <c r="AA87" s="73"/>
      <c r="AB87" s="73">
        <f>AB85+(AB36-AB86)*$BA$1</f>
        <v>2105.1902917103066</v>
      </c>
      <c r="AC87" s="73">
        <f>AC85+(AC36-AC86)*$BA$1</f>
        <v>2385.0033796686489</v>
      </c>
      <c r="AD87" s="73"/>
      <c r="AE87" s="73">
        <f>AE85+(AE36-AE86)*$BA$1</f>
        <v>2245.8480710664699</v>
      </c>
      <c r="AF87" s="74"/>
      <c r="AG87" s="75"/>
      <c r="AH87" s="75"/>
      <c r="AI87" s="75"/>
      <c r="AJ87" s="75"/>
      <c r="AK87" s="75"/>
      <c r="AL87" s="75"/>
      <c r="AM87" s="75"/>
      <c r="AN87" s="76"/>
      <c r="AO87" s="76"/>
      <c r="AP87" s="76"/>
      <c r="AQ87" s="76"/>
      <c r="AW87" s="78"/>
      <c r="BB87" s="78"/>
    </row>
    <row r="88" spans="1:54" s="77" customFormat="1" hidden="1" x14ac:dyDescent="0.2">
      <c r="A88" s="73"/>
      <c r="B88" s="73"/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73"/>
      <c r="AD88" s="73"/>
      <c r="AE88" s="73"/>
      <c r="AF88" s="74"/>
      <c r="AG88" s="75"/>
      <c r="AH88" s="75"/>
      <c r="AI88" s="75"/>
      <c r="AJ88" s="75"/>
      <c r="AK88" s="75"/>
      <c r="AL88" s="75"/>
      <c r="AM88" s="75"/>
      <c r="AN88" s="76"/>
      <c r="AO88" s="76"/>
      <c r="AP88" s="76"/>
      <c r="AQ88" s="76"/>
      <c r="AW88" s="78"/>
      <c r="BB88" s="78"/>
    </row>
    <row r="89" spans="1:54" s="62" customFormat="1" x14ac:dyDescent="0.2">
      <c r="A89" s="703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703"/>
      <c r="C89" s="703"/>
      <c r="D89" s="703"/>
      <c r="E89" s="703"/>
      <c r="F89" s="703"/>
      <c r="G89" s="703"/>
      <c r="H89" s="703"/>
      <c r="I89" s="703"/>
      <c r="J89" s="703"/>
      <c r="K89" s="703"/>
      <c r="L89" s="703"/>
      <c r="M89" s="703"/>
      <c r="N89" s="703"/>
      <c r="O89" s="703"/>
      <c r="P89" s="703"/>
      <c r="Q89" s="703"/>
      <c r="R89" s="703"/>
      <c r="S89" s="703"/>
      <c r="T89" s="703"/>
      <c r="U89" s="703"/>
      <c r="V89" s="703"/>
      <c r="W89" s="703"/>
      <c r="X89" s="703"/>
      <c r="Y89" s="703"/>
      <c r="Z89" s="703"/>
      <c r="AA89" s="703"/>
      <c r="AB89" s="703"/>
      <c r="AC89" s="703"/>
      <c r="AD89" s="703"/>
      <c r="AE89" s="703"/>
      <c r="AF89" s="703"/>
      <c r="AG89" s="703"/>
      <c r="AH89" s="703"/>
      <c r="AI89" s="703"/>
      <c r="AJ89" s="703"/>
      <c r="AK89" s="703"/>
      <c r="AL89" s="703"/>
      <c r="AM89" s="703"/>
      <c r="AN89" s="681"/>
      <c r="AO89" s="681"/>
      <c r="AP89" s="681"/>
      <c r="AQ89" s="681"/>
      <c r="AW89" s="65"/>
    </row>
    <row r="90" spans="1:54" s="62" customFormat="1" ht="13.5" thickBot="1" x14ac:dyDescent="0.25">
      <c r="A90" s="704"/>
      <c r="B90" s="704"/>
      <c r="C90" s="704"/>
      <c r="D90" s="704"/>
      <c r="E90" s="704"/>
      <c r="F90" s="704"/>
      <c r="G90" s="704"/>
      <c r="H90" s="704"/>
      <c r="I90" s="704"/>
      <c r="J90" s="704"/>
      <c r="K90" s="704"/>
      <c r="L90" s="704"/>
      <c r="M90" s="704"/>
      <c r="N90" s="704"/>
      <c r="O90" s="704"/>
      <c r="P90" s="704"/>
      <c r="Q90" s="704"/>
      <c r="R90" s="704"/>
      <c r="S90" s="704"/>
      <c r="T90" s="704"/>
      <c r="U90" s="704"/>
      <c r="V90" s="704"/>
      <c r="W90" s="704"/>
      <c r="X90" s="704"/>
      <c r="Y90" s="704"/>
      <c r="Z90" s="704"/>
      <c r="AA90" s="704"/>
      <c r="AB90" s="704"/>
      <c r="AC90" s="704"/>
      <c r="AD90" s="704"/>
      <c r="AE90" s="704"/>
      <c r="AF90" s="704"/>
      <c r="AG90" s="704"/>
      <c r="AH90" s="704"/>
      <c r="AI90" s="704"/>
      <c r="AJ90" s="704"/>
      <c r="AK90" s="704"/>
      <c r="AL90" s="704"/>
      <c r="AM90" s="704"/>
      <c r="AN90" s="704"/>
      <c r="AO90" s="704"/>
      <c r="AP90" s="704"/>
      <c r="AQ90" s="704"/>
      <c r="AW90" s="65"/>
    </row>
    <row r="91" spans="1:54" ht="24" customHeight="1" thickBot="1" x14ac:dyDescent="0.25">
      <c r="A91" s="21" t="s">
        <v>33</v>
      </c>
      <c r="B91" s="22" t="s">
        <v>117</v>
      </c>
      <c r="C91" s="775" t="s">
        <v>35</v>
      </c>
      <c r="D91" s="776"/>
      <c r="E91" s="776"/>
      <c r="F91" s="776"/>
      <c r="G91" s="776"/>
      <c r="H91" s="777"/>
      <c r="I91" s="778">
        <v>2</v>
      </c>
      <c r="J91" s="779"/>
      <c r="K91" s="780" t="str">
        <f>"Pool "&amp;B91&amp;" - Round 1 - Court "&amp;I91</f>
        <v>Pool B - Round 1 - Court 2</v>
      </c>
      <c r="L91" s="781"/>
      <c r="M91" s="781"/>
      <c r="N91" s="781"/>
      <c r="O91" s="781"/>
      <c r="P91" s="781"/>
      <c r="Q91" s="781"/>
      <c r="R91" s="781"/>
      <c r="S91" s="781"/>
      <c r="T91" s="781"/>
      <c r="U91" s="781"/>
      <c r="V91" s="781"/>
      <c r="W91" s="781"/>
      <c r="X91" s="781"/>
      <c r="Y91" s="781"/>
      <c r="Z91" s="781"/>
      <c r="AA91" s="781"/>
      <c r="AB91" s="781"/>
      <c r="AC91" s="781"/>
      <c r="AD91" s="781"/>
      <c r="AE91" s="781"/>
      <c r="AF91" s="781"/>
      <c r="AG91" s="781"/>
      <c r="AH91" s="781"/>
      <c r="AI91" s="782"/>
      <c r="AJ91" s="7"/>
      <c r="AK91" s="7"/>
      <c r="AL91" s="7"/>
      <c r="AM91" s="7"/>
      <c r="AN91" s="7"/>
      <c r="AO91" s="7"/>
      <c r="AP91" s="7"/>
      <c r="AQ91" s="7"/>
    </row>
    <row r="92" spans="1:54" ht="27" customHeight="1" thickBot="1" x14ac:dyDescent="0.25">
      <c r="A92" s="23" t="s">
        <v>38</v>
      </c>
      <c r="B92" s="783" t="s">
        <v>10</v>
      </c>
      <c r="C92" s="784"/>
      <c r="D92" s="784"/>
      <c r="E92" s="784"/>
      <c r="F92" s="784"/>
      <c r="G92" s="784"/>
      <c r="H92" s="784"/>
      <c r="I92" s="784"/>
      <c r="J92" s="784"/>
      <c r="K92" s="784"/>
      <c r="L92" s="783" t="str">
        <f>IF($AK95=0,"Games Won","Matches Won")</f>
        <v>Games Won</v>
      </c>
      <c r="M92" s="784"/>
      <c r="N92" s="784"/>
      <c r="O92" s="784"/>
      <c r="P92" s="784"/>
      <c r="Q92" s="785"/>
      <c r="R92" s="783" t="str">
        <f>IF($AK95=0,"Games Lost","Matches Lost")</f>
        <v>Games Lost</v>
      </c>
      <c r="S92" s="786"/>
      <c r="T92" s="786"/>
      <c r="U92" s="786"/>
      <c r="V92" s="787"/>
      <c r="W92" s="788" t="s">
        <v>39</v>
      </c>
      <c r="X92" s="789"/>
      <c r="Y92" s="790"/>
      <c r="Z92" s="788" t="s">
        <v>40</v>
      </c>
      <c r="AA92" s="789"/>
      <c r="AB92" s="790"/>
      <c r="AC92" s="791" t="s">
        <v>41</v>
      </c>
      <c r="AD92" s="792"/>
      <c r="AE92" s="793"/>
      <c r="AF92" s="24" t="s">
        <v>42</v>
      </c>
      <c r="AG92" s="25" t="s">
        <v>9</v>
      </c>
      <c r="AH92" s="773" t="s">
        <v>43</v>
      </c>
      <c r="AI92" s="774"/>
      <c r="AJ92" s="26"/>
      <c r="AK92" s="27">
        <v>2</v>
      </c>
      <c r="AL92" s="28" t="s">
        <v>44</v>
      </c>
      <c r="AM92" s="28"/>
      <c r="AN92" s="28"/>
      <c r="AO92" s="28"/>
      <c r="AP92" s="28"/>
      <c r="AQ92" s="28"/>
      <c r="AR92" s="29"/>
    </row>
    <row r="93" spans="1:54" ht="18.75" customHeight="1" x14ac:dyDescent="0.2">
      <c r="A93" s="742" t="str">
        <f>IF($AK94&gt;0,"1","")</f>
        <v>1</v>
      </c>
      <c r="B93" s="770" t="s">
        <v>10</v>
      </c>
      <c r="C93" s="771"/>
      <c r="D93" s="772"/>
      <c r="E93" s="746" t="str">
        <f>AU4</f>
        <v>CSRA Heat 16 Black</v>
      </c>
      <c r="F93" s="747"/>
      <c r="G93" s="747"/>
      <c r="H93" s="747"/>
      <c r="I93" s="747"/>
      <c r="J93" s="747"/>
      <c r="K93" s="748"/>
      <c r="L93" s="749">
        <f>IF($AK95=0,AF149,AF131)</f>
        <v>5</v>
      </c>
      <c r="M93" s="750"/>
      <c r="N93" s="750"/>
      <c r="O93" s="750"/>
      <c r="P93" s="750"/>
      <c r="Q93" s="785"/>
      <c r="R93" s="749">
        <f>IF($AK95=0,AG149,AG131)</f>
        <v>3</v>
      </c>
      <c r="S93" s="750"/>
      <c r="T93" s="750"/>
      <c r="U93" s="750"/>
      <c r="V93" s="750"/>
      <c r="W93" s="749">
        <f>AQ109</f>
        <v>5</v>
      </c>
      <c r="X93" s="750"/>
      <c r="Y93" s="750"/>
      <c r="Z93" s="722">
        <f>IF(AF143&gt;0,(AQ109/AF143),0)</f>
        <v>2.4509803921568627E-2</v>
      </c>
      <c r="AA93" s="723"/>
      <c r="AB93" s="723"/>
      <c r="AC93" s="726">
        <f>IF(AF157=0,0,(AF149/AF157))</f>
        <v>0.625</v>
      </c>
      <c r="AD93" s="727"/>
      <c r="AE93" s="728"/>
      <c r="AF93" s="732">
        <v>2</v>
      </c>
      <c r="AG93" s="732">
        <v>2</v>
      </c>
      <c r="AH93" s="734">
        <v>3</v>
      </c>
      <c r="AI93" s="735"/>
      <c r="AJ93" s="26"/>
      <c r="AK93" s="27">
        <v>10</v>
      </c>
      <c r="AL93" s="28" t="s">
        <v>47</v>
      </c>
      <c r="AM93" s="28"/>
      <c r="AN93" s="28"/>
      <c r="AO93" s="28"/>
      <c r="AP93" s="28"/>
      <c r="AQ93" s="28"/>
      <c r="AR93" s="29"/>
    </row>
    <row r="94" spans="1:54" ht="18.75" customHeight="1" thickBot="1" x14ac:dyDescent="0.25">
      <c r="A94" s="743"/>
      <c r="B94" s="767" t="s">
        <v>11</v>
      </c>
      <c r="C94" s="768"/>
      <c r="D94" s="769"/>
      <c r="E94" s="763" t="str">
        <f>AV4</f>
        <v>fj6csrah2pm</v>
      </c>
      <c r="F94" s="764"/>
      <c r="G94" s="764"/>
      <c r="H94" s="764"/>
      <c r="I94" s="764"/>
      <c r="J94" s="764"/>
      <c r="K94" s="764"/>
      <c r="L94" s="765"/>
      <c r="M94" s="766"/>
      <c r="N94" s="766"/>
      <c r="O94" s="766"/>
      <c r="P94" s="766"/>
      <c r="Q94" s="785"/>
      <c r="R94" s="765"/>
      <c r="S94" s="766"/>
      <c r="T94" s="766"/>
      <c r="U94" s="766"/>
      <c r="V94" s="766"/>
      <c r="W94" s="765"/>
      <c r="X94" s="766"/>
      <c r="Y94" s="766"/>
      <c r="Z94" s="753"/>
      <c r="AA94" s="754"/>
      <c r="AB94" s="754"/>
      <c r="AC94" s="755"/>
      <c r="AD94" s="756"/>
      <c r="AE94" s="757"/>
      <c r="AF94" s="758"/>
      <c r="AG94" s="758"/>
      <c r="AH94" s="759"/>
      <c r="AI94" s="760"/>
      <c r="AJ94" s="26"/>
      <c r="AK94" s="27">
        <v>5</v>
      </c>
      <c r="AL94" s="28" t="s">
        <v>50</v>
      </c>
      <c r="AM94" s="26"/>
      <c r="AN94" s="26"/>
      <c r="AO94" s="26"/>
      <c r="AP94" s="26"/>
      <c r="AQ94" s="26"/>
      <c r="AR94" s="3"/>
    </row>
    <row r="95" spans="1:54" ht="18.75" customHeight="1" x14ac:dyDescent="0.2">
      <c r="A95" s="742" t="str">
        <f>IF($AK94&gt;1,"2","")</f>
        <v>2</v>
      </c>
      <c r="B95" s="770" t="s">
        <v>10</v>
      </c>
      <c r="C95" s="771"/>
      <c r="D95" s="772"/>
      <c r="E95" s="746" t="str">
        <f>AU5</f>
        <v>Agema16U</v>
      </c>
      <c r="F95" s="747"/>
      <c r="G95" s="747"/>
      <c r="H95" s="747"/>
      <c r="I95" s="747"/>
      <c r="J95" s="747"/>
      <c r="K95" s="748"/>
      <c r="L95" s="749">
        <f>IF($AK95=0,AF150,AF132)</f>
        <v>5</v>
      </c>
      <c r="M95" s="750"/>
      <c r="N95" s="750"/>
      <c r="O95" s="750"/>
      <c r="P95" s="750"/>
      <c r="Q95" s="785"/>
      <c r="R95" s="749">
        <f>IF($AK95=0,AG150,AG132)</f>
        <v>3</v>
      </c>
      <c r="S95" s="750"/>
      <c r="T95" s="750"/>
      <c r="U95" s="750"/>
      <c r="V95" s="750"/>
      <c r="W95" s="749">
        <f>AQ110</f>
        <v>18</v>
      </c>
      <c r="X95" s="750"/>
      <c r="Y95" s="750"/>
      <c r="Z95" s="722">
        <f>IF(AF144&gt;0,(AQ110/AF144),0)</f>
        <v>8.8235294117647065E-2</v>
      </c>
      <c r="AA95" s="723"/>
      <c r="AB95" s="723"/>
      <c r="AC95" s="726">
        <f>IF(AF158=0,0,(AF150/AF158))</f>
        <v>0.625</v>
      </c>
      <c r="AD95" s="727"/>
      <c r="AE95" s="728"/>
      <c r="AF95" s="732">
        <v>1</v>
      </c>
      <c r="AG95" s="732">
        <v>2</v>
      </c>
      <c r="AH95" s="734">
        <v>2</v>
      </c>
      <c r="AI95" s="735"/>
      <c r="AJ95" s="26"/>
      <c r="AK95" s="27">
        <v>0</v>
      </c>
      <c r="AL95" s="28" t="s">
        <v>53</v>
      </c>
      <c r="AM95" s="28"/>
      <c r="AN95" s="28"/>
      <c r="AO95" s="28"/>
      <c r="AP95" s="28"/>
      <c r="AQ95" s="28"/>
      <c r="AR95" s="29"/>
    </row>
    <row r="96" spans="1:54" ht="18.75" customHeight="1" thickBot="1" x14ac:dyDescent="0.25">
      <c r="A96" s="743"/>
      <c r="B96" s="761" t="s">
        <v>11</v>
      </c>
      <c r="C96" s="762"/>
      <c r="D96" s="762"/>
      <c r="E96" s="763" t="str">
        <f>AV5</f>
        <v>fj6agema1pm</v>
      </c>
      <c r="F96" s="764"/>
      <c r="G96" s="764"/>
      <c r="H96" s="764"/>
      <c r="I96" s="764"/>
      <c r="J96" s="764"/>
      <c r="K96" s="764"/>
      <c r="L96" s="765"/>
      <c r="M96" s="766"/>
      <c r="N96" s="766"/>
      <c r="O96" s="766"/>
      <c r="P96" s="766"/>
      <c r="Q96" s="785"/>
      <c r="R96" s="765"/>
      <c r="S96" s="766"/>
      <c r="T96" s="766"/>
      <c r="U96" s="766"/>
      <c r="V96" s="766"/>
      <c r="W96" s="765"/>
      <c r="X96" s="766"/>
      <c r="Y96" s="766"/>
      <c r="Z96" s="753"/>
      <c r="AA96" s="754"/>
      <c r="AB96" s="754"/>
      <c r="AC96" s="755"/>
      <c r="AD96" s="756"/>
      <c r="AE96" s="757"/>
      <c r="AF96" s="758"/>
      <c r="AG96" s="758"/>
      <c r="AH96" s="759"/>
      <c r="AI96" s="760"/>
      <c r="AJ96" s="26"/>
      <c r="AK96" s="27">
        <v>1</v>
      </c>
      <c r="AL96" s="28" t="s">
        <v>56</v>
      </c>
      <c r="AM96" s="26"/>
      <c r="AN96" s="26"/>
      <c r="AO96" s="26"/>
      <c r="AP96" s="26"/>
      <c r="AQ96" s="26"/>
      <c r="AR96" s="3"/>
    </row>
    <row r="97" spans="1:44" ht="18.75" customHeight="1" x14ac:dyDescent="0.2">
      <c r="A97" s="742" t="str">
        <f>IF($AK94&gt;2,"3","")</f>
        <v>3</v>
      </c>
      <c r="B97" s="744" t="s">
        <v>10</v>
      </c>
      <c r="C97" s="745"/>
      <c r="D97" s="745"/>
      <c r="E97" s="746" t="str">
        <f>AU8</f>
        <v>SC Midlands 16 Black</v>
      </c>
      <c r="F97" s="747"/>
      <c r="G97" s="747"/>
      <c r="H97" s="747"/>
      <c r="I97" s="747"/>
      <c r="J97" s="747"/>
      <c r="K97" s="748"/>
      <c r="L97" s="749">
        <f>IF($AK95=0,AF151,AF133)</f>
        <v>4</v>
      </c>
      <c r="M97" s="750"/>
      <c r="N97" s="750"/>
      <c r="O97" s="750"/>
      <c r="P97" s="750"/>
      <c r="Q97" s="785"/>
      <c r="R97" s="749">
        <f>IF($AK95=0,AG151,AG133)</f>
        <v>4</v>
      </c>
      <c r="S97" s="750"/>
      <c r="T97" s="750"/>
      <c r="U97" s="750"/>
      <c r="V97" s="750"/>
      <c r="W97" s="749">
        <f>AQ111</f>
        <v>-1</v>
      </c>
      <c r="X97" s="750"/>
      <c r="Y97" s="750"/>
      <c r="Z97" s="722">
        <f>IF(AF145&gt;0,(AQ111/AF145),0)</f>
        <v>-4.9751243781094526E-3</v>
      </c>
      <c r="AA97" s="723"/>
      <c r="AB97" s="723"/>
      <c r="AC97" s="726">
        <f>IF(AF159=0,0,(AF151/AF159))</f>
        <v>0.5</v>
      </c>
      <c r="AD97" s="727"/>
      <c r="AE97" s="728"/>
      <c r="AF97" s="732">
        <v>3</v>
      </c>
      <c r="AG97" s="732">
        <v>1</v>
      </c>
      <c r="AH97" s="734">
        <v>6</v>
      </c>
      <c r="AI97" s="735"/>
      <c r="AJ97" s="30"/>
      <c r="AK97" s="27">
        <v>8</v>
      </c>
      <c r="AL97" s="31" t="s">
        <v>59</v>
      </c>
      <c r="AM97" s="28"/>
      <c r="AN97" s="28"/>
      <c r="AO97" s="28"/>
      <c r="AP97" s="28"/>
      <c r="AQ97" s="28"/>
      <c r="AR97" s="29"/>
    </row>
    <row r="98" spans="1:44" ht="18.75" customHeight="1" thickBot="1" x14ac:dyDescent="0.25">
      <c r="A98" s="743"/>
      <c r="B98" s="761" t="s">
        <v>11</v>
      </c>
      <c r="C98" s="762"/>
      <c r="D98" s="762"/>
      <c r="E98" s="763" t="str">
        <f>AV8</f>
        <v>fj6scmid3pm</v>
      </c>
      <c r="F98" s="764"/>
      <c r="G98" s="764"/>
      <c r="H98" s="764"/>
      <c r="I98" s="764"/>
      <c r="J98" s="764"/>
      <c r="K98" s="764"/>
      <c r="L98" s="765"/>
      <c r="M98" s="766"/>
      <c r="N98" s="766"/>
      <c r="O98" s="766"/>
      <c r="P98" s="766"/>
      <c r="Q98" s="785"/>
      <c r="R98" s="765"/>
      <c r="S98" s="766"/>
      <c r="T98" s="766"/>
      <c r="U98" s="766"/>
      <c r="V98" s="766"/>
      <c r="W98" s="765"/>
      <c r="X98" s="766"/>
      <c r="Y98" s="766"/>
      <c r="Z98" s="753"/>
      <c r="AA98" s="754"/>
      <c r="AB98" s="754"/>
      <c r="AC98" s="755"/>
      <c r="AD98" s="756"/>
      <c r="AE98" s="757"/>
      <c r="AF98" s="758"/>
      <c r="AG98" s="758"/>
      <c r="AH98" s="759"/>
      <c r="AI98" s="760"/>
      <c r="AJ98" s="30"/>
      <c r="AK98" s="35"/>
      <c r="AL98" s="36"/>
      <c r="AM98" s="36"/>
      <c r="AN98" s="36"/>
      <c r="AO98" s="36"/>
      <c r="AP98" s="36"/>
      <c r="AQ98" s="26"/>
      <c r="AR98" s="3"/>
    </row>
    <row r="99" spans="1:44" ht="18.75" customHeight="1" x14ac:dyDescent="0.2">
      <c r="A99" s="742" t="str">
        <f>IF($AK94&gt;3,"4","")</f>
        <v>4</v>
      </c>
      <c r="B99" s="744" t="s">
        <v>10</v>
      </c>
      <c r="C99" s="745"/>
      <c r="D99" s="745"/>
      <c r="E99" s="746" t="str">
        <f>AU9</f>
        <v>Vision 16 Regional</v>
      </c>
      <c r="F99" s="747"/>
      <c r="G99" s="747"/>
      <c r="H99" s="747"/>
      <c r="I99" s="747"/>
      <c r="J99" s="747"/>
      <c r="K99" s="748"/>
      <c r="L99" s="749">
        <f>IF($AK95=0,AF152,AF134)</f>
        <v>3</v>
      </c>
      <c r="M99" s="750"/>
      <c r="N99" s="750"/>
      <c r="O99" s="750"/>
      <c r="P99" s="750"/>
      <c r="Q99" s="785"/>
      <c r="R99" s="749">
        <f>IF($AK95=0,AG152,AG134)</f>
        <v>5</v>
      </c>
      <c r="S99" s="750"/>
      <c r="T99" s="750"/>
      <c r="U99" s="750"/>
      <c r="V99" s="750"/>
      <c r="W99" s="749">
        <f>AQ112</f>
        <v>-10</v>
      </c>
      <c r="X99" s="750"/>
      <c r="Y99" s="750"/>
      <c r="Z99" s="722">
        <f>IF(AF146&gt;0,(AQ112/AF146),0)</f>
        <v>-4.9504950495049507E-2</v>
      </c>
      <c r="AA99" s="723"/>
      <c r="AB99" s="723"/>
      <c r="AC99" s="726">
        <f>IF(AF160=0,0,(AF152/AF160))</f>
        <v>0.375</v>
      </c>
      <c r="AD99" s="727"/>
      <c r="AE99" s="728"/>
      <c r="AF99" s="732">
        <v>4</v>
      </c>
      <c r="AG99" s="732">
        <v>2</v>
      </c>
      <c r="AH99" s="734">
        <v>7</v>
      </c>
      <c r="AI99" s="735"/>
      <c r="AJ99" s="7"/>
      <c r="AK99" s="36"/>
      <c r="AL99" s="36"/>
      <c r="AM99" s="36"/>
      <c r="AN99" s="36"/>
      <c r="AO99" s="36"/>
      <c r="AP99" s="36"/>
      <c r="AQ99" s="28"/>
      <c r="AR99" s="29"/>
    </row>
    <row r="100" spans="1:44" ht="18.75" customHeight="1" thickBot="1" x14ac:dyDescent="0.25">
      <c r="A100" s="743"/>
      <c r="B100" s="761" t="s">
        <v>11</v>
      </c>
      <c r="C100" s="762"/>
      <c r="D100" s="762"/>
      <c r="E100" s="763" t="str">
        <f>AV9</f>
        <v>fj6vison2pm</v>
      </c>
      <c r="F100" s="764"/>
      <c r="G100" s="764"/>
      <c r="H100" s="764"/>
      <c r="I100" s="764"/>
      <c r="J100" s="764"/>
      <c r="K100" s="764"/>
      <c r="L100" s="765"/>
      <c r="M100" s="766"/>
      <c r="N100" s="766"/>
      <c r="O100" s="766"/>
      <c r="P100" s="766"/>
      <c r="Q100" s="785"/>
      <c r="R100" s="765"/>
      <c r="S100" s="766"/>
      <c r="T100" s="766"/>
      <c r="U100" s="766"/>
      <c r="V100" s="766"/>
      <c r="W100" s="765"/>
      <c r="X100" s="766"/>
      <c r="Y100" s="766"/>
      <c r="Z100" s="753"/>
      <c r="AA100" s="754"/>
      <c r="AB100" s="754"/>
      <c r="AC100" s="755"/>
      <c r="AD100" s="756"/>
      <c r="AE100" s="757"/>
      <c r="AF100" s="758"/>
      <c r="AG100" s="758"/>
      <c r="AH100" s="759"/>
      <c r="AI100" s="760"/>
      <c r="AJ100" s="7"/>
      <c r="AK100" s="36"/>
      <c r="AL100" s="36"/>
      <c r="AM100" s="36"/>
      <c r="AN100" s="36"/>
      <c r="AO100" s="36"/>
      <c r="AP100" s="36"/>
      <c r="AQ100" s="7"/>
      <c r="AR100" s="3"/>
    </row>
    <row r="101" spans="1:44" ht="18.75" customHeight="1" x14ac:dyDescent="0.2">
      <c r="A101" s="742" t="str">
        <f>IF($AK94&gt;4,"5","")</f>
        <v>5</v>
      </c>
      <c r="B101" s="744" t="s">
        <v>10</v>
      </c>
      <c r="C101" s="745"/>
      <c r="D101" s="745"/>
      <c r="E101" s="746" t="str">
        <f>AU12</f>
        <v>Sumter VBC 16 Gwin</v>
      </c>
      <c r="F101" s="747"/>
      <c r="G101" s="747"/>
      <c r="H101" s="747"/>
      <c r="I101" s="747"/>
      <c r="J101" s="747"/>
      <c r="K101" s="748"/>
      <c r="L101" s="749">
        <f>IF($AK95=0,AF153,AF135)</f>
        <v>3</v>
      </c>
      <c r="M101" s="750"/>
      <c r="N101" s="750"/>
      <c r="O101" s="750"/>
      <c r="P101" s="750"/>
      <c r="Q101" s="785"/>
      <c r="R101" s="749">
        <f>IF($AK95=0,AG153,AG135)</f>
        <v>5</v>
      </c>
      <c r="S101" s="750"/>
      <c r="T101" s="750"/>
      <c r="U101" s="750"/>
      <c r="V101" s="750"/>
      <c r="W101" s="749">
        <f>AQ113</f>
        <v>-12</v>
      </c>
      <c r="X101" s="750"/>
      <c r="Y101" s="750"/>
      <c r="Z101" s="722">
        <f>IF(AF147&gt;0,(AQ113/AF147),0)</f>
        <v>-5.9113300492610835E-2</v>
      </c>
      <c r="AA101" s="723"/>
      <c r="AB101" s="723"/>
      <c r="AC101" s="726">
        <f>IF(AF161=0,0,(AF153/AF161))</f>
        <v>0.375</v>
      </c>
      <c r="AD101" s="727"/>
      <c r="AE101" s="728"/>
      <c r="AF101" s="732">
        <v>5</v>
      </c>
      <c r="AG101" s="732">
        <v>2</v>
      </c>
      <c r="AH101" s="734">
        <v>9</v>
      </c>
      <c r="AI101" s="735"/>
      <c r="AJ101" s="7"/>
      <c r="AK101" s="36"/>
      <c r="AL101" s="36"/>
      <c r="AM101" s="36"/>
      <c r="AN101" s="36"/>
      <c r="AO101" s="36"/>
      <c r="AP101" s="36"/>
      <c r="AQ101" s="7"/>
      <c r="AR101" s="3"/>
    </row>
    <row r="102" spans="1:44" ht="18.75" customHeight="1" thickBot="1" x14ac:dyDescent="0.25">
      <c r="A102" s="743"/>
      <c r="B102" s="738" t="s">
        <v>11</v>
      </c>
      <c r="C102" s="739"/>
      <c r="D102" s="739"/>
      <c r="E102" s="740" t="str">
        <f>AV12</f>
        <v>fj6sumtr2pm</v>
      </c>
      <c r="F102" s="741"/>
      <c r="G102" s="741"/>
      <c r="H102" s="741"/>
      <c r="I102" s="741"/>
      <c r="J102" s="741"/>
      <c r="K102" s="741"/>
      <c r="L102" s="751"/>
      <c r="M102" s="752"/>
      <c r="N102" s="752"/>
      <c r="O102" s="752"/>
      <c r="P102" s="752"/>
      <c r="Q102" s="785"/>
      <c r="R102" s="751"/>
      <c r="S102" s="752"/>
      <c r="T102" s="752"/>
      <c r="U102" s="752"/>
      <c r="V102" s="752"/>
      <c r="W102" s="751"/>
      <c r="X102" s="752"/>
      <c r="Y102" s="752"/>
      <c r="Z102" s="724"/>
      <c r="AA102" s="725"/>
      <c r="AB102" s="725"/>
      <c r="AC102" s="729"/>
      <c r="AD102" s="730"/>
      <c r="AE102" s="731"/>
      <c r="AF102" s="733"/>
      <c r="AG102" s="733"/>
      <c r="AH102" s="736"/>
      <c r="AI102" s="737"/>
      <c r="AJ102" s="7"/>
      <c r="AK102" s="36"/>
      <c r="AL102" s="36"/>
      <c r="AM102" s="36"/>
      <c r="AN102" s="36"/>
      <c r="AO102" s="36"/>
      <c r="AP102" s="36"/>
      <c r="AQ102" s="7"/>
      <c r="AR102" s="3"/>
    </row>
    <row r="103" spans="1:44" ht="21" customHeight="1" thickTop="1" thickBot="1" x14ac:dyDescent="0.25">
      <c r="A103" s="39"/>
      <c r="B103" s="719" t="s">
        <v>63</v>
      </c>
      <c r="C103" s="720"/>
      <c r="D103" s="720"/>
      <c r="E103" s="720"/>
      <c r="F103" s="720"/>
      <c r="G103" s="720"/>
      <c r="H103" s="720"/>
      <c r="I103" s="720"/>
      <c r="J103" s="720"/>
      <c r="K103" s="720"/>
      <c r="L103" s="720"/>
      <c r="M103" s="720"/>
      <c r="N103" s="720"/>
      <c r="O103" s="720"/>
      <c r="P103" s="720"/>
      <c r="Q103" s="720"/>
      <c r="R103" s="720"/>
      <c r="S103" s="720"/>
      <c r="T103" s="720"/>
      <c r="U103" s="720"/>
      <c r="V103" s="720"/>
      <c r="W103" s="720"/>
      <c r="X103" s="720"/>
      <c r="Y103" s="720"/>
      <c r="Z103" s="720"/>
      <c r="AA103" s="720"/>
      <c r="AB103" s="720"/>
      <c r="AC103" s="720"/>
      <c r="AD103" s="720"/>
      <c r="AE103" s="720"/>
      <c r="AF103" s="720"/>
      <c r="AG103" s="720"/>
      <c r="AH103" s="720"/>
      <c r="AI103" s="721"/>
      <c r="AJ103" s="7"/>
      <c r="AK103" s="36"/>
      <c r="AL103" s="36"/>
      <c r="AM103" s="36"/>
      <c r="AN103" s="36"/>
      <c r="AO103" s="36"/>
      <c r="AP103" s="36"/>
      <c r="AQ103" s="7"/>
      <c r="AR103" s="3"/>
    </row>
    <row r="104" spans="1:44" ht="13.5" thickTop="1" x14ac:dyDescent="0.2">
      <c r="A104" s="4" t="s">
        <v>64</v>
      </c>
      <c r="B104" s="708">
        <v>0.35416666666666669</v>
      </c>
      <c r="C104" s="709"/>
      <c r="D104" s="710"/>
      <c r="E104" s="708">
        <v>0.38541666666666669</v>
      </c>
      <c r="F104" s="709"/>
      <c r="G104" s="710"/>
      <c r="H104" s="708">
        <v>0.41666666666666669</v>
      </c>
      <c r="I104" s="709"/>
      <c r="J104" s="710"/>
      <c r="K104" s="708">
        <v>0.44791666666666669</v>
      </c>
      <c r="L104" s="709"/>
      <c r="M104" s="710"/>
      <c r="N104" s="708">
        <v>0.47916666666666669</v>
      </c>
      <c r="O104" s="709"/>
      <c r="P104" s="710"/>
      <c r="Q104" s="708">
        <v>0.51041666666666663</v>
      </c>
      <c r="R104" s="709"/>
      <c r="S104" s="710"/>
      <c r="T104" s="708">
        <v>4.1666666666666664E-2</v>
      </c>
      <c r="U104" s="709"/>
      <c r="V104" s="710"/>
      <c r="W104" s="708">
        <v>7.2916666666666671E-2</v>
      </c>
      <c r="X104" s="709"/>
      <c r="Y104" s="710"/>
      <c r="Z104" s="708">
        <v>0.10416666666666667</v>
      </c>
      <c r="AA104" s="709"/>
      <c r="AB104" s="710"/>
      <c r="AC104" s="708">
        <v>0.13541666666666666</v>
      </c>
      <c r="AD104" s="709"/>
      <c r="AE104" s="710"/>
      <c r="AF104" s="711" t="s">
        <v>65</v>
      </c>
      <c r="AG104" s="712"/>
      <c r="AH104" s="712"/>
      <c r="AI104" s="712"/>
      <c r="AJ104" s="713"/>
      <c r="AK104" s="713"/>
      <c r="AL104" s="713"/>
      <c r="AM104" s="713"/>
      <c r="AN104" s="713"/>
      <c r="AO104" s="713"/>
      <c r="AP104" s="713"/>
      <c r="AQ104" s="714"/>
    </row>
    <row r="105" spans="1:44" x14ac:dyDescent="0.2">
      <c r="A105" s="40" t="s">
        <v>66</v>
      </c>
      <c r="B105" s="705"/>
      <c r="C105" s="706"/>
      <c r="D105" s="707"/>
      <c r="E105" s="705"/>
      <c r="F105" s="706"/>
      <c r="G105" s="707"/>
      <c r="H105" s="705"/>
      <c r="I105" s="706"/>
      <c r="J105" s="707"/>
      <c r="K105" s="705"/>
      <c r="L105" s="706"/>
      <c r="M105" s="707"/>
      <c r="N105" s="705"/>
      <c r="O105" s="706"/>
      <c r="P105" s="707"/>
      <c r="Q105" s="705"/>
      <c r="R105" s="706"/>
      <c r="S105" s="707"/>
      <c r="T105" s="705"/>
      <c r="U105" s="706"/>
      <c r="V105" s="707"/>
      <c r="W105" s="705"/>
      <c r="X105" s="706"/>
      <c r="Y105" s="707"/>
      <c r="Z105" s="705"/>
      <c r="AA105" s="706"/>
      <c r="AB105" s="707"/>
      <c r="AC105" s="705"/>
      <c r="AD105" s="706"/>
      <c r="AE105" s="707"/>
      <c r="AF105" s="711"/>
      <c r="AG105" s="712"/>
      <c r="AH105" s="712"/>
      <c r="AI105" s="712"/>
      <c r="AJ105" s="712"/>
      <c r="AK105" s="712"/>
      <c r="AL105" s="712"/>
      <c r="AM105" s="712"/>
      <c r="AN105" s="712"/>
      <c r="AO105" s="712"/>
      <c r="AP105" s="712"/>
      <c r="AQ105" s="715"/>
    </row>
    <row r="106" spans="1:44" x14ac:dyDescent="0.2">
      <c r="A106" s="40" t="s">
        <v>67</v>
      </c>
      <c r="B106" s="705"/>
      <c r="C106" s="706"/>
      <c r="D106" s="707"/>
      <c r="E106" s="705"/>
      <c r="F106" s="706"/>
      <c r="G106" s="707"/>
      <c r="H106" s="705"/>
      <c r="I106" s="706"/>
      <c r="J106" s="707"/>
      <c r="K106" s="705"/>
      <c r="L106" s="706"/>
      <c r="M106" s="707"/>
      <c r="N106" s="705"/>
      <c r="O106" s="706"/>
      <c r="P106" s="707"/>
      <c r="Q106" s="705"/>
      <c r="R106" s="706"/>
      <c r="S106" s="707"/>
      <c r="T106" s="705"/>
      <c r="U106" s="706"/>
      <c r="V106" s="707"/>
      <c r="W106" s="705"/>
      <c r="X106" s="706"/>
      <c r="Y106" s="707"/>
      <c r="Z106" s="705"/>
      <c r="AA106" s="706"/>
      <c r="AB106" s="707"/>
      <c r="AC106" s="705"/>
      <c r="AD106" s="706"/>
      <c r="AE106" s="707"/>
      <c r="AF106" s="711"/>
      <c r="AG106" s="712"/>
      <c r="AH106" s="712"/>
      <c r="AI106" s="712"/>
      <c r="AJ106" s="712"/>
      <c r="AK106" s="712"/>
      <c r="AL106" s="712"/>
      <c r="AM106" s="712"/>
      <c r="AN106" s="712"/>
      <c r="AO106" s="712"/>
      <c r="AP106" s="712"/>
      <c r="AQ106" s="715"/>
    </row>
    <row r="107" spans="1:44" ht="13.5" thickBot="1" x14ac:dyDescent="0.25">
      <c r="A107" s="7"/>
      <c r="B107" s="597" t="s">
        <v>68</v>
      </c>
      <c r="C107" s="598"/>
      <c r="D107" s="604"/>
      <c r="E107" s="597" t="str">
        <f>IF(AK93&gt;1,"Match 2","")</f>
        <v>Match 2</v>
      </c>
      <c r="F107" s="598"/>
      <c r="G107" s="604"/>
      <c r="H107" s="597" t="str">
        <f>IF(AK93&gt;2,"Match 3","")</f>
        <v>Match 3</v>
      </c>
      <c r="I107" s="598"/>
      <c r="J107" s="604"/>
      <c r="K107" s="597" t="str">
        <f>IF(AK93&gt;3,"Match 4","")</f>
        <v>Match 4</v>
      </c>
      <c r="L107" s="598"/>
      <c r="M107" s="604"/>
      <c r="N107" s="597" t="str">
        <f>IF(AK93&gt;4,"Match 5","")</f>
        <v>Match 5</v>
      </c>
      <c r="O107" s="598"/>
      <c r="P107" s="604"/>
      <c r="Q107" s="597" t="str">
        <f>IF(AK93&gt;5,"Match 6","")</f>
        <v>Match 6</v>
      </c>
      <c r="R107" s="598"/>
      <c r="S107" s="604"/>
      <c r="T107" s="597" t="str">
        <f>IF(AK93&gt;6,"Match 7","")</f>
        <v>Match 7</v>
      </c>
      <c r="U107" s="598"/>
      <c r="V107" s="604"/>
      <c r="W107" s="597" t="str">
        <f>IF(AK93&gt;7,"Match 8","")</f>
        <v>Match 8</v>
      </c>
      <c r="X107" s="598"/>
      <c r="Y107" s="604"/>
      <c r="Z107" s="597" t="str">
        <f>IF(AK93&gt;8,"Match 9","")</f>
        <v>Match 9</v>
      </c>
      <c r="AA107" s="598"/>
      <c r="AB107" s="604"/>
      <c r="AC107" s="597" t="str">
        <f>IF(AK93&gt;9,"Match 10","")</f>
        <v>Match 10</v>
      </c>
      <c r="AD107" s="598"/>
      <c r="AE107" s="604"/>
      <c r="AF107" s="716"/>
      <c r="AG107" s="717"/>
      <c r="AH107" s="717"/>
      <c r="AI107" s="717"/>
      <c r="AJ107" s="717"/>
      <c r="AK107" s="717"/>
      <c r="AL107" s="717"/>
      <c r="AM107" s="717"/>
      <c r="AN107" s="717"/>
      <c r="AO107" s="717"/>
      <c r="AP107" s="717"/>
      <c r="AQ107" s="718"/>
    </row>
    <row r="108" spans="1:44" ht="15.75" x14ac:dyDescent="0.25">
      <c r="A108" s="7"/>
      <c r="B108" s="699" t="s">
        <v>69</v>
      </c>
      <c r="C108" s="700"/>
      <c r="D108" s="701"/>
      <c r="E108" s="699" t="s">
        <v>70</v>
      </c>
      <c r="F108" s="700"/>
      <c r="G108" s="701"/>
      <c r="H108" s="699" t="s">
        <v>71</v>
      </c>
      <c r="I108" s="700"/>
      <c r="J108" s="701"/>
      <c r="K108" s="699" t="s">
        <v>72</v>
      </c>
      <c r="L108" s="700"/>
      <c r="M108" s="701"/>
      <c r="N108" s="699" t="s">
        <v>73</v>
      </c>
      <c r="O108" s="700"/>
      <c r="P108" s="701"/>
      <c r="Q108" s="699" t="s">
        <v>71</v>
      </c>
      <c r="R108" s="700"/>
      <c r="S108" s="701"/>
      <c r="T108" s="699" t="s">
        <v>69</v>
      </c>
      <c r="U108" s="700"/>
      <c r="V108" s="701"/>
      <c r="W108" s="699" t="s">
        <v>73</v>
      </c>
      <c r="X108" s="700"/>
      <c r="Y108" s="701"/>
      <c r="Z108" s="699" t="s">
        <v>72</v>
      </c>
      <c r="AA108" s="700"/>
      <c r="AB108" s="701"/>
      <c r="AC108" s="699" t="s">
        <v>70</v>
      </c>
      <c r="AD108" s="700"/>
      <c r="AE108" s="701"/>
      <c r="AF108" s="41" t="s">
        <v>74</v>
      </c>
      <c r="AG108" s="42">
        <v>1</v>
      </c>
      <c r="AH108" s="42">
        <v>2</v>
      </c>
      <c r="AI108" s="42">
        <v>3</v>
      </c>
      <c r="AJ108" s="42">
        <v>4</v>
      </c>
      <c r="AK108" s="42">
        <v>5</v>
      </c>
      <c r="AL108" s="42">
        <v>6</v>
      </c>
      <c r="AM108" s="42">
        <v>7</v>
      </c>
      <c r="AN108" s="42">
        <v>8</v>
      </c>
      <c r="AO108" s="42">
        <v>9</v>
      </c>
      <c r="AP108" s="42">
        <v>10</v>
      </c>
      <c r="AQ108" s="43" t="s">
        <v>75</v>
      </c>
    </row>
    <row r="109" spans="1:44" ht="15.75" x14ac:dyDescent="0.25">
      <c r="A109" s="7"/>
      <c r="B109" s="44">
        <v>2</v>
      </c>
      <c r="C109" s="45" t="s">
        <v>76</v>
      </c>
      <c r="D109" s="46">
        <v>5</v>
      </c>
      <c r="E109" s="44">
        <v>1</v>
      </c>
      <c r="F109" s="45" t="str">
        <f>IF(AK93&gt;1,"v","")</f>
        <v>v</v>
      </c>
      <c r="G109" s="46">
        <v>4</v>
      </c>
      <c r="H109" s="44">
        <v>3</v>
      </c>
      <c r="I109" s="45" t="str">
        <f>IF(AK93&gt;2,"v","")</f>
        <v>v</v>
      </c>
      <c r="J109" s="46">
        <v>5</v>
      </c>
      <c r="K109" s="44">
        <v>2</v>
      </c>
      <c r="L109" s="45" t="str">
        <f>IF(AK93&gt;3,"v","")</f>
        <v>v</v>
      </c>
      <c r="M109" s="46">
        <v>4</v>
      </c>
      <c r="N109" s="44">
        <v>1</v>
      </c>
      <c r="O109" s="45" t="str">
        <f>IF(AK93&gt;4,"v","")</f>
        <v>v</v>
      </c>
      <c r="P109" s="46">
        <v>3</v>
      </c>
      <c r="Q109" s="44">
        <v>4</v>
      </c>
      <c r="R109" s="45" t="str">
        <f>IF(AK93&gt;5,"v","")</f>
        <v>v</v>
      </c>
      <c r="S109" s="46">
        <v>5</v>
      </c>
      <c r="T109" s="44">
        <v>2</v>
      </c>
      <c r="U109" s="45" t="str">
        <f>IF(AK93&gt;6,"v","")</f>
        <v>v</v>
      </c>
      <c r="V109" s="46">
        <v>3</v>
      </c>
      <c r="W109" s="44">
        <v>1</v>
      </c>
      <c r="X109" s="45" t="str">
        <f>IF(AK93&gt;7,"v","")</f>
        <v>v</v>
      </c>
      <c r="Y109" s="46">
        <v>5</v>
      </c>
      <c r="Z109" s="44">
        <v>3</v>
      </c>
      <c r="AA109" s="45" t="str">
        <f>IF(AK93&gt;8,"v","")</f>
        <v>v</v>
      </c>
      <c r="AB109" s="46">
        <v>4</v>
      </c>
      <c r="AC109" s="44">
        <v>1</v>
      </c>
      <c r="AD109" s="45" t="str">
        <f>IF(AK93&gt;9,"v","")</f>
        <v>v</v>
      </c>
      <c r="AE109" s="46">
        <v>2</v>
      </c>
      <c r="AF109" s="41" t="str">
        <f>IF(AK94&gt;0,"Team 1","")</f>
        <v>Team 1</v>
      </c>
      <c r="AG109" s="47" t="str">
        <f>IF(AK94&lt;1,"",IF(AK93&lt;1,"",IF(B109=1,B115-D115,IF(D109=1,D115-B115,""))))</f>
        <v/>
      </c>
      <c r="AH109" s="47">
        <f>IF(AK94&lt;1,"",IF(AK93&lt;2,"",IF(E109=1,E115-G115,IF(G109=1,G115-E115,""))))</f>
        <v>18</v>
      </c>
      <c r="AI109" s="47" t="str">
        <f>IF(AK94&lt;1,"",IF(AK93&lt;3,"",IF(H109=1,H115-J115,IF(J109=1,J115-H115,""))))</f>
        <v/>
      </c>
      <c r="AJ109" s="47" t="str">
        <f>IF(AK94&lt;1,"",IF(AK93&lt;4,"",IF(K109=1,K115-M115,IF(M109=1,M115-K115,""))))</f>
        <v/>
      </c>
      <c r="AK109" s="47">
        <f>IF(AK94&lt;1,"",IF(AK93&lt;5,"",IF(N109=1,N115-P115,IF(P109=1,P115-N115,""))))</f>
        <v>-1</v>
      </c>
      <c r="AL109" s="47" t="str">
        <f>IF(AK94&lt;1,"",IF(AK93&lt;6,"",IF(Q109=1,Q115-S115,IF(S109=1,S115-Q115,""))))</f>
        <v/>
      </c>
      <c r="AM109" s="47" t="str">
        <f>IF(AK94&lt;1,"",IF(AK93&lt;7,"",IF(T109=1,T115-V115,IF(V109=1,V115-T115,""))))</f>
        <v/>
      </c>
      <c r="AN109" s="47">
        <f>IF(AK94&lt;1,"",IF(AK93&lt;8,"",IF(W109=1,W115-Y115,IF(Y109=1,Y115-W115,""))))</f>
        <v>3</v>
      </c>
      <c r="AO109" s="47" t="str">
        <f>IF(AK94&lt;1,"",IF(AK93&lt;9,"",IF(Z109=1,Z115-AB115,IF(AB109=1,AB115-Z115,""))))</f>
        <v/>
      </c>
      <c r="AP109" s="47">
        <f>IF(AK94&lt;1,"",IF(AK93&lt;10,"",IF(AC109=1,AC115-AE115,IF(AE109=1,AE115-AC115,""))))</f>
        <v>-15</v>
      </c>
      <c r="AQ109" s="43">
        <f>SUM(AG109:AP109)</f>
        <v>5</v>
      </c>
    </row>
    <row r="110" spans="1:44" ht="15" x14ac:dyDescent="0.2">
      <c r="A110" s="4" t="s">
        <v>77</v>
      </c>
      <c r="B110" s="48">
        <v>22</v>
      </c>
      <c r="C110" s="49" t="s">
        <v>78</v>
      </c>
      <c r="D110" s="50">
        <v>25</v>
      </c>
      <c r="E110" s="48">
        <v>25</v>
      </c>
      <c r="F110" s="49" t="str">
        <f>IF(AK93&gt;1,"/","")</f>
        <v>/</v>
      </c>
      <c r="G110" s="50">
        <v>20</v>
      </c>
      <c r="H110" s="48">
        <v>19</v>
      </c>
      <c r="I110" s="49" t="str">
        <f>IF(AK93&gt;2,"/","")</f>
        <v>/</v>
      </c>
      <c r="J110" s="50">
        <v>25</v>
      </c>
      <c r="K110" s="48">
        <v>21</v>
      </c>
      <c r="L110" s="49" t="str">
        <f>IF(AK93&gt;3,"/","")</f>
        <v>/</v>
      </c>
      <c r="M110" s="50">
        <v>25</v>
      </c>
      <c r="N110" s="48">
        <v>25</v>
      </c>
      <c r="O110" s="49" t="str">
        <f>IF(AK93&gt;4,"/","")</f>
        <v>/</v>
      </c>
      <c r="P110" s="50">
        <v>23</v>
      </c>
      <c r="Q110" s="48">
        <v>25</v>
      </c>
      <c r="R110" s="49" t="str">
        <f>IF(AK93&gt;5,"/","")</f>
        <v>/</v>
      </c>
      <c r="S110" s="50">
        <v>21</v>
      </c>
      <c r="T110" s="48">
        <v>19</v>
      </c>
      <c r="U110" s="49" t="str">
        <f>IF(AK93&gt;6,"/","")</f>
        <v>/</v>
      </c>
      <c r="V110" s="50">
        <v>25</v>
      </c>
      <c r="W110" s="48">
        <v>26</v>
      </c>
      <c r="X110" s="49" t="str">
        <f>IF(AK93&gt;7,"/","")</f>
        <v>/</v>
      </c>
      <c r="Y110" s="50">
        <v>24</v>
      </c>
      <c r="Z110" s="48">
        <v>25</v>
      </c>
      <c r="AA110" s="49" t="str">
        <f>IF(AK93&gt;8,"/","")</f>
        <v>/</v>
      </c>
      <c r="AB110" s="50">
        <v>23</v>
      </c>
      <c r="AC110" s="48">
        <v>24</v>
      </c>
      <c r="AD110" s="49" t="str">
        <f>IF(AK93&gt;9,"/","")</f>
        <v>/</v>
      </c>
      <c r="AE110" s="50">
        <v>26</v>
      </c>
      <c r="AF110" s="41" t="str">
        <f>IF(AK94&gt;1,"Team 2","")</f>
        <v>Team 2</v>
      </c>
      <c r="AG110" s="47">
        <f>IF(AK94&lt;2,"",IF(AK93&lt;1,"",IF(B109=2,B115-D115,IF(D109=2,D115-B115,""))))</f>
        <v>9</v>
      </c>
      <c r="AH110" s="47" t="str">
        <f>IF(AK94&lt;2,"",IF(AK93&lt;2,"",IF(E109=2,E115-G115,IF(G109=2,G115-E115,""))))</f>
        <v/>
      </c>
      <c r="AI110" s="47" t="str">
        <f>IF(AK94&lt;2,"",IF(AK93&lt;3,"",IF(H109=2,H115-J115,IF(J109=2,J115-H115,""))))</f>
        <v/>
      </c>
      <c r="AJ110" s="47">
        <f>IF(AK94&lt;2,"",IF(AK93&lt;4,"",IF(K109=2,K115-M115,IF(M109=2,M115-K115,""))))</f>
        <v>-2</v>
      </c>
      <c r="AK110" s="47" t="str">
        <f>IF(AK94&lt;2,"",IF(AK93&lt;5,"",IF(N109=2,N115-P115,IF(P109=2,P115-N115,""))))</f>
        <v/>
      </c>
      <c r="AL110" s="47" t="str">
        <f>IF(AK94&lt;2,"",IF(AK93&lt;6,"",IF(Q109=2,Q115-S115,IF(S109=2,S115-Q115,""))))</f>
        <v/>
      </c>
      <c r="AM110" s="47">
        <f>IF(AK94&lt;2,"",IF(AK93&lt;7,"",IF(T109=2,T115-V115,IF(V109=2,V115-T115,""))))</f>
        <v>-4</v>
      </c>
      <c r="AN110" s="47" t="str">
        <f>IF(AK94&lt;2,"",IF(AK93&lt;8,"",IF(W109=2,W115-Y115,IF(Y109=2,Y115-W115,""))))</f>
        <v/>
      </c>
      <c r="AO110" s="47" t="str">
        <f>IF(AK94&lt;2,"",IF(AK93&lt;9,"",IF(Z109=2,Z115-AB115,IF(AB109=2,AB115-Z115,""))))</f>
        <v/>
      </c>
      <c r="AP110" s="47">
        <f>IF(AK94&lt;2,"",IF(AK93&lt;10,"",IF(AC109=2,AC115-AE115,IF(AE109=2,AE115-AC115,""))))</f>
        <v>15</v>
      </c>
      <c r="AQ110" s="43">
        <f>SUM(AG110:AP110)</f>
        <v>18</v>
      </c>
    </row>
    <row r="111" spans="1:44" ht="15" x14ac:dyDescent="0.2">
      <c r="A111" s="3" t="str">
        <f>IF(AK92&gt;1,"Game 2","")</f>
        <v>Game 2</v>
      </c>
      <c r="B111" s="48">
        <v>25</v>
      </c>
      <c r="C111" s="49" t="s">
        <v>78</v>
      </c>
      <c r="D111" s="50">
        <v>13</v>
      </c>
      <c r="E111" s="48">
        <v>25</v>
      </c>
      <c r="F111" s="49" t="str">
        <f>IF(AK93&gt;1,IF(AK92&gt;1,"/",""),"")</f>
        <v>/</v>
      </c>
      <c r="G111" s="50">
        <v>12</v>
      </c>
      <c r="H111" s="48">
        <v>20</v>
      </c>
      <c r="I111" s="49" t="str">
        <f>IF(AK93&gt;2,IF(AK92&gt;1,"/",""),"")</f>
        <v>/</v>
      </c>
      <c r="J111" s="50">
        <v>25</v>
      </c>
      <c r="K111" s="48">
        <v>27</v>
      </c>
      <c r="L111" s="49" t="str">
        <f>IF(AK93&gt;3,IF(AK92&gt;1,"/",""),"")</f>
        <v>/</v>
      </c>
      <c r="M111" s="50">
        <v>25</v>
      </c>
      <c r="N111" s="48">
        <v>22</v>
      </c>
      <c r="O111" s="49" t="str">
        <f>IF(AK93&gt;4,IF(AK92&gt;1,"/",""),"")</f>
        <v>/</v>
      </c>
      <c r="P111" s="50">
        <v>25</v>
      </c>
      <c r="Q111" s="48">
        <v>25</v>
      </c>
      <c r="R111" s="49" t="str">
        <f>IF(AK93&gt;5,IF(AK92&gt;1,"/",""),"")</f>
        <v>/</v>
      </c>
      <c r="S111" s="50">
        <v>18</v>
      </c>
      <c r="T111" s="48">
        <v>26</v>
      </c>
      <c r="U111" s="49" t="str">
        <f>IF(AK93&gt;6,IF(AK92&gt;1,"/",""),"")</f>
        <v>/</v>
      </c>
      <c r="V111" s="50">
        <v>24</v>
      </c>
      <c r="W111" s="48">
        <v>27</v>
      </c>
      <c r="X111" s="49" t="str">
        <f>IF(AK93&gt;7,IF(AK92&gt;1,"/",""),"")</f>
        <v>/</v>
      </c>
      <c r="Y111" s="50">
        <v>26</v>
      </c>
      <c r="Z111" s="48">
        <v>25</v>
      </c>
      <c r="AA111" s="49" t="str">
        <f>IF(AK93&gt;8,IF(AK92&gt;1,"/",""),"")</f>
        <v>/</v>
      </c>
      <c r="AB111" s="50">
        <v>22</v>
      </c>
      <c r="AC111" s="48">
        <v>12</v>
      </c>
      <c r="AD111" s="49" t="str">
        <f>IF(AK93&gt;9,IF(AK92&gt;1,"/",""),"")</f>
        <v>/</v>
      </c>
      <c r="AE111" s="50">
        <v>25</v>
      </c>
      <c r="AF111" s="41" t="str">
        <f>IF(AK94&gt;2,"Team 3","")</f>
        <v>Team 3</v>
      </c>
      <c r="AG111" s="47" t="str">
        <f>IF(AK94&lt;3,"",IF(AK93&lt;1,"",IF(B109=3,B115-D115,IF(D109=3,D115-B115,""))))</f>
        <v/>
      </c>
      <c r="AH111" s="47" t="str">
        <f>IF(AK94&lt;3,"",IF(AK93&lt;2,"",IF(E109=3,E115-G115,IF(G109=3,G115-E115,""))))</f>
        <v/>
      </c>
      <c r="AI111" s="47">
        <f>IF(AK94&lt;3,"",IF(AK93&lt;3,"",IF(H109=3,H115-J115,IF(J109=3,J115-H115,""))))</f>
        <v>-11</v>
      </c>
      <c r="AJ111" s="47" t="str">
        <f>IF(AK94&lt;3,"",IF(AK93&lt;4,"",IF(K109=3,K115-M115,IF(M109=3,M115-K115,""))))</f>
        <v/>
      </c>
      <c r="AK111" s="47">
        <f>IF(AK94&lt;3,"",IF(AK93&lt;5,"",IF(N109=3,N115-P115,IF(P109=3,P115-N115,""))))</f>
        <v>1</v>
      </c>
      <c r="AL111" s="47" t="str">
        <f>IF(AK94&lt;3,"",IF(AK93&lt;6,"",IF(Q109=3,Q115-S115,IF(S109=3,S115-Q115,""))))</f>
        <v/>
      </c>
      <c r="AM111" s="47">
        <f>IF(AK94&lt;3,"",IF(AK93&lt;7,"",IF(T109=3,T115-V115,IF(V109=3,V115-T115,""))))</f>
        <v>4</v>
      </c>
      <c r="AN111" s="47" t="str">
        <f>IF(AK94&lt;3,"",IF(AK93&lt;8,"",IF(W109=3,W115-Y115,IF(Y109=3,Y115-W115,""))))</f>
        <v/>
      </c>
      <c r="AO111" s="47">
        <f>IF(AK94&lt;3,"",IF(AK93&lt;9,"",IF(Z109=3,Z115-AB115,IF(AB109=3,AB115-Z115,""))))</f>
        <v>5</v>
      </c>
      <c r="AP111" s="47" t="str">
        <f>IF(AK94&lt;3,"",IF(AK93&lt;9,"",IF(AC109=3,AC115-AE115,IF(AE109=3,AE115-AC115,""))))</f>
        <v/>
      </c>
      <c r="AQ111" s="43">
        <f>SUM(AG111:AP111)</f>
        <v>-1</v>
      </c>
    </row>
    <row r="112" spans="1:44" ht="15" x14ac:dyDescent="0.2">
      <c r="A112" s="3" t="str">
        <f>IF(AK92&gt;2,"Game 3","")</f>
        <v/>
      </c>
      <c r="B112" s="48"/>
      <c r="C112" s="49" t="s">
        <v>78</v>
      </c>
      <c r="D112" s="50"/>
      <c r="E112" s="48"/>
      <c r="F112" s="49" t="str">
        <f>IF(AK93&gt;1,IF(AK92&gt;2,"/",""),"")</f>
        <v/>
      </c>
      <c r="G112" s="50"/>
      <c r="H112" s="48"/>
      <c r="I112" s="49" t="str">
        <f>IF(AK93&gt;2,IF(AK92&gt;2,"/",""),"")</f>
        <v/>
      </c>
      <c r="J112" s="50"/>
      <c r="K112" s="48"/>
      <c r="L112" s="49" t="str">
        <f>IF(AK93&gt;3,IF(AK92&gt;2,"/",""),"")</f>
        <v/>
      </c>
      <c r="M112" s="50"/>
      <c r="N112" s="48"/>
      <c r="O112" s="49" t="str">
        <f>IF(AK93&gt;4,IF(AK92&gt;2,"/",""),"")</f>
        <v/>
      </c>
      <c r="P112" s="50"/>
      <c r="Q112" s="48"/>
      <c r="R112" s="49" t="str">
        <f>IF(AK93&gt;5,IF(AK92&gt;2,"/",""),"")</f>
        <v/>
      </c>
      <c r="S112" s="50"/>
      <c r="T112" s="48"/>
      <c r="U112" s="49" t="str">
        <f>IF(AK93&gt;6,IF(AK92&gt;2,"/",""),"")</f>
        <v/>
      </c>
      <c r="V112" s="50"/>
      <c r="W112" s="48"/>
      <c r="X112" s="49" t="str">
        <f>IF(AK93&gt;7,IF(AK92&gt;2,"/",""),"")</f>
        <v/>
      </c>
      <c r="Y112" s="50"/>
      <c r="Z112" s="48"/>
      <c r="AA112" s="49" t="str">
        <f>IF(AK93&gt;8,IF(AK92&gt;2,"/",""),"")</f>
        <v/>
      </c>
      <c r="AB112" s="50"/>
      <c r="AC112" s="48"/>
      <c r="AD112" s="49" t="str">
        <f>IF(AK93&gt;9,IF(AK92&gt;2,"/",""),"")</f>
        <v/>
      </c>
      <c r="AE112" s="50"/>
      <c r="AF112" s="41" t="str">
        <f>IF(AK94&gt;3,"Team 4","")</f>
        <v>Team 4</v>
      </c>
      <c r="AG112" s="47" t="str">
        <f>IF(AK94&lt;4,"",IF(AK93&lt;1,"",IF(B109=4,B115-D115,IF(D109=4,D115-B115,""))))</f>
        <v/>
      </c>
      <c r="AH112" s="47">
        <f>IF(AK94&lt;4,"",IF(AK93&lt;2,"",IF(E109=4,E115-G115,IF(G109=4,G115-E115,""))))</f>
        <v>-18</v>
      </c>
      <c r="AI112" s="47" t="str">
        <f>IF(AK94&lt;4,"",IF(AK93&lt;3,"",IF(H109=4,H115-J115,IF(J109=4,J115-H115,""))))</f>
        <v/>
      </c>
      <c r="AJ112" s="47">
        <f>IF(AK94&lt;4,"",IF(AK93&lt;4,"",IF(K109=4,K115-M115,IF(M109=4,M115-K115,""))))</f>
        <v>2</v>
      </c>
      <c r="AK112" s="47" t="str">
        <f>IF(AK94&lt;4,"",IF(AK93&lt;5,"",IF(N109=4,N115-P115,IF(P109=4,P115-N115,""))))</f>
        <v/>
      </c>
      <c r="AL112" s="47">
        <f>IF(AK94&lt;4,"",IF(AK93&lt;6,"",IF(Q109=4,Q115-S115,IF(S109=4,S115-Q115,""))))</f>
        <v>11</v>
      </c>
      <c r="AM112" s="47" t="str">
        <f>IF(AK94&lt;4,"",IF(AK93&lt;7,"",IF(T109=4,T115-V115,IF(V109=4,V115-T115,""))))</f>
        <v/>
      </c>
      <c r="AN112" s="47" t="str">
        <f>IF(AK94&lt;4,"",IF(AK93&lt;8,"",IF(W109=4,W115-Y115,IF(Y109=4,Y115-W115,""))))</f>
        <v/>
      </c>
      <c r="AO112" s="47">
        <f>IF(AK94&lt;4,"",IF(AK93&lt;9,"",IF(Z109=4,Z115-AB115,IF(AB109=4,AB115-Z115,""))))</f>
        <v>-5</v>
      </c>
      <c r="AP112" s="47" t="str">
        <f>IF(AK94&lt;4,"",IF(AK93&lt;10,"",IF(AC109=4,AC115-AE115,IF(AE109=4,AE115-AC115,""))))</f>
        <v/>
      </c>
      <c r="AQ112" s="43">
        <f>SUM(AG112:AP112)</f>
        <v>-10</v>
      </c>
    </row>
    <row r="113" spans="1:49" ht="15" x14ac:dyDescent="0.2">
      <c r="A113" s="3" t="str">
        <f>IF(AK92&gt;3,"Game 4","")</f>
        <v/>
      </c>
      <c r="B113" s="48"/>
      <c r="C113" s="49" t="s">
        <v>78</v>
      </c>
      <c r="D113" s="50"/>
      <c r="E113" s="48"/>
      <c r="F113" s="49" t="str">
        <f>IF(AK93&gt;1,IF(AK92&gt;3,"/",""),"")</f>
        <v/>
      </c>
      <c r="G113" s="50"/>
      <c r="H113" s="48"/>
      <c r="I113" s="49" t="str">
        <f>IF(AK93&gt;2,IF(AK92&gt;3,"/",""),"")</f>
        <v/>
      </c>
      <c r="J113" s="50"/>
      <c r="K113" s="48"/>
      <c r="L113" s="49" t="str">
        <f>IF(AK93&gt;3,IF(AK92&gt;3,"/",""),"")</f>
        <v/>
      </c>
      <c r="M113" s="50"/>
      <c r="N113" s="48"/>
      <c r="O113" s="49" t="str">
        <f>IF(AK93&gt;4,IF(AK92&gt;3,"/",""),"")</f>
        <v/>
      </c>
      <c r="P113" s="50"/>
      <c r="Q113" s="48"/>
      <c r="R113" s="49" t="str">
        <f>IF(AK93&gt;5,IF(AK92&gt;3,"/",""),"")</f>
        <v/>
      </c>
      <c r="S113" s="50"/>
      <c r="T113" s="48"/>
      <c r="U113" s="49" t="str">
        <f>IF(AK93&gt;6,IF(AK92&gt;3,"/",""),"")</f>
        <v/>
      </c>
      <c r="V113" s="50"/>
      <c r="W113" s="48"/>
      <c r="X113" s="49" t="str">
        <f>IF(AK93&gt;7,IF(AK92&gt;3,"/",""),"")</f>
        <v/>
      </c>
      <c r="Y113" s="50"/>
      <c r="Z113" s="48"/>
      <c r="AA113" s="49" t="str">
        <f>IF(AK93&gt;8,IF(AK92&gt;3,"/",""),"")</f>
        <v/>
      </c>
      <c r="AB113" s="50"/>
      <c r="AC113" s="48"/>
      <c r="AD113" s="49" t="str">
        <f>IF(AK93&gt;9,IF(AK92&gt;3,"/",""),"")</f>
        <v/>
      </c>
      <c r="AE113" s="50"/>
      <c r="AF113" s="41" t="str">
        <f>IF(AK94&gt;4,"Team 5","")</f>
        <v>Team 5</v>
      </c>
      <c r="AG113" s="51">
        <f>IF(AK94&lt;5,"",IF(AK93&lt;1,"",IF(B109=5,B115-D115,IF(D109=5,D115-B115,""))))</f>
        <v>-9</v>
      </c>
      <c r="AH113" s="47" t="str">
        <f>IF(AK94&lt;5,"",IF(AK93&lt;2,"",IF(E109=5,E115-G115,IF(G109=5,G115-E115,""))))</f>
        <v/>
      </c>
      <c r="AI113" s="47">
        <f>IF(AK94&lt;5,"",IF(AK93&lt;3,"",IF(H109=5,H115-J115,IF(J109=5,J115-H115,""))))</f>
        <v>11</v>
      </c>
      <c r="AJ113" s="47" t="str">
        <f>IF(AK94&lt;5,"",IF(AK93&lt;4,"",IF(K109=5,K115-M115,IF(M109=5,M115-K115,""))))</f>
        <v/>
      </c>
      <c r="AK113" s="47" t="str">
        <f>IF(AK94&lt;5,"",IF(AK93&lt;5,"",IF(N109=5,N115-P115,IF(P109=5,P115-N115,""))))</f>
        <v/>
      </c>
      <c r="AL113" s="47">
        <f>IF(AK94&lt;5,"",IF(AK93&lt;6,"",IF(Q109=5,Q115-S115,IF(S109=5,S115-Q115,""))))</f>
        <v>-11</v>
      </c>
      <c r="AM113" s="47" t="str">
        <f>IF(AK94&lt;5,"",IF(AK93&lt;7,"",IF(T109=5,T115-V115,IF(V109=5,V115-T115,""))))</f>
        <v/>
      </c>
      <c r="AN113" s="47">
        <f>IF(AK94&lt;5,"",IF(AK93&lt;8,"",IF(W109=5,W115-Y115,IF(Y109=5,Y115-W115,""))))</f>
        <v>-3</v>
      </c>
      <c r="AO113" s="47" t="str">
        <f>IF(AK94&lt;5,"",IF(AK93&lt;9,"",IF(Z109=5,Z115-AB115,IF(AB109=5,AB115-Z115,""))))</f>
        <v/>
      </c>
      <c r="AP113" s="47" t="str">
        <f>IF(AK94&lt;5,"",IF(AK93&lt;10,"",IF(AC109=5,AC115-AE115,IF(AE109=5,AE115-AC115,""))))</f>
        <v/>
      </c>
      <c r="AQ113" s="43">
        <f>SUM(AG113:AP113)</f>
        <v>-12</v>
      </c>
    </row>
    <row r="114" spans="1:49" ht="15" x14ac:dyDescent="0.2">
      <c r="A114" s="3" t="str">
        <f>IF(AK92&gt;4,"Game 5","")</f>
        <v/>
      </c>
      <c r="B114" s="48"/>
      <c r="C114" s="49" t="s">
        <v>78</v>
      </c>
      <c r="D114" s="50"/>
      <c r="E114" s="48"/>
      <c r="F114" s="49" t="str">
        <f>IF(AK93&gt;1,IF(AK92&gt;4,"/",""),"")</f>
        <v/>
      </c>
      <c r="G114" s="50"/>
      <c r="H114" s="48"/>
      <c r="I114" s="49" t="str">
        <f>IF(AK93&gt;2,IF(AK92&gt;4,"/",""),"")</f>
        <v/>
      </c>
      <c r="J114" s="50"/>
      <c r="K114" s="48"/>
      <c r="L114" s="49" t="str">
        <f>IF(AK93&gt;3,IF(AK92&gt;4,"/",""),"")</f>
        <v/>
      </c>
      <c r="M114" s="50"/>
      <c r="N114" s="48"/>
      <c r="O114" s="49" t="str">
        <f>IF(AK93&gt;4,IF(AK92&gt;4,"/",""),"")</f>
        <v/>
      </c>
      <c r="P114" s="50"/>
      <c r="Q114" s="48"/>
      <c r="R114" s="49" t="str">
        <f>IF(AK93&gt;5,IF(AK92&gt;4,"/",""),"")</f>
        <v/>
      </c>
      <c r="S114" s="50"/>
      <c r="T114" s="48"/>
      <c r="U114" s="49" t="str">
        <f>IF(AK93&gt;6,IF(AK92&gt;4,"/",""),"")</f>
        <v/>
      </c>
      <c r="V114" s="50"/>
      <c r="W114" s="48"/>
      <c r="X114" s="49" t="str">
        <f>IF(AK93&gt;7,IF(AK92&gt;4,"/",""),"")</f>
        <v/>
      </c>
      <c r="Y114" s="50"/>
      <c r="Z114" s="48"/>
      <c r="AA114" s="49" t="str">
        <f>IF(AK93&gt;8,IF(AK92&gt;4,"/",""),"")</f>
        <v/>
      </c>
      <c r="AB114" s="50"/>
      <c r="AC114" s="48"/>
      <c r="AD114" s="49" t="str">
        <f>IF(AK93&gt;9,IF(AK92&gt;4,"/",""),"")</f>
        <v/>
      </c>
      <c r="AE114" s="50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</row>
    <row r="115" spans="1:49" hidden="1" x14ac:dyDescent="0.2">
      <c r="A115" s="52"/>
      <c r="B115" s="52">
        <f>IF($AK92=5,SUM(B110:B114),IF($AK92=4,SUM(B110:B113),IF($AK92=3,SUM(B110:B112),IF($AK92=2,SUM(B110:B111),B110))))</f>
        <v>47</v>
      </c>
      <c r="C115" s="52"/>
      <c r="D115" s="52">
        <f>IF($AK92=5,SUM(D110:D114),IF($AK92=4,SUM(D110:D113),IF($AK92=3,SUM(D110:D112),IF($AK92=2,SUM(D110:D111),D110))))</f>
        <v>38</v>
      </c>
      <c r="E115" s="52">
        <f>IF($AK92=5,SUM(E110:E114),IF($AK92=4,SUM(E110:E113),IF($AK92=3,SUM(E110:E112),IF($AK92=2,SUM(E110:E111),E110))))</f>
        <v>50</v>
      </c>
      <c r="F115" s="52"/>
      <c r="G115" s="52">
        <f>IF($AK92=5,SUM(G110:G114),IF($AK92=4,SUM(G110:G113),IF($AK92=3,SUM(G110:G112),IF($AK92=2,SUM(G110:G111),G110))))</f>
        <v>32</v>
      </c>
      <c r="H115" s="52">
        <f>IF($AK92=5,SUM(H110:H114),IF($AK92=4,SUM(H110:H113),IF($AK92=3,SUM(H110:H112),IF($AK92=2,SUM(H110:H111),H110))))</f>
        <v>39</v>
      </c>
      <c r="I115" s="52"/>
      <c r="J115" s="52">
        <f>IF($AK92=5,SUM(J110:J114),IF($AK92=4,SUM(J110:J113),IF($AK92=3,SUM(J110:J112),IF($AK92=2,SUM(J110:J111),J110))))</f>
        <v>50</v>
      </c>
      <c r="K115" s="52">
        <f>IF($AK92=5,SUM(K110:K114),IF($AK92=4,SUM(K110:K113),IF($AK92=3,SUM(K110:K112),IF($AK92=2,SUM(K110:K111),K110))))</f>
        <v>48</v>
      </c>
      <c r="L115" s="52"/>
      <c r="M115" s="52">
        <f>IF($AK92=5,SUM(M110:M114),IF($AK92=4,SUM(M110:M113),IF($AK92=3,SUM(M110:M112),IF($AK92=2,SUM(M110:M111),M110))))</f>
        <v>50</v>
      </c>
      <c r="N115" s="52">
        <f>IF($AK92=5,SUM(N110:N114),IF($AK92=4,SUM(N110:N113),IF($AK92=3,SUM(N110:N112),IF($AK92=2,SUM(N110:N111),N110))))</f>
        <v>47</v>
      </c>
      <c r="O115" s="52"/>
      <c r="P115" s="52">
        <f>IF($AK92=5,SUM(P110:P114),IF($AK92=4,SUM(P110:P113),IF($AK92=3,SUM(P110:P112),IF($AK92=2,SUM(P110:P111),P110))))</f>
        <v>48</v>
      </c>
      <c r="Q115" s="52">
        <f>IF($AK92=5,SUM(Q110:Q114),IF($AK92=4,SUM(Q110:Q113),IF($AK92=3,SUM(Q110:Q112),IF($AK92=2,SUM(Q110:Q111),Q110))))</f>
        <v>50</v>
      </c>
      <c r="R115" s="52"/>
      <c r="S115" s="52">
        <f>IF($AK92=5,SUM(S110:S114),IF($AK92=4,SUM(S110:S113),IF($AK92=3,SUM(S110:S112),IF($AK92=2,SUM(S110:S111),S110))))</f>
        <v>39</v>
      </c>
      <c r="T115" s="52">
        <f>IF($AK92=5,SUM(T110:T114),IF($AK92=4,SUM(T110:T113),IF($AK92=3,SUM(T110:T112),IF($AK92=2,SUM(T110:T111),T110))))</f>
        <v>45</v>
      </c>
      <c r="U115" s="52"/>
      <c r="V115" s="52">
        <f>IF($AK92=5,SUM(V110:V114),IF($AK92=4,SUM(V110:V113),IF($AK92=3,SUM(V110:V112),IF($AK92=2,SUM(V110:V111),V110))))</f>
        <v>49</v>
      </c>
      <c r="W115" s="52">
        <f>IF($AK92=5,SUM(W110:W114),IF($AK92=4,SUM(W110:W113),IF($AK92=3,SUM(W110:W112),IF($AK92=2,SUM(W110:W111),W110))))</f>
        <v>53</v>
      </c>
      <c r="X115" s="52"/>
      <c r="Y115" s="52">
        <f>IF($AK92=5,SUM(Y110:Y114),IF($AK92=4,SUM(Y110:Y113),IF($AK92=3,SUM(Y110:Y112),IF($AK92=2,SUM(Y110:Y111),Y110))))</f>
        <v>50</v>
      </c>
      <c r="Z115" s="52">
        <f>IF($AK92=5,SUM(Z110:Z114),IF($AK92=4,SUM(Z110:Z113),IF($AK92=3,SUM(Z110:Z112),IF($AK92=2,SUM(Z110:Z111),Z110))))</f>
        <v>50</v>
      </c>
      <c r="AA115" s="52"/>
      <c r="AB115" s="52">
        <f>IF($AK92=5,SUM(AB110:AB114),IF($AK92=4,SUM(AB110:AB113),IF($AK92=3,SUM(AB110:AB112),IF($AK92=2,SUM(AB110:AB111),AB110))))</f>
        <v>45</v>
      </c>
      <c r="AC115" s="52">
        <f>IF($AK92=5,SUM(AC110:AC114),IF($AK92=4,SUM(AC110:AC113),IF($AK92=3,SUM(AC110:AC112),IF($AK92=2,SUM(AC110:AC111),AC110))))</f>
        <v>36</v>
      </c>
      <c r="AD115" s="52"/>
      <c r="AE115" s="52">
        <f>IF($AK92=5,SUM(AE110:AE114),IF($AK92=4,SUM(AE110:AE113),IF($AK92=3,SUM(AE110:AE112),IF($AK92=2,SUM(AE110:AE111),AE110))))</f>
        <v>51</v>
      </c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</row>
    <row r="116" spans="1:49" s="54" customFormat="1" ht="12.75" hidden="1" customHeight="1" x14ac:dyDescent="0.2">
      <c r="A116" s="54" t="s">
        <v>79</v>
      </c>
      <c r="B116" s="55">
        <f>IF(AND(B110&gt;D110,$AK93&gt;0,ISNUMBER(B110),ISNUMBER(D110)),1,0)</f>
        <v>0</v>
      </c>
      <c r="C116" s="55"/>
      <c r="D116" s="56">
        <f>IF(AND(D110&gt;B110,$AK93&gt;0,ISNUMBER(B110),ISNUMBER(D110)),1,0)</f>
        <v>1</v>
      </c>
      <c r="E116" s="55">
        <f>IF(AND(E110&gt;G110,$AK93&gt;1,ISNUMBER(E110),ISNUMBER(G110)),1,0)</f>
        <v>1</v>
      </c>
      <c r="F116" s="55"/>
      <c r="G116" s="56">
        <f>IF(AND(G110&gt;E110,$AK93&gt;1,ISNUMBER(E110),ISNUMBER(G110)),1,0)</f>
        <v>0</v>
      </c>
      <c r="H116" s="55">
        <f>IF(AND(H110&gt;J110,$AK93&gt;2,ISNUMBER(H110),ISNUMBER(J110)),1,0)</f>
        <v>0</v>
      </c>
      <c r="I116" s="55"/>
      <c r="J116" s="56">
        <f>IF(AND(J110&gt;H110,$AK93&gt;2,ISNUMBER(H110),ISNUMBER(J110)),1,0)</f>
        <v>1</v>
      </c>
      <c r="K116" s="55">
        <f>IF(AND(K110&gt;M110,$AK93&gt;3,ISNUMBER(K110),ISNUMBER(M110)),1,0)</f>
        <v>0</v>
      </c>
      <c r="L116" s="55"/>
      <c r="M116" s="56">
        <f>IF(AND(M110&gt;K110,$AK93&gt;3,ISNUMBER(K110),ISNUMBER(M110)),1,0)</f>
        <v>1</v>
      </c>
      <c r="N116" s="55">
        <f>IF(AND(N110&gt;P110,$AK93&gt;4,ISNUMBER(N110),ISNUMBER(P110)),1,0)</f>
        <v>1</v>
      </c>
      <c r="O116" s="55"/>
      <c r="P116" s="56">
        <f>IF(AND(P110&gt;N110,$AK93&gt;4,ISNUMBER(N110),ISNUMBER(P110)),1,0)</f>
        <v>0</v>
      </c>
      <c r="Q116" s="55">
        <f>IF(AND(Q110&gt;S110,$AK93&gt;5,ISNUMBER(Q110),ISNUMBER(S110)),1,0)</f>
        <v>1</v>
      </c>
      <c r="R116" s="55"/>
      <c r="S116" s="56">
        <f>IF(AND(S110&gt;Q110,$AK93&gt;5,ISNUMBER(Q110),ISNUMBER(S110)),1,0)</f>
        <v>0</v>
      </c>
      <c r="T116" s="55">
        <f>IF(AND(T110&gt;V110,$AK93&gt;6,ISNUMBER(T110),ISNUMBER(V110)),1,0)</f>
        <v>0</v>
      </c>
      <c r="U116" s="55"/>
      <c r="V116" s="56">
        <f>IF(AND(V110&gt;T110,$AK93&gt;6,ISNUMBER(T110),ISNUMBER(V110)),1,0)</f>
        <v>1</v>
      </c>
      <c r="W116" s="55">
        <f>IF(AND(W110&gt;Y110,$AK93&gt;7,ISNUMBER(W110),ISNUMBER(Y110)),1,0)</f>
        <v>1</v>
      </c>
      <c r="X116" s="55"/>
      <c r="Y116" s="56">
        <f>IF(AND(Y110&gt;W110,$AK93&gt;7,ISNUMBER(W110),ISNUMBER(Y110)),1,0)</f>
        <v>0</v>
      </c>
      <c r="Z116" s="55">
        <f>IF(AND(Z110&gt;AB110,$AK93&gt;8,ISNUMBER(Z110),ISNUMBER(AB110)),1,0)</f>
        <v>1</v>
      </c>
      <c r="AA116" s="55"/>
      <c r="AB116" s="56">
        <f>IF(AND(AB110&gt;Z110,$AK93&gt;8,ISNUMBER(Z110),ISNUMBER(AB110)),1,0)</f>
        <v>0</v>
      </c>
      <c r="AC116" s="55">
        <f>IF(AND(AC110&gt;AE110,$AK93&gt;9,ISNUMBER(AC110),ISNUMBER(AE110)),1,0)</f>
        <v>0</v>
      </c>
      <c r="AD116" s="55"/>
      <c r="AE116" s="56">
        <f>IF(AND(AE110&gt;AC110,$AK93&gt;9,ISNUMBER(AC110),ISNUMBER(AE110)),1,0)</f>
        <v>1</v>
      </c>
      <c r="AW116" s="57"/>
    </row>
    <row r="117" spans="1:49" s="54" customFormat="1" ht="12.75" hidden="1" customHeight="1" x14ac:dyDescent="0.2">
      <c r="A117" s="54" t="s">
        <v>80</v>
      </c>
      <c r="B117" s="55">
        <f>IF(AND(B111&gt;D111,$AK93&gt;0,$AK92&gt;1,ISNUMBER(B111),ISNUMBER(D111)),1,0)</f>
        <v>1</v>
      </c>
      <c r="C117" s="55"/>
      <c r="D117" s="56">
        <f>IF(AND(D111&gt;B111,$AK93&gt;0,$AK92&gt;1,ISNUMBER(B111),ISNUMBER(D111)),1,0)</f>
        <v>0</v>
      </c>
      <c r="E117" s="55">
        <f>IF(AND(E111&gt;G111,$AK93&gt;1,$AK92&gt;1,ISNUMBER(E111),ISNUMBER(G111)),1,0)</f>
        <v>1</v>
      </c>
      <c r="F117" s="55"/>
      <c r="G117" s="56">
        <f>IF(AND(G111&gt;E111,$AK93&gt;1,$AK92&gt;1,ISNUMBER(E111),ISNUMBER(G111)),1,0)</f>
        <v>0</v>
      </c>
      <c r="H117" s="55">
        <f>IF(AND(H111&gt;J111,$AK93&gt;2,$AK92&gt;1,ISNUMBER(H111),ISNUMBER(J111)),1,0)</f>
        <v>0</v>
      </c>
      <c r="I117" s="55"/>
      <c r="J117" s="56">
        <f>IF(AND(J111&gt;H111,$AK93&gt;2,$AK92&gt;1,ISNUMBER(H111),ISNUMBER(J111)),1,0)</f>
        <v>1</v>
      </c>
      <c r="K117" s="55">
        <f>IF(AND(K111&gt;M111,$AK93&gt;3,$AK92&gt;1,ISNUMBER(K111),ISNUMBER(M111)),1,0)</f>
        <v>1</v>
      </c>
      <c r="L117" s="55"/>
      <c r="M117" s="56">
        <f>IF(AND(M111&gt;K111,$AK93&gt;3,$AK92&gt;1,ISNUMBER(K111),ISNUMBER(M111)),1,0)</f>
        <v>0</v>
      </c>
      <c r="N117" s="55">
        <f>IF(AND(N111&gt;P111,$AK93&gt;4,$AK92&gt;1,ISNUMBER(N111),ISNUMBER(P111)),1,0)</f>
        <v>0</v>
      </c>
      <c r="O117" s="55"/>
      <c r="P117" s="56">
        <f>IF(AND(P111&gt;N111,$AK93&gt;4,$AK92&gt;1,ISNUMBER(N111),ISNUMBER(P111)),1,0)</f>
        <v>1</v>
      </c>
      <c r="Q117" s="55">
        <f>IF(AND(Q111&gt;S111,$AK93&gt;5,$AK92&gt;1,ISNUMBER(Q111),ISNUMBER(S111)),1,0)</f>
        <v>1</v>
      </c>
      <c r="R117" s="55"/>
      <c r="S117" s="56">
        <f>IF(AND(S111&gt;Q111,$AK93&gt;5,$AK92&gt;1,ISNUMBER(Q111),ISNUMBER(S111)),1,0)</f>
        <v>0</v>
      </c>
      <c r="T117" s="55">
        <f>IF(AND(T111&gt;V111,$AK93&gt;6,$AK92&gt;1,ISNUMBER(T111),ISNUMBER(V111)),1,0)</f>
        <v>1</v>
      </c>
      <c r="U117" s="55"/>
      <c r="V117" s="56">
        <f>IF(AND(V111&gt;T111,$AK93&gt;6,$AK92&gt;1,ISNUMBER(T111),ISNUMBER(V111)),1,0)</f>
        <v>0</v>
      </c>
      <c r="W117" s="55">
        <f>IF(AND(W111&gt;Y111,$AK93&gt;7,$AK92&gt;1,ISNUMBER(W111),ISNUMBER(Y111)),1,0)</f>
        <v>1</v>
      </c>
      <c r="X117" s="55"/>
      <c r="Y117" s="56">
        <f>IF(AND(Y111&gt;W111,$AK93&gt;7,$AK92&gt;1,ISNUMBER(W111),ISNUMBER(Y111)),1,0)</f>
        <v>0</v>
      </c>
      <c r="Z117" s="55">
        <f>IF(AND(Z111&gt;AB111,$AK93&gt;8,$AK92&gt;1,ISNUMBER(Z111),ISNUMBER(AB111)),1,0)</f>
        <v>1</v>
      </c>
      <c r="AA117" s="55"/>
      <c r="AB117" s="56">
        <f>IF(AND(AB111&gt;Z111,$AK93&gt;8,$AK92&gt;1,ISNUMBER(Z111),ISNUMBER(AB111)),1,0)</f>
        <v>0</v>
      </c>
      <c r="AC117" s="55">
        <f>IF(AND(AC111&gt;AE111,$AK93&gt;9,$AK92&gt;1,ISNUMBER(AC111),ISNUMBER(AE111)),1,0)</f>
        <v>0</v>
      </c>
      <c r="AD117" s="55"/>
      <c r="AE117" s="56">
        <f>IF(AND(AE111&gt;AC111,$AK93&gt;9,$AK92&gt;1,ISNUMBER(AC111),ISNUMBER(AE111)),1,0)</f>
        <v>1</v>
      </c>
      <c r="AW117" s="57"/>
    </row>
    <row r="118" spans="1:49" s="54" customFormat="1" ht="12.75" hidden="1" customHeight="1" x14ac:dyDescent="0.2">
      <c r="A118" s="54" t="s">
        <v>81</v>
      </c>
      <c r="B118" s="55">
        <f>IF(AND(B112&gt;D112,$AK93&gt;0,$AK92&gt;2,ISNUMBER(B112),ISNUMBER(D112)),1,0)</f>
        <v>0</v>
      </c>
      <c r="C118" s="55"/>
      <c r="D118" s="56">
        <f>IF(AND(D112&gt;B112,$AK93&gt;0,$AK92&gt;2,ISNUMBER(B112),ISNUMBER(D112)),1,0)</f>
        <v>0</v>
      </c>
      <c r="E118" s="55">
        <f>IF(AND(E112&gt;G112,$AK93&gt;1,$AK92&gt;2,ISNUMBER(E112),ISNUMBER(G112)),1,0)</f>
        <v>0</v>
      </c>
      <c r="F118" s="55"/>
      <c r="G118" s="56">
        <f>IF(AND(G112&gt;E112,$AK93&gt;1,$AK92&gt;2,ISNUMBER(E112),ISNUMBER(G112)),1,0)</f>
        <v>0</v>
      </c>
      <c r="H118" s="55">
        <f>IF(AND(H112&gt;J112,$AK93&gt;2,$AK92&gt;2,ISNUMBER(H112),ISNUMBER(J112)),1,0)</f>
        <v>0</v>
      </c>
      <c r="I118" s="55"/>
      <c r="J118" s="56">
        <f>IF(AND(J112&gt;H112,$AK93&gt;2,$AK92&gt;2,ISNUMBER(H112),ISNUMBER(J112)),1,0)</f>
        <v>0</v>
      </c>
      <c r="K118" s="55">
        <f>IF(AND(K112&gt;M112,$AK93&gt;3,$AK92&gt;2,ISNUMBER(K112),ISNUMBER(M112)),1,0)</f>
        <v>0</v>
      </c>
      <c r="L118" s="55"/>
      <c r="M118" s="56">
        <f>IF(AND(M112&gt;K112,$AK93&gt;3,$AK92&gt;2,ISNUMBER(K112),ISNUMBER(M112)),1,0)</f>
        <v>0</v>
      </c>
      <c r="N118" s="55">
        <f>IF(AND(N112&gt;P112,$AK93&gt;4,$AK92&gt;2,ISNUMBER(N112),ISNUMBER(P112)),1,0)</f>
        <v>0</v>
      </c>
      <c r="O118" s="55"/>
      <c r="P118" s="56">
        <f>IF(AND(P112&gt;N112,$AK93&gt;4,$AK92&gt;2,ISNUMBER(N112),ISNUMBER(P112)),1,0)</f>
        <v>0</v>
      </c>
      <c r="Q118" s="55">
        <f>IF(AND(Q112&gt;S112,$AK93&gt;5,$AK92&gt;2,ISNUMBER(Q112),ISNUMBER(S112)),1,0)</f>
        <v>0</v>
      </c>
      <c r="R118" s="55"/>
      <c r="S118" s="56">
        <f>IF(AND(S112&gt;Q112,$AK93&gt;5,$AK92&gt;2,ISNUMBER(Q112),ISNUMBER(S112)),1,0)</f>
        <v>0</v>
      </c>
      <c r="T118" s="55">
        <f>IF(AND(T112&gt;V112,$AK93&gt;6,$AK92&gt;2,ISNUMBER(T112),ISNUMBER(V112)),1,0)</f>
        <v>0</v>
      </c>
      <c r="U118" s="55"/>
      <c r="V118" s="56">
        <f>IF(AND(V112&gt;T112,$AK93&gt;6,$AK92&gt;2,ISNUMBER(T112),ISNUMBER(V112)),1,0)</f>
        <v>0</v>
      </c>
      <c r="W118" s="55">
        <f>IF(AND(W112&gt;Y112,$AK93&gt;7,$AK92&gt;2,ISNUMBER(W112),ISNUMBER(Y112)),1,0)</f>
        <v>0</v>
      </c>
      <c r="X118" s="55"/>
      <c r="Y118" s="56">
        <f>IF(AND(Y112&gt;W112,$AK93&gt;7,$AK92&gt;2,ISNUMBER(W112),ISNUMBER(Y112)),1,0)</f>
        <v>0</v>
      </c>
      <c r="Z118" s="55">
        <f>IF(AND(Z112&gt;AB112,$AK93&gt;8,$AK92&gt;2,ISNUMBER(Z112),ISNUMBER(AB112)),1,0)</f>
        <v>0</v>
      </c>
      <c r="AA118" s="55"/>
      <c r="AB118" s="56">
        <f>IF(AND(AB112&gt;Z112,$AK93&gt;8,$AK92&gt;2,ISNUMBER(Z112),ISNUMBER(AB112)),1,0)</f>
        <v>0</v>
      </c>
      <c r="AC118" s="55">
        <f>IF(AND(AC112&gt;AE112,$AK93&gt;9,$AK92&gt;2,ISNUMBER(AC112),ISNUMBER(AE112)),1,0)</f>
        <v>0</v>
      </c>
      <c r="AD118" s="55"/>
      <c r="AE118" s="56">
        <f>IF(AND(AE112&gt;AC112,$AK93&gt;9,$AK92&gt;2,ISNUMBER(AC112),ISNUMBER(AE112)),1,0)</f>
        <v>0</v>
      </c>
      <c r="AW118" s="57"/>
    </row>
    <row r="119" spans="1:49" s="54" customFormat="1" ht="12.75" hidden="1" customHeight="1" x14ac:dyDescent="0.2">
      <c r="A119" s="54" t="s">
        <v>82</v>
      </c>
      <c r="B119" s="55">
        <f>IF(AND(B113&gt;D113,$AK93&gt;0,$AK92&gt;3,ISNUMBER(B113),ISNUMBER(D113)),1,0)</f>
        <v>0</v>
      </c>
      <c r="C119" s="55"/>
      <c r="D119" s="56">
        <f>IF(AND(D113&gt;B113,$AK93&gt;0,$AK92&gt;3,ISNUMBER(B113),ISNUMBER(D113)),1,0)</f>
        <v>0</v>
      </c>
      <c r="E119" s="55">
        <f>IF(AND(E113&gt;G113,$AK93&gt;1,$AK92&gt;3,ISNUMBER(E113),ISNUMBER(G113)),1,0)</f>
        <v>0</v>
      </c>
      <c r="F119" s="55"/>
      <c r="G119" s="56">
        <f>IF(AND(G113&gt;E113,$AK93&gt;1,$AK92&gt;3,ISNUMBER(E113),ISNUMBER(G113)),1,0)</f>
        <v>0</v>
      </c>
      <c r="H119" s="55">
        <f>IF(AND(H113&gt;J113,$AK93&gt;2,$AK92&gt;3,ISNUMBER(H113),ISNUMBER(J113)),1,0)</f>
        <v>0</v>
      </c>
      <c r="I119" s="55"/>
      <c r="J119" s="56">
        <f>IF(AND(J113&gt;H113,$AK93&gt;2,$AK92&gt;3,ISNUMBER(H113),ISNUMBER(J113)),1,0)</f>
        <v>0</v>
      </c>
      <c r="K119" s="55">
        <f>IF(AND(K113&gt;M113,$AK93&gt;3,$AK92&gt;3,ISNUMBER(K113),ISNUMBER(M113)),1,0)</f>
        <v>0</v>
      </c>
      <c r="L119" s="55"/>
      <c r="M119" s="56">
        <f>IF(AND(M113&gt;K113,$AK93&gt;3,$AK92&gt;3,ISNUMBER(K113),ISNUMBER(M113)),1,0)</f>
        <v>0</v>
      </c>
      <c r="N119" s="55">
        <f>IF(AND(N113&gt;P113,$AK93&gt;4,$AK92&gt;3,ISNUMBER(N113),ISNUMBER(P113)),1,0)</f>
        <v>0</v>
      </c>
      <c r="O119" s="55"/>
      <c r="P119" s="56">
        <f>IF(AND(P113&gt;N113,$AK93&gt;4,$AK92&gt;3,ISNUMBER(N113),ISNUMBER(P113)),1,0)</f>
        <v>0</v>
      </c>
      <c r="Q119" s="55">
        <f>IF(AND(Q113&gt;S113,$AK93&gt;5,$AK92&gt;3,ISNUMBER(Q113),ISNUMBER(S113)),1,0)</f>
        <v>0</v>
      </c>
      <c r="R119" s="55"/>
      <c r="S119" s="56">
        <f>IF(AND(S113&gt;Q113,$AK93&gt;5,$AK92&gt;3,ISNUMBER(Q113),ISNUMBER(S113)),1,0)</f>
        <v>0</v>
      </c>
      <c r="T119" s="55">
        <f>IF(AND(T113&gt;V113,$AK93&gt;6,$AK92&gt;3,ISNUMBER(T113),ISNUMBER(V113)),1,0)</f>
        <v>0</v>
      </c>
      <c r="U119" s="55"/>
      <c r="V119" s="56">
        <f>IF(AND(V113&gt;T113,$AK93&gt;6,$AK92&gt;3,ISNUMBER(T113),ISNUMBER(V113)),1,0)</f>
        <v>0</v>
      </c>
      <c r="W119" s="55">
        <f>IF(AND(W113&gt;Y113,$AK93&gt;7,$AK92&gt;3,ISNUMBER(W113),ISNUMBER(Y113)),1,0)</f>
        <v>0</v>
      </c>
      <c r="X119" s="55"/>
      <c r="Y119" s="56">
        <f>IF(AND(Y113&gt;W113,$AK93&gt;7,$AK92&gt;3,ISNUMBER(W113),ISNUMBER(Y113)),1,0)</f>
        <v>0</v>
      </c>
      <c r="Z119" s="55">
        <f>IF(AND(Z113&gt;AB113,$AK93&gt;8,$AK92&gt;3,ISNUMBER(Z113),ISNUMBER(AB113)),1,0)</f>
        <v>0</v>
      </c>
      <c r="AA119" s="55"/>
      <c r="AB119" s="56">
        <f>IF(AND(AB113&gt;Z113,$AK93&gt;8,$AK92&gt;3,ISNUMBER(Z113),ISNUMBER(AB113)),1,0)</f>
        <v>0</v>
      </c>
      <c r="AC119" s="55">
        <f>IF(AND(AC113&gt;AE113,$AK93&gt;9,$AK92&gt;3,ISNUMBER(AC113),ISNUMBER(AE113)),1,0)</f>
        <v>0</v>
      </c>
      <c r="AD119" s="55"/>
      <c r="AE119" s="56">
        <f>IF(AND(AE113&gt;AC113,$AK93&gt;9,$AK92&gt;3,ISNUMBER(AC113),ISNUMBER(AE113)),1,0)</f>
        <v>0</v>
      </c>
      <c r="AW119" s="57"/>
    </row>
    <row r="120" spans="1:49" s="54" customFormat="1" ht="12.75" hidden="1" customHeight="1" x14ac:dyDescent="0.2">
      <c r="A120" s="54" t="s">
        <v>83</v>
      </c>
      <c r="B120" s="55">
        <f>IF(AND(B114&gt;D114,$AK93&gt;0,$AK92&gt;4,ISNUMBER(B114),ISNUMBER(D114)),1,0)</f>
        <v>0</v>
      </c>
      <c r="C120" s="55"/>
      <c r="D120" s="56">
        <f>IF(AND(D114&gt;B114,$AK93&gt;0,$AK92&gt;4,ISNUMBER(B114),ISNUMBER(D114)),1,0)</f>
        <v>0</v>
      </c>
      <c r="E120" s="55">
        <f>IF(AND(E114&gt;G114,$AK93&gt;1,$AK92&gt;4,ISNUMBER(E114),ISNUMBER(G114)),1,0)</f>
        <v>0</v>
      </c>
      <c r="F120" s="55"/>
      <c r="G120" s="56">
        <f>IF(AND(G114&gt;E114,$AK93&gt;1,$AK92&gt;4,ISNUMBER(E114),ISNUMBER(G114)),1,0)</f>
        <v>0</v>
      </c>
      <c r="H120" s="55">
        <f>IF(AND(H114&gt;J114,$AK93&gt;2,$AK92&gt;4,ISNUMBER(H114),ISNUMBER(J114)),1,0)</f>
        <v>0</v>
      </c>
      <c r="I120" s="55"/>
      <c r="J120" s="56">
        <f>IF(AND(J114&gt;H114,$AK93&gt;2,$AK92&gt;4,ISNUMBER(H114),ISNUMBER(J114)),1,0)</f>
        <v>0</v>
      </c>
      <c r="K120" s="55">
        <f>IF(AND(K114&gt;M114,$AK93&gt;3,$AK92&gt;4,ISNUMBER(K114),ISNUMBER(M114)),1,0)</f>
        <v>0</v>
      </c>
      <c r="L120" s="55"/>
      <c r="M120" s="56">
        <f>IF(AND(M114&gt;K114,$AK93&gt;3,$AK92&gt;4,ISNUMBER(K114),ISNUMBER(M114)),1,0)</f>
        <v>0</v>
      </c>
      <c r="N120" s="55">
        <f>IF(AND(N114&gt;P114,$AK93&gt;4,$AK92&gt;4,ISNUMBER(N114),ISNUMBER(P114)),1,0)</f>
        <v>0</v>
      </c>
      <c r="O120" s="55"/>
      <c r="P120" s="56">
        <f>IF(AND(P114&gt;N114,$AK93&gt;4,$AK92&gt;4,ISNUMBER(N114),ISNUMBER(P114)),1,0)</f>
        <v>0</v>
      </c>
      <c r="Q120" s="55">
        <f>IF(AND(Q114&gt;S114,$AK93&gt;5,$AK92&gt;4,ISNUMBER(Q114),ISNUMBER(S114)),1,0)</f>
        <v>0</v>
      </c>
      <c r="R120" s="55"/>
      <c r="S120" s="56">
        <f>IF(AND(S114&gt;Q114,$AK93&gt;5,$AK92&gt;4,ISNUMBER(Q114),ISNUMBER(S114)),1,0)</f>
        <v>0</v>
      </c>
      <c r="T120" s="55">
        <f>IF(AND(T114&gt;V114,$AK93&gt;6,$AK92&gt;4,ISNUMBER(T114),ISNUMBER(V114)),1,0)</f>
        <v>0</v>
      </c>
      <c r="U120" s="55"/>
      <c r="V120" s="56">
        <f>IF(AND(V114&gt;T114,$AK93&gt;6,$AK92&gt;4,ISNUMBER(T114),ISNUMBER(V114)),1,0)</f>
        <v>0</v>
      </c>
      <c r="W120" s="55">
        <f>IF(AND(W114&gt;Y114,$AK93&gt;7,$AK92&gt;4,ISNUMBER(W114),ISNUMBER(Y114)),1,0)</f>
        <v>0</v>
      </c>
      <c r="X120" s="55"/>
      <c r="Y120" s="56">
        <f>IF(AND(Y114&gt;W114,$AK93&gt;7,$AK92&gt;4,ISNUMBER(W114),ISNUMBER(Y114)),1,0)</f>
        <v>0</v>
      </c>
      <c r="Z120" s="55">
        <f>IF(AND(Z114&gt;AB114,$AK93&gt;8,$AK92&gt;4,ISNUMBER(Z114),ISNUMBER(AB114)),1,0)</f>
        <v>0</v>
      </c>
      <c r="AA120" s="55"/>
      <c r="AB120" s="56">
        <f>IF(AND(AB114&gt;Z114,$AK93&gt;8,$AK92&gt;4,ISNUMBER(Z114),ISNUMBER(AB114)),1,0)</f>
        <v>0</v>
      </c>
      <c r="AC120" s="55">
        <f>IF(AND(AC114&gt;AE114,$AK93&gt;9,$AK92&gt;4,ISNUMBER(AC114),ISNUMBER(AE114)),1,0)</f>
        <v>0</v>
      </c>
      <c r="AD120" s="55"/>
      <c r="AE120" s="56">
        <f>IF(AND(AE114&gt;AC114,$AK93&gt;9,$AK92&gt;4,ISNUMBER(AC114),ISNUMBER(AE114)),1,0)</f>
        <v>0</v>
      </c>
      <c r="AW120" s="57"/>
    </row>
    <row r="121" spans="1:49" s="54" customFormat="1" ht="38.25" hidden="1" customHeight="1" x14ac:dyDescent="0.2">
      <c r="A121" s="58" t="s">
        <v>84</v>
      </c>
      <c r="B121" s="54">
        <f>SUM(B116:B120)</f>
        <v>1</v>
      </c>
      <c r="D121" s="59">
        <f>SUM(D116:D120)</f>
        <v>1</v>
      </c>
      <c r="E121" s="54">
        <f>SUM(E116:E120)</f>
        <v>2</v>
      </c>
      <c r="G121" s="59">
        <f>SUM(G116:G120)</f>
        <v>0</v>
      </c>
      <c r="H121" s="54">
        <f>SUM(H116:H120)</f>
        <v>0</v>
      </c>
      <c r="J121" s="59">
        <f>SUM(J116:J120)</f>
        <v>2</v>
      </c>
      <c r="K121" s="54">
        <f>SUM(K116:K120)</f>
        <v>1</v>
      </c>
      <c r="M121" s="59">
        <f>SUM(M116:M120)</f>
        <v>1</v>
      </c>
      <c r="N121" s="54">
        <f>SUM(N116:N120)</f>
        <v>1</v>
      </c>
      <c r="P121" s="59">
        <f>SUM(P116:P120)</f>
        <v>1</v>
      </c>
      <c r="Q121" s="54">
        <f>SUM(Q116:Q120)</f>
        <v>2</v>
      </c>
      <c r="S121" s="59">
        <f>SUM(S116:S120)</f>
        <v>0</v>
      </c>
      <c r="T121" s="54">
        <f>SUM(T116:T120)</f>
        <v>1</v>
      </c>
      <c r="V121" s="59">
        <f>SUM(V116:V120)</f>
        <v>1</v>
      </c>
      <c r="W121" s="54">
        <f>SUM(W116:W120)</f>
        <v>2</v>
      </c>
      <c r="Y121" s="59">
        <f>SUM(Y116:Y120)</f>
        <v>0</v>
      </c>
      <c r="Z121" s="54">
        <f>SUM(Z116:Z120)</f>
        <v>2</v>
      </c>
      <c r="AB121" s="59">
        <f>SUM(AB116:AB120)</f>
        <v>0</v>
      </c>
      <c r="AC121" s="54">
        <f>SUM(AC116:AC120)</f>
        <v>0</v>
      </c>
      <c r="AE121" s="59">
        <f>SUM(AE116:AE120)</f>
        <v>2</v>
      </c>
      <c r="AW121" s="57"/>
    </row>
    <row r="122" spans="1:49" s="54" customFormat="1" ht="25.5" hidden="1" customHeight="1" x14ac:dyDescent="0.2">
      <c r="A122" s="58" t="s">
        <v>85</v>
      </c>
      <c r="B122" s="54">
        <f>IF(B121&gt;D121,IF(C156=AK92,1,IF(C156=AK92-1,1,0)),0)</f>
        <v>0</v>
      </c>
      <c r="C122" s="54">
        <f>B122+D122</f>
        <v>0</v>
      </c>
      <c r="D122" s="59">
        <f>IF(D121&gt;B121,IF(C156=AK92,1,IF(C156=AK92-1,1,0)),0)</f>
        <v>0</v>
      </c>
      <c r="E122" s="54">
        <f>IF(E121&gt;G121,IF(F156=AK92,1,IF(F156=AK92-1,1,0)),0)</f>
        <v>1</v>
      </c>
      <c r="F122" s="54">
        <f>E122+G122</f>
        <v>1</v>
      </c>
      <c r="G122" s="59">
        <f>IF(G121&gt;E121,IF(F156=AK92,1,IF(F156=AK92-1,1,0)),0)</f>
        <v>0</v>
      </c>
      <c r="H122" s="54">
        <f>IF(H121&gt;J121,IF(I156=AK92,1,IF(I156=AK92-1,1,0)),0)</f>
        <v>0</v>
      </c>
      <c r="I122" s="54">
        <f>H122+J122</f>
        <v>1</v>
      </c>
      <c r="J122" s="59">
        <f>IF(J121&gt;H121,IF(I156=AK92,1,IF(I156=AK92-1,1,0)),0)</f>
        <v>1</v>
      </c>
      <c r="K122" s="54">
        <f>IF(K121&gt;M121,IF(L156=AK92,1,IF(L156=AK92-1,1,0)),0)</f>
        <v>0</v>
      </c>
      <c r="L122" s="54">
        <f>K122+M122</f>
        <v>0</v>
      </c>
      <c r="M122" s="59">
        <f>IF(M121&gt;K121,IF(L156=AK92,1,IF(L156=AK92-1,1,0)),0)</f>
        <v>0</v>
      </c>
      <c r="N122" s="54">
        <f>IF(N121&gt;P121,IF(O156=AK92,1,IF(O156=AK92-1,1,0)),0)</f>
        <v>0</v>
      </c>
      <c r="O122" s="54">
        <f>N122+P122</f>
        <v>0</v>
      </c>
      <c r="P122" s="59">
        <f>IF(P121&gt;N121,IF(O156=AK92,1,IF(O156=AK92-1,1,0)),0)</f>
        <v>0</v>
      </c>
      <c r="Q122" s="54">
        <f>IF(Q121&gt;S121,IF(R156=AK92,1,IF(R156=AK92-1,1,0)),0)</f>
        <v>1</v>
      </c>
      <c r="R122" s="54">
        <f>Q122+S122</f>
        <v>1</v>
      </c>
      <c r="S122" s="59">
        <f>IF(S121&gt;Q121,IF(R156=AK92,1,IF(R156=AK92-1,1,0)),0)</f>
        <v>0</v>
      </c>
      <c r="T122" s="54">
        <f>IF(T121&gt;V121,IF(U156=AK92,1,IF(U156=AK92-1,1,0)),0)</f>
        <v>0</v>
      </c>
      <c r="U122" s="54">
        <f>T122+V122</f>
        <v>0</v>
      </c>
      <c r="V122" s="59">
        <f>IF(V121&gt;T121,IF(U156=AK92,1,IF(U156=AK92-1,1,0)),0)</f>
        <v>0</v>
      </c>
      <c r="W122" s="54">
        <f>IF(W121&gt;Y121,IF(X156=AK92,1,IF(X156=AK92-1,1,0)),0)</f>
        <v>1</v>
      </c>
      <c r="X122" s="54">
        <f>W122+Y122</f>
        <v>1</v>
      </c>
      <c r="Y122" s="59">
        <f>IF(Y121&gt;W121,IF(X156=AK92,1,IF(X156=AK92-1,1,0)),0)</f>
        <v>0</v>
      </c>
      <c r="Z122" s="54">
        <f>IF(Z121&gt;AB121,IF(AA156=AK92,1,IF(AA156=AK92-1,1,0)),0)</f>
        <v>1</v>
      </c>
      <c r="AA122" s="54">
        <f>Z122+AB122</f>
        <v>1</v>
      </c>
      <c r="AB122" s="59">
        <f>IF(AB121&gt;Z121,IF(AA156=AK92,1,IF(AA156=AK92-1,1,0)),0)</f>
        <v>0</v>
      </c>
      <c r="AC122" s="54">
        <f>IF(AC121&gt;AE121,IF(AD156=AK92,1,IF(AD156=AK92-1,1,0)),0)</f>
        <v>0</v>
      </c>
      <c r="AD122" s="54">
        <f>AC122+AE122</f>
        <v>1</v>
      </c>
      <c r="AE122" s="59">
        <f>IF(AE121&gt;AC121,IF(AD156=AK92,1,IF(AD156=AK92-1,1,0)),0)</f>
        <v>1</v>
      </c>
      <c r="AW122" s="57"/>
    </row>
    <row r="123" spans="1:49" s="54" customFormat="1" ht="25.5" hidden="1" customHeight="1" x14ac:dyDescent="0.2">
      <c r="A123" s="58"/>
      <c r="D123" s="59"/>
      <c r="G123" s="59"/>
      <c r="J123" s="59"/>
      <c r="M123" s="59"/>
      <c r="P123" s="59"/>
      <c r="S123" s="59"/>
      <c r="V123" s="59"/>
      <c r="Y123" s="59"/>
      <c r="AB123" s="59"/>
      <c r="AE123" s="59"/>
      <c r="AW123" s="57"/>
    </row>
    <row r="124" spans="1:49" s="54" customFormat="1" ht="12.75" hidden="1" customHeight="1" x14ac:dyDescent="0.2">
      <c r="A124" s="54" t="s">
        <v>86</v>
      </c>
      <c r="B124" s="54">
        <f>IF(B116=1,B110,0)</f>
        <v>0</v>
      </c>
      <c r="D124" s="59">
        <f t="shared" ref="D124:E128" si="11">IF(D116=1,D110,0)</f>
        <v>25</v>
      </c>
      <c r="E124" s="54">
        <f t="shared" si="11"/>
        <v>25</v>
      </c>
      <c r="G124" s="59">
        <f t="shared" ref="G124:H128" si="12">IF(G116=1,G110,0)</f>
        <v>0</v>
      </c>
      <c r="H124" s="54">
        <f t="shared" si="12"/>
        <v>0</v>
      </c>
      <c r="J124" s="59">
        <f t="shared" ref="J124:K128" si="13">IF(J116=1,J110,0)</f>
        <v>25</v>
      </c>
      <c r="K124" s="54">
        <f t="shared" si="13"/>
        <v>0</v>
      </c>
      <c r="M124" s="59">
        <f t="shared" ref="M124:N128" si="14">IF(M116=1,M110,0)</f>
        <v>25</v>
      </c>
      <c r="N124" s="54">
        <f t="shared" si="14"/>
        <v>25</v>
      </c>
      <c r="P124" s="59">
        <f t="shared" ref="P124:Q128" si="15">IF(P116=1,P110,0)</f>
        <v>0</v>
      </c>
      <c r="Q124" s="54">
        <f t="shared" si="15"/>
        <v>25</v>
      </c>
      <c r="S124" s="59">
        <f t="shared" ref="S124:T128" si="16">IF(S116=1,S110,0)</f>
        <v>0</v>
      </c>
      <c r="T124" s="54">
        <f t="shared" si="16"/>
        <v>0</v>
      </c>
      <c r="V124" s="59">
        <f t="shared" ref="V124:W128" si="17">IF(V116=1,V110,0)</f>
        <v>25</v>
      </c>
      <c r="W124" s="54">
        <f t="shared" si="17"/>
        <v>26</v>
      </c>
      <c r="Y124" s="59">
        <f t="shared" ref="Y124:Z128" si="18">IF(Y116=1,Y110,0)</f>
        <v>0</v>
      </c>
      <c r="Z124" s="54">
        <f t="shared" si="18"/>
        <v>25</v>
      </c>
      <c r="AB124" s="59">
        <f t="shared" ref="AB124:AC128" si="19">IF(AB116=1,AB110,0)</f>
        <v>0</v>
      </c>
      <c r="AC124" s="54">
        <f t="shared" si="19"/>
        <v>0</v>
      </c>
      <c r="AE124" s="59">
        <f>IF(AE116=1,AE110,0)</f>
        <v>26</v>
      </c>
      <c r="AW124" s="57"/>
    </row>
    <row r="125" spans="1:49" s="54" customFormat="1" ht="12.75" hidden="1" customHeight="1" x14ac:dyDescent="0.2">
      <c r="A125" s="54" t="s">
        <v>87</v>
      </c>
      <c r="B125" s="54">
        <f>IF(B117=1,B111,0)</f>
        <v>25</v>
      </c>
      <c r="D125" s="59">
        <f t="shared" si="11"/>
        <v>0</v>
      </c>
      <c r="E125" s="54">
        <f t="shared" si="11"/>
        <v>25</v>
      </c>
      <c r="G125" s="59">
        <f t="shared" si="12"/>
        <v>0</v>
      </c>
      <c r="H125" s="54">
        <f t="shared" si="12"/>
        <v>0</v>
      </c>
      <c r="J125" s="59">
        <f t="shared" si="13"/>
        <v>25</v>
      </c>
      <c r="K125" s="54">
        <f t="shared" si="13"/>
        <v>27</v>
      </c>
      <c r="M125" s="59">
        <f t="shared" si="14"/>
        <v>0</v>
      </c>
      <c r="N125" s="54">
        <f t="shared" si="14"/>
        <v>0</v>
      </c>
      <c r="P125" s="59">
        <f t="shared" si="15"/>
        <v>25</v>
      </c>
      <c r="Q125" s="54">
        <f t="shared" si="15"/>
        <v>25</v>
      </c>
      <c r="S125" s="59">
        <f t="shared" si="16"/>
        <v>0</v>
      </c>
      <c r="T125" s="54">
        <f t="shared" si="16"/>
        <v>26</v>
      </c>
      <c r="V125" s="59">
        <f t="shared" si="17"/>
        <v>0</v>
      </c>
      <c r="W125" s="54">
        <f t="shared" si="17"/>
        <v>27</v>
      </c>
      <c r="Y125" s="59">
        <f t="shared" si="18"/>
        <v>0</v>
      </c>
      <c r="Z125" s="54">
        <f t="shared" si="18"/>
        <v>25</v>
      </c>
      <c r="AB125" s="59">
        <f t="shared" si="19"/>
        <v>0</v>
      </c>
      <c r="AC125" s="54">
        <f t="shared" si="19"/>
        <v>0</v>
      </c>
      <c r="AE125" s="59">
        <f>IF(AE117=1,AE111,0)</f>
        <v>25</v>
      </c>
      <c r="AW125" s="57"/>
    </row>
    <row r="126" spans="1:49" s="54" customFormat="1" ht="12.75" hidden="1" customHeight="1" x14ac:dyDescent="0.2">
      <c r="A126" s="54" t="s">
        <v>88</v>
      </c>
      <c r="B126" s="54">
        <f>IF(B118=1,B112,0)</f>
        <v>0</v>
      </c>
      <c r="D126" s="59">
        <f t="shared" si="11"/>
        <v>0</v>
      </c>
      <c r="E126" s="54">
        <f t="shared" si="11"/>
        <v>0</v>
      </c>
      <c r="G126" s="59">
        <f t="shared" si="12"/>
        <v>0</v>
      </c>
      <c r="H126" s="54">
        <f t="shared" si="12"/>
        <v>0</v>
      </c>
      <c r="J126" s="59">
        <f t="shared" si="13"/>
        <v>0</v>
      </c>
      <c r="K126" s="54">
        <f t="shared" si="13"/>
        <v>0</v>
      </c>
      <c r="M126" s="59">
        <f t="shared" si="14"/>
        <v>0</v>
      </c>
      <c r="N126" s="54">
        <f t="shared" si="14"/>
        <v>0</v>
      </c>
      <c r="P126" s="59">
        <f t="shared" si="15"/>
        <v>0</v>
      </c>
      <c r="Q126" s="54">
        <f t="shared" si="15"/>
        <v>0</v>
      </c>
      <c r="S126" s="59">
        <f t="shared" si="16"/>
        <v>0</v>
      </c>
      <c r="T126" s="54">
        <f t="shared" si="16"/>
        <v>0</v>
      </c>
      <c r="V126" s="59">
        <f t="shared" si="17"/>
        <v>0</v>
      </c>
      <c r="W126" s="54">
        <f t="shared" si="17"/>
        <v>0</v>
      </c>
      <c r="Y126" s="59">
        <f t="shared" si="18"/>
        <v>0</v>
      </c>
      <c r="Z126" s="54">
        <f t="shared" si="18"/>
        <v>0</v>
      </c>
      <c r="AB126" s="59">
        <f t="shared" si="19"/>
        <v>0</v>
      </c>
      <c r="AC126" s="54">
        <f t="shared" si="19"/>
        <v>0</v>
      </c>
      <c r="AE126" s="59">
        <f>IF(AE118=1,AE112,0)</f>
        <v>0</v>
      </c>
      <c r="AW126" s="57"/>
    </row>
    <row r="127" spans="1:49" s="54" customFormat="1" ht="12.75" hidden="1" customHeight="1" x14ac:dyDescent="0.2">
      <c r="A127" s="54" t="s">
        <v>89</v>
      </c>
      <c r="B127" s="54">
        <f>IF(B119=1,B113,0)</f>
        <v>0</v>
      </c>
      <c r="D127" s="59">
        <f t="shared" si="11"/>
        <v>0</v>
      </c>
      <c r="E127" s="54">
        <f t="shared" si="11"/>
        <v>0</v>
      </c>
      <c r="G127" s="59">
        <f t="shared" si="12"/>
        <v>0</v>
      </c>
      <c r="H127" s="54">
        <f t="shared" si="12"/>
        <v>0</v>
      </c>
      <c r="J127" s="59">
        <f t="shared" si="13"/>
        <v>0</v>
      </c>
      <c r="K127" s="54">
        <f t="shared" si="13"/>
        <v>0</v>
      </c>
      <c r="M127" s="59">
        <f t="shared" si="14"/>
        <v>0</v>
      </c>
      <c r="N127" s="54">
        <f t="shared" si="14"/>
        <v>0</v>
      </c>
      <c r="P127" s="59">
        <f t="shared" si="15"/>
        <v>0</v>
      </c>
      <c r="Q127" s="54">
        <f t="shared" si="15"/>
        <v>0</v>
      </c>
      <c r="S127" s="59">
        <f t="shared" si="16"/>
        <v>0</v>
      </c>
      <c r="T127" s="54">
        <f t="shared" si="16"/>
        <v>0</v>
      </c>
      <c r="V127" s="59">
        <f t="shared" si="17"/>
        <v>0</v>
      </c>
      <c r="W127" s="54">
        <f t="shared" si="17"/>
        <v>0</v>
      </c>
      <c r="Y127" s="59">
        <f t="shared" si="18"/>
        <v>0</v>
      </c>
      <c r="Z127" s="54">
        <f t="shared" si="18"/>
        <v>0</v>
      </c>
      <c r="AB127" s="59">
        <f t="shared" si="19"/>
        <v>0</v>
      </c>
      <c r="AC127" s="54">
        <f t="shared" si="19"/>
        <v>0</v>
      </c>
      <c r="AE127" s="59">
        <f>IF(AE119=1,AE113,0)</f>
        <v>0</v>
      </c>
      <c r="AW127" s="57"/>
    </row>
    <row r="128" spans="1:49" s="54" customFormat="1" ht="12.75" hidden="1" customHeight="1" x14ac:dyDescent="0.2">
      <c r="A128" s="54" t="s">
        <v>90</v>
      </c>
      <c r="B128" s="54">
        <f>IF(B120=1,B114,0)</f>
        <v>0</v>
      </c>
      <c r="D128" s="59">
        <f t="shared" si="11"/>
        <v>0</v>
      </c>
      <c r="E128" s="54">
        <f t="shared" si="11"/>
        <v>0</v>
      </c>
      <c r="G128" s="59">
        <f t="shared" si="12"/>
        <v>0</v>
      </c>
      <c r="H128" s="54">
        <f t="shared" si="12"/>
        <v>0</v>
      </c>
      <c r="J128" s="59">
        <f t="shared" si="13"/>
        <v>0</v>
      </c>
      <c r="K128" s="54">
        <f t="shared" si="13"/>
        <v>0</v>
      </c>
      <c r="M128" s="59">
        <f t="shared" si="14"/>
        <v>0</v>
      </c>
      <c r="N128" s="54">
        <f t="shared" si="14"/>
        <v>0</v>
      </c>
      <c r="P128" s="59">
        <f t="shared" si="15"/>
        <v>0</v>
      </c>
      <c r="Q128" s="54">
        <f t="shared" si="15"/>
        <v>0</v>
      </c>
      <c r="S128" s="59">
        <f t="shared" si="16"/>
        <v>0</v>
      </c>
      <c r="T128" s="54">
        <f t="shared" si="16"/>
        <v>0</v>
      </c>
      <c r="V128" s="59">
        <f t="shared" si="17"/>
        <v>0</v>
      </c>
      <c r="W128" s="54">
        <f t="shared" si="17"/>
        <v>0</v>
      </c>
      <c r="Y128" s="59">
        <f t="shared" si="18"/>
        <v>0</v>
      </c>
      <c r="Z128" s="54">
        <f t="shared" si="18"/>
        <v>0</v>
      </c>
      <c r="AB128" s="59">
        <f t="shared" si="19"/>
        <v>0</v>
      </c>
      <c r="AC128" s="54">
        <f t="shared" si="19"/>
        <v>0</v>
      </c>
      <c r="AE128" s="59">
        <f>IF(AE120=1,AE114,0)</f>
        <v>0</v>
      </c>
      <c r="AW128" s="57"/>
    </row>
    <row r="129" spans="1:49" s="54" customFormat="1" ht="38.25" hidden="1" customHeight="1" x14ac:dyDescent="0.2">
      <c r="A129" s="58" t="s">
        <v>91</v>
      </c>
      <c r="B129" s="54">
        <f>SUM(B124:D128)</f>
        <v>50</v>
      </c>
      <c r="D129" s="59"/>
      <c r="E129" s="54">
        <f>SUM(E124:G128)</f>
        <v>50</v>
      </c>
      <c r="G129" s="59"/>
      <c r="H129" s="54">
        <f>SUM(H124:J128)</f>
        <v>50</v>
      </c>
      <c r="J129" s="59"/>
      <c r="K129" s="54">
        <f>SUM(K124:M128)</f>
        <v>52</v>
      </c>
      <c r="M129" s="59"/>
      <c r="N129" s="54">
        <f>SUM(N124:P128)</f>
        <v>50</v>
      </c>
      <c r="P129" s="59"/>
      <c r="Q129" s="54">
        <f>SUM(Q124:S128)</f>
        <v>50</v>
      </c>
      <c r="S129" s="59"/>
      <c r="T129" s="54">
        <f>SUM(T124:V128)</f>
        <v>51</v>
      </c>
      <c r="V129" s="59"/>
      <c r="W129" s="54">
        <f>SUM(W124:Y128)</f>
        <v>53</v>
      </c>
      <c r="Y129" s="59"/>
      <c r="Z129" s="54">
        <f>SUM(Z124:AB128)</f>
        <v>50</v>
      </c>
      <c r="AB129" s="59"/>
      <c r="AC129" s="54">
        <f>SUM(AC124:AE128)</f>
        <v>51</v>
      </c>
      <c r="AE129" s="59"/>
      <c r="AW129" s="57"/>
    </row>
    <row r="130" spans="1:49" s="54" customFormat="1" ht="38.25" hidden="1" customHeight="1" x14ac:dyDescent="0.2">
      <c r="A130" s="54" t="s">
        <v>92</v>
      </c>
      <c r="D130" s="59"/>
      <c r="G130" s="59"/>
      <c r="J130" s="59"/>
      <c r="M130" s="59"/>
      <c r="P130" s="59"/>
      <c r="S130" s="59"/>
      <c r="V130" s="59"/>
      <c r="Y130" s="59"/>
      <c r="AB130" s="59"/>
      <c r="AE130" s="59"/>
      <c r="AF130" s="58" t="s">
        <v>93</v>
      </c>
      <c r="AG130" s="54" t="s">
        <v>94</v>
      </c>
      <c r="AW130" s="57"/>
    </row>
    <row r="131" spans="1:49" s="54" customFormat="1" ht="12.75" hidden="1" customHeight="1" x14ac:dyDescent="0.2">
      <c r="A131" s="54" t="s">
        <v>95</v>
      </c>
      <c r="B131" s="54">
        <f>IF(B109=1,IF(B122=1,1,0),0)</f>
        <v>0</v>
      </c>
      <c r="D131" s="59">
        <f>IF(D109=1,IF(D122=1,1,0),0)</f>
        <v>0</v>
      </c>
      <c r="E131" s="54">
        <f>IF(E109=1,IF(E122=1,1,0),0)</f>
        <v>1</v>
      </c>
      <c r="G131" s="59">
        <f>IF(G109=1,IF(G122=1,1,0),0)</f>
        <v>0</v>
      </c>
      <c r="H131" s="54">
        <f>IF(H109=1,IF(H122=1,1,0),0)</f>
        <v>0</v>
      </c>
      <c r="J131" s="59">
        <f>IF(J109=1,IF(J122=1,1,0),0)</f>
        <v>0</v>
      </c>
      <c r="K131" s="54">
        <f>IF(K109=1,IF(K122=1,1,0),0)</f>
        <v>0</v>
      </c>
      <c r="M131" s="59">
        <f>IF(M109=1,IF(M122=1,1,0),0)</f>
        <v>0</v>
      </c>
      <c r="N131" s="54">
        <f>IF(N109=1,IF(N122=1,1,0),0)</f>
        <v>0</v>
      </c>
      <c r="P131" s="59">
        <f>IF(P109=1,IF(P122=1,1,0),0)</f>
        <v>0</v>
      </c>
      <c r="Q131" s="54">
        <f>IF(Q109=1,IF(Q122=1,1,0),0)</f>
        <v>0</v>
      </c>
      <c r="S131" s="59">
        <f>IF(S109=1,IF(S122=1,1,0),0)</f>
        <v>0</v>
      </c>
      <c r="T131" s="54">
        <f>IF(T109=1,IF(T122=1,1,0),0)</f>
        <v>0</v>
      </c>
      <c r="V131" s="59">
        <f>IF(V109=1,IF(V122=1,1,0),0)</f>
        <v>0</v>
      </c>
      <c r="W131" s="54">
        <f>IF(W109=1,IF(W122=1,1,0),0)</f>
        <v>1</v>
      </c>
      <c r="Y131" s="59">
        <f>IF(Y109=1,IF(Y122=1,1,0),0)</f>
        <v>0</v>
      </c>
      <c r="Z131" s="54">
        <f>IF(Z109=1,IF(Z122=1,1,0),0)</f>
        <v>0</v>
      </c>
      <c r="AB131" s="59">
        <f>IF(AB109=1,IF(AB122=1,1,0),0)</f>
        <v>0</v>
      </c>
      <c r="AC131" s="54">
        <f>IF(AC109=1,IF(AC122=1,1,0),0)</f>
        <v>0</v>
      </c>
      <c r="AE131" s="59">
        <f>IF(AE109=1,IF(AE122=1,1,0),0)</f>
        <v>0</v>
      </c>
      <c r="AF131" s="54">
        <f>SUM(B131:AE131)</f>
        <v>2</v>
      </c>
      <c r="AG131" s="54">
        <f>AF137-AF131</f>
        <v>1</v>
      </c>
      <c r="AW131" s="57"/>
    </row>
    <row r="132" spans="1:49" s="54" customFormat="1" ht="12.75" hidden="1" customHeight="1" x14ac:dyDescent="0.2">
      <c r="A132" s="54" t="s">
        <v>96</v>
      </c>
      <c r="B132" s="54">
        <f>IF(B109=2,IF(B122=1,1,0),0)</f>
        <v>0</v>
      </c>
      <c r="D132" s="59">
        <f>IF(D109=2,IF(D122=1,1,0),0)</f>
        <v>0</v>
      </c>
      <c r="E132" s="54">
        <f>IF(E109=2,IF(E122=1,1,0),0)</f>
        <v>0</v>
      </c>
      <c r="G132" s="59">
        <f>IF(G109=2,IF(G122=1,1,0),0)</f>
        <v>0</v>
      </c>
      <c r="H132" s="54">
        <f>IF(H109=2,IF(H122=1,1,0),0)</f>
        <v>0</v>
      </c>
      <c r="J132" s="59">
        <f>IF(J109=2,IF(J122=1,1,0),0)</f>
        <v>0</v>
      </c>
      <c r="K132" s="54">
        <f>IF(K109=2,IF(K122=1,1,0),0)</f>
        <v>0</v>
      </c>
      <c r="M132" s="59">
        <f>IF(M109=2,IF(M122=1,1,0),0)</f>
        <v>0</v>
      </c>
      <c r="N132" s="54">
        <f>IF(N109=2,IF(N122=1,1,0),0)</f>
        <v>0</v>
      </c>
      <c r="P132" s="59">
        <f>IF(P109=2,IF(P122=1,1,0),0)</f>
        <v>0</v>
      </c>
      <c r="Q132" s="54">
        <f>IF(Q109=2,IF(Q122=1,1,0),0)</f>
        <v>0</v>
      </c>
      <c r="S132" s="59">
        <f>IF(S109=2,IF(S122=1,1,0),0)</f>
        <v>0</v>
      </c>
      <c r="T132" s="54">
        <f>IF(T109=2,IF(T122=1,1,0),0)</f>
        <v>0</v>
      </c>
      <c r="V132" s="59">
        <f>IF(V109=2,IF(V122=1,1,0),0)</f>
        <v>0</v>
      </c>
      <c r="W132" s="54">
        <f>IF(W109=2,IF(W122=1,1,0),0)</f>
        <v>0</v>
      </c>
      <c r="Y132" s="59">
        <f>IF(Y109=2,IF(Y122=1,1,0),0)</f>
        <v>0</v>
      </c>
      <c r="Z132" s="54">
        <f>IF(Z109=2,IF(Z122=1,1,0),0)</f>
        <v>0</v>
      </c>
      <c r="AB132" s="59">
        <f>IF(AB109=2,IF(AB122=1,1,0),0)</f>
        <v>0</v>
      </c>
      <c r="AC132" s="54">
        <f>IF(AC109=2,IF(AC122=1,1,0),0)</f>
        <v>0</v>
      </c>
      <c r="AE132" s="59">
        <f>IF(AE109=2,IF(AE122=1,1,0),0)</f>
        <v>1</v>
      </c>
      <c r="AF132" s="54">
        <f>SUM(B132:AE132)</f>
        <v>1</v>
      </c>
      <c r="AG132" s="54">
        <f>AF138-AF132</f>
        <v>0</v>
      </c>
      <c r="AW132" s="57"/>
    </row>
    <row r="133" spans="1:49" s="54" customFormat="1" ht="12.75" hidden="1" customHeight="1" x14ac:dyDescent="0.2">
      <c r="A133" s="54" t="s">
        <v>97</v>
      </c>
      <c r="B133" s="54">
        <f>IF(B109=3,IF(B122=1,1,0),0)</f>
        <v>0</v>
      </c>
      <c r="D133" s="59">
        <f>IF(D109=3,IF(D122=1,1,0),0)</f>
        <v>0</v>
      </c>
      <c r="E133" s="54">
        <f>IF(E109=3,IF(E122=1,1,0),0)</f>
        <v>0</v>
      </c>
      <c r="G133" s="59">
        <f>IF(G109=3,IF(G122=1,1,0),0)</f>
        <v>0</v>
      </c>
      <c r="H133" s="54">
        <f>IF(H109=3,IF(H122=1,1,0),0)</f>
        <v>0</v>
      </c>
      <c r="J133" s="59">
        <f>IF(J109=3,IF(J122=1,1,0),0)</f>
        <v>0</v>
      </c>
      <c r="K133" s="54">
        <f>IF(K109=3,IF(K122=1,1,0),0)</f>
        <v>0</v>
      </c>
      <c r="M133" s="59">
        <f>IF(M109=3,IF(M122=1,1,0),0)</f>
        <v>0</v>
      </c>
      <c r="N133" s="54">
        <f>IF(N109=3,IF(N122=1,1,0),0)</f>
        <v>0</v>
      </c>
      <c r="P133" s="59">
        <f>IF(P109=3,IF(P122=1,1,0),0)</f>
        <v>0</v>
      </c>
      <c r="Q133" s="54">
        <f>IF(Q109=3,IF(Q122=1,1,0),0)</f>
        <v>0</v>
      </c>
      <c r="S133" s="59">
        <f>IF(S109=3,IF(S122=1,1,0),0)</f>
        <v>0</v>
      </c>
      <c r="T133" s="54">
        <f>IF(T109=3,IF(T122=1,1,0),0)</f>
        <v>0</v>
      </c>
      <c r="V133" s="59">
        <f>IF(V109=3,IF(V122=1,1,0),0)</f>
        <v>0</v>
      </c>
      <c r="W133" s="54">
        <f>IF(W109=3,IF(W122=1,1,0),0)</f>
        <v>0</v>
      </c>
      <c r="Y133" s="59">
        <f>IF(Y109=3,IF(Y122=1,1,0),0)</f>
        <v>0</v>
      </c>
      <c r="Z133" s="54">
        <f>IF(Z109=3,IF(Z122=1,1,0),0)</f>
        <v>1</v>
      </c>
      <c r="AB133" s="59">
        <f>IF(AB109=3,IF(AB122=1,1,0),0)</f>
        <v>0</v>
      </c>
      <c r="AC133" s="54">
        <f>IF(AC109=3,IF(AC122=1,1,0),0)</f>
        <v>0</v>
      </c>
      <c r="AE133" s="59">
        <f>IF(AE109=3,IF(AE122=1,1,0),0)</f>
        <v>0</v>
      </c>
      <c r="AF133" s="54">
        <f>SUM(B133:AE133)</f>
        <v>1</v>
      </c>
      <c r="AG133" s="54">
        <f>AF139-AF133</f>
        <v>1</v>
      </c>
      <c r="AW133" s="57"/>
    </row>
    <row r="134" spans="1:49" s="54" customFormat="1" ht="12.75" hidden="1" customHeight="1" x14ac:dyDescent="0.2">
      <c r="A134" s="54" t="s">
        <v>98</v>
      </c>
      <c r="B134" s="54">
        <f>IF(B109=4,IF(B122=1,1,0),0)</f>
        <v>0</v>
      </c>
      <c r="D134" s="59">
        <f>IF(D109=4,IF(D122=1,1,0),0)</f>
        <v>0</v>
      </c>
      <c r="E134" s="54">
        <f>IF(E109=4,IF(E122=1,1,0),0)</f>
        <v>0</v>
      </c>
      <c r="G134" s="59">
        <f>IF(G109=4,IF(G122=1,1,0),0)</f>
        <v>0</v>
      </c>
      <c r="H134" s="54">
        <f>IF(H109=4,IF(H122=1,1,0),0)</f>
        <v>0</v>
      </c>
      <c r="J134" s="59">
        <f>IF(J109=4,IF(J122=1,1,0),0)</f>
        <v>0</v>
      </c>
      <c r="K134" s="54">
        <f>IF(K109=4,IF(K122=1,1,0),0)</f>
        <v>0</v>
      </c>
      <c r="M134" s="59">
        <f>IF(M109=4,IF(M122=1,1,0),0)</f>
        <v>0</v>
      </c>
      <c r="N134" s="54">
        <f>IF(N109=4,IF(N122=1,1,0),0)</f>
        <v>0</v>
      </c>
      <c r="P134" s="59">
        <f>IF(P109=4,IF(P122=1,1,0),0)</f>
        <v>0</v>
      </c>
      <c r="Q134" s="54">
        <f>IF(Q109=4,IF(Q122=1,1,0),0)</f>
        <v>1</v>
      </c>
      <c r="S134" s="59">
        <f>IF(S109=4,IF(S122=1,1,0),0)</f>
        <v>0</v>
      </c>
      <c r="T134" s="54">
        <f>IF(T109=4,IF(T122=1,1,0),0)</f>
        <v>0</v>
      </c>
      <c r="V134" s="59">
        <f>IF(V109=4,IF(V122=1,1,0),0)</f>
        <v>0</v>
      </c>
      <c r="W134" s="54">
        <f>IF(W109=4,IF(W122=1,1,0),0)</f>
        <v>0</v>
      </c>
      <c r="Y134" s="59">
        <f>IF(Y109=4,IF(Y122=1,1,0),0)</f>
        <v>0</v>
      </c>
      <c r="Z134" s="54">
        <f>IF(Z109=4,IF(Z122=1,1,0),0)</f>
        <v>0</v>
      </c>
      <c r="AB134" s="59">
        <f>IF(AB109=4,IF(AB122=1,1,0),0)</f>
        <v>0</v>
      </c>
      <c r="AC134" s="54">
        <f>IF(AC109=4,IF(AC122=1,1,0),0)</f>
        <v>0</v>
      </c>
      <c r="AE134" s="59">
        <f>IF(AE109=4,IF(AE122=1,1,0),0)</f>
        <v>0</v>
      </c>
      <c r="AF134" s="54">
        <f>SUM(B134:AE134)</f>
        <v>1</v>
      </c>
      <c r="AG134" s="54">
        <f>AF140-AF134</f>
        <v>2</v>
      </c>
      <c r="AW134" s="57"/>
    </row>
    <row r="135" spans="1:49" s="54" customFormat="1" ht="12.75" hidden="1" customHeight="1" x14ac:dyDescent="0.2">
      <c r="A135" s="54" t="s">
        <v>99</v>
      </c>
      <c r="B135" s="54">
        <f>IF(B109=5,IF(B122=1,1,0),0)</f>
        <v>0</v>
      </c>
      <c r="D135" s="59">
        <f>IF(D109=5,IF(D122=1,1,0),0)</f>
        <v>0</v>
      </c>
      <c r="E135" s="54">
        <f>IF(E109=5,IF(E122=1,1,0),0)</f>
        <v>0</v>
      </c>
      <c r="G135" s="59">
        <f>IF(G109=5,IF(G122=1,1,0),0)</f>
        <v>0</v>
      </c>
      <c r="H135" s="54">
        <f>IF(H109=5,IF(H122=1,1,0),0)</f>
        <v>0</v>
      </c>
      <c r="J135" s="59">
        <f>IF(J109=5,IF(J122=1,1,0),0)</f>
        <v>1</v>
      </c>
      <c r="K135" s="54">
        <f>IF(K109=5,IF(K122=1,1,0),0)</f>
        <v>0</v>
      </c>
      <c r="M135" s="59">
        <f>IF(M109=5,IF(M122=1,1,0),0)</f>
        <v>0</v>
      </c>
      <c r="N135" s="54">
        <f>IF(N109=5,IF(N122=1,1,0),0)</f>
        <v>0</v>
      </c>
      <c r="P135" s="59">
        <f>IF(P109=5,IF(P122=1,1,0),0)</f>
        <v>0</v>
      </c>
      <c r="Q135" s="54">
        <f>IF(Q109=5,IF(Q122=1,1,0),0)</f>
        <v>0</v>
      </c>
      <c r="S135" s="59">
        <f>IF(S109=5,IF(S122=1,1,0),0)</f>
        <v>0</v>
      </c>
      <c r="T135" s="54">
        <f>IF(T109=5,IF(T122=1,1,0),0)</f>
        <v>0</v>
      </c>
      <c r="V135" s="59">
        <f>IF(V109=5,IF(V122=1,1,0),0)</f>
        <v>0</v>
      </c>
      <c r="W135" s="54">
        <f>IF(W109=5,IF(W122=1,1,0),0)</f>
        <v>0</v>
      </c>
      <c r="Y135" s="59">
        <f>IF(Y109=5,IF(Y122=1,1,0),0)</f>
        <v>0</v>
      </c>
      <c r="Z135" s="54">
        <f>IF(Z109=5,IF(Z122=1,1,0),0)</f>
        <v>0</v>
      </c>
      <c r="AB135" s="59">
        <f>IF(AB109=5,IF(AB122=1,1,0),0)</f>
        <v>0</v>
      </c>
      <c r="AC135" s="54">
        <f>IF(AC109=5,IF(AC122=1,1,0),0)</f>
        <v>0</v>
      </c>
      <c r="AE135" s="59">
        <f>IF(AE109=5,IF(AE122=1,1,0),0)</f>
        <v>0</v>
      </c>
      <c r="AF135" s="54">
        <f>SUM(B135:AE135)</f>
        <v>1</v>
      </c>
      <c r="AG135" s="54">
        <f>AF141-AF135</f>
        <v>2</v>
      </c>
      <c r="AW135" s="57"/>
    </row>
    <row r="136" spans="1:49" s="54" customFormat="1" ht="38.25" hidden="1" customHeight="1" x14ac:dyDescent="0.2">
      <c r="A136" s="58"/>
      <c r="D136" s="59"/>
      <c r="G136" s="59"/>
      <c r="J136" s="59"/>
      <c r="M136" s="59"/>
      <c r="P136" s="59"/>
      <c r="S136" s="59"/>
      <c r="V136" s="59"/>
      <c r="Y136" s="59"/>
      <c r="AB136" s="59"/>
      <c r="AE136" s="59"/>
      <c r="AF136" s="58" t="s">
        <v>100</v>
      </c>
      <c r="AW136" s="57"/>
    </row>
    <row r="137" spans="1:49" s="54" customFormat="1" ht="12.75" hidden="1" customHeight="1" x14ac:dyDescent="0.2">
      <c r="A137" s="54" t="s">
        <v>101</v>
      </c>
      <c r="B137" s="54">
        <f>IF(B109=1,IF(C122=1,1,0),0)</f>
        <v>0</v>
      </c>
      <c r="D137" s="59">
        <f>IF(D109=1,IF(C122=1,1,0),0)</f>
        <v>0</v>
      </c>
      <c r="E137" s="54">
        <f>IF(E109=1,IF(F122=1,1,0),0)</f>
        <v>1</v>
      </c>
      <c r="G137" s="59">
        <f>IF(G109=1,IF(F122=1,1,0),0)</f>
        <v>0</v>
      </c>
      <c r="H137" s="54">
        <f>IF(H109=1,IF(I122=1,1,0),0)</f>
        <v>0</v>
      </c>
      <c r="J137" s="59">
        <f>IF(J109=1,IF(I122=1,1,0),0)</f>
        <v>0</v>
      </c>
      <c r="K137" s="54">
        <f>IF(K109=1,IF(L122=1,1,0),0)</f>
        <v>0</v>
      </c>
      <c r="M137" s="59">
        <f>IF(M109=1,IF(L122=1,1,0),0)</f>
        <v>0</v>
      </c>
      <c r="N137" s="54">
        <f>IF(N109=1,IF(O122=1,1,0),0)</f>
        <v>0</v>
      </c>
      <c r="P137" s="59">
        <f>IF(P109=1,IF(O122=1,1,0),0)</f>
        <v>0</v>
      </c>
      <c r="Q137" s="54">
        <f>IF(Q109=1,IF(R122=1,1,0),0)</f>
        <v>0</v>
      </c>
      <c r="S137" s="59">
        <f>IF(S109=1,IF(R122=1,1,0),0)</f>
        <v>0</v>
      </c>
      <c r="T137" s="54">
        <f>IF(T109=1,IF(U122=1,1,0),0)</f>
        <v>0</v>
      </c>
      <c r="V137" s="59">
        <f>IF(V109=1,IF(U122=1,1,0),0)</f>
        <v>0</v>
      </c>
      <c r="W137" s="54">
        <f>IF(W109=1,IF(X122=1,1,0),0)</f>
        <v>1</v>
      </c>
      <c r="Y137" s="59">
        <f>IF(Y109=1,IF(X122=1,1,0),0)</f>
        <v>0</v>
      </c>
      <c r="Z137" s="54">
        <f>IF(Z109=1,IF(AA122=1,1,0),0)</f>
        <v>0</v>
      </c>
      <c r="AB137" s="59">
        <f>IF(AB109=1,IF(AA122=1,1,0),0)</f>
        <v>0</v>
      </c>
      <c r="AC137" s="54">
        <f>IF(AC109=1,IF(AD122=1,1,0),0)</f>
        <v>1</v>
      </c>
      <c r="AE137" s="59">
        <f>IF(AE109=1,IF(AD122=1,1,0),0)</f>
        <v>0</v>
      </c>
      <c r="AF137" s="54">
        <f>SUM(B137:AE137)</f>
        <v>3</v>
      </c>
      <c r="AW137" s="57"/>
    </row>
    <row r="138" spans="1:49" s="54" customFormat="1" ht="12.75" hidden="1" customHeight="1" x14ac:dyDescent="0.2">
      <c r="A138" s="54" t="s">
        <v>102</v>
      </c>
      <c r="B138" s="54">
        <f>IF(B109=2,IF(C122=1,1,0),0)</f>
        <v>0</v>
      </c>
      <c r="D138" s="59">
        <f>IF(D109=2,IF(C122=1,1,0),0)</f>
        <v>0</v>
      </c>
      <c r="E138" s="54">
        <f>IF(E109=2,IF(F122=1,1,0),0)</f>
        <v>0</v>
      </c>
      <c r="G138" s="59">
        <f>IF(G109=2,IF(F122=1,1,0),0)</f>
        <v>0</v>
      </c>
      <c r="H138" s="54">
        <f>IF(H109=2,IF(I122=1,1,0),0)</f>
        <v>0</v>
      </c>
      <c r="J138" s="59">
        <f>IF(J109=2,IF(I122=1,1,0),0)</f>
        <v>0</v>
      </c>
      <c r="K138" s="54">
        <f>IF(K109=2,IF(L122=1,1,0),0)</f>
        <v>0</v>
      </c>
      <c r="M138" s="59">
        <f>IF(M109=2,IF(L122=1,1,0),0)</f>
        <v>0</v>
      </c>
      <c r="N138" s="54">
        <f>IF(N109=2,IF(O122=1,1,0),0)</f>
        <v>0</v>
      </c>
      <c r="P138" s="59">
        <f>IF(P109=2,IF(O122=1,1,0),0)</f>
        <v>0</v>
      </c>
      <c r="Q138" s="54">
        <f>IF(Q109=2,IF(R122=1,1,0),0)</f>
        <v>0</v>
      </c>
      <c r="S138" s="59">
        <f>IF(S109=2,IF(R122=1,1,0),0)</f>
        <v>0</v>
      </c>
      <c r="T138" s="54">
        <f>IF(T109=2,IF(U122=1,1,0),0)</f>
        <v>0</v>
      </c>
      <c r="V138" s="59">
        <f>IF(V109=2,IF(U122=1,1,0),0)</f>
        <v>0</v>
      </c>
      <c r="W138" s="54">
        <f>IF(W109=2,IF(X122=1,1,0),0)</f>
        <v>0</v>
      </c>
      <c r="Y138" s="59">
        <f>IF(Y109=2,IF(X122=1,1,0),0)</f>
        <v>0</v>
      </c>
      <c r="Z138" s="54">
        <f>IF(Z109=2,IF(AA122=1,1,0),0)</f>
        <v>0</v>
      </c>
      <c r="AB138" s="59">
        <f>IF(AB109=2,IF(AA122=1,1,0),0)</f>
        <v>0</v>
      </c>
      <c r="AC138" s="54">
        <f>IF(AC109=2,IF(AD122=1,1,0),0)</f>
        <v>0</v>
      </c>
      <c r="AE138" s="59">
        <f>IF(AE109=2,IF(AD122=1,1,0),0)</f>
        <v>1</v>
      </c>
      <c r="AF138" s="54">
        <f>SUM(B138:AE138)</f>
        <v>1</v>
      </c>
      <c r="AW138" s="57"/>
    </row>
    <row r="139" spans="1:49" s="54" customFormat="1" ht="12.75" hidden="1" customHeight="1" x14ac:dyDescent="0.2">
      <c r="A139" s="54" t="s">
        <v>103</v>
      </c>
      <c r="B139" s="54">
        <f>IF(B109=3,IF(C122=1,1,0),0)</f>
        <v>0</v>
      </c>
      <c r="D139" s="59">
        <f>IF(D109=3,IF(C122=1,1,0),0)</f>
        <v>0</v>
      </c>
      <c r="E139" s="54">
        <f>IF(E109=3,IF(F122=1,1,0),0)</f>
        <v>0</v>
      </c>
      <c r="G139" s="59">
        <f>IF(G109=3,IF(F122=1,1,0),0)</f>
        <v>0</v>
      </c>
      <c r="H139" s="54">
        <f>IF(H109=3,IF(I122=1,1,0),0)</f>
        <v>1</v>
      </c>
      <c r="J139" s="59">
        <f>IF(J109=3,IF(I122=1,1,0),0)</f>
        <v>0</v>
      </c>
      <c r="K139" s="54">
        <f>IF(K109=3,IF(L122=1,1,0),0)</f>
        <v>0</v>
      </c>
      <c r="M139" s="59">
        <f>IF(M109=3,IF(L122=1,1,0),0)</f>
        <v>0</v>
      </c>
      <c r="N139" s="54">
        <f>IF(N109=3,IF(O122=1,1,0),0)</f>
        <v>0</v>
      </c>
      <c r="P139" s="59">
        <f>IF(P109=3,IF(O122=1,1,0),0)</f>
        <v>0</v>
      </c>
      <c r="Q139" s="54">
        <f>IF(Q109=3,IF(R122=1,1,0),0)</f>
        <v>0</v>
      </c>
      <c r="S139" s="59">
        <f>IF(S109=3,IF(R122=1,1,0),0)</f>
        <v>0</v>
      </c>
      <c r="T139" s="54">
        <f>IF(T109=3,IF(U122=1,1,0),0)</f>
        <v>0</v>
      </c>
      <c r="V139" s="59">
        <f>IF(V109=3,IF(U122=1,1,0),0)</f>
        <v>0</v>
      </c>
      <c r="W139" s="54">
        <f>IF(W109=3,IF(X122=1,1,0),0)</f>
        <v>0</v>
      </c>
      <c r="Y139" s="59">
        <f>IF(Y109=3,IF(X122=1,1,0),0)</f>
        <v>0</v>
      </c>
      <c r="Z139" s="54">
        <f>IF(Z109=3,IF(AA122=1,1,0),0)</f>
        <v>1</v>
      </c>
      <c r="AB139" s="59">
        <f>IF(AB109=3,IF(AA122=1,1,0),0)</f>
        <v>0</v>
      </c>
      <c r="AC139" s="54">
        <f>IF(AC109=3,IF(AD122=1,1,0),0)</f>
        <v>0</v>
      </c>
      <c r="AE139" s="59">
        <f>IF(AE109=3,IF(AD122=1,1,0),0)</f>
        <v>0</v>
      </c>
      <c r="AF139" s="54">
        <f>SUM(B139:AE139)</f>
        <v>2</v>
      </c>
      <c r="AW139" s="57"/>
    </row>
    <row r="140" spans="1:49" s="54" customFormat="1" ht="12.75" hidden="1" customHeight="1" x14ac:dyDescent="0.2">
      <c r="A140" s="54" t="s">
        <v>104</v>
      </c>
      <c r="B140" s="54">
        <f>IF(B109=4,IF(C122=1,1,0),0)</f>
        <v>0</v>
      </c>
      <c r="D140" s="59">
        <f>IF(D109=4,IF(C122=1,1,0),0)</f>
        <v>0</v>
      </c>
      <c r="E140" s="54">
        <f>IF(E109=4,IF(F122=1,1,0),0)</f>
        <v>0</v>
      </c>
      <c r="G140" s="59">
        <f>IF(G109=4,IF(F122=1,1,0),0)</f>
        <v>1</v>
      </c>
      <c r="H140" s="54">
        <f>IF(H109=4,IF(I122=1,1,0),0)</f>
        <v>0</v>
      </c>
      <c r="J140" s="59">
        <f>IF(J109=4,IF(I122=1,1,0),0)</f>
        <v>0</v>
      </c>
      <c r="K140" s="54">
        <f>IF(K109=4,IF(L122=1,1,0),0)</f>
        <v>0</v>
      </c>
      <c r="M140" s="59">
        <f>IF(M109=4,IF(L122=1,1,0),0)</f>
        <v>0</v>
      </c>
      <c r="N140" s="54">
        <f>IF(N109=4,IF(O122=1,1,0),0)</f>
        <v>0</v>
      </c>
      <c r="P140" s="59">
        <f>IF(P109=4,IF(O122=1,1,0),0)</f>
        <v>0</v>
      </c>
      <c r="Q140" s="54">
        <f>IF(Q109=4,IF(R122=1,1,0),0)</f>
        <v>1</v>
      </c>
      <c r="S140" s="59">
        <f>IF(S109=4,IF(R122=1,1,0),0)</f>
        <v>0</v>
      </c>
      <c r="T140" s="54">
        <f>IF(T109=4,IF(U122=1,1,0),0)</f>
        <v>0</v>
      </c>
      <c r="V140" s="59">
        <f>IF(V109=4,IF(U122=1,1,0),0)</f>
        <v>0</v>
      </c>
      <c r="W140" s="54">
        <f>IF(W109=4,IF(X122=1,1,0),0)</f>
        <v>0</v>
      </c>
      <c r="Y140" s="59">
        <f>IF(Y109=4,IF(X122=1,1,0),0)</f>
        <v>0</v>
      </c>
      <c r="Z140" s="54">
        <f>IF(Z109=4,IF(AA122=1,1,0),0)</f>
        <v>0</v>
      </c>
      <c r="AB140" s="59">
        <f>IF(AB109=4,IF(AA122=1,1,0),0)</f>
        <v>1</v>
      </c>
      <c r="AC140" s="54">
        <f>IF(AC109=4,IF(AD122=1,1,0),0)</f>
        <v>0</v>
      </c>
      <c r="AE140" s="59">
        <f>IF(AE109=4,IF(AD122=1,1,0),0)</f>
        <v>0</v>
      </c>
      <c r="AF140" s="54">
        <f>SUM(B140:AE140)</f>
        <v>3</v>
      </c>
      <c r="AW140" s="57"/>
    </row>
    <row r="141" spans="1:49" s="54" customFormat="1" ht="12.75" hidden="1" customHeight="1" x14ac:dyDescent="0.2">
      <c r="A141" s="54" t="s">
        <v>105</v>
      </c>
      <c r="B141" s="54">
        <f>IF(B109=5,IF(C122=1,1,0),0)</f>
        <v>0</v>
      </c>
      <c r="D141" s="59">
        <f>IF(D109=5,IF(C122=1,1,0),0)</f>
        <v>0</v>
      </c>
      <c r="E141" s="54">
        <f>IF(E109=5,IF(F122=1,1,0),0)</f>
        <v>0</v>
      </c>
      <c r="G141" s="59">
        <f>IF(G109=5,IF(F122=1,1,0),0)</f>
        <v>0</v>
      </c>
      <c r="H141" s="54">
        <f>IF(H109=5,IF(I122=1,1,0),0)</f>
        <v>0</v>
      </c>
      <c r="J141" s="59">
        <f>IF(J109=5,IF(I122=1,1,0),0)</f>
        <v>1</v>
      </c>
      <c r="K141" s="54">
        <f>IF(K109=5,IF(L122=1,1,0),0)</f>
        <v>0</v>
      </c>
      <c r="M141" s="59">
        <f>IF(M109=5,IF(L122=1,1,0),0)</f>
        <v>0</v>
      </c>
      <c r="N141" s="54">
        <f>IF(N109=5,IF(O122=1,1,0),0)</f>
        <v>0</v>
      </c>
      <c r="P141" s="59">
        <f>IF(P109=5,IF(O122=1,1,0),0)</f>
        <v>0</v>
      </c>
      <c r="Q141" s="54">
        <f>IF(Q109=5,IF(R122=1,1,0),0)</f>
        <v>0</v>
      </c>
      <c r="S141" s="59">
        <f>IF(S109=5,IF(R122=1,1,0),0)</f>
        <v>1</v>
      </c>
      <c r="T141" s="54">
        <f>IF(T109=5,IF(U122=1,1,0),0)</f>
        <v>0</v>
      </c>
      <c r="V141" s="59">
        <f>IF(V109=5,IF(U122=1,1,0),0)</f>
        <v>0</v>
      </c>
      <c r="W141" s="54">
        <f>IF(W109=5,IF(X122=1,1,0),0)</f>
        <v>0</v>
      </c>
      <c r="Y141" s="59">
        <f>IF(Y109=5,IF(X122=1,1,0),0)</f>
        <v>1</v>
      </c>
      <c r="Z141" s="54">
        <f>IF(Z109=5,IF(AA122=1,1,0),0)</f>
        <v>0</v>
      </c>
      <c r="AB141" s="59">
        <f>IF(AB109=5,IF(AA122=1,1,0),0)</f>
        <v>0</v>
      </c>
      <c r="AC141" s="54">
        <f>IF(AC109=5,IF(AD122=1,1,0),0)</f>
        <v>0</v>
      </c>
      <c r="AE141" s="59">
        <f>IF(AE109=5,IF(AD122=1,1,0),0)</f>
        <v>0</v>
      </c>
      <c r="AF141" s="54">
        <f>SUM(B141:AE141)</f>
        <v>3</v>
      </c>
      <c r="AW141" s="57"/>
    </row>
    <row r="142" spans="1:49" s="54" customFormat="1" ht="38.25" hidden="1" customHeight="1" x14ac:dyDescent="0.2">
      <c r="A142" s="58"/>
      <c r="D142" s="59"/>
      <c r="G142" s="59"/>
      <c r="J142" s="59"/>
      <c r="M142" s="59"/>
      <c r="P142" s="59"/>
      <c r="S142" s="59"/>
      <c r="V142" s="59"/>
      <c r="Y142" s="59"/>
      <c r="AB142" s="59"/>
      <c r="AE142" s="59"/>
      <c r="AF142" s="58" t="s">
        <v>106</v>
      </c>
      <c r="AG142" s="702"/>
      <c r="AH142" s="702"/>
      <c r="AI142" s="702"/>
      <c r="AJ142" s="702"/>
      <c r="AK142" s="702"/>
      <c r="AW142" s="57"/>
    </row>
    <row r="143" spans="1:49" s="54" customFormat="1" ht="12.75" hidden="1" customHeight="1" x14ac:dyDescent="0.2">
      <c r="A143" s="54" t="s">
        <v>101</v>
      </c>
      <c r="B143" s="54">
        <f>IF(B109=1,B129,0)</f>
        <v>0</v>
      </c>
      <c r="D143" s="59">
        <f>IF(D109=1,B129,0)</f>
        <v>0</v>
      </c>
      <c r="E143" s="54">
        <f>IF(E109=1,E129,0)</f>
        <v>50</v>
      </c>
      <c r="G143" s="59">
        <f>IF(G109=1,E129,0)</f>
        <v>0</v>
      </c>
      <c r="H143" s="54">
        <f>IF(H109=1,H129,0)</f>
        <v>0</v>
      </c>
      <c r="J143" s="59">
        <f>IF(J109=1,H129,0)</f>
        <v>0</v>
      </c>
      <c r="K143" s="54">
        <f>IF(K109=1,K129,0)</f>
        <v>0</v>
      </c>
      <c r="M143" s="59">
        <f>IF(M109=1,K129,0)</f>
        <v>0</v>
      </c>
      <c r="N143" s="54">
        <f>IF(N109=1,N129,0)</f>
        <v>50</v>
      </c>
      <c r="P143" s="59">
        <f>IF(P109=1,N129,0)</f>
        <v>0</v>
      </c>
      <c r="Q143" s="54">
        <f>IF(Q109=1,Q129,0)</f>
        <v>0</v>
      </c>
      <c r="S143" s="59">
        <f>IF(S109=1,Q129,0)</f>
        <v>0</v>
      </c>
      <c r="T143" s="54">
        <f>IF(T109=1,T129,0)</f>
        <v>0</v>
      </c>
      <c r="V143" s="59">
        <f>IF(V109=1,T129,0)</f>
        <v>0</v>
      </c>
      <c r="W143" s="54">
        <f>IF(W109=1,W129,0)</f>
        <v>53</v>
      </c>
      <c r="Y143" s="59">
        <f>IF(Y109=1,W129,0)</f>
        <v>0</v>
      </c>
      <c r="Z143" s="54">
        <f>IF(Z109=1,Z129,0)</f>
        <v>0</v>
      </c>
      <c r="AB143" s="59">
        <f>IF(AB109=1,Z129,0)</f>
        <v>0</v>
      </c>
      <c r="AC143" s="54">
        <f>IF(AC109=1,AC129,0)</f>
        <v>51</v>
      </c>
      <c r="AE143" s="59">
        <f>IF(AE109=1,AC129,0)</f>
        <v>0</v>
      </c>
      <c r="AF143" s="54">
        <f>SUM(B143:AE143)</f>
        <v>204</v>
      </c>
      <c r="AW143" s="57"/>
    </row>
    <row r="144" spans="1:49" s="54" customFormat="1" ht="12.75" hidden="1" customHeight="1" x14ac:dyDescent="0.2">
      <c r="A144" s="54" t="s">
        <v>102</v>
      </c>
      <c r="B144" s="54">
        <f>IF(B109=2,B129,0)</f>
        <v>50</v>
      </c>
      <c r="D144" s="59">
        <f>IF(D109=2,B129,0)</f>
        <v>0</v>
      </c>
      <c r="E144" s="54">
        <f>IF(E109=2,E129,0)</f>
        <v>0</v>
      </c>
      <c r="G144" s="59">
        <f>IF(G109=2,E129,0)</f>
        <v>0</v>
      </c>
      <c r="H144" s="54">
        <f>IF(H109=2,H129,0)</f>
        <v>0</v>
      </c>
      <c r="J144" s="59">
        <f>IF(J109=2,H129,0)</f>
        <v>0</v>
      </c>
      <c r="K144" s="54">
        <f>IF(K109=2,K129,0)</f>
        <v>52</v>
      </c>
      <c r="M144" s="59">
        <f>IF(M109=2,K129,0)</f>
        <v>0</v>
      </c>
      <c r="N144" s="54">
        <f>IF(N109=2,N129,0)</f>
        <v>0</v>
      </c>
      <c r="P144" s="59">
        <f>IF(P109=2,N129,0)</f>
        <v>0</v>
      </c>
      <c r="Q144" s="54">
        <f>IF(Q109=2,Q129,0)</f>
        <v>0</v>
      </c>
      <c r="S144" s="59">
        <f>IF(S109=2,Q129,0)</f>
        <v>0</v>
      </c>
      <c r="T144" s="54">
        <f>IF(T109=2,T129,0)</f>
        <v>51</v>
      </c>
      <c r="V144" s="59">
        <f>IF(V109=2,T129,0)</f>
        <v>0</v>
      </c>
      <c r="W144" s="54">
        <f>IF(W109=2,W129,0)</f>
        <v>0</v>
      </c>
      <c r="Y144" s="59">
        <f>IF(Y109=2,W129,0)</f>
        <v>0</v>
      </c>
      <c r="Z144" s="54">
        <f>IF(Z109=2,Z129,0)</f>
        <v>0</v>
      </c>
      <c r="AB144" s="59">
        <f>IF(AB109=2,Z129,0)</f>
        <v>0</v>
      </c>
      <c r="AC144" s="54">
        <f>IF(AC109=2,AC129,0)</f>
        <v>0</v>
      </c>
      <c r="AE144" s="59">
        <f>IF(AE109=2,AC129,0)</f>
        <v>51</v>
      </c>
      <c r="AF144" s="54">
        <f>SUM(B144:AE144)</f>
        <v>204</v>
      </c>
      <c r="AW144" s="57"/>
    </row>
    <row r="145" spans="1:49" s="54" customFormat="1" ht="12.75" hidden="1" customHeight="1" x14ac:dyDescent="0.2">
      <c r="A145" s="54" t="s">
        <v>103</v>
      </c>
      <c r="B145" s="54">
        <f>IF(B109=3,B129,0)</f>
        <v>0</v>
      </c>
      <c r="D145" s="59">
        <f>IF(D109=3,B129,0)</f>
        <v>0</v>
      </c>
      <c r="E145" s="54">
        <f>IF(E109=3,E129,0)</f>
        <v>0</v>
      </c>
      <c r="G145" s="59">
        <f>IF(G109=3,E129,0)</f>
        <v>0</v>
      </c>
      <c r="H145" s="54">
        <f>IF(H109=3,H129,0)</f>
        <v>50</v>
      </c>
      <c r="J145" s="59">
        <f>IF(J109=3,H129,0)</f>
        <v>0</v>
      </c>
      <c r="K145" s="54">
        <f>IF(K109=3,K129,0)</f>
        <v>0</v>
      </c>
      <c r="M145" s="59">
        <f>IF(M109=3,K129,0)</f>
        <v>0</v>
      </c>
      <c r="N145" s="54">
        <f>IF(N109=3,N129,0)</f>
        <v>0</v>
      </c>
      <c r="P145" s="59">
        <f>IF(P109=3,N129,0)</f>
        <v>50</v>
      </c>
      <c r="Q145" s="54">
        <f>IF(Q109=3,Q129,0)</f>
        <v>0</v>
      </c>
      <c r="S145" s="59">
        <f>IF(S109=3,Q129,0)</f>
        <v>0</v>
      </c>
      <c r="T145" s="54">
        <f>IF(T109=3,T129,0)</f>
        <v>0</v>
      </c>
      <c r="V145" s="59">
        <f>IF(V109=3,T129,0)</f>
        <v>51</v>
      </c>
      <c r="W145" s="54">
        <f>IF(W109=3,W129,0)</f>
        <v>0</v>
      </c>
      <c r="Y145" s="59">
        <f>IF(Y109=3,W129,0)</f>
        <v>0</v>
      </c>
      <c r="Z145" s="54">
        <f>IF(Z109=3,Z129,0)</f>
        <v>50</v>
      </c>
      <c r="AB145" s="59">
        <f>IF(AB109=3,Z129,0)</f>
        <v>0</v>
      </c>
      <c r="AC145" s="54">
        <f>IF(AC109=3,AC129,0)</f>
        <v>0</v>
      </c>
      <c r="AE145" s="59">
        <f>IF(AE109=3,AC129,0)</f>
        <v>0</v>
      </c>
      <c r="AF145" s="54">
        <f>SUM(B145:AE145)</f>
        <v>201</v>
      </c>
      <c r="AW145" s="57"/>
    </row>
    <row r="146" spans="1:49" s="54" customFormat="1" ht="12.75" hidden="1" customHeight="1" x14ac:dyDescent="0.2">
      <c r="A146" s="54" t="s">
        <v>104</v>
      </c>
      <c r="B146" s="54">
        <f>IF(B109=4,B129,0)</f>
        <v>0</v>
      </c>
      <c r="D146" s="59">
        <f>IF(D109=4,B129,0)</f>
        <v>0</v>
      </c>
      <c r="E146" s="54">
        <f>IF(E109=4,E129,0)</f>
        <v>0</v>
      </c>
      <c r="G146" s="59">
        <f>IF(G109=4,E129,0)</f>
        <v>50</v>
      </c>
      <c r="H146" s="54">
        <f>IF(H109=4,H129,0)</f>
        <v>0</v>
      </c>
      <c r="J146" s="59">
        <f>IF(J109=4,H129,0)</f>
        <v>0</v>
      </c>
      <c r="K146" s="54">
        <f>IF(K109=4,K129,0)</f>
        <v>0</v>
      </c>
      <c r="M146" s="59">
        <f>IF(M109=4,K129,0)</f>
        <v>52</v>
      </c>
      <c r="N146" s="54">
        <f>IF(N109=4,N129,0)</f>
        <v>0</v>
      </c>
      <c r="P146" s="59">
        <f>IF(P109=4,N129,0)</f>
        <v>0</v>
      </c>
      <c r="Q146" s="54">
        <f>IF(Q109=4,Q129,0)</f>
        <v>50</v>
      </c>
      <c r="S146" s="59">
        <f>IF(S109=4,Q129,0)</f>
        <v>0</v>
      </c>
      <c r="T146" s="54">
        <f>IF(T109=4,T129,0)</f>
        <v>0</v>
      </c>
      <c r="V146" s="59">
        <f>IF(V109=4,T129,0)</f>
        <v>0</v>
      </c>
      <c r="W146" s="54">
        <f>IF(W109=4,W129,0)</f>
        <v>0</v>
      </c>
      <c r="Y146" s="59">
        <f>IF(Y109=4,W129,0)</f>
        <v>0</v>
      </c>
      <c r="Z146" s="54">
        <f>IF(Z109=4,Z129,0)</f>
        <v>0</v>
      </c>
      <c r="AB146" s="59">
        <f>IF(AB109=4,Z129,0)</f>
        <v>50</v>
      </c>
      <c r="AC146" s="54">
        <f>IF(AC109=4,AC129,0)</f>
        <v>0</v>
      </c>
      <c r="AE146" s="59">
        <f>IF(AE109=4,AC129,0)</f>
        <v>0</v>
      </c>
      <c r="AF146" s="54">
        <f>SUM(B146:AE146)</f>
        <v>202</v>
      </c>
      <c r="AW146" s="57"/>
    </row>
    <row r="147" spans="1:49" s="54" customFormat="1" ht="12.75" hidden="1" customHeight="1" x14ac:dyDescent="0.2">
      <c r="A147" s="54" t="s">
        <v>105</v>
      </c>
      <c r="B147" s="54">
        <f>IF(B109=5,B129,0)</f>
        <v>0</v>
      </c>
      <c r="D147" s="59">
        <f>IF(D109=5,B129,0)</f>
        <v>50</v>
      </c>
      <c r="E147" s="54">
        <f>IF(E109=5,E129,0)</f>
        <v>0</v>
      </c>
      <c r="G147" s="59">
        <f>IF(G109=5,E129,0)</f>
        <v>0</v>
      </c>
      <c r="H147" s="54">
        <f>IF(H109=5,H129,0)</f>
        <v>0</v>
      </c>
      <c r="J147" s="59">
        <f>IF(J109=5,H129,0)</f>
        <v>50</v>
      </c>
      <c r="K147" s="54">
        <f>IF(K109=5,K129,0)</f>
        <v>0</v>
      </c>
      <c r="M147" s="59">
        <f>IF(M109=5,K129,0)</f>
        <v>0</v>
      </c>
      <c r="N147" s="54">
        <f>IF(N109=5,N129,0)</f>
        <v>0</v>
      </c>
      <c r="P147" s="59">
        <f>IF(P109=5,N129,0)</f>
        <v>0</v>
      </c>
      <c r="Q147" s="54">
        <f>IF(Q109=5,Q129,0)</f>
        <v>0</v>
      </c>
      <c r="S147" s="59">
        <f>IF(S109=5,Q129,0)</f>
        <v>50</v>
      </c>
      <c r="T147" s="54">
        <f>IF(T109=5,T129,0)</f>
        <v>0</v>
      </c>
      <c r="V147" s="59">
        <f>IF(V109=5,T129,0)</f>
        <v>0</v>
      </c>
      <c r="W147" s="54">
        <f>IF(W109=5,W129,0)</f>
        <v>0</v>
      </c>
      <c r="Y147" s="59">
        <f>IF(Y109=5,W129,0)</f>
        <v>53</v>
      </c>
      <c r="Z147" s="54">
        <f>IF(Z109=5,Z129,0)</f>
        <v>0</v>
      </c>
      <c r="AB147" s="59">
        <f>IF(AB109=5,Z129,0)</f>
        <v>0</v>
      </c>
      <c r="AC147" s="54">
        <f>IF(AC109=5,AC129,0)</f>
        <v>0</v>
      </c>
      <c r="AE147" s="59">
        <f>IF(AE109=5,AC129,0)</f>
        <v>0</v>
      </c>
      <c r="AF147" s="54">
        <f>SUM(B147:AE147)</f>
        <v>203</v>
      </c>
      <c r="AW147" s="57"/>
    </row>
    <row r="148" spans="1:49" s="54" customFormat="1" ht="38.25" hidden="1" customHeight="1" x14ac:dyDescent="0.2">
      <c r="A148" s="54" t="s">
        <v>107</v>
      </c>
      <c r="D148" s="59"/>
      <c r="G148" s="59"/>
      <c r="J148" s="59"/>
      <c r="M148" s="59"/>
      <c r="P148" s="59"/>
      <c r="S148" s="59"/>
      <c r="V148" s="59"/>
      <c r="Y148" s="59"/>
      <c r="AB148" s="59"/>
      <c r="AE148" s="59"/>
      <c r="AF148" s="58" t="s">
        <v>108</v>
      </c>
      <c r="AG148" s="54" t="s">
        <v>109</v>
      </c>
      <c r="AW148" s="57"/>
    </row>
    <row r="149" spans="1:49" s="54" customFormat="1" ht="12.75" hidden="1" customHeight="1" x14ac:dyDescent="0.2">
      <c r="A149" s="54" t="s">
        <v>95</v>
      </c>
      <c r="B149" s="54">
        <f>IF(B109=1,SUMIF(B116:B120,"&gt;0"),0)</f>
        <v>0</v>
      </c>
      <c r="D149" s="59">
        <f>IF(D109=1,SUMIF(D116:D120,"&gt;0"),0)</f>
        <v>0</v>
      </c>
      <c r="E149" s="54">
        <f>IF(E109=1,SUMIF(E116:E120,"&gt;0"),0)</f>
        <v>2</v>
      </c>
      <c r="G149" s="59">
        <f>IF(G109=1,SUMIF(G116:G120,"&gt;0"),0)</f>
        <v>0</v>
      </c>
      <c r="H149" s="54">
        <f>IF(H109=1,SUMIF(H116:H120,"&gt;0"),0)</f>
        <v>0</v>
      </c>
      <c r="J149" s="59">
        <f>IF(J109=1,SUMIF(J116:J120,"&gt;0"),0)</f>
        <v>0</v>
      </c>
      <c r="K149" s="54">
        <f>IF(K109=1,SUMIF(K116:K120,"&gt;0"),0)</f>
        <v>0</v>
      </c>
      <c r="M149" s="59">
        <f>IF(M109=1,SUMIF(M116:M120,"&gt;0"),0)</f>
        <v>0</v>
      </c>
      <c r="N149" s="54">
        <f>IF(N109=1,SUMIF(N116:N120,"&gt;0"),0)</f>
        <v>1</v>
      </c>
      <c r="P149" s="59">
        <f>IF(P109=1,SUMIF(P116:P120,"&gt;0"),0)</f>
        <v>0</v>
      </c>
      <c r="Q149" s="54">
        <f>IF(Q109=1,SUMIF(Q116:Q120,"&gt;0"),0)</f>
        <v>0</v>
      </c>
      <c r="S149" s="59">
        <f>IF(S109=1,SUMIF(S116:S120,"&gt;0"),0)</f>
        <v>0</v>
      </c>
      <c r="T149" s="54">
        <f>IF(T109=1,SUMIF(T116:T120,"&gt;0"),0)</f>
        <v>0</v>
      </c>
      <c r="V149" s="59">
        <f>IF(V109=1,SUMIF(V116:V120,"&gt;0"),0)</f>
        <v>0</v>
      </c>
      <c r="W149" s="54">
        <f>IF(W109=1,SUMIF(W116:W120,"&gt;0"),0)</f>
        <v>2</v>
      </c>
      <c r="Y149" s="59">
        <f>IF(Y109=1,SUMIF(Y116:Y120,"&gt;0"),0)</f>
        <v>0</v>
      </c>
      <c r="Z149" s="54">
        <f>IF(Z109=1,SUMIF(Z116:Z120,"&gt;0"),0)</f>
        <v>0</v>
      </c>
      <c r="AB149" s="59">
        <f>IF(AB109=1,SUMIF(AB116:AB120,"&gt;0"),0)</f>
        <v>0</v>
      </c>
      <c r="AC149" s="54">
        <f>IF(AC109=1,SUMIF(AC116:AC120,"&gt;0"),0)</f>
        <v>0</v>
      </c>
      <c r="AE149" s="59">
        <f>IF(AE109=1,SUMIF(AE116:AE120,"&gt;0"),0)</f>
        <v>0</v>
      </c>
      <c r="AF149" s="54">
        <f>SUM(B149:AE149)</f>
        <v>5</v>
      </c>
      <c r="AG149" s="54">
        <f>AF157-AF149</f>
        <v>3</v>
      </c>
      <c r="AW149" s="57"/>
    </row>
    <row r="150" spans="1:49" s="54" customFormat="1" ht="12.75" hidden="1" customHeight="1" x14ac:dyDescent="0.2">
      <c r="A150" s="54" t="s">
        <v>96</v>
      </c>
      <c r="B150" s="54">
        <f>IF(B109=2,SUMIF(B116:B120,"&gt;0"),0)</f>
        <v>1</v>
      </c>
      <c r="D150" s="59">
        <f>IF(D109=2,SUMIF(D116:D120,"&gt;0"),0)</f>
        <v>0</v>
      </c>
      <c r="E150" s="54">
        <f>IF(E109=2,SUMIF(E116:E120,"&gt;0"),0)</f>
        <v>0</v>
      </c>
      <c r="G150" s="59">
        <f>IF(G109=2,SUMIF(G116:G120,"&gt;0"),0)</f>
        <v>0</v>
      </c>
      <c r="H150" s="54">
        <f>IF(H109=2,SUMIF(H116:H120,"&gt;0"),0)</f>
        <v>0</v>
      </c>
      <c r="J150" s="59">
        <f>IF(J109=2,SUMIF(J116:J120,"&gt;0"),0)</f>
        <v>0</v>
      </c>
      <c r="K150" s="54">
        <f>IF(K109=2,SUMIF(K116:K120,"&gt;0"),0)</f>
        <v>1</v>
      </c>
      <c r="M150" s="59">
        <f>IF(M109=2,SUMIF(M116:M120,"&gt;0"),0)</f>
        <v>0</v>
      </c>
      <c r="N150" s="54">
        <f>IF(N109=2,SUMIF(N116:N120,"&gt;0"),0)</f>
        <v>0</v>
      </c>
      <c r="P150" s="59">
        <f>IF(P109=2,SUMIF(P116:P120,"&gt;0"),0)</f>
        <v>0</v>
      </c>
      <c r="Q150" s="54">
        <f>IF(Q109=2,SUMIF(Q116:Q120,"&gt;0"),0)</f>
        <v>0</v>
      </c>
      <c r="S150" s="59">
        <f>IF(S109=2,SUMIF(S116:S120,"&gt;0"),0)</f>
        <v>0</v>
      </c>
      <c r="T150" s="54">
        <f>IF(T109=2,SUMIF(T116:T120,"&gt;0"),0)</f>
        <v>1</v>
      </c>
      <c r="V150" s="59">
        <f>IF(V109=2,SUMIF(V116:V120,"&gt;0"),0)</f>
        <v>0</v>
      </c>
      <c r="W150" s="54">
        <f>IF(W109=2,SUMIF(W116:W120,"&gt;0"),0)</f>
        <v>0</v>
      </c>
      <c r="Y150" s="59">
        <f>IF(Y109=2,SUMIF(Y116:Y120,"&gt;0"),0)</f>
        <v>0</v>
      </c>
      <c r="Z150" s="54">
        <f>IF(Z109=2,SUMIF(Z116:Z120,"&gt;0"),0)</f>
        <v>0</v>
      </c>
      <c r="AB150" s="59">
        <f>IF(AB109=2,SUMIF(AB116:AB120,"&gt;0"),0)</f>
        <v>0</v>
      </c>
      <c r="AC150" s="54">
        <f>IF(AC109=2,SUMIF(AC116:AC120,"&gt;0"),0)</f>
        <v>0</v>
      </c>
      <c r="AE150" s="59">
        <f>IF(AE109=2,SUMIF(AE116:AE120,"&gt;0"),0)</f>
        <v>2</v>
      </c>
      <c r="AF150" s="54">
        <f>SUM(B150:AE150)</f>
        <v>5</v>
      </c>
      <c r="AG150" s="54">
        <f>AF158-AF150</f>
        <v>3</v>
      </c>
      <c r="AW150" s="57"/>
    </row>
    <row r="151" spans="1:49" s="54" customFormat="1" ht="12.75" hidden="1" customHeight="1" x14ac:dyDescent="0.2">
      <c r="A151" s="54" t="s">
        <v>97</v>
      </c>
      <c r="B151" s="54">
        <f>IF(B109=3,SUMIF(B116:B120,"&gt;0"),0)</f>
        <v>0</v>
      </c>
      <c r="D151" s="59">
        <f>IF(D109=3,SUMIF(D116:D120,"&gt;0"),0)</f>
        <v>0</v>
      </c>
      <c r="E151" s="54">
        <f>IF(E109=3,SUMIF(E116:E120,"&gt;0"),0)</f>
        <v>0</v>
      </c>
      <c r="G151" s="59">
        <f>IF(G109=3,SUMIF(G116:G120,"&gt;0"),0)</f>
        <v>0</v>
      </c>
      <c r="H151" s="54">
        <f>IF(H109=3,SUMIF(H116:H120,"&gt;0"),0)</f>
        <v>0</v>
      </c>
      <c r="J151" s="59">
        <f>IF(J109=3,SUMIF(J116:J120,"&gt;0"),0)</f>
        <v>0</v>
      </c>
      <c r="K151" s="54">
        <f>IF(K109=3,SUMIF(K116:K120,"&gt;0"),0)</f>
        <v>0</v>
      </c>
      <c r="M151" s="59">
        <f>IF(M109=3,SUMIF(M116:M120,"&gt;0"),0)</f>
        <v>0</v>
      </c>
      <c r="N151" s="54">
        <f>IF(N109=3,SUMIF(N116:N120,"&gt;0"),0)</f>
        <v>0</v>
      </c>
      <c r="P151" s="59">
        <f>IF(P109=3,SUMIF(P116:P120,"&gt;0"),0)</f>
        <v>1</v>
      </c>
      <c r="Q151" s="54">
        <f>IF(Q109=3,SUMIF(Q116:Q120,"&gt;0"),0)</f>
        <v>0</v>
      </c>
      <c r="S151" s="59">
        <f>IF(S109=3,SUMIF(S116:S120,"&gt;0"),0)</f>
        <v>0</v>
      </c>
      <c r="T151" s="54">
        <f>IF(T109=3,SUMIF(T116:T120,"&gt;0"),0)</f>
        <v>0</v>
      </c>
      <c r="V151" s="59">
        <f>IF(V109=3,SUMIF(V116:V120,"&gt;0"),0)</f>
        <v>1</v>
      </c>
      <c r="W151" s="54">
        <f>IF(W109=3,SUMIF(W116:W120,"&gt;0"),0)</f>
        <v>0</v>
      </c>
      <c r="Y151" s="59">
        <f>IF(Y109=3,SUMIF(Y116:Y120,"&gt;0"),0)</f>
        <v>0</v>
      </c>
      <c r="Z151" s="54">
        <f>IF(Z109=3,SUMIF(Z116:Z120,"&gt;0"),0)</f>
        <v>2</v>
      </c>
      <c r="AB151" s="59">
        <f>IF(AB109=3,SUMIF(AB116:AB120,"&gt;0"),0)</f>
        <v>0</v>
      </c>
      <c r="AC151" s="54">
        <f>IF(AC109=3,SUMIF(AC116:AC120,"&gt;0"),0)</f>
        <v>0</v>
      </c>
      <c r="AE151" s="59">
        <f>IF(AE109=3,SUMIF(AE116:AE120,"&gt;0"),0)</f>
        <v>0</v>
      </c>
      <c r="AF151" s="54">
        <f>SUM(B151:AE151)</f>
        <v>4</v>
      </c>
      <c r="AG151" s="54">
        <f>AF159-AF151</f>
        <v>4</v>
      </c>
      <c r="AW151" s="57"/>
    </row>
    <row r="152" spans="1:49" s="54" customFormat="1" ht="12.75" hidden="1" customHeight="1" x14ac:dyDescent="0.2">
      <c r="A152" s="54" t="s">
        <v>98</v>
      </c>
      <c r="B152" s="54">
        <f>IF(B109=4,SUMIF(B116:B120,"&gt;0"),0)</f>
        <v>0</v>
      </c>
      <c r="D152" s="59">
        <f>IF(D109=4,SUMIF(D116:D120,"&gt;0"),0)</f>
        <v>0</v>
      </c>
      <c r="E152" s="54">
        <f>IF(E109=4,SUMIF(E116:E120,"&gt;0"),0)</f>
        <v>0</v>
      </c>
      <c r="G152" s="59">
        <f>IF(G109=4,SUMIF(G116:G120,"&gt;0"),0)</f>
        <v>0</v>
      </c>
      <c r="H152" s="54">
        <f>IF(H109=4,SUMIF(H116:H120,"&gt;0"),0)</f>
        <v>0</v>
      </c>
      <c r="J152" s="59">
        <f>IF(J109=4,SUMIF(J116:J120,"&gt;0"),0)</f>
        <v>0</v>
      </c>
      <c r="K152" s="54">
        <f>IF(K109=4,SUMIF(K116:K120,"&gt;0"),0)</f>
        <v>0</v>
      </c>
      <c r="M152" s="59">
        <f>IF(M109=4,SUMIF(M116:M120,"&gt;0"),0)</f>
        <v>1</v>
      </c>
      <c r="N152" s="54">
        <f>IF(N109=4,SUMIF(N116:N120,"&gt;0"),0)</f>
        <v>0</v>
      </c>
      <c r="P152" s="59">
        <f>IF(P109=4,SUMIF(P116:P120,"&gt;0"),0)</f>
        <v>0</v>
      </c>
      <c r="Q152" s="54">
        <f>IF(Q109=4,SUMIF(Q116:Q120,"&gt;0"),0)</f>
        <v>2</v>
      </c>
      <c r="S152" s="59">
        <f>IF(S109=4,SUMIF(S116:S120,"&gt;0"),0)</f>
        <v>0</v>
      </c>
      <c r="T152" s="54">
        <f>IF(T109=4,SUMIF(T116:T120,"&gt;0"),0)</f>
        <v>0</v>
      </c>
      <c r="V152" s="59">
        <f>IF(V109=4,SUMIF(V116:V120,"&gt;0"),0)</f>
        <v>0</v>
      </c>
      <c r="W152" s="54">
        <f>IF(W109=4,SUMIF(W116:W120,"&gt;0"),0)</f>
        <v>0</v>
      </c>
      <c r="Y152" s="59">
        <f>IF(Y109=4,SUMIF(Y116:Y120,"&gt;0"),0)</f>
        <v>0</v>
      </c>
      <c r="Z152" s="54">
        <f>IF(Z109=4,SUMIF(Z116:Z120,"&gt;0"),0)</f>
        <v>0</v>
      </c>
      <c r="AB152" s="59">
        <f>IF(AB109=4,SUMIF(AB116:AB120,"&gt;0"),0)</f>
        <v>0</v>
      </c>
      <c r="AC152" s="54">
        <f>IF(AC109=4,SUMIF(AC116:AC120,"&gt;0"),0)</f>
        <v>0</v>
      </c>
      <c r="AE152" s="59">
        <f>IF(AE109=4,SUMIF(AE116:AE120,"&gt;0"),0)</f>
        <v>0</v>
      </c>
      <c r="AF152" s="54">
        <f>SUM(B152:AE152)</f>
        <v>3</v>
      </c>
      <c r="AG152" s="54">
        <f>AF160-AF152</f>
        <v>5</v>
      </c>
      <c r="AW152" s="57"/>
    </row>
    <row r="153" spans="1:49" s="54" customFormat="1" ht="12.75" hidden="1" customHeight="1" x14ac:dyDescent="0.2">
      <c r="A153" s="54" t="s">
        <v>99</v>
      </c>
      <c r="B153" s="54">
        <f>IF(B109=5,SUMIF(B116:B120,"&gt;0"),0)</f>
        <v>0</v>
      </c>
      <c r="D153" s="59">
        <f>IF(D109=5,SUMIF(D116:D120,"&gt;0"),0)</f>
        <v>1</v>
      </c>
      <c r="E153" s="54">
        <f>IF(E109=5,SUMIF(E116:E120,"&gt;0"),0)</f>
        <v>0</v>
      </c>
      <c r="G153" s="59">
        <f>IF(G109=5,SUMIF(G116:G120,"&gt;0"),0)</f>
        <v>0</v>
      </c>
      <c r="H153" s="54">
        <f>IF(H109=5,SUMIF(H116:H120,"&gt;0"),0)</f>
        <v>0</v>
      </c>
      <c r="J153" s="59">
        <f>IF(J109=5,SUMIF(J116:J120,"&gt;0"),0)</f>
        <v>2</v>
      </c>
      <c r="K153" s="54">
        <f>IF(K109=5,SUMIF(K116:K120,"&gt;0"),0)</f>
        <v>0</v>
      </c>
      <c r="M153" s="59">
        <f>IF(M109=5,SUMIF(M116:M120,"&gt;0"),0)</f>
        <v>0</v>
      </c>
      <c r="N153" s="54">
        <f>IF(N109=5,SUMIF(N116:N120,"&gt;0"),0)</f>
        <v>0</v>
      </c>
      <c r="P153" s="59">
        <f>IF(P109=5,SUMIF(P116:P120,"&gt;0"),0)</f>
        <v>0</v>
      </c>
      <c r="Q153" s="54">
        <f>IF(Q109=5,SUMIF(Q116:Q120,"&gt;0"),0)</f>
        <v>0</v>
      </c>
      <c r="S153" s="59">
        <f>IF(S109=5,SUMIF(S116:S120,"&gt;0"),0)</f>
        <v>0</v>
      </c>
      <c r="T153" s="54">
        <f>IF(T109=5,SUMIF(T116:T120,"&gt;0"),0)</f>
        <v>0</v>
      </c>
      <c r="V153" s="59">
        <f>IF(V109=5,SUMIF(V116:V120,"&gt;0"),0)</f>
        <v>0</v>
      </c>
      <c r="W153" s="54">
        <f>IF(W109=5,SUMIF(W116:W120,"&gt;0"),0)</f>
        <v>0</v>
      </c>
      <c r="Y153" s="59">
        <f>IF(Y109=5,SUMIF(Y116:Y120,"&gt;0"),0)</f>
        <v>0</v>
      </c>
      <c r="Z153" s="54">
        <f>IF(Z109=5,SUMIF(Z116:Z120,"&gt;0"),0)</f>
        <v>0</v>
      </c>
      <c r="AB153" s="59">
        <f>IF(AB109=5,SUMIF(AB116:AB120,"&gt;0"),0)</f>
        <v>0</v>
      </c>
      <c r="AC153" s="54">
        <f>IF(AC109=5,SUMIF(AC116:AC120,"&gt;0"),0)</f>
        <v>0</v>
      </c>
      <c r="AE153" s="59">
        <f>IF(AE109=5,SUMIF(AE116:AE120,"&gt;0"),0)</f>
        <v>0</v>
      </c>
      <c r="AF153" s="54">
        <f>SUM(B153:AE153)</f>
        <v>3</v>
      </c>
      <c r="AG153" s="54">
        <f>AF161-AF153</f>
        <v>5</v>
      </c>
      <c r="AW153" s="57"/>
    </row>
    <row r="154" spans="1:49" s="54" customFormat="1" ht="12.75" hidden="1" customHeight="1" x14ac:dyDescent="0.2">
      <c r="D154" s="59"/>
      <c r="G154" s="59"/>
      <c r="J154" s="59"/>
      <c r="M154" s="59"/>
      <c r="P154" s="59"/>
      <c r="S154" s="59"/>
      <c r="V154" s="59"/>
      <c r="Y154" s="59"/>
      <c r="AB154" s="59"/>
      <c r="AE154" s="59"/>
      <c r="AW154" s="57"/>
    </row>
    <row r="155" spans="1:49" s="54" customFormat="1" ht="12.75" hidden="1" customHeight="1" x14ac:dyDescent="0.2">
      <c r="D155" s="59"/>
      <c r="G155" s="59"/>
      <c r="J155" s="59"/>
      <c r="M155" s="59"/>
      <c r="P155" s="59"/>
      <c r="S155" s="59"/>
      <c r="V155" s="59"/>
      <c r="Y155" s="59"/>
      <c r="AB155" s="59"/>
      <c r="AE155" s="59"/>
      <c r="AW155" s="57"/>
    </row>
    <row r="156" spans="1:49" s="54" customFormat="1" ht="51" hidden="1" customHeight="1" x14ac:dyDescent="0.2">
      <c r="A156" s="58" t="s">
        <v>110</v>
      </c>
      <c r="C156" s="54">
        <f>SUMIF(B149:D153,"&gt;0")</f>
        <v>2</v>
      </c>
      <c r="D156" s="59"/>
      <c r="F156" s="54">
        <f>SUMIF(E149:G153,"&gt;0")</f>
        <v>2</v>
      </c>
      <c r="G156" s="59"/>
      <c r="I156" s="54">
        <f>SUMIF(H149:J153,"&gt;0")</f>
        <v>2</v>
      </c>
      <c r="J156" s="59"/>
      <c r="L156" s="54">
        <f>SUMIF(K149:M153,"&gt;0")</f>
        <v>2</v>
      </c>
      <c r="M156" s="59"/>
      <c r="O156" s="54">
        <f>SUMIF(N149:P153,"&gt;0")</f>
        <v>2</v>
      </c>
      <c r="P156" s="59"/>
      <c r="R156" s="54">
        <f>SUMIF(Q149:S153,"&gt;0")</f>
        <v>2</v>
      </c>
      <c r="S156" s="59"/>
      <c r="U156" s="54">
        <f>SUMIF(T149:V153,"&gt;0")</f>
        <v>2</v>
      </c>
      <c r="V156" s="59"/>
      <c r="X156" s="54">
        <f>SUMIF(W149:Y153,"&gt;0")</f>
        <v>2</v>
      </c>
      <c r="Y156" s="59"/>
      <c r="AA156" s="54">
        <f>SUMIF(Z149:AB153,"&gt;0")</f>
        <v>2</v>
      </c>
      <c r="AB156" s="59"/>
      <c r="AD156" s="54">
        <f>SUMIF(AC149:AE153,"&gt;0")</f>
        <v>2</v>
      </c>
      <c r="AE156" s="59"/>
      <c r="AF156" s="58" t="s">
        <v>111</v>
      </c>
      <c r="AW156" s="57"/>
    </row>
    <row r="157" spans="1:49" s="54" customFormat="1" ht="12.75" hidden="1" customHeight="1" x14ac:dyDescent="0.2">
      <c r="A157" s="54" t="s">
        <v>101</v>
      </c>
      <c r="B157" s="54">
        <f>IF(B109=1,C156,0)</f>
        <v>0</v>
      </c>
      <c r="D157" s="59">
        <f>IF(D109=1,C156,0)</f>
        <v>0</v>
      </c>
      <c r="E157" s="54">
        <f>IF(E109=1,F156,0)</f>
        <v>2</v>
      </c>
      <c r="G157" s="59">
        <f>IF(G109=1,F156,0)</f>
        <v>0</v>
      </c>
      <c r="H157" s="54">
        <f>IF(H109=1,I156,0)</f>
        <v>0</v>
      </c>
      <c r="J157" s="59">
        <f>IF(J109=1,I156,0)</f>
        <v>0</v>
      </c>
      <c r="K157" s="54">
        <f>IF(K109=1,L156,0)</f>
        <v>0</v>
      </c>
      <c r="M157" s="59">
        <f>IF(M109=1,L156,0)</f>
        <v>0</v>
      </c>
      <c r="N157" s="54">
        <f>IF(N109=1,O156,0)</f>
        <v>2</v>
      </c>
      <c r="P157" s="59">
        <f>IF(P109=1,O156,0)</f>
        <v>0</v>
      </c>
      <c r="Q157" s="54">
        <f>IF(Q109=1,R156,0)</f>
        <v>0</v>
      </c>
      <c r="S157" s="59">
        <f>IF(S109=1,R156,0)</f>
        <v>0</v>
      </c>
      <c r="T157" s="54">
        <f>IF(T109=1,U156,0)</f>
        <v>0</v>
      </c>
      <c r="V157" s="59">
        <f>IF(V109=1,U156,0)</f>
        <v>0</v>
      </c>
      <c r="W157" s="54">
        <f>IF(W109=1,X156,0)</f>
        <v>2</v>
      </c>
      <c r="Y157" s="59">
        <f>IF(Y109=1,X156,0)</f>
        <v>0</v>
      </c>
      <c r="Z157" s="54">
        <f>IF(Z109=1,AA156,0)</f>
        <v>0</v>
      </c>
      <c r="AB157" s="59">
        <f>IF(AB109=1,AA156,0)</f>
        <v>0</v>
      </c>
      <c r="AC157" s="54">
        <f>IF(AC109=1,AD156,0)</f>
        <v>2</v>
      </c>
      <c r="AE157" s="59">
        <f>IF(AE109=1,AD156,0)</f>
        <v>0</v>
      </c>
      <c r="AF157" s="54">
        <f>SUM(B157:AE157)</f>
        <v>8</v>
      </c>
      <c r="AW157" s="57"/>
    </row>
    <row r="158" spans="1:49" s="54" customFormat="1" ht="12.75" hidden="1" customHeight="1" x14ac:dyDescent="0.2">
      <c r="A158" s="54" t="s">
        <v>102</v>
      </c>
      <c r="B158" s="54">
        <f>IF(B109=2,C156,0)</f>
        <v>2</v>
      </c>
      <c r="D158" s="59">
        <f>IF(D109=2,C156,0)</f>
        <v>0</v>
      </c>
      <c r="E158" s="54">
        <f>IF(E109=2,F156,0)</f>
        <v>0</v>
      </c>
      <c r="G158" s="59">
        <f>IF(G109=2,F156,0)</f>
        <v>0</v>
      </c>
      <c r="H158" s="54">
        <f>IF(H109=2,I156,0)</f>
        <v>0</v>
      </c>
      <c r="J158" s="59">
        <f>IF(J109=2,I156,0)</f>
        <v>0</v>
      </c>
      <c r="K158" s="54">
        <f>IF(K109=2,L156,0)</f>
        <v>2</v>
      </c>
      <c r="M158" s="59">
        <f>IF(M109=2,L156,0)</f>
        <v>0</v>
      </c>
      <c r="N158" s="54">
        <f>IF(N109=2,O156,0)</f>
        <v>0</v>
      </c>
      <c r="P158" s="59">
        <f>IF(P109=2,O156,0)</f>
        <v>0</v>
      </c>
      <c r="Q158" s="54">
        <f>IF(Q109=2,R156,0)</f>
        <v>0</v>
      </c>
      <c r="S158" s="59">
        <f>IF(S109=2,R156,0)</f>
        <v>0</v>
      </c>
      <c r="T158" s="54">
        <f>IF(T109=2,U156,0)</f>
        <v>2</v>
      </c>
      <c r="V158" s="59">
        <f>IF(V109=2,U156,0)</f>
        <v>0</v>
      </c>
      <c r="W158" s="54">
        <f>IF(W109=2,X156,0)</f>
        <v>0</v>
      </c>
      <c r="Y158" s="59">
        <f>IF(Y109=2,X156,0)</f>
        <v>0</v>
      </c>
      <c r="Z158" s="54">
        <f>IF(Z109=2,AA156,0)</f>
        <v>0</v>
      </c>
      <c r="AB158" s="59">
        <f>IF(AB109=2,AA156,0)</f>
        <v>0</v>
      </c>
      <c r="AC158" s="54">
        <f>IF(AC109=2,AD156,0)</f>
        <v>0</v>
      </c>
      <c r="AE158" s="59">
        <f>IF(AE109=2,AD156,0)</f>
        <v>2</v>
      </c>
      <c r="AF158" s="54">
        <f>SUM(B158:AE158)</f>
        <v>8</v>
      </c>
      <c r="AW158" s="57"/>
    </row>
    <row r="159" spans="1:49" s="54" customFormat="1" ht="12.75" hidden="1" customHeight="1" x14ac:dyDescent="0.2">
      <c r="A159" s="54" t="s">
        <v>103</v>
      </c>
      <c r="B159" s="54">
        <f>IF(B109=3,C156,0)</f>
        <v>0</v>
      </c>
      <c r="D159" s="59">
        <f>IF(D109=3,C156,0)</f>
        <v>0</v>
      </c>
      <c r="E159" s="54">
        <f>IF(E109=3,F156,0)</f>
        <v>0</v>
      </c>
      <c r="G159" s="59">
        <f>IF(G109=3,F156,0)</f>
        <v>0</v>
      </c>
      <c r="H159" s="54">
        <f>IF(H109=3,I156,0)</f>
        <v>2</v>
      </c>
      <c r="J159" s="59">
        <f>IF(J109=3,I156,0)</f>
        <v>0</v>
      </c>
      <c r="K159" s="54">
        <f>IF(K109=3,L156,0)</f>
        <v>0</v>
      </c>
      <c r="M159" s="59">
        <f>IF(M109=3,L156,0)</f>
        <v>0</v>
      </c>
      <c r="N159" s="54">
        <f>IF(N109=3,O156,0)</f>
        <v>0</v>
      </c>
      <c r="P159" s="59">
        <f>IF(P109=3,O156,0)</f>
        <v>2</v>
      </c>
      <c r="Q159" s="54">
        <f>IF(Q109=3,R156,0)</f>
        <v>0</v>
      </c>
      <c r="S159" s="59">
        <f>IF(S109=3,R156,0)</f>
        <v>0</v>
      </c>
      <c r="T159" s="54">
        <f>IF(T109=3,U156,0)</f>
        <v>0</v>
      </c>
      <c r="V159" s="59">
        <f>IF(V109=3,U156,0)</f>
        <v>2</v>
      </c>
      <c r="W159" s="54">
        <f>IF(W109=3,X156,0)</f>
        <v>0</v>
      </c>
      <c r="Y159" s="59">
        <f>IF(Y109=3,X156,0)</f>
        <v>0</v>
      </c>
      <c r="Z159" s="54">
        <f>IF(Z109=3,AA156,0)</f>
        <v>2</v>
      </c>
      <c r="AB159" s="59">
        <f>IF(AB109=3,AA156,0)</f>
        <v>0</v>
      </c>
      <c r="AC159" s="54">
        <f>IF(AC109=3,AD156,0)</f>
        <v>0</v>
      </c>
      <c r="AE159" s="59">
        <f>IF(AE109=3,AD156,0)</f>
        <v>0</v>
      </c>
      <c r="AF159" s="54">
        <f>SUM(B159:AE159)</f>
        <v>8</v>
      </c>
      <c r="AW159" s="57"/>
    </row>
    <row r="160" spans="1:49" s="54" customFormat="1" ht="12.75" hidden="1" customHeight="1" x14ac:dyDescent="0.2">
      <c r="A160" s="54" t="s">
        <v>104</v>
      </c>
      <c r="B160" s="54">
        <f>IF(B109=4,C156,0)</f>
        <v>0</v>
      </c>
      <c r="D160" s="59">
        <f>IF(D109=4,C156,0)</f>
        <v>0</v>
      </c>
      <c r="E160" s="54">
        <f>IF(E109=4,F156,0)</f>
        <v>0</v>
      </c>
      <c r="G160" s="59">
        <f>IF(G109=4,F156,0)</f>
        <v>2</v>
      </c>
      <c r="H160" s="54">
        <f>IF(H109=4,I156,0)</f>
        <v>0</v>
      </c>
      <c r="J160" s="59">
        <f>IF(J109=4,I156,0)</f>
        <v>0</v>
      </c>
      <c r="K160" s="54">
        <f>IF(K109=4,L156,0)</f>
        <v>0</v>
      </c>
      <c r="M160" s="59">
        <f>IF(M109=4,L156,0)</f>
        <v>2</v>
      </c>
      <c r="N160" s="54">
        <f>IF(N109=4,O156,0)</f>
        <v>0</v>
      </c>
      <c r="P160" s="59">
        <f>IF(P109=4,O156,0)</f>
        <v>0</v>
      </c>
      <c r="Q160" s="54">
        <f>IF(Q109=4,R156,0)</f>
        <v>2</v>
      </c>
      <c r="S160" s="59">
        <f>IF(S109=4,R156,0)</f>
        <v>0</v>
      </c>
      <c r="T160" s="54">
        <f>IF(T109=4,U156,0)</f>
        <v>0</v>
      </c>
      <c r="V160" s="59">
        <f>IF(V109=4,U156,0)</f>
        <v>0</v>
      </c>
      <c r="W160" s="54">
        <f>IF(W109=4,X156,0)</f>
        <v>0</v>
      </c>
      <c r="Y160" s="59">
        <f>IF(Y109=4,X156,0)</f>
        <v>0</v>
      </c>
      <c r="Z160" s="54">
        <f>IF(Z109=4,AA156,0)</f>
        <v>0</v>
      </c>
      <c r="AB160" s="59">
        <f>IF(AB109=4,AA156,0)</f>
        <v>2</v>
      </c>
      <c r="AC160" s="54">
        <f>IF(AC109=4,AD156,0)</f>
        <v>0</v>
      </c>
      <c r="AE160" s="59">
        <f>IF(AE109=4,AD156,0)</f>
        <v>0</v>
      </c>
      <c r="AF160" s="54">
        <f>SUM(B160:AE160)</f>
        <v>8</v>
      </c>
      <c r="AW160" s="57"/>
    </row>
    <row r="161" spans="1:54" s="54" customFormat="1" ht="12.75" hidden="1" customHeight="1" x14ac:dyDescent="0.2">
      <c r="A161" s="54" t="s">
        <v>105</v>
      </c>
      <c r="B161" s="54">
        <f>IF(B109=5,C156,0)</f>
        <v>0</v>
      </c>
      <c r="D161" s="59">
        <f>IF(D109=5,C156,0)</f>
        <v>2</v>
      </c>
      <c r="E161" s="54">
        <f>IF(E109=5,F156,0)</f>
        <v>0</v>
      </c>
      <c r="G161" s="59">
        <f>IF(G109=5,F156,0)</f>
        <v>0</v>
      </c>
      <c r="H161" s="54">
        <f>IF(H109=5,I156,0)</f>
        <v>0</v>
      </c>
      <c r="J161" s="59">
        <f>IF(J109=5,I156,0)</f>
        <v>2</v>
      </c>
      <c r="K161" s="54">
        <f>IF(K109=5,L156,0)</f>
        <v>0</v>
      </c>
      <c r="M161" s="59">
        <f>IF(M109=5,L156,0)</f>
        <v>0</v>
      </c>
      <c r="N161" s="54">
        <f>IF(N109=5,O156,0)</f>
        <v>0</v>
      </c>
      <c r="P161" s="59">
        <f>IF(P109=5,O156,0)</f>
        <v>0</v>
      </c>
      <c r="Q161" s="54">
        <f>IF(Q109=5,R156,0)</f>
        <v>0</v>
      </c>
      <c r="S161" s="59">
        <f>IF(S109=5,R156,0)</f>
        <v>2</v>
      </c>
      <c r="T161" s="54">
        <f>IF(T109=5,U156,0)</f>
        <v>0</v>
      </c>
      <c r="V161" s="59">
        <f>IF(V109=5,U156,0)</f>
        <v>0</v>
      </c>
      <c r="W161" s="54">
        <f>IF(W109=5,X156,0)</f>
        <v>0</v>
      </c>
      <c r="Y161" s="59">
        <f>IF(Y109=5,X156,0)</f>
        <v>2</v>
      </c>
      <c r="Z161" s="54">
        <f>IF(Z109=5,AA156,0)</f>
        <v>0</v>
      </c>
      <c r="AB161" s="59">
        <f>IF(AB109=5,AA156,0)</f>
        <v>0</v>
      </c>
      <c r="AC161" s="54">
        <f>IF(AC109=5,AD156,0)</f>
        <v>0</v>
      </c>
      <c r="AE161" s="59">
        <f>IF(AE109=5,AD156,0)</f>
        <v>0</v>
      </c>
      <c r="AF161" s="54">
        <f>SUM(B161:AE161)</f>
        <v>8</v>
      </c>
      <c r="AW161" s="57"/>
    </row>
    <row r="162" spans="1:54" hidden="1" x14ac:dyDescent="0.2">
      <c r="A162" s="79"/>
      <c r="B162" s="79"/>
      <c r="C162" s="79"/>
      <c r="D162" s="79"/>
      <c r="E162" s="79"/>
      <c r="F162" s="79"/>
      <c r="G162" s="79"/>
      <c r="H162" s="79"/>
      <c r="I162" s="79"/>
      <c r="J162" s="79"/>
      <c r="K162" s="79"/>
      <c r="L162" s="79"/>
      <c r="M162" s="79"/>
      <c r="N162" s="79"/>
      <c r="O162" s="79"/>
      <c r="P162" s="79"/>
      <c r="Q162" s="79"/>
      <c r="R162" s="79"/>
      <c r="S162" s="79"/>
      <c r="T162" s="79"/>
      <c r="U162" s="79"/>
      <c r="V162" s="79"/>
      <c r="W162" s="79"/>
      <c r="X162" s="79"/>
      <c r="Y162" s="79"/>
      <c r="Z162" s="79"/>
      <c r="AA162" s="79"/>
      <c r="AB162" s="79"/>
      <c r="AC162" s="79"/>
      <c r="AD162" s="79"/>
      <c r="AE162" s="79"/>
      <c r="AF162" s="79"/>
      <c r="AG162" s="79"/>
      <c r="AH162" s="79"/>
      <c r="AI162" s="79"/>
      <c r="AJ162" s="79"/>
      <c r="AK162" s="79"/>
      <c r="AL162" s="79"/>
      <c r="AM162" s="79"/>
      <c r="AN162" s="80"/>
      <c r="AO162" s="80"/>
      <c r="AP162" s="80"/>
      <c r="AQ162" s="80"/>
      <c r="AR162" s="62"/>
      <c r="AS162" s="62"/>
      <c r="AT162" s="62"/>
      <c r="AU162" s="62"/>
      <c r="AV162" s="62"/>
      <c r="BB162" s="129"/>
    </row>
    <row r="163" spans="1:54" s="62" customFormat="1" hidden="1" x14ac:dyDescent="0.2">
      <c r="A163" s="63"/>
      <c r="B163" s="63"/>
      <c r="C163" s="63" t="s">
        <v>112</v>
      </c>
      <c r="D163" s="63">
        <v>1</v>
      </c>
      <c r="E163" s="63"/>
      <c r="F163" s="63"/>
      <c r="G163" s="63">
        <v>2</v>
      </c>
      <c r="H163" s="63"/>
      <c r="I163" s="63"/>
      <c r="J163" s="63">
        <v>3</v>
      </c>
      <c r="K163" s="63"/>
      <c r="L163" s="63"/>
      <c r="M163" s="63">
        <v>4</v>
      </c>
      <c r="N163" s="63"/>
      <c r="O163" s="63"/>
      <c r="P163" s="63">
        <v>5</v>
      </c>
      <c r="Q163" s="63"/>
      <c r="R163" s="63"/>
      <c r="S163" s="63">
        <v>6</v>
      </c>
      <c r="T163" s="63"/>
      <c r="U163" s="63"/>
      <c r="V163" s="63">
        <v>7</v>
      </c>
      <c r="W163" s="63"/>
      <c r="X163" s="63"/>
      <c r="Y163" s="63">
        <v>8</v>
      </c>
      <c r="Z163" s="63"/>
      <c r="AA163" s="63"/>
      <c r="AB163" s="63">
        <v>9</v>
      </c>
      <c r="AC163" s="63"/>
      <c r="AD163" s="63"/>
      <c r="AE163" s="63">
        <v>10</v>
      </c>
      <c r="AF163" s="4"/>
      <c r="AG163" s="63"/>
      <c r="AI163" s="64"/>
      <c r="AJ163" s="4"/>
      <c r="AK163" s="4"/>
      <c r="AL163" s="4"/>
      <c r="AM163" s="4"/>
      <c r="AN163" s="4"/>
      <c r="AO163" s="4"/>
      <c r="AT163" s="64" t="s">
        <v>113</v>
      </c>
      <c r="AW163" s="65"/>
      <c r="BB163" s="65"/>
    </row>
    <row r="164" spans="1:54" s="62" customFormat="1" hidden="1" x14ac:dyDescent="0.2">
      <c r="A164" s="66">
        <v>1</v>
      </c>
      <c r="B164" s="66" t="str">
        <f>E93</f>
        <v>CSRA Heat 16 Black</v>
      </c>
      <c r="C164" s="66">
        <f>VLOOKUP(B164,AU$3:AY$12,3,FALSE)</f>
        <v>2308.3203044824509</v>
      </c>
      <c r="D164" s="66">
        <f>IF(B157,B172,IF(D157,D172,C164))</f>
        <v>2308.3203044824509</v>
      </c>
      <c r="E164" s="66"/>
      <c r="F164" s="66"/>
      <c r="G164" s="66">
        <f>IF(E157,E172,IF(G157,G172,D164))</f>
        <v>2326.5519650842061</v>
      </c>
      <c r="H164" s="66"/>
      <c r="I164" s="66"/>
      <c r="J164" s="66">
        <f>IF(H157,H172,IF(J157,J172,G164))</f>
        <v>2326.5519650842061</v>
      </c>
      <c r="K164" s="66"/>
      <c r="L164" s="66"/>
      <c r="M164" s="66">
        <f>IF(K157,K172,IF(M157,M172,J164))</f>
        <v>2326.5519650842061</v>
      </c>
      <c r="N164" s="66"/>
      <c r="O164" s="66"/>
      <c r="P164" s="66">
        <f>IF(N157,N172,IF(P157,P172,M164))</f>
        <v>2313.8508648722955</v>
      </c>
      <c r="Q164" s="66"/>
      <c r="R164" s="66"/>
      <c r="S164" s="66">
        <f>IF(Q157,Q172,IF(S157,S172,P164))</f>
        <v>2313.8508648722955</v>
      </c>
      <c r="T164" s="66"/>
      <c r="U164" s="66"/>
      <c r="V164" s="66">
        <f>IF(T157,T172,IF(V157,V172,S164))</f>
        <v>2313.8508648722955</v>
      </c>
      <c r="W164" s="66"/>
      <c r="X164" s="66"/>
      <c r="Y164" s="66">
        <f>IF(W157,W172,IF(Y157,Y172,V164))</f>
        <v>2329.8046490947154</v>
      </c>
      <c r="Z164" s="66"/>
      <c r="AA164" s="66"/>
      <c r="AB164" s="66">
        <f>IF(Z157,Z172,IF(AB157,AB172,Y164))</f>
        <v>2329.8046490947154</v>
      </c>
      <c r="AC164" s="66"/>
      <c r="AD164" s="66"/>
      <c r="AE164" s="66">
        <f>IF(AC157,AC172,IF(AE157,AE172,AB164))</f>
        <v>2290.0966754055007</v>
      </c>
      <c r="AF164" s="4"/>
      <c r="AG164" s="4"/>
      <c r="AJ164" s="4"/>
      <c r="AK164" s="4"/>
      <c r="AL164" s="4"/>
      <c r="AM164" s="4"/>
      <c r="AN164" s="4"/>
      <c r="AO164" s="4"/>
      <c r="AT164" s="62" t="str">
        <f>B164</f>
        <v>CSRA Heat 16 Black</v>
      </c>
      <c r="AU164" s="62">
        <f>AE164</f>
        <v>2290.0966754055007</v>
      </c>
      <c r="AW164" s="65"/>
      <c r="BB164" s="65"/>
    </row>
    <row r="165" spans="1:54" s="62" customFormat="1" hidden="1" x14ac:dyDescent="0.2">
      <c r="A165" s="66">
        <v>2</v>
      </c>
      <c r="B165" s="66" t="str">
        <f>E95</f>
        <v>Agema16U</v>
      </c>
      <c r="C165" s="66">
        <f>VLOOKUP(B165,AU$3:AY$12,3,FALSE)</f>
        <v>2276.1308192442684</v>
      </c>
      <c r="D165" s="66">
        <f>IF(B158,B172,IF(D158,D172,C165))</f>
        <v>2261.0899819254987</v>
      </c>
      <c r="E165" s="66"/>
      <c r="F165" s="66"/>
      <c r="G165" s="66">
        <f>IF(E158,E172,IF(G158,G172,D165))</f>
        <v>2261.0899819254987</v>
      </c>
      <c r="H165" s="66"/>
      <c r="I165" s="66"/>
      <c r="J165" s="66">
        <f>IF(H158,H172,IF(J158,J172,G165))</f>
        <v>2261.0899819254987</v>
      </c>
      <c r="K165" s="66"/>
      <c r="L165" s="66"/>
      <c r="M165" s="66">
        <f>IF(K158,K172,IF(M158,M172,J165))</f>
        <v>2249.57372305628</v>
      </c>
      <c r="N165" s="66"/>
      <c r="O165" s="66"/>
      <c r="P165" s="66">
        <f>IF(N158,N172,IF(P158,P172,M165))</f>
        <v>2249.57372305628</v>
      </c>
      <c r="Q165" s="66"/>
      <c r="R165" s="66"/>
      <c r="S165" s="66">
        <f>IF(Q158,Q172,IF(S158,S172,P165))</f>
        <v>2249.57372305628</v>
      </c>
      <c r="T165" s="66"/>
      <c r="U165" s="66"/>
      <c r="V165" s="66">
        <f>IF(T158,T172,IF(V158,V172,S165))</f>
        <v>2244.4390560530383</v>
      </c>
      <c r="W165" s="66"/>
      <c r="X165" s="66"/>
      <c r="Y165" s="66">
        <f>IF(W158,W172,IF(Y158,Y172,V165))</f>
        <v>2244.4390560530383</v>
      </c>
      <c r="Z165" s="66"/>
      <c r="AA165" s="66"/>
      <c r="AB165" s="66">
        <f>IF(Z158,Z172,IF(AB158,AB172,Y165))</f>
        <v>2244.4390560530383</v>
      </c>
      <c r="AC165" s="66"/>
      <c r="AD165" s="66"/>
      <c r="AE165" s="66">
        <f>IF(AC158,AC172,IF(AE158,AE172,AB165))</f>
        <v>2284.1470297422529</v>
      </c>
      <c r="AF165" s="4"/>
      <c r="AG165" s="4"/>
      <c r="AJ165" s="4"/>
      <c r="AL165" s="4"/>
      <c r="AM165" s="4"/>
      <c r="AN165" s="4"/>
      <c r="AO165" s="4"/>
      <c r="AT165" s="62" t="str">
        <f>B165</f>
        <v>Agema16U</v>
      </c>
      <c r="AU165" s="62">
        <f>AE165</f>
        <v>2284.1470297422529</v>
      </c>
      <c r="AW165" s="65"/>
      <c r="BB165" s="65"/>
    </row>
    <row r="166" spans="1:54" s="62" customFormat="1" hidden="1" x14ac:dyDescent="0.2">
      <c r="A166" s="66">
        <v>3</v>
      </c>
      <c r="B166" s="66" t="str">
        <f>E97</f>
        <v>SC Midlands 16 Black</v>
      </c>
      <c r="C166" s="66">
        <f>VLOOKUP(B166,AU$3:AY$12,3,FALSE)</f>
        <v>2222.3068225794136</v>
      </c>
      <c r="D166" s="66">
        <f>IF(B159,B172,IF(D159,D172,C166))</f>
        <v>2222.3068225794136</v>
      </c>
      <c r="E166" s="66"/>
      <c r="F166" s="66"/>
      <c r="G166" s="66">
        <f>IF(E159,E172,IF(G159,G172,D166))</f>
        <v>2222.3068225794136</v>
      </c>
      <c r="H166" s="66"/>
      <c r="I166" s="66"/>
      <c r="J166" s="66">
        <f>IF(H159,H172,IF(J159,J172,G166))</f>
        <v>2180.6377005253526</v>
      </c>
      <c r="K166" s="66"/>
      <c r="L166" s="66"/>
      <c r="M166" s="66">
        <f>IF(K159,K172,IF(M159,M172,J166))</f>
        <v>2180.6377005253526</v>
      </c>
      <c r="N166" s="66"/>
      <c r="O166" s="66"/>
      <c r="P166" s="66">
        <f>IF(N159,N172,IF(P159,P172,M166))</f>
        <v>2193.3388007372632</v>
      </c>
      <c r="Q166" s="66"/>
      <c r="R166" s="66"/>
      <c r="S166" s="66">
        <f>IF(Q159,Q172,IF(S159,S172,P166))</f>
        <v>2193.3388007372632</v>
      </c>
      <c r="T166" s="66"/>
      <c r="U166" s="66"/>
      <c r="V166" s="66">
        <f>IF(T159,T172,IF(V159,V172,S166))</f>
        <v>2198.4734677405049</v>
      </c>
      <c r="W166" s="66"/>
      <c r="X166" s="66"/>
      <c r="Y166" s="66">
        <f>IF(W159,W172,IF(Y159,Y172,V166))</f>
        <v>2198.4734677405049</v>
      </c>
      <c r="Z166" s="66"/>
      <c r="AA166" s="66"/>
      <c r="AB166" s="66">
        <f>IF(Z159,Z172,IF(AB159,AB172,Y166))</f>
        <v>2228.3137729922109</v>
      </c>
      <c r="AC166" s="66"/>
      <c r="AD166" s="66"/>
      <c r="AE166" s="66">
        <f>IF(AC159,AC172,IF(AE159,AE172,AB166))</f>
        <v>2228.3137729922109</v>
      </c>
      <c r="AF166" s="4"/>
      <c r="AG166" s="4"/>
      <c r="AJ166" s="4"/>
      <c r="AL166" s="4"/>
      <c r="AM166" s="4"/>
      <c r="AN166" s="4"/>
      <c r="AO166" s="4"/>
      <c r="AT166" s="62" t="str">
        <f>B166</f>
        <v>SC Midlands 16 Black</v>
      </c>
      <c r="AU166" s="62">
        <f>AE166</f>
        <v>2228.3137729922109</v>
      </c>
      <c r="AW166" s="65"/>
      <c r="BB166" s="65"/>
    </row>
    <row r="167" spans="1:54" s="62" customFormat="1" hidden="1" x14ac:dyDescent="0.2">
      <c r="A167" s="66">
        <v>4</v>
      </c>
      <c r="B167" s="66" t="str">
        <f>E99</f>
        <v>Vision 16 Regional</v>
      </c>
      <c r="C167" s="66">
        <f>VLOOKUP(B167,AU$3:AY$12,3,FALSE)</f>
        <v>2148.4247333494636</v>
      </c>
      <c r="D167" s="66">
        <f>IF(B160,B172,IF(D160,D172,C167))</f>
        <v>2148.4247333494636</v>
      </c>
      <c r="E167" s="66"/>
      <c r="F167" s="66"/>
      <c r="G167" s="66">
        <f>IF(E160,E172,IF(G160,G172,D167))</f>
        <v>2130.1930727477084</v>
      </c>
      <c r="H167" s="66"/>
      <c r="I167" s="66"/>
      <c r="J167" s="66">
        <f>IF(H160,H172,IF(J160,J172,G167))</f>
        <v>2130.1930727477084</v>
      </c>
      <c r="K167" s="66"/>
      <c r="L167" s="66"/>
      <c r="M167" s="66">
        <f>IF(K160,K172,IF(M160,M172,J167))</f>
        <v>2141.7093316169271</v>
      </c>
      <c r="N167" s="66"/>
      <c r="O167" s="66"/>
      <c r="P167" s="66">
        <f>IF(N160,N172,IF(P160,P172,M167))</f>
        <v>2141.7093316169271</v>
      </c>
      <c r="Q167" s="66"/>
      <c r="R167" s="66"/>
      <c r="S167" s="66">
        <f>IF(Q160,Q172,IF(S160,S172,P167))</f>
        <v>2174.989179849676</v>
      </c>
      <c r="T167" s="66"/>
      <c r="U167" s="66"/>
      <c r="V167" s="66">
        <f>IF(T160,T172,IF(V160,V172,S167))</f>
        <v>2174.989179849676</v>
      </c>
      <c r="W167" s="66"/>
      <c r="X167" s="66"/>
      <c r="Y167" s="66">
        <f>IF(W160,W172,IF(Y160,Y172,V167))</f>
        <v>2174.989179849676</v>
      </c>
      <c r="Z167" s="66"/>
      <c r="AA167" s="66"/>
      <c r="AB167" s="66">
        <f>IF(Z160,Z172,IF(AB160,AB172,Y167))</f>
        <v>2145.14887459797</v>
      </c>
      <c r="AC167" s="66"/>
      <c r="AD167" s="66"/>
      <c r="AE167" s="66">
        <f>IF(AC160,AC172,IF(AE160,AE172,AB167))</f>
        <v>2145.14887459797</v>
      </c>
      <c r="AF167" s="4"/>
      <c r="AG167" s="4"/>
      <c r="AJ167" s="4"/>
      <c r="AL167" s="4"/>
      <c r="AM167" s="4"/>
      <c r="AN167" s="4"/>
      <c r="AO167" s="4"/>
      <c r="AT167" s="62" t="str">
        <f>B167</f>
        <v>Vision 16 Regional</v>
      </c>
      <c r="AU167" s="62">
        <f>AE167</f>
        <v>2145.14887459797</v>
      </c>
      <c r="AW167" s="65"/>
      <c r="BB167" s="65"/>
    </row>
    <row r="168" spans="1:54" s="62" customFormat="1" hidden="1" x14ac:dyDescent="0.2">
      <c r="A168" s="66">
        <v>5</v>
      </c>
      <c r="B168" s="66" t="str">
        <f>E101</f>
        <v>Sumter VBC 16 Gwin</v>
      </c>
      <c r="C168" s="66">
        <f>VLOOKUP(B168,AU$3:AY$12,3,FALSE)</f>
        <v>2098.9025643154096</v>
      </c>
      <c r="D168" s="66">
        <f>IF(B161,B172,IF(D161,D172,C168))</f>
        <v>2113.9434016341793</v>
      </c>
      <c r="E168" s="66"/>
      <c r="F168" s="66"/>
      <c r="G168" s="66">
        <f>IF(E161,E172,IF(G161,G172,D168))</f>
        <v>2113.9434016341793</v>
      </c>
      <c r="H168" s="66"/>
      <c r="I168" s="66"/>
      <c r="J168" s="66">
        <f>IF(H161,H172,IF(J161,J172,G168))</f>
        <v>2155.6125236882403</v>
      </c>
      <c r="K168" s="66"/>
      <c r="L168" s="66"/>
      <c r="M168" s="66">
        <f>IF(K161,K172,IF(M161,M172,J168))</f>
        <v>2155.6125236882403</v>
      </c>
      <c r="N168" s="66"/>
      <c r="O168" s="66"/>
      <c r="P168" s="66">
        <f>IF(N161,N172,IF(P161,P172,M168))</f>
        <v>2155.6125236882403</v>
      </c>
      <c r="Q168" s="66"/>
      <c r="R168" s="66"/>
      <c r="S168" s="66">
        <f>IF(Q161,Q172,IF(S161,S172,P168))</f>
        <v>2122.3326754554914</v>
      </c>
      <c r="T168" s="66"/>
      <c r="U168" s="66"/>
      <c r="V168" s="66">
        <f>IF(T161,T172,IF(V161,V172,S168))</f>
        <v>2122.3326754554914</v>
      </c>
      <c r="W168" s="66"/>
      <c r="X168" s="66"/>
      <c r="Y168" s="66">
        <f>IF(W161,W172,IF(Y161,Y172,V168))</f>
        <v>2106.3788912330715</v>
      </c>
      <c r="Z168" s="66"/>
      <c r="AA168" s="66"/>
      <c r="AB168" s="66">
        <f>IF(Z161,Z172,IF(AB161,AB172,Y168))</f>
        <v>2106.3788912330715</v>
      </c>
      <c r="AC168" s="66"/>
      <c r="AD168" s="66"/>
      <c r="AE168" s="66">
        <f>IF(AC161,AC172,IF(AE161,AE172,AB168))</f>
        <v>2106.3788912330715</v>
      </c>
      <c r="AF168" s="4"/>
      <c r="AG168" s="4"/>
      <c r="AJ168" s="4"/>
      <c r="AL168" s="4"/>
      <c r="AM168" s="4"/>
      <c r="AN168" s="4"/>
      <c r="AO168" s="4"/>
      <c r="AT168" s="62" t="str">
        <f>B168</f>
        <v>Sumter VBC 16 Gwin</v>
      </c>
      <c r="AU168" s="62">
        <f>AE168</f>
        <v>2106.3788912330715</v>
      </c>
      <c r="AW168" s="65"/>
      <c r="BB168" s="65"/>
    </row>
    <row r="169" spans="1:54" s="62" customFormat="1" hidden="1" x14ac:dyDescent="0.2">
      <c r="A169" s="66"/>
      <c r="B169" s="66"/>
      <c r="C169" s="66"/>
      <c r="D169" s="66"/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66"/>
      <c r="AE169" s="66"/>
      <c r="AF169" s="4"/>
      <c r="AG169" s="4"/>
      <c r="AJ169" s="4"/>
      <c r="AL169" s="4"/>
      <c r="AM169" s="4"/>
      <c r="AN169" s="4"/>
      <c r="AO169" s="4"/>
      <c r="AW169" s="65"/>
      <c r="BB169" s="65"/>
    </row>
    <row r="170" spans="1:54" s="62" customFormat="1" hidden="1" x14ac:dyDescent="0.2">
      <c r="A170" s="66" t="s">
        <v>114</v>
      </c>
      <c r="B170" s="66">
        <f>VLOOKUP(B109,$A164:$AE168,3,FALSE)</f>
        <v>2276.1308192442684</v>
      </c>
      <c r="C170" s="66">
        <v>1</v>
      </c>
      <c r="D170" s="66">
        <f>VLOOKUP(D109,$A164:$AE168,3,FALSE)</f>
        <v>2098.9025643154096</v>
      </c>
      <c r="E170" s="66">
        <f>VLOOKUP(E109,$A164:$AE168,4,FALSE)</f>
        <v>2308.3203044824509</v>
      </c>
      <c r="F170" s="66">
        <v>2</v>
      </c>
      <c r="G170" s="66">
        <f>VLOOKUP(G109,$A164:$AE168,4,FALSE)</f>
        <v>2148.4247333494636</v>
      </c>
      <c r="H170" s="66">
        <f>VLOOKUP(H109,$A164:$AE168,7,FALSE)</f>
        <v>2222.3068225794136</v>
      </c>
      <c r="I170" s="66">
        <v>3</v>
      </c>
      <c r="J170" s="66">
        <f>VLOOKUP(J109,$A164:$AE168,7,FALSE)</f>
        <v>2113.9434016341793</v>
      </c>
      <c r="K170" s="66">
        <f>VLOOKUP(K109,$A164:$AE168,10,FALSE)</f>
        <v>2261.0899819254987</v>
      </c>
      <c r="L170" s="66">
        <v>4</v>
      </c>
      <c r="M170" s="66">
        <f>VLOOKUP(M109,$A164:$AE168,10,FALSE)</f>
        <v>2130.1930727477084</v>
      </c>
      <c r="N170" s="66">
        <f>VLOOKUP(N109,$A164:$AE168,13,FALSE)</f>
        <v>2326.5519650842061</v>
      </c>
      <c r="O170" s="66">
        <v>5</v>
      </c>
      <c r="P170" s="66">
        <f>VLOOKUP(P109,$A164:$AE168,13,FALSE)</f>
        <v>2180.6377005253526</v>
      </c>
      <c r="Q170" s="66">
        <f>VLOOKUP(Q109,$A164:$AE168,16,FALSE)</f>
        <v>2141.7093316169271</v>
      </c>
      <c r="R170" s="66">
        <v>6</v>
      </c>
      <c r="S170" s="66">
        <f>VLOOKUP(S109,$A164:$AE168,16,FALSE)</f>
        <v>2155.6125236882403</v>
      </c>
      <c r="T170" s="66">
        <f>VLOOKUP(T109,$A164:$AE168,19,FALSE)</f>
        <v>2249.57372305628</v>
      </c>
      <c r="U170" s="66">
        <v>7</v>
      </c>
      <c r="V170" s="66">
        <f>VLOOKUP(V109,$A164:$AE168,19,FALSE)</f>
        <v>2193.3388007372632</v>
      </c>
      <c r="W170" s="66">
        <f>VLOOKUP(W109,$A164:$AE168,22,FALSE)</f>
        <v>2313.8508648722955</v>
      </c>
      <c r="X170" s="66">
        <v>8</v>
      </c>
      <c r="Y170" s="66">
        <f>VLOOKUP(Y109,$A164:$AE168,22,FALSE)</f>
        <v>2122.3326754554914</v>
      </c>
      <c r="Z170" s="66">
        <f>VLOOKUP(Z109,$A164:$AE168,25,FALSE)</f>
        <v>2198.4734677405049</v>
      </c>
      <c r="AA170" s="66">
        <v>9</v>
      </c>
      <c r="AB170" s="66">
        <f>VLOOKUP(AB109,$A164:$AE168,25,FALSE)</f>
        <v>2174.989179849676</v>
      </c>
      <c r="AC170" s="66">
        <f>VLOOKUP(AC109,$A164:$AE168,28,FALSE)</f>
        <v>2329.8046490947154</v>
      </c>
      <c r="AD170" s="66">
        <v>10</v>
      </c>
      <c r="AE170" s="66">
        <f>VLOOKUP(AE109,$A164:$AE168,28,FALSE)</f>
        <v>2244.4390560530383</v>
      </c>
      <c r="AF170" s="4"/>
      <c r="AG170" s="79"/>
      <c r="AH170" s="79"/>
      <c r="AI170" s="79"/>
      <c r="AJ170" s="79"/>
      <c r="AK170" s="79"/>
      <c r="AL170" s="79"/>
      <c r="AM170" s="79"/>
      <c r="AN170" s="80"/>
      <c r="AO170" s="80"/>
      <c r="AP170" s="80"/>
      <c r="AQ170" s="80"/>
      <c r="AW170" s="65"/>
      <c r="BB170" s="65"/>
    </row>
    <row r="171" spans="1:54" s="71" customFormat="1" hidden="1" x14ac:dyDescent="0.2">
      <c r="A171" s="67" t="s">
        <v>115</v>
      </c>
      <c r="B171" s="67">
        <f>1/(1+(10^-((B170-D170)/400)))*(B121+D121)</f>
        <v>1.4700261662115583</v>
      </c>
      <c r="C171" s="67"/>
      <c r="D171" s="67">
        <f>1/(1+(10^-((D170-B170)/400)))*(B121+D121)</f>
        <v>0.52997383378844165</v>
      </c>
      <c r="E171" s="67">
        <f>1/(1+(10^-((E170-G170)/400)))*(E121+G121)</f>
        <v>1.4302606061951419</v>
      </c>
      <c r="F171" s="67"/>
      <c r="G171" s="67">
        <f>1/(1+(10^-((G170-E170)/400)))*(E121+G121)</f>
        <v>0.56973939380485805</v>
      </c>
      <c r="H171" s="67">
        <f>1/(1+(10^-((H170-J170)/400)))*(H121+J121)</f>
        <v>1.3021600641894102</v>
      </c>
      <c r="I171" s="67"/>
      <c r="J171" s="67">
        <f>1/(1+(10^-((J170-H170)/400)))*(H121+J121)</f>
        <v>0.69783993581058967</v>
      </c>
      <c r="K171" s="67">
        <f>1/(1+(10^-((K170-M170)/400)))*(K121+M121)</f>
        <v>1.3598830896630913</v>
      </c>
      <c r="L171" s="67"/>
      <c r="M171" s="67">
        <f>1/(1+(10^-((M170-K170)/400)))*(K121+M121)</f>
        <v>0.64011691033690865</v>
      </c>
      <c r="N171" s="67">
        <f>1/(1+(10^-((N170-P170)/400)))*(N121+P121)</f>
        <v>1.3969093816222125</v>
      </c>
      <c r="O171" s="67"/>
      <c r="P171" s="67">
        <f>1/(1+(10^-((P170-N170)/400)))*(N121+P121)</f>
        <v>0.60309061837778744</v>
      </c>
      <c r="Q171" s="67">
        <f>1/(1+(10^-((Q170-S170)/400)))*(Q121+S121)</f>
        <v>0.96000474272659886</v>
      </c>
      <c r="R171" s="67"/>
      <c r="S171" s="67">
        <f>1/(1+(10^-((S170-Q170)/400)))*(Q121+S121)</f>
        <v>1.0399952572734013</v>
      </c>
      <c r="T171" s="67">
        <f>1/(1+(10^-((T170-V170)/400)))*(T121+V121)</f>
        <v>1.1604583438512972</v>
      </c>
      <c r="U171" s="67"/>
      <c r="V171" s="67">
        <f>1/(1+(10^-((V170-T170)/400)))*(T121+V121)</f>
        <v>0.8395416561487028</v>
      </c>
      <c r="W171" s="67">
        <f>1/(1+(10^-((W170-Y170)/400)))*(W121+Y121)</f>
        <v>1.5014442430493831</v>
      </c>
      <c r="X171" s="67"/>
      <c r="Y171" s="67">
        <f>1/(1+(10^-((Y170-W170)/400)))*(W121+Y121)</f>
        <v>0.49855575695061688</v>
      </c>
      <c r="Z171" s="67">
        <f>1/(1+(10^-((Z170-AB170)/400)))*(Z121+AB121)</f>
        <v>1.0674904608841804</v>
      </c>
      <c r="AA171" s="67"/>
      <c r="AB171" s="67">
        <f>1/(1+(10^-((AB170-Z170)/400)))*(Z121+AB121)</f>
        <v>0.93250953911581935</v>
      </c>
      <c r="AC171" s="67">
        <f>1/(1+(10^-((AC170-AE170)/400)))*(AC121+AE121)</f>
        <v>1.2408741777879577</v>
      </c>
      <c r="AD171" s="67"/>
      <c r="AE171" s="67">
        <f>1/(1+(10^-((AE170-AC170)/400)))*(AC121+AE121)</f>
        <v>0.75912582221204228</v>
      </c>
      <c r="AF171" s="68"/>
      <c r="AG171" s="69"/>
      <c r="AH171" s="69"/>
      <c r="AI171" s="69"/>
      <c r="AJ171" s="69"/>
      <c r="AK171" s="69"/>
      <c r="AL171" s="69"/>
      <c r="AM171" s="69"/>
      <c r="AN171" s="70"/>
      <c r="AO171" s="70"/>
      <c r="AP171" s="70"/>
      <c r="AQ171" s="70"/>
      <c r="AW171" s="72"/>
      <c r="BB171" s="72"/>
    </row>
    <row r="172" spans="1:54" s="77" customFormat="1" hidden="1" x14ac:dyDescent="0.2">
      <c r="A172" s="73" t="s">
        <v>116</v>
      </c>
      <c r="B172" s="73">
        <f>B170+(B121-B171)*$BA$1</f>
        <v>2261.0899819254987</v>
      </c>
      <c r="C172" s="73"/>
      <c r="D172" s="73">
        <f>D170+(D121-D171)*$BA$1</f>
        <v>2113.9434016341793</v>
      </c>
      <c r="E172" s="73">
        <f>E170+(E121-E171)*$BA$1</f>
        <v>2326.5519650842061</v>
      </c>
      <c r="F172" s="73"/>
      <c r="G172" s="73">
        <f>G170+(G121-G171)*$BA$1</f>
        <v>2130.1930727477084</v>
      </c>
      <c r="H172" s="73">
        <f>H170+(H121-H171)*$BA$1</f>
        <v>2180.6377005253526</v>
      </c>
      <c r="I172" s="73"/>
      <c r="J172" s="73">
        <f>J170+(J121-J171)*$BA$1</f>
        <v>2155.6125236882403</v>
      </c>
      <c r="K172" s="73">
        <f>K170+(K121-K171)*$BA$1</f>
        <v>2249.57372305628</v>
      </c>
      <c r="L172" s="73"/>
      <c r="M172" s="73">
        <f>M170+(M121-M171)*$BA$1</f>
        <v>2141.7093316169271</v>
      </c>
      <c r="N172" s="73">
        <f>N170+(N121-N171)*$BA$1</f>
        <v>2313.8508648722955</v>
      </c>
      <c r="O172" s="73"/>
      <c r="P172" s="73">
        <f>P170+(P121-P171)*$BA$1</f>
        <v>2193.3388007372632</v>
      </c>
      <c r="Q172" s="73">
        <f>Q170+(Q121-Q171)*$BA$1</f>
        <v>2174.989179849676</v>
      </c>
      <c r="R172" s="73"/>
      <c r="S172" s="73">
        <f>S170+(S121-S171)*$BA$1</f>
        <v>2122.3326754554914</v>
      </c>
      <c r="T172" s="73">
        <f>T170+(T121-T171)*$BA$1</f>
        <v>2244.4390560530383</v>
      </c>
      <c r="U172" s="73"/>
      <c r="V172" s="73">
        <f>V170+(V121-V171)*$BA$1</f>
        <v>2198.4734677405049</v>
      </c>
      <c r="W172" s="73">
        <f>W170+(W121-W171)*$BA$1</f>
        <v>2329.8046490947154</v>
      </c>
      <c r="X172" s="73"/>
      <c r="Y172" s="73">
        <f>Y170+(Y121-Y171)*$BA$1</f>
        <v>2106.3788912330715</v>
      </c>
      <c r="Z172" s="73">
        <f>Z170+(Z121-Z171)*$BA$1</f>
        <v>2228.3137729922109</v>
      </c>
      <c r="AA172" s="73"/>
      <c r="AB172" s="73">
        <f>AB170+(AB121-AB171)*$BA$1</f>
        <v>2145.14887459797</v>
      </c>
      <c r="AC172" s="73">
        <f>AC170+(AC121-AC171)*$BA$1</f>
        <v>2290.0966754055007</v>
      </c>
      <c r="AD172" s="73"/>
      <c r="AE172" s="73">
        <f>AE170+(AE121-AE171)*$BA$1</f>
        <v>2284.1470297422529</v>
      </c>
      <c r="AF172" s="74"/>
      <c r="AG172" s="75"/>
      <c r="AH172" s="75"/>
      <c r="AI172" s="75"/>
      <c r="AJ172" s="75"/>
      <c r="AK172" s="75"/>
      <c r="AL172" s="75"/>
      <c r="AM172" s="75"/>
      <c r="AN172" s="76"/>
      <c r="AO172" s="76"/>
      <c r="AP172" s="76"/>
      <c r="AQ172" s="76"/>
      <c r="AW172" s="78"/>
      <c r="BB172" s="78"/>
    </row>
    <row r="173" spans="1:54" s="77" customFormat="1" hidden="1" x14ac:dyDescent="0.2">
      <c r="A173" s="73"/>
      <c r="B173" s="73"/>
      <c r="C173" s="73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N173" s="73"/>
      <c r="O173" s="73"/>
      <c r="P173" s="73"/>
      <c r="Q173" s="73"/>
      <c r="R173" s="73"/>
      <c r="S173" s="73"/>
      <c r="T173" s="73"/>
      <c r="U173" s="73"/>
      <c r="V173" s="73"/>
      <c r="W173" s="73"/>
      <c r="X173" s="73"/>
      <c r="Y173" s="73"/>
      <c r="Z173" s="73"/>
      <c r="AA173" s="73"/>
      <c r="AB173" s="73"/>
      <c r="AC173" s="73"/>
      <c r="AD173" s="73"/>
      <c r="AE173" s="73"/>
      <c r="AF173" s="74"/>
      <c r="AG173" s="75"/>
      <c r="AH173" s="75"/>
      <c r="AI173" s="75"/>
      <c r="AJ173" s="75"/>
      <c r="AK173" s="75"/>
      <c r="AL173" s="75"/>
      <c r="AM173" s="75"/>
      <c r="AN173" s="76"/>
      <c r="AO173" s="76"/>
      <c r="AP173" s="76"/>
      <c r="AQ173" s="76"/>
      <c r="AW173" s="78"/>
      <c r="BB173" s="78"/>
    </row>
    <row r="174" spans="1:54" s="62" customFormat="1" x14ac:dyDescent="0.2">
      <c r="A174" s="703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174" s="703"/>
      <c r="C174" s="703"/>
      <c r="D174" s="703"/>
      <c r="E174" s="703"/>
      <c r="F174" s="703"/>
      <c r="G174" s="703"/>
      <c r="H174" s="703"/>
      <c r="I174" s="703"/>
      <c r="J174" s="703"/>
      <c r="K174" s="703"/>
      <c r="L174" s="703"/>
      <c r="M174" s="703"/>
      <c r="N174" s="703"/>
      <c r="O174" s="703"/>
      <c r="P174" s="703"/>
      <c r="Q174" s="703"/>
      <c r="R174" s="703"/>
      <c r="S174" s="703"/>
      <c r="T174" s="703"/>
      <c r="U174" s="703"/>
      <c r="V174" s="703"/>
      <c r="W174" s="703"/>
      <c r="X174" s="703"/>
      <c r="Y174" s="703"/>
      <c r="Z174" s="703"/>
      <c r="AA174" s="703"/>
      <c r="AB174" s="703"/>
      <c r="AC174" s="703"/>
      <c r="AD174" s="703"/>
      <c r="AE174" s="703"/>
      <c r="AF174" s="703"/>
      <c r="AG174" s="703"/>
      <c r="AH174" s="703"/>
      <c r="AI174" s="703"/>
      <c r="AJ174" s="703"/>
      <c r="AK174" s="703"/>
      <c r="AL174" s="703"/>
      <c r="AM174" s="703"/>
      <c r="AN174" s="681"/>
      <c r="AO174" s="681"/>
      <c r="AP174" s="681"/>
      <c r="AQ174" s="681"/>
      <c r="AW174" s="65"/>
    </row>
    <row r="175" spans="1:54" s="62" customFormat="1" x14ac:dyDescent="0.2">
      <c r="A175" s="704"/>
      <c r="B175" s="704"/>
      <c r="C175" s="704"/>
      <c r="D175" s="704"/>
      <c r="E175" s="704"/>
      <c r="F175" s="704"/>
      <c r="G175" s="704"/>
      <c r="H175" s="704"/>
      <c r="I175" s="704"/>
      <c r="J175" s="704"/>
      <c r="K175" s="704"/>
      <c r="L175" s="704"/>
      <c r="M175" s="704"/>
      <c r="N175" s="704"/>
      <c r="O175" s="704"/>
      <c r="P175" s="704"/>
      <c r="Q175" s="704"/>
      <c r="R175" s="704"/>
      <c r="S175" s="704"/>
      <c r="T175" s="704"/>
      <c r="U175" s="704"/>
      <c r="V175" s="704"/>
      <c r="W175" s="704"/>
      <c r="X175" s="704"/>
      <c r="Y175" s="704"/>
      <c r="Z175" s="704"/>
      <c r="AA175" s="704"/>
      <c r="AB175" s="704"/>
      <c r="AC175" s="704"/>
      <c r="AD175" s="704"/>
      <c r="AE175" s="704"/>
      <c r="AF175" s="704"/>
      <c r="AG175" s="704"/>
      <c r="AH175" s="704"/>
      <c r="AI175" s="704"/>
      <c r="AJ175" s="704"/>
      <c r="AK175" s="704"/>
      <c r="AL175" s="704"/>
      <c r="AM175" s="704"/>
      <c r="AN175" s="704"/>
      <c r="AO175" s="704"/>
      <c r="AP175" s="704"/>
      <c r="AQ175" s="704"/>
      <c r="AW175" s="65"/>
    </row>
    <row r="176" spans="1:54" ht="21" thickBot="1" x14ac:dyDescent="0.35">
      <c r="A176" s="693" t="s">
        <v>118</v>
      </c>
      <c r="B176" s="693"/>
      <c r="C176" s="693"/>
      <c r="D176" s="693"/>
      <c r="E176" s="693"/>
      <c r="F176" s="693"/>
      <c r="G176" s="693"/>
      <c r="H176" s="693"/>
      <c r="I176" s="693"/>
      <c r="J176" s="693"/>
      <c r="K176" s="693"/>
      <c r="L176" s="693"/>
      <c r="M176" s="693"/>
      <c r="N176" s="693"/>
      <c r="O176" s="693"/>
      <c r="P176" s="693"/>
      <c r="Q176" s="693"/>
      <c r="R176" s="693"/>
      <c r="S176" s="693"/>
      <c r="T176" s="693"/>
      <c r="U176" s="693"/>
      <c r="V176" s="693"/>
      <c r="W176" s="693"/>
      <c r="X176" s="693"/>
      <c r="Y176" s="693"/>
      <c r="Z176" s="693"/>
      <c r="AA176" s="693"/>
      <c r="AB176" s="693"/>
      <c r="AC176" s="693"/>
      <c r="AD176" s="693"/>
      <c r="AE176" s="693"/>
      <c r="AF176" s="693"/>
      <c r="AG176" s="693"/>
      <c r="AH176" s="693"/>
      <c r="AI176" s="693"/>
      <c r="AJ176" s="693"/>
      <c r="AK176" s="693"/>
      <c r="AL176" s="693"/>
      <c r="AM176" s="693"/>
      <c r="AN176" s="693"/>
      <c r="AO176" s="693"/>
      <c r="AP176" s="693"/>
      <c r="AQ176" s="693"/>
    </row>
    <row r="177" spans="1:53" ht="13.5" thickBot="1" x14ac:dyDescent="0.25">
      <c r="A177" s="694" t="s">
        <v>119</v>
      </c>
      <c r="B177" s="696" t="s">
        <v>120</v>
      </c>
      <c r="C177" s="697"/>
      <c r="D177" s="697"/>
      <c r="E177" s="697"/>
      <c r="F177" s="697"/>
      <c r="G177" s="697"/>
      <c r="H177" s="697"/>
      <c r="I177" s="697"/>
      <c r="J177" s="697"/>
      <c r="K177" s="698"/>
      <c r="L177" s="696" t="s">
        <v>121</v>
      </c>
      <c r="M177" s="697"/>
      <c r="N177" s="697"/>
      <c r="O177" s="697"/>
      <c r="P177" s="697"/>
      <c r="Q177" s="697"/>
      <c r="R177" s="697"/>
      <c r="S177" s="697"/>
      <c r="T177" s="697"/>
      <c r="U177" s="698"/>
      <c r="V177" s="696" t="s">
        <v>122</v>
      </c>
      <c r="W177" s="697"/>
      <c r="X177" s="697"/>
      <c r="Y177" s="697"/>
      <c r="Z177" s="697"/>
      <c r="AA177" s="697"/>
      <c r="AB177" s="697"/>
      <c r="AC177" s="697"/>
      <c r="AD177" s="697"/>
      <c r="AE177" s="698"/>
      <c r="AF177" s="696" t="s">
        <v>123</v>
      </c>
      <c r="AG177" s="697"/>
      <c r="AH177" s="697"/>
      <c r="AI177" s="697"/>
      <c r="AJ177" s="697"/>
      <c r="AK177" s="697"/>
      <c r="AL177" s="697"/>
      <c r="AM177" s="697"/>
      <c r="AN177" s="697"/>
      <c r="AO177" s="698"/>
    </row>
    <row r="178" spans="1:53" ht="13.5" thickBot="1" x14ac:dyDescent="0.25">
      <c r="A178" s="695"/>
      <c r="B178" s="690" t="s">
        <v>10</v>
      </c>
      <c r="C178" s="691"/>
      <c r="D178" s="691"/>
      <c r="E178" s="691"/>
      <c r="F178" s="691"/>
      <c r="G178" s="692"/>
      <c r="H178" s="690" t="s">
        <v>124</v>
      </c>
      <c r="I178" s="691"/>
      <c r="J178" s="691"/>
      <c r="K178" s="692"/>
      <c r="L178" s="690" t="s">
        <v>10</v>
      </c>
      <c r="M178" s="691"/>
      <c r="N178" s="691"/>
      <c r="O178" s="691"/>
      <c r="P178" s="691"/>
      <c r="Q178" s="692"/>
      <c r="R178" s="690" t="s">
        <v>124</v>
      </c>
      <c r="S178" s="691"/>
      <c r="T178" s="691"/>
      <c r="U178" s="692"/>
      <c r="V178" s="690" t="s">
        <v>10</v>
      </c>
      <c r="W178" s="691"/>
      <c r="X178" s="691"/>
      <c r="Y178" s="691"/>
      <c r="Z178" s="691"/>
      <c r="AA178" s="692"/>
      <c r="AB178" s="690" t="s">
        <v>124</v>
      </c>
      <c r="AC178" s="691"/>
      <c r="AD178" s="691"/>
      <c r="AE178" s="692"/>
      <c r="AF178" s="690" t="s">
        <v>10</v>
      </c>
      <c r="AG178" s="691"/>
      <c r="AH178" s="691"/>
      <c r="AI178" s="691"/>
      <c r="AJ178" s="691"/>
      <c r="AK178" s="692"/>
      <c r="AL178" s="690" t="s">
        <v>124</v>
      </c>
      <c r="AM178" s="691"/>
      <c r="AN178" s="691"/>
      <c r="AO178" s="692"/>
    </row>
    <row r="179" spans="1:53" x14ac:dyDescent="0.2">
      <c r="A179" s="81" t="s">
        <v>125</v>
      </c>
      <c r="B179" s="682" t="str">
        <f>IF($AF$8=1,$E$8,IF($AF$10=1,$E$10,IF($AF$12=1,$E$12,IF($AF$14=1,$E$14,IF($AF$16=1,$E$16,"1st Place "&amp;$A179)))))</f>
        <v>Sumter VBC 16 Heath</v>
      </c>
      <c r="C179" s="683"/>
      <c r="D179" s="683"/>
      <c r="E179" s="683"/>
      <c r="F179" s="683"/>
      <c r="G179" s="683"/>
      <c r="H179" s="684" t="str">
        <f>IF($AF$8=1,$E$9,IF($AF$10=1,$E$11,IF($AF$12=1,$E$13,IF($AF$14=1,$E$15,IF($AF$16=1,$E$17,"1st Place "&amp;$A179)))))</f>
        <v>fj6sumtr1pm</v>
      </c>
      <c r="I179" s="684"/>
      <c r="J179" s="684"/>
      <c r="K179" s="685"/>
      <c r="L179" s="682" t="str">
        <f>IF($AF$8=2,$E$8,IF($AF$10=2,$E$10,IF($AF$12=2,$E$12,IF($AF$14=2,$E$14,IF($AF$16=2,$E$16,"2nd Place "&amp;$A179)))))</f>
        <v>CSRA Heat 16 Red</v>
      </c>
      <c r="M179" s="683"/>
      <c r="N179" s="683"/>
      <c r="O179" s="683"/>
      <c r="P179" s="683"/>
      <c r="Q179" s="683"/>
      <c r="R179" s="684" t="str">
        <f>IF($AF$8=2,$E$9,IF($AF$10=2,$E$11,IF($AF$12=2,$E$13,IF($AF$14=2,$E$15,IF($AF$16=2,$E$17,"2nd Place "&amp;$A179)))))</f>
        <v>fj6csrah3pm</v>
      </c>
      <c r="S179" s="684"/>
      <c r="T179" s="684"/>
      <c r="U179" s="685"/>
      <c r="V179" s="682" t="str">
        <f>IF($AF$8=3,$E$8,IF($AF$10=3,$E$10,IF($AF$12=3,$E$12,IF($AF$14=3,$E$14,IF($AF$16=3,$E$16,"3rd Place "&amp;$A179)))))</f>
        <v>Beaufort16 Club</v>
      </c>
      <c r="W179" s="683"/>
      <c r="X179" s="683"/>
      <c r="Y179" s="683"/>
      <c r="Z179" s="683"/>
      <c r="AA179" s="683"/>
      <c r="AB179" s="684" t="str">
        <f>IF($AF$8=3,$E$9,IF($AF$10=3,$E$11,IF($AF$12=3,$E$13,IF($AF$14=3,$E$15,IF($AF$16=3,$E$17,"3rd Place "&amp;$A179)))))</f>
        <v>fj6beauf1pm</v>
      </c>
      <c r="AC179" s="684"/>
      <c r="AD179" s="684"/>
      <c r="AE179" s="685"/>
      <c r="AF179" s="682" t="str">
        <f>IF($AF$8=4,$E$8,IF($AF$10=4,$E$10,IF($AF$12=4,$E$12,IF($AF$14=4,$E$14,IF($AF$16=4,$E$16,"4th Place "&amp;$A179)))))</f>
        <v>SC Midlands 16 Garnet</v>
      </c>
      <c r="AG179" s="683"/>
      <c r="AH179" s="683"/>
      <c r="AI179" s="683"/>
      <c r="AJ179" s="683"/>
      <c r="AK179" s="683"/>
      <c r="AL179" s="684" t="str">
        <f>IF($AF$8=4,$E$9,IF($AF$10=4,$E$11,IF($AF$12=4,$E$13,IF($AF$14=4,$E$15,IF($AF$16=4,$E$17,"4th Place "&amp;$A179)))))</f>
        <v>fj6scmid4pm</v>
      </c>
      <c r="AM179" s="684"/>
      <c r="AN179" s="684"/>
      <c r="AO179" s="685"/>
    </row>
    <row r="180" spans="1:53" ht="13.5" thickBot="1" x14ac:dyDescent="0.25">
      <c r="A180" s="82" t="s">
        <v>126</v>
      </c>
      <c r="B180" s="686" t="str">
        <f>IF($AF$93=1,$E$93,IF($AF$95=1,$E$95,IF($AF$97=1,$E$97,IF($AF$99=1,$E$99,IF($AF$101=1,$E$101,"1st Place "&amp;$A180)))))</f>
        <v>Agema16U</v>
      </c>
      <c r="C180" s="687"/>
      <c r="D180" s="687"/>
      <c r="E180" s="687"/>
      <c r="F180" s="687"/>
      <c r="G180" s="687"/>
      <c r="H180" s="688" t="str">
        <f>IF($AF$93=1,$E$94,IF($AF$95=1,$E$96,IF($AF$97=1,$E$98,IF($AF$99=1,$E$100,IF($AF$101=1,$E$102,"1st Place "&amp;$A180)))))</f>
        <v>fj6agema1pm</v>
      </c>
      <c r="I180" s="688"/>
      <c r="J180" s="688"/>
      <c r="K180" s="689"/>
      <c r="L180" s="686" t="str">
        <f>IF($AF$93=2,$E$93,IF($AF$95=2,$E$95,IF($AF$97=2,$E$97,IF($AF$99=2,$E$99,IF($AF$101=2,$E$101,"2nd Place "&amp;$A180)))))</f>
        <v>CSRA Heat 16 Black</v>
      </c>
      <c r="M180" s="687"/>
      <c r="N180" s="687"/>
      <c r="O180" s="687"/>
      <c r="P180" s="687"/>
      <c r="Q180" s="687"/>
      <c r="R180" s="688" t="str">
        <f>IF($AF$93=2,$E$94,IF($AF$95=2,$E$96,IF($AF$97=2,$E$98,IF($AF$99=2,$E$100,IF($AF$101=2,$E$102,"2nd Place "&amp;$A180)))))</f>
        <v>fj6csrah2pm</v>
      </c>
      <c r="S180" s="688"/>
      <c r="T180" s="688"/>
      <c r="U180" s="689"/>
      <c r="V180" s="686" t="str">
        <f>IF($AF$93=3,$E$93,IF($AF$95=3,$E$95,IF($AF$97=3,$E$97,IF($AF$99=3,$E$99,IF($AF$101=3,$E$101,"3rd Place "&amp;$A180)))))</f>
        <v>SC Midlands 16 Black</v>
      </c>
      <c r="W180" s="687"/>
      <c r="X180" s="687"/>
      <c r="Y180" s="687"/>
      <c r="Z180" s="687"/>
      <c r="AA180" s="687"/>
      <c r="AB180" s="688" t="str">
        <f>IF($AF$93=3,$E$94,IF($AF$95=3,$E$96,IF($AF$97=3,$E$98,IF($AF$99=3,$E$100,IF($AF$101=3,$E$102,"3rd Place "&amp;$A180)))))</f>
        <v>fj6scmid3pm</v>
      </c>
      <c r="AC180" s="688"/>
      <c r="AD180" s="688"/>
      <c r="AE180" s="689"/>
      <c r="AF180" s="686" t="str">
        <f>IF($AF$93=4,$E$93,IF($AF$95=4,$E$95,IF($AF$97=4,$E$97,IF($AF$99=4,$E$99,IF($AF$101=4,$E$101,"4th Place "&amp;$A180)))))</f>
        <v>Vision 16 Regional</v>
      </c>
      <c r="AG180" s="687"/>
      <c r="AH180" s="687"/>
      <c r="AI180" s="687"/>
      <c r="AJ180" s="687"/>
      <c r="AK180" s="687"/>
      <c r="AL180" s="688" t="str">
        <f>IF($AF$93=4,$E$94,IF($AF$95=4,$E$96,IF($AF$97=4,$E$98,IF($AF$99=4,$E$100,IF($AF$101=4,$E$102,"4th Place "&amp;$A180)))))</f>
        <v>fj6vison2pm</v>
      </c>
      <c r="AM180" s="688"/>
      <c r="AN180" s="688"/>
      <c r="AO180" s="689"/>
    </row>
    <row r="181" spans="1:53" s="3" customFormat="1" x14ac:dyDescent="0.2">
      <c r="A181" s="83"/>
      <c r="B181" s="84"/>
      <c r="C181" s="84"/>
      <c r="D181" s="84"/>
      <c r="E181" s="84"/>
      <c r="F181" s="84"/>
      <c r="G181" s="84"/>
      <c r="H181" s="84"/>
      <c r="I181" s="84"/>
      <c r="J181" s="84"/>
      <c r="K181" s="84"/>
      <c r="L181" s="84"/>
      <c r="M181" s="84"/>
      <c r="N181" s="84"/>
      <c r="O181" s="84"/>
      <c r="P181" s="84"/>
      <c r="Q181" s="84"/>
      <c r="R181" s="84"/>
      <c r="S181" s="84"/>
      <c r="T181" s="84"/>
      <c r="U181" s="84"/>
      <c r="V181" s="84"/>
      <c r="W181" s="84"/>
      <c r="X181" s="84"/>
      <c r="Y181" s="84"/>
      <c r="Z181" s="84"/>
      <c r="AA181" s="84"/>
      <c r="AB181" s="84"/>
      <c r="AC181" s="84"/>
      <c r="AD181" s="84"/>
      <c r="AE181" s="84"/>
      <c r="AF181" s="84"/>
      <c r="AG181" s="84"/>
      <c r="AH181" s="84"/>
      <c r="AI181" s="84"/>
      <c r="AJ181" s="84"/>
      <c r="AK181" s="84"/>
      <c r="AL181" s="84"/>
      <c r="AM181" s="84"/>
      <c r="AN181" s="84"/>
      <c r="AO181" s="84"/>
      <c r="AW181" s="129"/>
      <c r="AX181" s="4"/>
      <c r="AY181" s="4"/>
      <c r="AZ181" s="4"/>
      <c r="BA181" s="4"/>
    </row>
    <row r="182" spans="1:53" ht="15.75" x14ac:dyDescent="0.25">
      <c r="A182" s="676" t="s">
        <v>127</v>
      </c>
      <c r="B182" s="676"/>
      <c r="C182" s="676"/>
      <c r="D182" s="676"/>
      <c r="E182" s="676"/>
      <c r="F182" s="676"/>
      <c r="G182" s="676"/>
      <c r="H182" s="676"/>
      <c r="I182" s="676"/>
      <c r="J182" s="676"/>
      <c r="K182" s="676"/>
      <c r="L182" s="676"/>
      <c r="M182" s="676"/>
      <c r="N182" s="676"/>
      <c r="O182" s="676"/>
      <c r="P182" s="676"/>
      <c r="Q182" s="676"/>
      <c r="R182" s="676"/>
      <c r="S182" s="676"/>
      <c r="T182" s="676"/>
      <c r="U182" s="676"/>
      <c r="V182" s="676"/>
      <c r="W182" s="676"/>
      <c r="X182" s="676"/>
      <c r="Y182" s="676"/>
      <c r="Z182" s="676"/>
      <c r="AA182" s="676"/>
      <c r="AB182" s="676"/>
      <c r="AC182" s="676"/>
      <c r="AD182" s="676"/>
      <c r="AE182" s="676"/>
      <c r="AF182" s="676"/>
      <c r="AG182" s="676"/>
      <c r="AH182" s="676"/>
      <c r="AI182" s="676"/>
      <c r="AJ182" s="676"/>
      <c r="AK182" s="676"/>
      <c r="AL182" s="676"/>
      <c r="AM182" s="676"/>
      <c r="AN182" s="676"/>
      <c r="AO182" s="676"/>
      <c r="AP182" s="676"/>
      <c r="AQ182" s="676"/>
      <c r="AT182" s="85"/>
      <c r="AU182" s="85"/>
      <c r="AV182" s="85"/>
    </row>
    <row r="183" spans="1:53" ht="35.25" customHeight="1" x14ac:dyDescent="0.25">
      <c r="A183" s="677" t="s">
        <v>128</v>
      </c>
      <c r="B183" s="678"/>
      <c r="C183" s="678"/>
      <c r="D183" s="678"/>
      <c r="E183" s="678"/>
      <c r="F183" s="678"/>
      <c r="G183" s="678"/>
      <c r="H183" s="678"/>
      <c r="I183" s="678"/>
      <c r="J183" s="678"/>
      <c r="K183" s="678"/>
      <c r="L183" s="678"/>
      <c r="M183" s="678"/>
      <c r="N183" s="678"/>
      <c r="O183" s="678"/>
      <c r="P183" s="678"/>
      <c r="Q183" s="678"/>
      <c r="R183" s="678"/>
      <c r="S183" s="678"/>
      <c r="T183" s="678"/>
      <c r="U183" s="678"/>
      <c r="V183" s="678"/>
      <c r="W183" s="678"/>
      <c r="X183" s="678"/>
      <c r="Y183" s="678"/>
      <c r="Z183" s="678"/>
      <c r="AA183" s="678"/>
      <c r="AB183" s="678"/>
      <c r="AC183" s="678"/>
      <c r="AD183" s="678"/>
      <c r="AE183" s="678"/>
      <c r="AF183" s="678"/>
      <c r="AG183" s="678"/>
      <c r="AH183" s="678"/>
      <c r="AI183" s="678"/>
      <c r="AJ183" s="678"/>
      <c r="AK183" s="678"/>
      <c r="AL183" s="678"/>
      <c r="AM183" s="678"/>
      <c r="AN183" s="678"/>
      <c r="AO183" s="678"/>
      <c r="AP183" s="678"/>
      <c r="AQ183" s="678"/>
    </row>
    <row r="184" spans="1:53" x14ac:dyDescent="0.2">
      <c r="A184" s="679" t="s">
        <v>129</v>
      </c>
      <c r="B184" s="679"/>
      <c r="C184" s="679"/>
      <c r="D184" s="679"/>
      <c r="E184" s="679"/>
      <c r="F184" s="679"/>
      <c r="G184" s="679"/>
      <c r="H184" s="679"/>
      <c r="I184" s="679"/>
      <c r="J184" s="679"/>
      <c r="K184" s="679"/>
      <c r="L184" s="679"/>
      <c r="M184" s="679"/>
      <c r="N184" s="679"/>
      <c r="O184" s="679"/>
      <c r="P184" s="679"/>
      <c r="Q184" s="679"/>
      <c r="R184" s="679"/>
      <c r="S184" s="679"/>
      <c r="T184" s="679"/>
      <c r="U184" s="679"/>
      <c r="V184" s="679"/>
      <c r="W184" s="679"/>
      <c r="X184" s="679"/>
      <c r="Y184" s="679"/>
      <c r="Z184" s="679"/>
      <c r="AA184" s="679"/>
      <c r="AB184" s="679"/>
      <c r="AC184" s="679"/>
      <c r="AD184" s="679"/>
      <c r="AE184" s="679"/>
      <c r="AF184" s="679"/>
      <c r="AG184" s="679"/>
      <c r="AH184" s="679"/>
      <c r="AI184" s="679"/>
      <c r="AJ184" s="679"/>
      <c r="AK184" s="679"/>
      <c r="AL184" s="679"/>
      <c r="AM184" s="679"/>
      <c r="AN184" s="679"/>
      <c r="AO184" s="679"/>
      <c r="AP184" s="679"/>
      <c r="AQ184" s="679"/>
    </row>
    <row r="185" spans="1:53" x14ac:dyDescent="0.2">
      <c r="A185" s="679"/>
      <c r="B185" s="679"/>
      <c r="C185" s="679"/>
      <c r="D185" s="679"/>
      <c r="E185" s="679"/>
      <c r="F185" s="679"/>
      <c r="G185" s="679"/>
      <c r="H185" s="679"/>
      <c r="I185" s="679"/>
      <c r="J185" s="679"/>
      <c r="K185" s="679"/>
      <c r="L185" s="679"/>
      <c r="M185" s="679"/>
      <c r="N185" s="679"/>
      <c r="O185" s="679"/>
      <c r="P185" s="679"/>
      <c r="Q185" s="679"/>
      <c r="R185" s="679"/>
      <c r="S185" s="679"/>
      <c r="T185" s="679"/>
      <c r="U185" s="679"/>
      <c r="V185" s="679"/>
      <c r="W185" s="679"/>
      <c r="X185" s="679"/>
      <c r="Y185" s="679"/>
      <c r="Z185" s="679"/>
      <c r="AA185" s="679"/>
      <c r="AB185" s="679"/>
      <c r="AC185" s="679"/>
      <c r="AD185" s="679"/>
      <c r="AE185" s="679"/>
      <c r="AF185" s="679"/>
      <c r="AG185" s="679"/>
      <c r="AH185" s="679"/>
      <c r="AI185" s="679"/>
      <c r="AJ185" s="679"/>
      <c r="AK185" s="679"/>
      <c r="AL185" s="679"/>
      <c r="AM185" s="679"/>
      <c r="AN185" s="679"/>
      <c r="AO185" s="679"/>
      <c r="AP185" s="679"/>
      <c r="AQ185" s="679"/>
    </row>
    <row r="186" spans="1:53" x14ac:dyDescent="0.2">
      <c r="A186" s="680" t="s">
        <v>130</v>
      </c>
      <c r="B186" s="680"/>
      <c r="C186" s="680"/>
      <c r="D186" s="680"/>
      <c r="E186" s="680"/>
      <c r="F186" s="680"/>
      <c r="G186" s="680"/>
      <c r="H186" s="680"/>
      <c r="I186" s="680"/>
      <c r="J186" s="680"/>
      <c r="K186" s="680"/>
      <c r="L186" s="86"/>
    </row>
    <row r="187" spans="1:53" x14ac:dyDescent="0.2">
      <c r="C187" s="3"/>
      <c r="D187" s="3"/>
      <c r="E187" s="3"/>
      <c r="L187" s="86"/>
    </row>
    <row r="188" spans="1:53" x14ac:dyDescent="0.2">
      <c r="A188" s="681" t="s">
        <v>131</v>
      </c>
      <c r="B188" s="681"/>
      <c r="C188" s="681"/>
      <c r="D188" s="681"/>
      <c r="E188" s="681"/>
      <c r="F188" s="681"/>
      <c r="G188" s="681"/>
      <c r="H188" s="681"/>
      <c r="I188" s="681"/>
      <c r="J188" s="681"/>
      <c r="K188" s="681"/>
      <c r="L188" s="681"/>
      <c r="M188" s="681"/>
      <c r="N188" s="681"/>
      <c r="O188" s="681"/>
      <c r="P188" s="129"/>
      <c r="R188" s="681" t="s">
        <v>132</v>
      </c>
      <c r="S188" s="681"/>
      <c r="T188" s="681"/>
      <c r="U188" s="681"/>
      <c r="V188" s="681"/>
      <c r="W188" s="681"/>
      <c r="X188" s="681"/>
      <c r="Y188" s="681"/>
      <c r="Z188" s="681"/>
      <c r="AA188" s="681"/>
      <c r="AB188" s="681"/>
      <c r="AC188" s="681"/>
      <c r="AD188" s="681"/>
      <c r="AE188" s="681"/>
      <c r="AF188" s="681"/>
    </row>
    <row r="190" spans="1:53" ht="13.5" thickBot="1" x14ac:dyDescent="0.25">
      <c r="A190" s="649" t="str">
        <f>IF(B218=1,B210,IF(B218=2,B211,IF(B218=3,B212,IF(B218=4,B213,IF(OR(B218="B",B218="b"),"BYE","invalid")))))</f>
        <v>Sumter VBC 16 Heath</v>
      </c>
      <c r="B190" s="649"/>
      <c r="C190" s="649"/>
      <c r="D190" s="649"/>
      <c r="E190" s="649"/>
      <c r="F190" s="87"/>
      <c r="G190" s="87"/>
      <c r="H190" s="87"/>
      <c r="I190" s="87"/>
      <c r="J190" s="87"/>
      <c r="K190" s="87"/>
      <c r="L190" s="87"/>
      <c r="M190" s="87"/>
      <c r="N190" s="87"/>
      <c r="S190" s="130"/>
      <c r="T190" s="130"/>
      <c r="U190" s="649" t="str">
        <f>IF(W218=1,X210,IF(W218=2,X211,IF(W218=3,X212,IF(W218=4,X213,IF(OR(W218="B",W218="b"),"BYE","invalid")))))</f>
        <v>Beaufort16 Club</v>
      </c>
      <c r="V190" s="649"/>
      <c r="W190" s="649"/>
      <c r="X190" s="649"/>
      <c r="Y190" s="649"/>
      <c r="Z190" s="649"/>
      <c r="AA190" s="649"/>
      <c r="AB190" s="87"/>
      <c r="AC190" s="87"/>
      <c r="AD190" s="87"/>
      <c r="AE190" s="87"/>
    </row>
    <row r="191" spans="1:53" x14ac:dyDescent="0.2">
      <c r="A191" s="651" t="s">
        <v>133</v>
      </c>
      <c r="B191" s="651"/>
      <c r="C191" s="651"/>
      <c r="D191" s="651"/>
      <c r="E191" s="651"/>
      <c r="F191" s="89"/>
      <c r="G191" s="87"/>
      <c r="H191" s="87"/>
      <c r="I191" s="87"/>
      <c r="J191" s="87"/>
      <c r="K191" s="87"/>
      <c r="L191" s="87"/>
      <c r="M191" s="87"/>
      <c r="N191" s="87"/>
      <c r="S191" s="90"/>
      <c r="T191" s="90"/>
      <c r="U191" s="652" t="s">
        <v>134</v>
      </c>
      <c r="V191" s="652"/>
      <c r="W191" s="652"/>
      <c r="X191" s="652"/>
      <c r="Y191" s="652"/>
      <c r="Z191" s="652"/>
      <c r="AA191" s="665"/>
      <c r="AB191" s="87"/>
      <c r="AC191" s="87"/>
      <c r="AD191" s="87"/>
      <c r="AE191" s="87"/>
    </row>
    <row r="192" spans="1:53" x14ac:dyDescent="0.2">
      <c r="A192" s="87"/>
      <c r="B192" s="87"/>
      <c r="C192" s="87"/>
      <c r="D192" s="87"/>
      <c r="E192" s="87"/>
      <c r="F192" s="89"/>
      <c r="G192" s="87"/>
      <c r="H192" s="87"/>
      <c r="I192" s="87"/>
      <c r="J192" s="87"/>
      <c r="K192" s="87"/>
      <c r="L192" s="87"/>
      <c r="M192" s="87"/>
      <c r="N192" s="87"/>
      <c r="R192" s="87"/>
      <c r="S192" s="87"/>
      <c r="T192" s="87"/>
      <c r="U192" s="87"/>
      <c r="V192" s="87"/>
      <c r="W192" s="87"/>
      <c r="X192" s="87"/>
      <c r="Y192" s="87"/>
      <c r="Z192" s="87"/>
      <c r="AA192" s="91"/>
      <c r="AB192" s="87"/>
      <c r="AC192" s="87"/>
      <c r="AD192" s="87"/>
      <c r="AE192" s="87"/>
    </row>
    <row r="193" spans="1:53" ht="13.5" thickBot="1" x14ac:dyDescent="0.25">
      <c r="A193" s="652" t="str">
        <f>B212&amp;" ref"</f>
        <v>CSRA Heat 16 Red ref</v>
      </c>
      <c r="B193" s="652"/>
      <c r="C193" s="652"/>
      <c r="D193" s="652"/>
      <c r="E193" s="665"/>
      <c r="F193" s="661" t="str">
        <f>IF(H218=1,B210,IF(H218=2,B211,IF(H218=3,B212,IF(H218=4,B213,"Winner Match 1"))))</f>
        <v>Sumter VBC 16 Heath</v>
      </c>
      <c r="G193" s="662"/>
      <c r="H193" s="662"/>
      <c r="I193" s="662"/>
      <c r="J193" s="662"/>
      <c r="K193" s="662"/>
      <c r="L193" s="662"/>
      <c r="M193" s="662"/>
      <c r="N193" s="87"/>
      <c r="P193" s="92"/>
      <c r="Q193" s="92"/>
      <c r="R193" s="92"/>
      <c r="S193" s="92"/>
      <c r="T193" s="652" t="str">
        <f>X212&amp;" ref"</f>
        <v>SC Midlands 16 Garnet ref</v>
      </c>
      <c r="U193" s="652"/>
      <c r="V193" s="652"/>
      <c r="W193" s="652"/>
      <c r="X193" s="652"/>
      <c r="Y193" s="652"/>
      <c r="Z193" s="652"/>
      <c r="AA193" s="665"/>
      <c r="AB193" s="661" t="str">
        <f>IF(AC218=1,X210,IF(AC218=2,X211,IF(AC218=3,X212,IF(AC218=4,X213,"Winner Match 1"))))</f>
        <v>Beaufort16 Club</v>
      </c>
      <c r="AC193" s="662"/>
      <c r="AD193" s="662"/>
      <c r="AE193" s="662"/>
      <c r="AF193" s="662"/>
      <c r="AG193" s="662"/>
      <c r="AH193" s="662"/>
    </row>
    <row r="194" spans="1:53" x14ac:dyDescent="0.2">
      <c r="A194" s="659" t="s">
        <v>135</v>
      </c>
      <c r="B194" s="659"/>
      <c r="C194" s="659"/>
      <c r="D194" s="659"/>
      <c r="E194" s="659"/>
      <c r="F194" s="672"/>
      <c r="G194" s="673"/>
      <c r="H194" s="673"/>
      <c r="I194" s="674"/>
      <c r="J194" s="657"/>
      <c r="K194" s="658"/>
      <c r="L194" s="658"/>
      <c r="M194" s="658"/>
      <c r="N194" s="87"/>
      <c r="O194" s="87"/>
      <c r="P194" s="93"/>
      <c r="Q194" s="6"/>
      <c r="R194" s="94"/>
      <c r="S194" s="94"/>
      <c r="T194" s="675" t="s">
        <v>136</v>
      </c>
      <c r="U194" s="675"/>
      <c r="V194" s="675"/>
      <c r="W194" s="675"/>
      <c r="X194" s="675"/>
      <c r="Y194" s="675"/>
      <c r="Z194" s="675"/>
      <c r="AA194" s="91"/>
      <c r="AB194" s="672"/>
      <c r="AC194" s="673"/>
      <c r="AD194" s="673"/>
      <c r="AE194" s="674"/>
      <c r="AF194" s="657"/>
      <c r="AG194" s="658"/>
      <c r="AH194" s="658"/>
    </row>
    <row r="195" spans="1:53" ht="13.5" thickBot="1" x14ac:dyDescent="0.25">
      <c r="A195" s="649" t="str">
        <f>IF(D218=1,B210,IF(D218=2,B211,IF(D218=3,B212,IF(D218=4,B213,IF(OR(D218="B",D218="b"),"BYE","invalid")))))</f>
        <v>CSRA Heat 16 Black</v>
      </c>
      <c r="B195" s="649"/>
      <c r="C195" s="649"/>
      <c r="D195" s="649"/>
      <c r="E195" s="650"/>
      <c r="F195" s="89"/>
      <c r="G195" s="87"/>
      <c r="H195" s="87"/>
      <c r="I195" s="87"/>
      <c r="J195" s="89"/>
      <c r="K195" s="87"/>
      <c r="L195" s="87"/>
      <c r="M195" s="87"/>
      <c r="N195" s="87"/>
      <c r="O195" s="87"/>
      <c r="P195" s="87"/>
      <c r="T195" s="87"/>
      <c r="U195" s="649" t="str">
        <f>IF(Y218=1,X210,IF(Y218=2,X211,IF(Y218=3,X212,IF(Y218=4,X213,IF(OR(Y218="B",Y218="b"),"BYE","invalid")))))</f>
        <v>Vision 16 Regional</v>
      </c>
      <c r="V195" s="649"/>
      <c r="W195" s="649"/>
      <c r="X195" s="649"/>
      <c r="Y195" s="649"/>
      <c r="Z195" s="649"/>
      <c r="AA195" s="650"/>
      <c r="AB195" s="87"/>
      <c r="AC195" s="87"/>
      <c r="AD195" s="87"/>
      <c r="AE195" s="91"/>
      <c r="AF195" s="87"/>
      <c r="AG195" s="87"/>
    </row>
    <row r="196" spans="1:53" x14ac:dyDescent="0.2">
      <c r="A196" s="651" t="s">
        <v>137</v>
      </c>
      <c r="B196" s="651"/>
      <c r="C196" s="651"/>
      <c r="D196" s="651"/>
      <c r="E196" s="651"/>
      <c r="F196" s="87"/>
      <c r="G196" s="87"/>
      <c r="H196" s="87"/>
      <c r="I196" s="87"/>
      <c r="J196" s="89"/>
      <c r="K196" s="87"/>
      <c r="L196" s="87"/>
      <c r="M196" s="87"/>
      <c r="N196" s="87"/>
      <c r="O196" s="87"/>
      <c r="P196" s="87"/>
      <c r="U196" s="670" t="s">
        <v>138</v>
      </c>
      <c r="V196" s="670"/>
      <c r="W196" s="670"/>
      <c r="X196" s="670"/>
      <c r="Y196" s="670"/>
      <c r="Z196" s="670"/>
      <c r="AA196" s="670"/>
      <c r="AB196" s="87"/>
      <c r="AC196" s="87"/>
      <c r="AD196" s="87"/>
      <c r="AE196" s="91"/>
      <c r="AF196" s="87"/>
      <c r="AG196" s="87"/>
      <c r="AQ196" s="95"/>
      <c r="AR196" s="95"/>
      <c r="AS196" s="95"/>
    </row>
    <row r="197" spans="1:53" x14ac:dyDescent="0.2">
      <c r="A197" s="87"/>
      <c r="B197" s="87"/>
      <c r="C197" s="87"/>
      <c r="D197" s="87"/>
      <c r="E197" s="87"/>
      <c r="F197" s="664" t="s">
        <v>139</v>
      </c>
      <c r="G197" s="664"/>
      <c r="H197" s="664"/>
      <c r="I197" s="671"/>
      <c r="J197" s="89"/>
      <c r="K197" s="87"/>
      <c r="L197" s="87"/>
      <c r="M197" s="87"/>
      <c r="N197" s="87"/>
      <c r="O197" s="87"/>
      <c r="P197" s="87"/>
      <c r="R197" s="87"/>
      <c r="S197" s="87"/>
      <c r="T197" s="87"/>
      <c r="U197" s="87"/>
      <c r="V197" s="87"/>
      <c r="W197" s="92"/>
      <c r="X197" s="92"/>
      <c r="Y197" s="92"/>
      <c r="AA197" s="92"/>
      <c r="AB197" s="664" t="s">
        <v>139</v>
      </c>
      <c r="AC197" s="664"/>
      <c r="AD197" s="664"/>
      <c r="AE197" s="671"/>
      <c r="AF197" s="87"/>
      <c r="AG197" s="87"/>
    </row>
    <row r="198" spans="1:53" ht="13.5" thickBot="1" x14ac:dyDescent="0.25">
      <c r="A198" s="87"/>
      <c r="B198" s="87"/>
      <c r="C198" s="87"/>
      <c r="D198" s="87"/>
      <c r="E198" s="87"/>
      <c r="F198" s="87"/>
      <c r="G198" s="87"/>
      <c r="H198" s="87"/>
      <c r="I198" s="87"/>
      <c r="J198" s="666" t="str">
        <f>IF(K223=1,B210,IF(K223=2,B211,IF(K223=3,B212,IF(K223=4,B213,"Division Winner"))))</f>
        <v>Sumter VBC 16 Heath</v>
      </c>
      <c r="K198" s="667"/>
      <c r="L198" s="667"/>
      <c r="M198" s="667"/>
      <c r="N198" s="667"/>
      <c r="O198" s="667"/>
      <c r="P198" s="667"/>
      <c r="Q198" s="130"/>
      <c r="R198" s="87"/>
      <c r="S198" s="87"/>
      <c r="T198" s="87"/>
      <c r="U198" s="87"/>
      <c r="V198" s="87"/>
      <c r="W198" s="87"/>
      <c r="X198" s="87"/>
      <c r="Y198" s="87"/>
      <c r="Z198" s="87"/>
      <c r="AA198" s="97"/>
      <c r="AB198" s="97"/>
      <c r="AC198" s="97"/>
      <c r="AD198" s="97"/>
      <c r="AE198" s="98"/>
      <c r="AF198" s="667" t="str">
        <f>IF(AF223=1,X210,IF(AF223=2,X211,IF(AF223=3,X212,IF(AF223=4,X213,"Division Winner"))))</f>
        <v>Beaufort16 Club</v>
      </c>
      <c r="AG198" s="667"/>
      <c r="AH198" s="667"/>
      <c r="AI198" s="667"/>
      <c r="AJ198" s="667"/>
      <c r="AK198" s="97"/>
    </row>
    <row r="199" spans="1:53" ht="13.5" thickBot="1" x14ac:dyDescent="0.25">
      <c r="A199" s="649" t="str">
        <f>IF(E218=1,B210,IF(E218=2,B211,IF(E218=3,B212,IF(E218=4,B213,IF(OR(E218="B",E218="b"),"BYE","invalid")))))</f>
        <v>Agema16U</v>
      </c>
      <c r="B199" s="649"/>
      <c r="C199" s="649"/>
      <c r="D199" s="649"/>
      <c r="E199" s="649"/>
      <c r="F199" s="659" t="s">
        <v>140</v>
      </c>
      <c r="G199" s="659"/>
      <c r="H199" s="659"/>
      <c r="I199" s="659"/>
      <c r="J199" s="663" t="s">
        <v>141</v>
      </c>
      <c r="K199" s="664"/>
      <c r="L199" s="664"/>
      <c r="M199" s="664"/>
      <c r="N199" s="664"/>
      <c r="O199" s="664"/>
      <c r="P199" s="664"/>
      <c r="R199" s="97"/>
      <c r="S199" s="97"/>
      <c r="T199" s="97"/>
      <c r="U199" s="649" t="str">
        <f>IF(Z218=1,X210,IF(Z218=2,X211,IF(Z218=3,X212,IF(Z218=4,X213,IF(OR(Z218="B",Z218="b"),"BYE","invalid")))))</f>
        <v>SC Midlands 16 Black</v>
      </c>
      <c r="V199" s="649"/>
      <c r="W199" s="649"/>
      <c r="X199" s="649"/>
      <c r="Y199" s="649"/>
      <c r="Z199" s="649"/>
      <c r="AA199" s="649"/>
      <c r="AB199" s="659" t="s">
        <v>142</v>
      </c>
      <c r="AC199" s="659"/>
      <c r="AD199" s="659"/>
      <c r="AE199" s="660"/>
      <c r="AF199" s="668" t="s">
        <v>143</v>
      </c>
      <c r="AG199" s="669"/>
      <c r="AH199" s="669"/>
      <c r="AI199" s="669"/>
      <c r="AJ199" s="669"/>
    </row>
    <row r="200" spans="1:53" x14ac:dyDescent="0.2">
      <c r="A200" s="651" t="s">
        <v>144</v>
      </c>
      <c r="B200" s="651"/>
      <c r="C200" s="651"/>
      <c r="D200" s="651"/>
      <c r="E200" s="651"/>
      <c r="F200" s="89"/>
      <c r="G200" s="87"/>
      <c r="H200" s="87"/>
      <c r="I200" s="87"/>
      <c r="J200" s="663"/>
      <c r="K200" s="664"/>
      <c r="L200" s="664"/>
      <c r="M200" s="664"/>
      <c r="N200" s="664"/>
      <c r="O200" s="664"/>
      <c r="P200" s="664"/>
      <c r="Q200" s="87"/>
      <c r="R200" s="95"/>
      <c r="S200" s="95"/>
      <c r="T200" s="95"/>
      <c r="U200" s="652" t="s">
        <v>145</v>
      </c>
      <c r="V200" s="652"/>
      <c r="W200" s="652"/>
      <c r="X200" s="652"/>
      <c r="Y200" s="652"/>
      <c r="Z200" s="652"/>
      <c r="AA200" s="665"/>
      <c r="AB200" s="87"/>
      <c r="AC200" s="87"/>
      <c r="AD200" s="87"/>
      <c r="AE200" s="91"/>
      <c r="AF200" s="87"/>
      <c r="AG200" s="87"/>
    </row>
    <row r="201" spans="1:53" x14ac:dyDescent="0.2">
      <c r="A201" s="87"/>
      <c r="B201" s="87"/>
      <c r="C201" s="87"/>
      <c r="D201" s="87"/>
      <c r="E201" s="87"/>
      <c r="F201" s="89"/>
      <c r="G201" s="87"/>
      <c r="H201" s="87"/>
      <c r="I201" s="87"/>
      <c r="J201" s="89"/>
      <c r="K201" s="87"/>
      <c r="L201" s="87"/>
      <c r="M201" s="87"/>
      <c r="N201" s="87"/>
      <c r="P201" s="87"/>
      <c r="Q201" s="87"/>
      <c r="R201" s="87"/>
      <c r="S201" s="87"/>
      <c r="T201" s="87"/>
      <c r="U201" s="87"/>
      <c r="V201" s="87"/>
      <c r="W201" s="87"/>
      <c r="X201" s="87"/>
      <c r="Y201" s="87"/>
      <c r="Z201" s="87"/>
      <c r="AA201" s="91"/>
      <c r="AB201" s="89"/>
      <c r="AC201" s="87"/>
      <c r="AD201" s="87"/>
      <c r="AE201" s="91"/>
      <c r="AF201" s="87"/>
      <c r="AG201" s="87"/>
      <c r="AW201" s="57"/>
      <c r="AX201" s="54"/>
      <c r="AY201" s="54"/>
      <c r="AZ201" s="54"/>
      <c r="BA201" s="54"/>
    </row>
    <row r="202" spans="1:53" ht="13.5" thickBot="1" x14ac:dyDescent="0.25">
      <c r="A202" s="664" t="s">
        <v>146</v>
      </c>
      <c r="B202" s="664"/>
      <c r="C202" s="664"/>
      <c r="D202" s="664"/>
      <c r="E202" s="93"/>
      <c r="F202" s="654"/>
      <c r="G202" s="655"/>
      <c r="H202" s="655"/>
      <c r="I202" s="656"/>
      <c r="J202" s="657"/>
      <c r="K202" s="658"/>
      <c r="L202" s="658"/>
      <c r="M202" s="658"/>
      <c r="N202" s="87"/>
      <c r="Q202" s="92"/>
      <c r="R202" s="92"/>
      <c r="S202" s="92"/>
      <c r="T202" s="664" t="s">
        <v>146</v>
      </c>
      <c r="U202" s="664"/>
      <c r="V202" s="664"/>
      <c r="W202" s="664"/>
      <c r="X202" s="664"/>
      <c r="Y202" s="664"/>
      <c r="Z202" s="664"/>
      <c r="AA202" s="87"/>
      <c r="AB202" s="654"/>
      <c r="AC202" s="655"/>
      <c r="AD202" s="655"/>
      <c r="AE202" s="656"/>
      <c r="AF202" s="657"/>
      <c r="AG202" s="658"/>
      <c r="AH202" s="658"/>
      <c r="AW202" s="57"/>
      <c r="AX202" s="54"/>
      <c r="AY202" s="54"/>
      <c r="AZ202" s="54"/>
      <c r="BA202" s="54"/>
    </row>
    <row r="203" spans="1:53" x14ac:dyDescent="0.2">
      <c r="A203" s="659" t="s">
        <v>135</v>
      </c>
      <c r="B203" s="659"/>
      <c r="C203" s="659"/>
      <c r="D203" s="659"/>
      <c r="E203" s="660"/>
      <c r="F203" s="661" t="str">
        <f>IF(J218=1,B210,IF(J218=2,B211,IF(J218=3,B212,IF(J218=4,B213,"Winner Match 2"))))</f>
        <v>Agema16U</v>
      </c>
      <c r="G203" s="662"/>
      <c r="H203" s="662"/>
      <c r="I203" s="662"/>
      <c r="J203" s="662"/>
      <c r="K203" s="662"/>
      <c r="L203" s="662"/>
      <c r="M203" s="662"/>
      <c r="N203" s="87"/>
      <c r="P203" s="93"/>
      <c r="Q203" s="93"/>
      <c r="S203" s="94"/>
      <c r="T203" s="659" t="s">
        <v>136</v>
      </c>
      <c r="U203" s="659"/>
      <c r="V203" s="659"/>
      <c r="W203" s="659"/>
      <c r="X203" s="659"/>
      <c r="Y203" s="659"/>
      <c r="Z203" s="659"/>
      <c r="AA203" s="91"/>
      <c r="AB203" s="661" t="str">
        <f>IF(AE218=1,X210,IF(AE218=2,X211,IF(AE218=3,X212,IF(AE218=4,X213,"Winner Match 2"))))</f>
        <v>SC Midlands 16 Black</v>
      </c>
      <c r="AC203" s="662"/>
      <c r="AD203" s="662"/>
      <c r="AE203" s="662"/>
      <c r="AF203" s="662"/>
      <c r="AG203" s="662"/>
      <c r="AH203" s="662"/>
      <c r="AW203" s="57"/>
      <c r="AX203" s="54"/>
      <c r="AY203" s="54"/>
      <c r="AZ203" s="54"/>
      <c r="BA203" s="54"/>
    </row>
    <row r="204" spans="1:53" ht="13.5" thickBot="1" x14ac:dyDescent="0.25">
      <c r="A204" s="649" t="str">
        <f>IF(G218=1,B210,IF(G218=2,B211,IF(G218=3,B212,IF(G218=4,B213,IF(OR(G218="B",G218="b"),"BYE","invalid")))))</f>
        <v>CSRA Heat 16 Red</v>
      </c>
      <c r="B204" s="649"/>
      <c r="C204" s="649"/>
      <c r="D204" s="649"/>
      <c r="E204" s="650"/>
      <c r="F204" s="89"/>
      <c r="G204" s="87"/>
      <c r="H204" s="87"/>
      <c r="I204" s="87"/>
      <c r="J204" s="87"/>
      <c r="K204" s="87"/>
      <c r="L204" s="87"/>
      <c r="M204" s="87"/>
      <c r="N204" s="87"/>
      <c r="P204" s="87"/>
      <c r="Q204" s="87"/>
      <c r="R204" s="87"/>
      <c r="S204" s="97"/>
      <c r="T204" s="97"/>
      <c r="U204" s="649" t="str">
        <f>IF(AB218=1,X210,IF(AB218=2,X211,IF(AB218=3,X212,IF(AB218=4,X213,IF(OR(AB218="B",AB218="b"),"BYE","invalid")))))</f>
        <v>SC Midlands 16 Garnet</v>
      </c>
      <c r="V204" s="649"/>
      <c r="W204" s="649"/>
      <c r="X204" s="649"/>
      <c r="Y204" s="649"/>
      <c r="Z204" s="649"/>
      <c r="AA204" s="650"/>
      <c r="AB204" s="87"/>
      <c r="AC204" s="87"/>
      <c r="AD204" s="87"/>
      <c r="AE204" s="87"/>
      <c r="AW204" s="57"/>
      <c r="AX204" s="54"/>
      <c r="AY204" s="54"/>
      <c r="AZ204" s="54"/>
      <c r="BA204" s="54"/>
    </row>
    <row r="205" spans="1:53" x14ac:dyDescent="0.2">
      <c r="A205" s="651" t="s">
        <v>147</v>
      </c>
      <c r="B205" s="651"/>
      <c r="C205" s="651"/>
      <c r="D205" s="651"/>
      <c r="E205" s="651"/>
      <c r="S205" s="95"/>
      <c r="T205" s="95"/>
      <c r="U205" s="652" t="s">
        <v>148</v>
      </c>
      <c r="V205" s="652"/>
      <c r="W205" s="652"/>
      <c r="X205" s="652"/>
      <c r="Y205" s="652"/>
      <c r="Z205" s="652"/>
      <c r="AA205" s="652"/>
      <c r="AW205" s="57"/>
      <c r="AX205" s="54"/>
      <c r="AY205" s="54"/>
      <c r="AZ205" s="54"/>
      <c r="BA205" s="54"/>
    </row>
    <row r="206" spans="1:53" x14ac:dyDescent="0.2">
      <c r="AT206" s="54"/>
      <c r="AU206" s="54"/>
      <c r="AV206" s="54"/>
      <c r="AW206" s="57"/>
      <c r="AX206" s="54"/>
      <c r="AY206" s="54"/>
      <c r="AZ206" s="54"/>
      <c r="BA206" s="54"/>
    </row>
    <row r="207" spans="1:53" x14ac:dyDescent="0.2">
      <c r="AT207" s="54"/>
      <c r="AU207" s="54"/>
      <c r="AV207" s="54"/>
      <c r="AW207" s="57"/>
      <c r="AX207" s="54"/>
      <c r="AY207" s="54"/>
      <c r="AZ207" s="54"/>
      <c r="BA207" s="54"/>
    </row>
    <row r="208" spans="1:53" ht="16.5" thickBot="1" x14ac:dyDescent="0.3">
      <c r="A208" s="653" t="s">
        <v>149</v>
      </c>
      <c r="B208" s="653"/>
      <c r="C208" s="653"/>
      <c r="D208" s="653"/>
      <c r="E208" s="653"/>
      <c r="F208" s="653"/>
      <c r="G208" s="653"/>
      <c r="H208" s="653"/>
      <c r="I208" s="653"/>
      <c r="J208" s="653"/>
      <c r="Q208" s="99"/>
      <c r="R208" s="99"/>
      <c r="S208" s="99"/>
      <c r="U208" s="653" t="s">
        <v>150</v>
      </c>
      <c r="V208" s="653"/>
      <c r="W208" s="653"/>
      <c r="X208" s="653"/>
      <c r="Y208" s="653"/>
      <c r="Z208" s="653"/>
      <c r="AA208" s="653"/>
      <c r="AB208" s="653"/>
      <c r="AC208" s="653"/>
      <c r="AD208" s="653"/>
      <c r="AE208" s="653"/>
      <c r="AF208" s="653"/>
      <c r="AT208" s="54"/>
      <c r="AU208" s="54"/>
      <c r="AV208" s="54"/>
      <c r="AW208" s="57"/>
      <c r="AX208" s="54"/>
      <c r="AY208" s="54"/>
      <c r="AZ208" s="54"/>
      <c r="BA208" s="54"/>
    </row>
    <row r="209" spans="1:53" ht="13.5" thickBot="1" x14ac:dyDescent="0.25">
      <c r="A209" s="100" t="s">
        <v>151</v>
      </c>
      <c r="B209" s="643" t="s">
        <v>152</v>
      </c>
      <c r="C209" s="644"/>
      <c r="D209" s="644"/>
      <c r="E209" s="644"/>
      <c r="F209" s="644"/>
      <c r="G209" s="644"/>
      <c r="H209" s="644"/>
      <c r="I209" s="644"/>
      <c r="J209" s="645"/>
      <c r="K209" s="646" t="s">
        <v>153</v>
      </c>
      <c r="L209" s="647"/>
      <c r="M209" s="647"/>
      <c r="N209" s="647"/>
      <c r="O209" s="647"/>
      <c r="P209" s="647"/>
      <c r="Q209" s="648"/>
      <c r="U209" s="631" t="s">
        <v>151</v>
      </c>
      <c r="V209" s="632"/>
      <c r="W209" s="633"/>
      <c r="X209" s="643" t="s">
        <v>152</v>
      </c>
      <c r="Y209" s="644"/>
      <c r="Z209" s="644"/>
      <c r="AA209" s="644"/>
      <c r="AB209" s="644"/>
      <c r="AC209" s="644"/>
      <c r="AD209" s="644"/>
      <c r="AE209" s="644"/>
      <c r="AF209" s="645"/>
      <c r="AG209" s="646" t="s">
        <v>153</v>
      </c>
      <c r="AH209" s="647"/>
      <c r="AI209" s="647"/>
      <c r="AJ209" s="647"/>
      <c r="AK209" s="647"/>
      <c r="AL209" s="647"/>
      <c r="AM209" s="648"/>
      <c r="AT209" s="54"/>
      <c r="AU209" s="54"/>
      <c r="AV209" s="54"/>
      <c r="AW209" s="57"/>
      <c r="AX209" s="54"/>
      <c r="AY209" s="54"/>
      <c r="AZ209" s="54"/>
      <c r="BA209" s="54"/>
    </row>
    <row r="210" spans="1:53" ht="13.5" thickBot="1" x14ac:dyDescent="0.25">
      <c r="A210" s="100">
        <v>1</v>
      </c>
      <c r="B210" s="625" t="str">
        <f>B179</f>
        <v>Sumter VBC 16 Heath</v>
      </c>
      <c r="C210" s="626"/>
      <c r="D210" s="626"/>
      <c r="E210" s="626"/>
      <c r="F210" s="626"/>
      <c r="G210" s="626"/>
      <c r="H210" s="626"/>
      <c r="I210" s="626"/>
      <c r="J210" s="627"/>
      <c r="K210" s="628" t="str">
        <f>H179</f>
        <v>fj6sumtr1pm</v>
      </c>
      <c r="L210" s="629"/>
      <c r="M210" s="629"/>
      <c r="N210" s="629"/>
      <c r="O210" s="629"/>
      <c r="P210" s="629"/>
      <c r="Q210" s="630"/>
      <c r="U210" s="631">
        <v>1</v>
      </c>
      <c r="V210" s="632"/>
      <c r="W210" s="633"/>
      <c r="X210" s="625" t="str">
        <f>V179</f>
        <v>Beaufort16 Club</v>
      </c>
      <c r="Y210" s="626"/>
      <c r="Z210" s="626"/>
      <c r="AA210" s="626"/>
      <c r="AB210" s="626"/>
      <c r="AC210" s="626"/>
      <c r="AD210" s="626"/>
      <c r="AE210" s="626"/>
      <c r="AF210" s="627"/>
      <c r="AG210" s="628" t="str">
        <f>AB179</f>
        <v>fj6beauf1pm</v>
      </c>
      <c r="AH210" s="629"/>
      <c r="AI210" s="629"/>
      <c r="AJ210" s="629"/>
      <c r="AK210" s="629"/>
      <c r="AL210" s="629"/>
      <c r="AM210" s="630"/>
      <c r="AT210" s="54"/>
      <c r="AU210" s="54"/>
      <c r="AV210" s="54"/>
      <c r="AW210" s="57"/>
      <c r="AX210" s="54"/>
      <c r="AY210" s="54"/>
      <c r="AZ210" s="54"/>
      <c r="BA210" s="54"/>
    </row>
    <row r="211" spans="1:53" ht="13.5" thickBot="1" x14ac:dyDescent="0.25">
      <c r="A211" s="100">
        <v>2</v>
      </c>
      <c r="B211" s="625" t="str">
        <f>B180</f>
        <v>Agema16U</v>
      </c>
      <c r="C211" s="626"/>
      <c r="D211" s="626"/>
      <c r="E211" s="626"/>
      <c r="F211" s="626"/>
      <c r="G211" s="626"/>
      <c r="H211" s="626"/>
      <c r="I211" s="626"/>
      <c r="J211" s="627"/>
      <c r="K211" s="628" t="str">
        <f>H180</f>
        <v>fj6agema1pm</v>
      </c>
      <c r="L211" s="629"/>
      <c r="M211" s="629"/>
      <c r="N211" s="629"/>
      <c r="O211" s="629"/>
      <c r="P211" s="629"/>
      <c r="Q211" s="630"/>
      <c r="U211" s="631">
        <v>2</v>
      </c>
      <c r="V211" s="632"/>
      <c r="W211" s="633"/>
      <c r="X211" s="625" t="str">
        <f>V180</f>
        <v>SC Midlands 16 Black</v>
      </c>
      <c r="Y211" s="626"/>
      <c r="Z211" s="626"/>
      <c r="AA211" s="626"/>
      <c r="AB211" s="626"/>
      <c r="AC211" s="626"/>
      <c r="AD211" s="626"/>
      <c r="AE211" s="626"/>
      <c r="AF211" s="627"/>
      <c r="AG211" s="628" t="str">
        <f>AB180</f>
        <v>fj6scmid3pm</v>
      </c>
      <c r="AH211" s="629"/>
      <c r="AI211" s="629"/>
      <c r="AJ211" s="629"/>
      <c r="AK211" s="629"/>
      <c r="AL211" s="629"/>
      <c r="AM211" s="630"/>
      <c r="AT211" s="54"/>
      <c r="AU211" s="54"/>
      <c r="AV211" s="54"/>
      <c r="AW211" s="57"/>
      <c r="AX211" s="54"/>
      <c r="AY211" s="54"/>
      <c r="AZ211" s="54"/>
      <c r="BA211" s="54"/>
    </row>
    <row r="212" spans="1:53" ht="13.5" thickBot="1" x14ac:dyDescent="0.25">
      <c r="A212" s="100">
        <v>3</v>
      </c>
      <c r="B212" s="625" t="str">
        <f>L179</f>
        <v>CSRA Heat 16 Red</v>
      </c>
      <c r="C212" s="626"/>
      <c r="D212" s="626"/>
      <c r="E212" s="626"/>
      <c r="F212" s="626"/>
      <c r="G212" s="626"/>
      <c r="H212" s="626"/>
      <c r="I212" s="626"/>
      <c r="J212" s="627"/>
      <c r="K212" s="628" t="str">
        <f>R179</f>
        <v>fj6csrah3pm</v>
      </c>
      <c r="L212" s="629"/>
      <c r="M212" s="629"/>
      <c r="N212" s="629"/>
      <c r="O212" s="629"/>
      <c r="P212" s="629"/>
      <c r="Q212" s="630"/>
      <c r="U212" s="631">
        <v>3</v>
      </c>
      <c r="V212" s="632"/>
      <c r="W212" s="633"/>
      <c r="X212" s="625" t="str">
        <f>AF179</f>
        <v>SC Midlands 16 Garnet</v>
      </c>
      <c r="Y212" s="626"/>
      <c r="Z212" s="626"/>
      <c r="AA212" s="626"/>
      <c r="AB212" s="626"/>
      <c r="AC212" s="626"/>
      <c r="AD212" s="626"/>
      <c r="AE212" s="626"/>
      <c r="AF212" s="627"/>
      <c r="AG212" s="628" t="str">
        <f>AL179</f>
        <v>fj6scmid4pm</v>
      </c>
      <c r="AH212" s="629"/>
      <c r="AI212" s="629"/>
      <c r="AJ212" s="629"/>
      <c r="AK212" s="629"/>
      <c r="AL212" s="629"/>
      <c r="AM212" s="630"/>
      <c r="AT212" s="54"/>
      <c r="AU212" s="54"/>
      <c r="AV212" s="54"/>
      <c r="AW212" s="57"/>
      <c r="AX212" s="54"/>
      <c r="AY212" s="54"/>
      <c r="AZ212" s="54"/>
      <c r="BA212" s="54"/>
    </row>
    <row r="213" spans="1:53" ht="13.5" thickBot="1" x14ac:dyDescent="0.25">
      <c r="A213" s="100">
        <v>4</v>
      </c>
      <c r="B213" s="625" t="str">
        <f>L180</f>
        <v>CSRA Heat 16 Black</v>
      </c>
      <c r="C213" s="626"/>
      <c r="D213" s="626"/>
      <c r="E213" s="626"/>
      <c r="F213" s="626"/>
      <c r="G213" s="626"/>
      <c r="H213" s="626"/>
      <c r="I213" s="626"/>
      <c r="J213" s="627"/>
      <c r="K213" s="628" t="str">
        <f>R180</f>
        <v>fj6csrah2pm</v>
      </c>
      <c r="L213" s="629"/>
      <c r="M213" s="629"/>
      <c r="N213" s="629"/>
      <c r="O213" s="629"/>
      <c r="P213" s="629"/>
      <c r="Q213" s="630"/>
      <c r="U213" s="631">
        <v>4</v>
      </c>
      <c r="V213" s="632"/>
      <c r="W213" s="633"/>
      <c r="X213" s="625" t="str">
        <f>AF180</f>
        <v>Vision 16 Regional</v>
      </c>
      <c r="Y213" s="626"/>
      <c r="Z213" s="626"/>
      <c r="AA213" s="626"/>
      <c r="AB213" s="626"/>
      <c r="AC213" s="626"/>
      <c r="AD213" s="626"/>
      <c r="AE213" s="626"/>
      <c r="AF213" s="627"/>
      <c r="AG213" s="628" t="str">
        <f>AL180</f>
        <v>fj6vison2pm</v>
      </c>
      <c r="AH213" s="629"/>
      <c r="AI213" s="629"/>
      <c r="AJ213" s="629"/>
      <c r="AK213" s="629"/>
      <c r="AL213" s="629"/>
      <c r="AM213" s="630"/>
      <c r="AT213" s="54"/>
      <c r="AU213" s="54"/>
      <c r="AV213" s="54"/>
      <c r="AW213" s="57"/>
      <c r="AX213" s="54"/>
      <c r="AY213" s="54"/>
      <c r="AZ213" s="54"/>
      <c r="BA213" s="54"/>
    </row>
    <row r="214" spans="1:53" ht="13.5" thickBot="1" x14ac:dyDescent="0.25">
      <c r="AT214" s="54"/>
      <c r="AU214" s="54"/>
      <c r="AV214" s="54"/>
      <c r="AW214" s="57"/>
      <c r="AX214" s="54"/>
      <c r="AY214" s="54"/>
      <c r="AZ214" s="54"/>
      <c r="BA214" s="54"/>
    </row>
    <row r="215" spans="1:53" x14ac:dyDescent="0.2">
      <c r="B215" s="634" t="s">
        <v>154</v>
      </c>
      <c r="C215" s="606"/>
      <c r="D215" s="607"/>
      <c r="E215" s="605" t="s">
        <v>154</v>
      </c>
      <c r="F215" s="606"/>
      <c r="G215" s="607"/>
      <c r="H215" s="605" t="s">
        <v>14</v>
      </c>
      <c r="I215" s="606"/>
      <c r="J215" s="608"/>
      <c r="K215" s="609" t="s">
        <v>155</v>
      </c>
      <c r="L215" s="635"/>
      <c r="M215" s="635"/>
      <c r="N215" s="635"/>
      <c r="O215" s="635"/>
      <c r="P215" s="635"/>
      <c r="Q215" s="636"/>
      <c r="R215" s="101"/>
      <c r="S215" s="101"/>
      <c r="T215" s="101"/>
      <c r="U215" s="101"/>
      <c r="W215" s="634" t="s">
        <v>154</v>
      </c>
      <c r="X215" s="606"/>
      <c r="Y215" s="607"/>
      <c r="Z215" s="605" t="s">
        <v>154</v>
      </c>
      <c r="AA215" s="606"/>
      <c r="AB215" s="607"/>
      <c r="AC215" s="605" t="s">
        <v>14</v>
      </c>
      <c r="AD215" s="606"/>
      <c r="AE215" s="608"/>
      <c r="AF215" s="609" t="s">
        <v>155</v>
      </c>
      <c r="AG215" s="610"/>
      <c r="AH215" s="610"/>
      <c r="AI215" s="610"/>
      <c r="AJ215" s="611"/>
      <c r="AW215" s="57"/>
      <c r="AX215" s="54"/>
      <c r="AY215" s="54"/>
      <c r="AZ215" s="54"/>
      <c r="BA215" s="54"/>
    </row>
    <row r="216" spans="1:53" x14ac:dyDescent="0.2">
      <c r="A216" s="40" t="s">
        <v>156</v>
      </c>
      <c r="B216" s="618">
        <v>3</v>
      </c>
      <c r="C216" s="619"/>
      <c r="D216" s="620"/>
      <c r="E216" s="621" t="s">
        <v>157</v>
      </c>
      <c r="F216" s="619"/>
      <c r="G216" s="620"/>
      <c r="H216" s="621" t="s">
        <v>158</v>
      </c>
      <c r="I216" s="619"/>
      <c r="J216" s="622"/>
      <c r="K216" s="637"/>
      <c r="L216" s="638"/>
      <c r="M216" s="638"/>
      <c r="N216" s="638"/>
      <c r="O216" s="638"/>
      <c r="P216" s="638"/>
      <c r="Q216" s="639"/>
      <c r="R216" s="101"/>
      <c r="S216" s="101"/>
      <c r="T216" s="623" t="s">
        <v>156</v>
      </c>
      <c r="U216" s="623"/>
      <c r="V216" s="624"/>
      <c r="W216" s="618">
        <v>3</v>
      </c>
      <c r="X216" s="619"/>
      <c r="Y216" s="620"/>
      <c r="Z216" s="621" t="s">
        <v>157</v>
      </c>
      <c r="AA216" s="619"/>
      <c r="AB216" s="620"/>
      <c r="AC216" s="621" t="s">
        <v>158</v>
      </c>
      <c r="AD216" s="619"/>
      <c r="AE216" s="622"/>
      <c r="AF216" s="612"/>
      <c r="AG216" s="613"/>
      <c r="AH216" s="613"/>
      <c r="AI216" s="613"/>
      <c r="AJ216" s="614"/>
      <c r="AW216" s="57"/>
      <c r="AX216" s="54"/>
      <c r="AY216" s="54"/>
      <c r="AZ216" s="54"/>
      <c r="BA216" s="54"/>
    </row>
    <row r="217" spans="1:53" ht="13.5" thickBot="1" x14ac:dyDescent="0.25">
      <c r="A217" s="7"/>
      <c r="B217" s="603" t="s">
        <v>68</v>
      </c>
      <c r="C217" s="598"/>
      <c r="D217" s="604"/>
      <c r="E217" s="597" t="s">
        <v>159</v>
      </c>
      <c r="F217" s="598"/>
      <c r="G217" s="604"/>
      <c r="H217" s="597" t="s">
        <v>160</v>
      </c>
      <c r="I217" s="598"/>
      <c r="J217" s="599"/>
      <c r="K217" s="640"/>
      <c r="L217" s="641"/>
      <c r="M217" s="641"/>
      <c r="N217" s="641"/>
      <c r="O217" s="641"/>
      <c r="P217" s="641"/>
      <c r="Q217" s="642"/>
      <c r="R217" s="101"/>
      <c r="S217" s="101"/>
      <c r="T217" s="584"/>
      <c r="U217" s="584"/>
      <c r="V217" s="585"/>
      <c r="W217" s="603" t="s">
        <v>68</v>
      </c>
      <c r="X217" s="598"/>
      <c r="Y217" s="604"/>
      <c r="Z217" s="597" t="s">
        <v>159</v>
      </c>
      <c r="AA217" s="598"/>
      <c r="AB217" s="604"/>
      <c r="AC217" s="597" t="s">
        <v>160</v>
      </c>
      <c r="AD217" s="598"/>
      <c r="AE217" s="599"/>
      <c r="AF217" s="615"/>
      <c r="AG217" s="616"/>
      <c r="AH217" s="616"/>
      <c r="AI217" s="616"/>
      <c r="AJ217" s="617"/>
      <c r="AW217" s="57"/>
      <c r="AX217" s="54"/>
      <c r="AY217" s="54"/>
      <c r="AZ217" s="54"/>
      <c r="BA217" s="54"/>
    </row>
    <row r="218" spans="1:53" ht="13.5" thickBot="1" x14ac:dyDescent="0.25">
      <c r="A218" s="7"/>
      <c r="B218" s="102">
        <v>1</v>
      </c>
      <c r="C218" s="103" t="s">
        <v>76</v>
      </c>
      <c r="D218" s="104">
        <v>4</v>
      </c>
      <c r="E218" s="105">
        <v>2</v>
      </c>
      <c r="F218" s="103" t="s">
        <v>76</v>
      </c>
      <c r="G218" s="104">
        <v>3</v>
      </c>
      <c r="H218" s="106">
        <f>IF(OR(AND(OR(B222&gt;0,D222&gt;0),B222&gt;D222),OR(D218="b",D218="B")),B218,IF(OR(AND(OR(B222&gt;0,D222&gt;0),D222&gt;B222),OR(B218="b",B218="B")),D218,"W1"))</f>
        <v>1</v>
      </c>
      <c r="I218" s="107" t="s">
        <v>76</v>
      </c>
      <c r="J218" s="108">
        <f>IF(OR(AND(OR(E222&gt;0,G222&gt;0),E222&gt;G222),OR(G218="b",G218="B")),E218,IF(OR(AND(OR(E222&gt;0,G222&gt;0),G222&gt;E222),OR(E218="b",E218="B")),G218,"W2"))</f>
        <v>2</v>
      </c>
      <c r="K218" s="600" t="s">
        <v>161</v>
      </c>
      <c r="L218" s="601"/>
      <c r="M218" s="601"/>
      <c r="N218" s="602"/>
      <c r="R218" s="101"/>
      <c r="S218" s="101"/>
      <c r="T218" s="584"/>
      <c r="U218" s="584"/>
      <c r="V218" s="585"/>
      <c r="W218" s="102">
        <v>1</v>
      </c>
      <c r="X218" s="103" t="s">
        <v>76</v>
      </c>
      <c r="Y218" s="104">
        <v>4</v>
      </c>
      <c r="Z218" s="105">
        <v>2</v>
      </c>
      <c r="AA218" s="103" t="s">
        <v>76</v>
      </c>
      <c r="AB218" s="104">
        <v>3</v>
      </c>
      <c r="AC218" s="106">
        <f>IF(OR(AND(OR(W222&gt;0,Y222&gt;0),W222&gt;Y222),OR(Y218="b",Y218="B")),W218,IF(OR(AND(OR(W222&gt;0,Y222&gt;0),Y222&gt;W222),OR(W218="b",W218="B")),Y218,"W1"))</f>
        <v>1</v>
      </c>
      <c r="AD218" s="107" t="s">
        <v>76</v>
      </c>
      <c r="AE218" s="108">
        <f>IF(OR(AND(OR(Z222&gt;0,AB222&gt;0),Z222&gt;AB222),OR(AB222="b",AB222="B")),Z218,IF(OR(AND(OR(Z222&gt;0,AB222&gt;0),AB222&gt;Z222),OR(Z222="b",Z222="B")),AB218,"W2"))</f>
        <v>2</v>
      </c>
      <c r="AF218" s="600" t="s">
        <v>161</v>
      </c>
      <c r="AG218" s="602"/>
      <c r="AH218" s="101"/>
      <c r="AI218" s="101"/>
      <c r="AJ218" s="101"/>
      <c r="AW218" s="57"/>
      <c r="AX218" s="54"/>
      <c r="AY218" s="54"/>
      <c r="AZ218" s="54"/>
      <c r="BA218" s="54"/>
    </row>
    <row r="219" spans="1:53" ht="13.5" hidden="1" customHeight="1" x14ac:dyDescent="0.2">
      <c r="A219" s="7"/>
      <c r="B219" s="109">
        <f>IF(B223&gt;D223,1,0)</f>
        <v>1</v>
      </c>
      <c r="C219" s="110"/>
      <c r="D219" s="111">
        <f>IF(D223&gt;B223,1,0)</f>
        <v>0</v>
      </c>
      <c r="E219" s="109">
        <f>IF(E223&gt;G223,1,0)</f>
        <v>1</v>
      </c>
      <c r="F219" s="110"/>
      <c r="G219" s="111">
        <f>IF(G223&gt;E223,1,0)</f>
        <v>0</v>
      </c>
      <c r="H219" s="109">
        <f>IF(H223&gt;J223,1,0)</f>
        <v>1</v>
      </c>
      <c r="I219" s="110"/>
      <c r="J219" s="111">
        <f>IF(J223&gt;H223,1,0)</f>
        <v>0</v>
      </c>
      <c r="K219" s="112"/>
      <c r="L219" s="113"/>
      <c r="M219" s="113"/>
      <c r="N219" s="114"/>
      <c r="R219" s="101"/>
      <c r="S219" s="101"/>
      <c r="T219" s="584"/>
      <c r="U219" s="584"/>
      <c r="V219" s="585"/>
      <c r="W219" s="109">
        <f>IF(W223&gt;Y223,1,0)</f>
        <v>1</v>
      </c>
      <c r="X219" s="110"/>
      <c r="Y219" s="111">
        <f>IF(Y223&gt;W223,1,0)</f>
        <v>0</v>
      </c>
      <c r="Z219" s="109">
        <f>IF(Z223&gt;AB223,1,0)</f>
        <v>1</v>
      </c>
      <c r="AA219" s="110"/>
      <c r="AB219" s="111">
        <f>IF(AB223&gt;Z223,1,0)</f>
        <v>0</v>
      </c>
      <c r="AC219" s="109">
        <f>IF(AC223&gt;AE223,1,0)</f>
        <v>1</v>
      </c>
      <c r="AD219" s="110"/>
      <c r="AE219" s="111">
        <f>IF(AE223&gt;AC223,1,0)</f>
        <v>0</v>
      </c>
      <c r="AF219" s="115"/>
      <c r="AG219" s="116"/>
      <c r="AH219" s="101"/>
      <c r="AI219" s="101"/>
      <c r="AJ219" s="101"/>
      <c r="AW219" s="57"/>
      <c r="AX219" s="54"/>
      <c r="AY219" s="54"/>
      <c r="AZ219" s="54"/>
      <c r="BA219" s="54"/>
    </row>
    <row r="220" spans="1:53" ht="13.5" hidden="1" customHeight="1" x14ac:dyDescent="0.2">
      <c r="A220" s="7"/>
      <c r="B220" s="109">
        <f>IF(B224&gt;D224,1,0)</f>
        <v>0</v>
      </c>
      <c r="C220" s="110"/>
      <c r="D220" s="111">
        <f>IF(D224&gt;B224,1,0)</f>
        <v>0</v>
      </c>
      <c r="E220" s="109">
        <f>IF(E224&gt;G224,1,0)</f>
        <v>0</v>
      </c>
      <c r="F220" s="110"/>
      <c r="G220" s="111">
        <f>IF(G224&gt;E224,1,0)</f>
        <v>0</v>
      </c>
      <c r="H220" s="109">
        <f>IF(H224&gt;J224,1,0)</f>
        <v>1</v>
      </c>
      <c r="I220" s="110"/>
      <c r="J220" s="111">
        <f>IF(J224&gt;H224,1,0)</f>
        <v>0</v>
      </c>
      <c r="K220" s="112"/>
      <c r="L220" s="113"/>
      <c r="M220" s="113"/>
      <c r="N220" s="114"/>
      <c r="R220" s="101"/>
      <c r="S220" s="101"/>
      <c r="T220" s="584"/>
      <c r="U220" s="584"/>
      <c r="V220" s="585"/>
      <c r="W220" s="109">
        <f>IF(W224&gt;Y224,1,0)</f>
        <v>0</v>
      </c>
      <c r="X220" s="110"/>
      <c r="Y220" s="111">
        <f>IF(Y224&gt;W224,1,0)</f>
        <v>0</v>
      </c>
      <c r="Z220" s="109">
        <f>IF(Z224&gt;AB224,1,0)</f>
        <v>0</v>
      </c>
      <c r="AA220" s="110"/>
      <c r="AB220" s="111">
        <f>IF(AB224&gt;Z224,1,0)</f>
        <v>0</v>
      </c>
      <c r="AC220" s="109">
        <f>IF(AC224&gt;AE224,1,0)</f>
        <v>1</v>
      </c>
      <c r="AD220" s="110"/>
      <c r="AE220" s="111">
        <f>IF(AE224&gt;AC224,1,0)</f>
        <v>0</v>
      </c>
      <c r="AF220" s="115"/>
      <c r="AG220" s="116"/>
      <c r="AH220" s="101"/>
      <c r="AI220" s="101"/>
      <c r="AJ220" s="101"/>
      <c r="AW220" s="57"/>
      <c r="AX220" s="54"/>
      <c r="AY220" s="54"/>
      <c r="AZ220" s="54"/>
      <c r="BA220" s="54"/>
    </row>
    <row r="221" spans="1:53" ht="13.5" hidden="1" customHeight="1" thickBot="1" x14ac:dyDescent="0.25">
      <c r="A221" s="7"/>
      <c r="B221" s="109">
        <f>IF(B225&gt;D225,1,0)</f>
        <v>0</v>
      </c>
      <c r="C221" s="110"/>
      <c r="D221" s="111">
        <f>IF(D225&gt;B225,1,0)</f>
        <v>0</v>
      </c>
      <c r="E221" s="109">
        <f>IF(E225&gt;G225,1,0)</f>
        <v>0</v>
      </c>
      <c r="F221" s="110"/>
      <c r="G221" s="111">
        <f>IF(G225&gt;E225,1,0)</f>
        <v>0</v>
      </c>
      <c r="H221" s="109">
        <f>IF(H225&gt;J225,1,0)</f>
        <v>0</v>
      </c>
      <c r="I221" s="110"/>
      <c r="J221" s="111">
        <f>IF(J225&gt;H225,1,0)</f>
        <v>0</v>
      </c>
      <c r="K221" s="112"/>
      <c r="L221" s="113"/>
      <c r="M221" s="113"/>
      <c r="N221" s="114"/>
      <c r="R221" s="101"/>
      <c r="S221" s="101"/>
      <c r="T221" s="584"/>
      <c r="U221" s="584"/>
      <c r="V221" s="585"/>
      <c r="W221" s="109">
        <f>IF(W225&gt;Y225,1,0)</f>
        <v>0</v>
      </c>
      <c r="X221" s="110"/>
      <c r="Y221" s="111">
        <f>IF(Y225&gt;W225,1,0)</f>
        <v>0</v>
      </c>
      <c r="Z221" s="109">
        <f>IF(Z225&gt;AB225,1,0)</f>
        <v>0</v>
      </c>
      <c r="AA221" s="110"/>
      <c r="AB221" s="111">
        <f>IF(AB225&gt;Z225,1,0)</f>
        <v>0</v>
      </c>
      <c r="AC221" s="109">
        <f>IF(AC225&gt;AE225,1,0)</f>
        <v>0</v>
      </c>
      <c r="AD221" s="110"/>
      <c r="AE221" s="111">
        <f>IF(AE225&gt;AC225,1,0)</f>
        <v>0</v>
      </c>
      <c r="AF221" s="115"/>
      <c r="AG221" s="116"/>
      <c r="AH221" s="101"/>
      <c r="AI221" s="101"/>
      <c r="AJ221" s="101"/>
      <c r="AW221" s="57"/>
      <c r="AX221" s="54"/>
      <c r="AY221" s="54"/>
      <c r="AZ221" s="54"/>
      <c r="BA221" s="54"/>
    </row>
    <row r="222" spans="1:53" ht="13.5" hidden="1" customHeight="1" x14ac:dyDescent="0.2">
      <c r="A222" s="7"/>
      <c r="B222" s="109">
        <f>SUM(B219:B221)</f>
        <v>1</v>
      </c>
      <c r="C222" s="110"/>
      <c r="D222" s="109">
        <f>SUM(D219:D221)</f>
        <v>0</v>
      </c>
      <c r="E222" s="109">
        <f>SUM(E219:E221)</f>
        <v>1</v>
      </c>
      <c r="F222" s="110"/>
      <c r="G222" s="109">
        <f>SUM(G219:G221)</f>
        <v>0</v>
      </c>
      <c r="H222" s="109">
        <f>SUM(H219:H221)</f>
        <v>2</v>
      </c>
      <c r="I222" s="110"/>
      <c r="J222" s="109">
        <f>SUM(J219:J221)</f>
        <v>0</v>
      </c>
      <c r="K222" s="112"/>
      <c r="L222" s="113"/>
      <c r="M222" s="113"/>
      <c r="N222" s="114"/>
      <c r="R222" s="101"/>
      <c r="S222" s="101"/>
      <c r="T222" s="584"/>
      <c r="U222" s="584"/>
      <c r="V222" s="585"/>
      <c r="W222" s="109">
        <f>SUM(W219:W221)</f>
        <v>1</v>
      </c>
      <c r="X222" s="110"/>
      <c r="Y222" s="109">
        <f>SUM(Y219:Y221)</f>
        <v>0</v>
      </c>
      <c r="Z222" s="109">
        <f>SUM(Z219:Z221)</f>
        <v>1</v>
      </c>
      <c r="AA222" s="110"/>
      <c r="AB222" s="109">
        <f>SUM(AB219:AB221)</f>
        <v>0</v>
      </c>
      <c r="AC222" s="109">
        <f>SUM(AC219:AC221)</f>
        <v>2</v>
      </c>
      <c r="AD222" s="110"/>
      <c r="AE222" s="109">
        <f>SUM(AE219:AE221)</f>
        <v>0</v>
      </c>
      <c r="AF222" s="115"/>
      <c r="AG222" s="116"/>
      <c r="AH222" s="101"/>
      <c r="AI222" s="101"/>
      <c r="AJ222" s="101"/>
      <c r="AW222" s="57"/>
      <c r="AX222" s="54"/>
      <c r="AY222" s="54"/>
      <c r="AZ222" s="54"/>
      <c r="BA222" s="54"/>
    </row>
    <row r="223" spans="1:53" ht="12.75" customHeight="1" x14ac:dyDescent="0.2">
      <c r="A223" s="5" t="s">
        <v>77</v>
      </c>
      <c r="B223" s="117">
        <v>25</v>
      </c>
      <c r="C223" s="49" t="s">
        <v>78</v>
      </c>
      <c r="D223" s="118">
        <v>10</v>
      </c>
      <c r="E223" s="119">
        <v>25</v>
      </c>
      <c r="F223" s="49" t="s">
        <v>78</v>
      </c>
      <c r="G223" s="118">
        <v>14</v>
      </c>
      <c r="H223" s="119">
        <v>25</v>
      </c>
      <c r="I223" s="49" t="s">
        <v>78</v>
      </c>
      <c r="J223" s="120">
        <v>23</v>
      </c>
      <c r="K223" s="586">
        <f>IF(AND(OR(H222&gt;0,J222&gt;0),AND(1&lt;=H218,H218&lt;=4),AND(1&lt;=J218,J218&lt;=4)),IF(H222&gt;J222,H218,IF(J222&gt;H222,J218,"")),"")</f>
        <v>1</v>
      </c>
      <c r="L223" s="587"/>
      <c r="M223" s="587"/>
      <c r="N223" s="588"/>
      <c r="R223" s="101"/>
      <c r="S223" s="101"/>
      <c r="T223" s="121"/>
      <c r="U223" s="121"/>
      <c r="V223" s="5" t="s">
        <v>77</v>
      </c>
      <c r="W223" s="117">
        <v>25</v>
      </c>
      <c r="X223" s="49" t="s">
        <v>78</v>
      </c>
      <c r="Y223" s="118">
        <v>12</v>
      </c>
      <c r="Z223" s="119">
        <v>25</v>
      </c>
      <c r="AA223" s="49" t="s">
        <v>78</v>
      </c>
      <c r="AB223" s="118">
        <v>19</v>
      </c>
      <c r="AC223" s="119">
        <v>25</v>
      </c>
      <c r="AD223" s="49" t="s">
        <v>78</v>
      </c>
      <c r="AE223" s="120">
        <v>16</v>
      </c>
      <c r="AF223" s="586">
        <f>IF(AND(OR(AC222&gt;0,AE222&gt;0),AND(1&lt;=AC218,AC218&lt;=4),AND(1&lt;=AE218,AE218&lt;=4)),IF(AC222&gt;AE222,AC218,IF(AE222&gt;AC222,AE218,"")),"")</f>
        <v>1</v>
      </c>
      <c r="AG223" s="588"/>
      <c r="AH223" s="101"/>
      <c r="AI223" s="101"/>
      <c r="AJ223" s="101"/>
      <c r="AW223" s="57"/>
      <c r="AX223" s="54"/>
      <c r="AY223" s="54"/>
      <c r="AZ223" s="54"/>
      <c r="BA223" s="54"/>
    </row>
    <row r="224" spans="1:53" ht="12.75" customHeight="1" x14ac:dyDescent="0.2">
      <c r="A224" s="5" t="s">
        <v>162</v>
      </c>
      <c r="B224" s="117"/>
      <c r="C224" s="49" t="s">
        <v>78</v>
      </c>
      <c r="D224" s="118"/>
      <c r="E224" s="119"/>
      <c r="F224" s="49" t="s">
        <v>78</v>
      </c>
      <c r="G224" s="118"/>
      <c r="H224" s="119">
        <v>27</v>
      </c>
      <c r="I224" s="49" t="s">
        <v>78</v>
      </c>
      <c r="J224" s="120">
        <v>25</v>
      </c>
      <c r="K224" s="589"/>
      <c r="L224" s="590"/>
      <c r="M224" s="590"/>
      <c r="N224" s="591"/>
      <c r="R224" s="101"/>
      <c r="S224" s="101"/>
      <c r="T224" s="121"/>
      <c r="U224" s="121"/>
      <c r="V224" s="5" t="s">
        <v>162</v>
      </c>
      <c r="W224" s="117"/>
      <c r="X224" s="49" t="s">
        <v>78</v>
      </c>
      <c r="Y224" s="118"/>
      <c r="Z224" s="119"/>
      <c r="AA224" s="49" t="s">
        <v>78</v>
      </c>
      <c r="AB224" s="118"/>
      <c r="AC224" s="119">
        <v>25</v>
      </c>
      <c r="AD224" s="49" t="s">
        <v>78</v>
      </c>
      <c r="AE224" s="120">
        <v>16</v>
      </c>
      <c r="AF224" s="589"/>
      <c r="AG224" s="591"/>
      <c r="AH224" s="101"/>
      <c r="AI224" s="101"/>
      <c r="AJ224" s="101"/>
      <c r="AW224" s="57"/>
      <c r="AX224" s="54"/>
      <c r="AY224" s="54"/>
      <c r="AZ224" s="54"/>
      <c r="BA224" s="54"/>
    </row>
    <row r="225" spans="1:77" ht="13.5" customHeight="1" thickBot="1" x14ac:dyDescent="0.25">
      <c r="A225" s="5" t="s">
        <v>163</v>
      </c>
      <c r="B225" s="122"/>
      <c r="C225" s="123" t="s">
        <v>78</v>
      </c>
      <c r="D225" s="124"/>
      <c r="E225" s="125"/>
      <c r="F225" s="123" t="s">
        <v>78</v>
      </c>
      <c r="G225" s="124"/>
      <c r="H225" s="125"/>
      <c r="I225" s="123" t="s">
        <v>78</v>
      </c>
      <c r="J225" s="126"/>
      <c r="K225" s="592"/>
      <c r="L225" s="593"/>
      <c r="M225" s="593"/>
      <c r="N225" s="594"/>
      <c r="R225" s="101"/>
      <c r="S225" s="101"/>
      <c r="T225" s="121"/>
      <c r="U225" s="121"/>
      <c r="V225" s="5" t="s">
        <v>163</v>
      </c>
      <c r="W225" s="122"/>
      <c r="X225" s="123" t="s">
        <v>78</v>
      </c>
      <c r="Y225" s="124"/>
      <c r="Z225" s="125"/>
      <c r="AA225" s="123" t="s">
        <v>78</v>
      </c>
      <c r="AB225" s="124"/>
      <c r="AC225" s="125"/>
      <c r="AD225" s="123" t="s">
        <v>78</v>
      </c>
      <c r="AE225" s="126"/>
      <c r="AF225" s="592"/>
      <c r="AG225" s="594"/>
      <c r="AH225" s="101"/>
      <c r="AI225" s="101"/>
      <c r="AJ225" s="101"/>
      <c r="AW225" s="57"/>
      <c r="AX225" s="54"/>
      <c r="AY225" s="54"/>
      <c r="AZ225" s="54"/>
      <c r="BA225" s="54"/>
    </row>
    <row r="226" spans="1:77" hidden="1" x14ac:dyDescent="0.2">
      <c r="B226" s="3"/>
      <c r="C226" s="127" t="s">
        <v>112</v>
      </c>
      <c r="D226" s="3" t="s">
        <v>164</v>
      </c>
      <c r="E226" s="3"/>
      <c r="F226" s="127"/>
      <c r="G226" s="4" t="s">
        <v>165</v>
      </c>
      <c r="J226" s="4" t="s">
        <v>166</v>
      </c>
      <c r="W226" s="3"/>
      <c r="X226" s="127" t="s">
        <v>112</v>
      </c>
      <c r="Y226" s="3" t="s">
        <v>164</v>
      </c>
      <c r="Z226" s="3"/>
      <c r="AA226" s="127"/>
      <c r="AB226" s="4" t="s">
        <v>165</v>
      </c>
      <c r="AE226" s="4" t="s">
        <v>166</v>
      </c>
      <c r="AT226" s="4" t="str">
        <f>B227</f>
        <v>Sumter VBC 16 Heath</v>
      </c>
      <c r="AU226" s="4">
        <f>J227</f>
        <v>2402.3375292126752</v>
      </c>
      <c r="AW226" s="57"/>
      <c r="AX226" s="54"/>
      <c r="AY226" s="54"/>
      <c r="AZ226" s="54"/>
      <c r="BA226" s="54"/>
      <c r="BB226" s="57"/>
      <c r="BC226" s="54"/>
      <c r="BD226" s="54"/>
      <c r="BE226" s="57"/>
      <c r="BF226" s="54"/>
      <c r="BG226" s="54"/>
      <c r="BH226" s="57"/>
      <c r="BI226" s="54"/>
      <c r="BJ226" s="54"/>
      <c r="BK226" s="57"/>
      <c r="BL226" s="54"/>
      <c r="BM226" s="54"/>
      <c r="BN226" s="57"/>
      <c r="BO226" s="54"/>
      <c r="BP226" s="54"/>
      <c r="BQ226" s="57"/>
      <c r="BR226" s="54"/>
      <c r="BS226" s="54"/>
      <c r="BT226" s="57"/>
      <c r="BU226" s="54"/>
      <c r="BV226" s="54"/>
      <c r="BW226" s="57"/>
      <c r="BX226" s="54"/>
      <c r="BY226" s="54"/>
    </row>
    <row r="227" spans="1:77" hidden="1" x14ac:dyDescent="0.2">
      <c r="A227" s="4">
        <v>1</v>
      </c>
      <c r="B227" s="4" t="str">
        <f>B210</f>
        <v>Sumter VBC 16 Heath</v>
      </c>
      <c r="C227" s="4">
        <f>VLOOKUP(B227,AU$2:AY$22,4,FALSE)</f>
        <v>2385.0033796686489</v>
      </c>
      <c r="D227" s="4">
        <f>IF(A227=B218,B233,IF(A227=D218,D233,C227))</f>
        <v>2390.8708518918388</v>
      </c>
      <c r="G227" s="4">
        <f>IF(A227=E218,E233,IF(A227=G218,G233,D227))</f>
        <v>2390.8708518918388</v>
      </c>
      <c r="J227" s="4">
        <f>IF(A227=H218,H233,IF(A227=J218,J233,G227))</f>
        <v>2402.3375292126752</v>
      </c>
      <c r="U227" s="128"/>
      <c r="V227" s="128">
        <v>1</v>
      </c>
      <c r="W227" s="4" t="str">
        <f>X210</f>
        <v>Beaufort16 Club</v>
      </c>
      <c r="X227" s="4">
        <f>VLOOKUP(W227,AU$2:AY$22,4,FALSE)</f>
        <v>2245.8480710664699</v>
      </c>
      <c r="Y227" s="4">
        <f>IF(V227=W218,W233,IF(V227=Y218,Y233,X227))</f>
        <v>2251.5922032356007</v>
      </c>
      <c r="AB227" s="4">
        <f>IF(V227=Z218,Z233,IF(V227=AB218,AB233,Y227))</f>
        <v>2251.5922032356007</v>
      </c>
      <c r="AE227" s="4">
        <f>IF(V227=AC218,AC233,IF(V227=AE218,AE233,AB227))</f>
        <v>2266.7639928315944</v>
      </c>
      <c r="AT227" s="4" t="str">
        <f>B228</f>
        <v>Agema16U</v>
      </c>
      <c r="AU227" s="4">
        <f>J228</f>
        <v>2278.1955182796933</v>
      </c>
      <c r="AW227" s="57"/>
      <c r="AX227" s="54"/>
      <c r="AY227" s="54"/>
      <c r="AZ227" s="54"/>
      <c r="BA227" s="54"/>
      <c r="BB227" s="57"/>
      <c r="BC227" s="54"/>
      <c r="BD227" s="54"/>
      <c r="BE227" s="57"/>
      <c r="BF227" s="54"/>
      <c r="BG227" s="54"/>
      <c r="BH227" s="57"/>
      <c r="BI227" s="54"/>
      <c r="BJ227" s="54"/>
      <c r="BK227" s="57"/>
      <c r="BL227" s="54"/>
      <c r="BM227" s="54"/>
      <c r="BN227" s="57"/>
      <c r="BO227" s="54"/>
      <c r="BP227" s="54"/>
      <c r="BQ227" s="57"/>
      <c r="BR227" s="54"/>
      <c r="BS227" s="54"/>
      <c r="BT227" s="57"/>
      <c r="BU227" s="54"/>
      <c r="BV227" s="54"/>
      <c r="BW227" s="57"/>
      <c r="BX227" s="54"/>
      <c r="BY227" s="54"/>
    </row>
    <row r="228" spans="1:77" hidden="1" x14ac:dyDescent="0.2">
      <c r="A228" s="4">
        <v>2</v>
      </c>
      <c r="B228" s="4" t="str">
        <f>B211</f>
        <v>Agema16U</v>
      </c>
      <c r="C228" s="4">
        <f>VLOOKUP(B228,AU$2:AY$22,4,FALSE)</f>
        <v>2284.1470297422529</v>
      </c>
      <c r="D228" s="4">
        <f>IF(A228=B218,B233,IF(A228=D218,D233,C228))</f>
        <v>2284.1470297422529</v>
      </c>
      <c r="G228" s="4">
        <f>IF(A228=E218,E233,IF(A228=G218,G233,D228))</f>
        <v>2289.6621956005297</v>
      </c>
      <c r="J228" s="4">
        <f>IF(A228=H218,H233,IF(A228=J218,J233,G228))</f>
        <v>2278.1955182796933</v>
      </c>
      <c r="U228" s="128"/>
      <c r="V228" s="128">
        <v>2</v>
      </c>
      <c r="W228" s="4" t="str">
        <f>X211</f>
        <v>SC Midlands 16 Black</v>
      </c>
      <c r="X228" s="4">
        <f>VLOOKUP(W228,AU$2:AY$22,4,FALSE)</f>
        <v>2228.3137729922109</v>
      </c>
      <c r="Y228" s="4">
        <f>IF(V228=W218,W233,IF(V228=Y218,Y233,X228))</f>
        <v>2228.3137729922109</v>
      </c>
      <c r="AB228" s="4">
        <f>IF(V228=Z218,Z233,IF(V228=AB218,AB233,Y228))</f>
        <v>2233.5917543732849</v>
      </c>
      <c r="AE228" s="4">
        <f>IF(V228=AC218,AC233,IF(V228=AE218,AE233,AB228))</f>
        <v>2218.4199647772912</v>
      </c>
      <c r="AT228" s="4" t="str">
        <f>B229</f>
        <v>CSRA Heat 16 Red</v>
      </c>
      <c r="AU228" s="4">
        <f>J229</f>
        <v>2167.0306689877511</v>
      </c>
      <c r="AW228" s="57"/>
      <c r="AX228" s="54"/>
      <c r="AY228" s="54"/>
      <c r="AZ228" s="54"/>
      <c r="BA228" s="54"/>
      <c r="BB228" s="57"/>
      <c r="BC228" s="54"/>
      <c r="BD228" s="54"/>
      <c r="BE228" s="57"/>
      <c r="BF228" s="54"/>
      <c r="BG228" s="54"/>
      <c r="BH228" s="57"/>
      <c r="BI228" s="54"/>
      <c r="BJ228" s="54"/>
      <c r="BK228" s="57"/>
      <c r="BL228" s="54"/>
      <c r="BM228" s="54"/>
      <c r="BN228" s="57"/>
      <c r="BO228" s="54"/>
      <c r="BP228" s="54"/>
      <c r="BQ228" s="57"/>
      <c r="BR228" s="54"/>
      <c r="BS228" s="54"/>
      <c r="BT228" s="57"/>
      <c r="BU228" s="54"/>
      <c r="BV228" s="54"/>
      <c r="BW228" s="57"/>
      <c r="BX228" s="54"/>
      <c r="BY228" s="54"/>
    </row>
    <row r="229" spans="1:77" hidden="1" x14ac:dyDescent="0.2">
      <c r="A229" s="4">
        <v>3</v>
      </c>
      <c r="B229" s="4" t="str">
        <f>B212</f>
        <v>CSRA Heat 16 Red</v>
      </c>
      <c r="C229" s="4">
        <f>VLOOKUP(B229,AU$2:AY$22,4,FALSE)</f>
        <v>2172.5458348460279</v>
      </c>
      <c r="D229" s="4">
        <f>IF(A229=B218,B233,IF(A229=D218,D233,C229))</f>
        <v>2172.5458348460279</v>
      </c>
      <c r="G229" s="4">
        <f>IF(A229=E218,E233,IF(A229=G218,G233,D229))</f>
        <v>2167.0306689877511</v>
      </c>
      <c r="J229" s="4">
        <f>IF(A229=H218,H233,IF(A229=J218,J233,G229))</f>
        <v>2167.0306689877511</v>
      </c>
      <c r="U229" s="128"/>
      <c r="V229" s="128">
        <v>3</v>
      </c>
      <c r="W229" s="4" t="str">
        <f>X212</f>
        <v>SC Midlands 16 Garnet</v>
      </c>
      <c r="X229" s="4">
        <f>VLOOKUP(W229,AU$2:AY$22,4,FALSE)</f>
        <v>2105.1902917103066</v>
      </c>
      <c r="Y229" s="4">
        <f>IF(V229=W218,W233,IF(V229=Y218,Y233,X229))</f>
        <v>2105.1902917103066</v>
      </c>
      <c r="AB229" s="4">
        <f>IF(V229=Z218,Z233,IF(V229=AB218,AB233,Y229))</f>
        <v>2099.9123103292327</v>
      </c>
      <c r="AE229" s="4">
        <f>IF(V229=AC218,AC233,IF(V229=AE218,AE233,AB229))</f>
        <v>2099.9123103292327</v>
      </c>
      <c r="AT229" s="4" t="str">
        <f>B230</f>
        <v>CSRA Heat 16 Black</v>
      </c>
      <c r="AU229" s="4">
        <f>J230</f>
        <v>2284.2292031823108</v>
      </c>
      <c r="AW229" s="57"/>
      <c r="AX229" s="54"/>
      <c r="AY229" s="54"/>
      <c r="AZ229" s="54"/>
      <c r="BA229" s="54"/>
      <c r="BB229" s="57"/>
      <c r="BC229" s="54"/>
      <c r="BD229" s="54"/>
      <c r="BE229" s="57"/>
      <c r="BF229" s="54"/>
      <c r="BG229" s="54"/>
      <c r="BH229" s="57"/>
      <c r="BI229" s="54"/>
      <c r="BJ229" s="54"/>
      <c r="BK229" s="57"/>
      <c r="BL229" s="54"/>
      <c r="BM229" s="54"/>
      <c r="BN229" s="57"/>
      <c r="BO229" s="54"/>
      <c r="BP229" s="54"/>
      <c r="BQ229" s="57"/>
      <c r="BR229" s="54"/>
      <c r="BS229" s="54"/>
      <c r="BT229" s="57"/>
      <c r="BU229" s="54"/>
      <c r="BV229" s="54"/>
      <c r="BW229" s="57"/>
      <c r="BX229" s="54"/>
      <c r="BY229" s="54"/>
    </row>
    <row r="230" spans="1:77" hidden="1" x14ac:dyDescent="0.2">
      <c r="A230" s="4">
        <v>4</v>
      </c>
      <c r="B230" s="4" t="str">
        <f>B213</f>
        <v>CSRA Heat 16 Black</v>
      </c>
      <c r="C230" s="4">
        <f>VLOOKUP(B230,AU$2:AY$22,4,FALSE)</f>
        <v>2290.0966754055007</v>
      </c>
      <c r="D230" s="4">
        <f>IF(A230=B218,B233,IF(A230=D218,D233,C230))</f>
        <v>2284.2292031823108</v>
      </c>
      <c r="G230" s="4">
        <f>IF(A230=E218,E233,IF(A230=G218,G233,D230))</f>
        <v>2284.2292031823108</v>
      </c>
      <c r="J230" s="4">
        <f>IF(A230=H218,H233,IF(A230=J218,J233,G230))</f>
        <v>2284.2292031823108</v>
      </c>
      <c r="U230" s="128"/>
      <c r="V230" s="128">
        <v>4</v>
      </c>
      <c r="W230" s="4" t="str">
        <f>X213</f>
        <v>Vision 16 Regional</v>
      </c>
      <c r="X230" s="4">
        <f>VLOOKUP(W230,AU$2:AY$22,4,FALSE)</f>
        <v>2145.14887459797</v>
      </c>
      <c r="Y230" s="4">
        <f>IF(V230=W218,W233,IF(V230=Y218,Y233,X230))</f>
        <v>2139.4047424288392</v>
      </c>
      <c r="AB230" s="4">
        <f>IF(V230=Z218,Z233,IF(V230=AB218,AB233,Y230))</f>
        <v>2139.4047424288392</v>
      </c>
      <c r="AE230" s="4">
        <f>IF(V230=AC218,AC233,IF(V230=AE218,AE233,AB230))</f>
        <v>2139.4047424288392</v>
      </c>
      <c r="AT230" s="4" t="str">
        <f>W227</f>
        <v>Beaufort16 Club</v>
      </c>
      <c r="AU230" s="4">
        <f>AE227</f>
        <v>2266.7639928315944</v>
      </c>
      <c r="AW230" s="57"/>
      <c r="AX230" s="54"/>
      <c r="AY230" s="54"/>
      <c r="AZ230" s="54"/>
      <c r="BA230" s="54"/>
      <c r="BB230" s="57"/>
      <c r="BC230" s="54"/>
      <c r="BD230" s="54"/>
      <c r="BE230" s="57"/>
      <c r="BF230" s="54"/>
      <c r="BG230" s="54"/>
      <c r="BH230" s="57"/>
      <c r="BI230" s="54"/>
      <c r="BJ230" s="54"/>
      <c r="BK230" s="57"/>
      <c r="BL230" s="54"/>
      <c r="BM230" s="54"/>
      <c r="BN230" s="57"/>
      <c r="BO230" s="54"/>
      <c r="BP230" s="54"/>
      <c r="BQ230" s="57"/>
      <c r="BR230" s="54"/>
      <c r="BS230" s="54"/>
      <c r="BT230" s="57"/>
      <c r="BU230" s="54"/>
      <c r="BV230" s="54"/>
      <c r="BW230" s="57"/>
      <c r="BX230" s="54"/>
      <c r="BY230" s="54"/>
    </row>
    <row r="231" spans="1:77" hidden="1" x14ac:dyDescent="0.2">
      <c r="A231" s="4" t="s">
        <v>114</v>
      </c>
      <c r="B231" s="4">
        <f>VLOOKUP(B218,$A227:$J230,3,FALSE)</f>
        <v>2385.0033796686489</v>
      </c>
      <c r="D231" s="4">
        <f>VLOOKUP(D218,$A227:$J230,3,FALSE)</f>
        <v>2290.0966754055007</v>
      </c>
      <c r="E231" s="4">
        <f>VLOOKUP(E218,$A227:$J230,4,FALSE)</f>
        <v>2284.1470297422529</v>
      </c>
      <c r="G231" s="4">
        <f>VLOOKUP(G218,$A227:$J230,4,FALSE)</f>
        <v>2172.5458348460279</v>
      </c>
      <c r="H231" s="4">
        <f>VLOOKUP(H218,$A227:$J230,7,FALSE)</f>
        <v>2390.8708518918388</v>
      </c>
      <c r="J231" s="4">
        <f>VLOOKUP(J218,$A227:$J230,7,FALSE)</f>
        <v>2289.6621956005297</v>
      </c>
      <c r="T231" s="595" t="s">
        <v>114</v>
      </c>
      <c r="U231" s="595"/>
      <c r="V231" s="595"/>
      <c r="W231" s="4">
        <f>VLOOKUP(W218,$V227:$AE230,3,FALSE)</f>
        <v>2245.8480710664699</v>
      </c>
      <c r="Y231" s="4">
        <f>VLOOKUP(Y218,$V227:$AE230,3,FALSE)</f>
        <v>2145.14887459797</v>
      </c>
      <c r="Z231" s="4">
        <f>VLOOKUP(Z218,$V227:$AE230,4,FALSE)</f>
        <v>2228.3137729922109</v>
      </c>
      <c r="AB231" s="4">
        <f>VLOOKUP(AB218,$V227:$AE230,4,FALSE)</f>
        <v>2105.1902917103066</v>
      </c>
      <c r="AC231" s="4">
        <f>VLOOKUP(AC218,$V227:$AE230,7,FALSE)</f>
        <v>2251.5922032356007</v>
      </c>
      <c r="AE231" s="4">
        <f>VLOOKUP(AE218,$V227:$AE230,7,FALSE)</f>
        <v>2233.5917543732849</v>
      </c>
      <c r="AT231" s="4" t="str">
        <f>W228</f>
        <v>SC Midlands 16 Black</v>
      </c>
      <c r="AU231" s="4">
        <f>AE228</f>
        <v>2218.4199647772912</v>
      </c>
      <c r="AW231" s="57"/>
      <c r="AX231" s="54"/>
      <c r="AY231" s="54"/>
      <c r="AZ231" s="54"/>
      <c r="BA231" s="54"/>
      <c r="BB231" s="57"/>
      <c r="BC231" s="54"/>
      <c r="BD231" s="54"/>
      <c r="BE231" s="57"/>
      <c r="BF231" s="54"/>
      <c r="BG231" s="54"/>
      <c r="BH231" s="57"/>
      <c r="BI231" s="54"/>
      <c r="BJ231" s="54"/>
      <c r="BK231" s="57"/>
      <c r="BL231" s="54"/>
      <c r="BM231" s="54"/>
      <c r="BN231" s="57"/>
      <c r="BO231" s="54"/>
      <c r="BP231" s="54"/>
      <c r="BQ231" s="57"/>
      <c r="BR231" s="54"/>
      <c r="BS231" s="54"/>
      <c r="BT231" s="57"/>
      <c r="BU231" s="54"/>
      <c r="BV231" s="54"/>
      <c r="BW231" s="57"/>
      <c r="BX231" s="54"/>
      <c r="BY231" s="54"/>
    </row>
    <row r="232" spans="1:77" hidden="1" x14ac:dyDescent="0.2">
      <c r="A232" s="68" t="s">
        <v>115</v>
      </c>
      <c r="B232" s="68">
        <f>1/(1+(10^-((B231-D231)/400)))*(B222+D222)</f>
        <v>0.63328298605062061</v>
      </c>
      <c r="C232" s="68"/>
      <c r="D232" s="68">
        <f>1/(1+(10^-((D231-B231)/400)))*(B222+D222)</f>
        <v>0.36671701394937933</v>
      </c>
      <c r="E232" s="68">
        <f>1/(1+(10^-((E231-G231)/400)))*(E222+G222)</f>
        <v>0.65530213385771185</v>
      </c>
      <c r="G232" s="68">
        <f>1/(1+(10^-((G231-E231)/400)))*(E222+G222)</f>
        <v>0.34469786614228815</v>
      </c>
      <c r="H232" s="68">
        <f>1/(1+(10^-((H231-J231)/400)))*(H222+J222)</f>
        <v>1.2833326674477294</v>
      </c>
      <c r="J232" s="68">
        <f>1/(1+(10^-((J231-H231)/400)))*(H222+J222)</f>
        <v>0.71666733255227066</v>
      </c>
      <c r="T232" s="596" t="s">
        <v>115</v>
      </c>
      <c r="U232" s="596"/>
      <c r="V232" s="596"/>
      <c r="W232" s="68">
        <f>1/(1+(10^-((W231-Y231)/400)))*(W222+Y222)</f>
        <v>0.64099173942931165</v>
      </c>
      <c r="X232" s="68"/>
      <c r="Y232" s="68">
        <f>1/(1+(10^-((Y231-W231)/400)))*(W222+Y222)</f>
        <v>0.35900826057068846</v>
      </c>
      <c r="Z232" s="68">
        <f>1/(1+(10^-((Z231-AB231)/400)))*(Z222+AB222)</f>
        <v>0.67012616368289157</v>
      </c>
      <c r="AB232" s="68">
        <f>1/(1+(10^-((AB231-Z231)/400)))*(Z222+AB222)</f>
        <v>0.32987383631710843</v>
      </c>
      <c r="AC232" s="68">
        <f>1/(1+(10^-((AC231-AE231)/400)))*(AC222+AE222)</f>
        <v>1.0517631502503939</v>
      </c>
      <c r="AE232" s="68">
        <f>1/(1+(10^-((AE231-AC231)/400)))*(AC222+AE222)</f>
        <v>0.94823684974960598</v>
      </c>
      <c r="AT232" s="4" t="str">
        <f>W229</f>
        <v>SC Midlands 16 Garnet</v>
      </c>
      <c r="AU232" s="4">
        <f>AE229</f>
        <v>2099.9123103292327</v>
      </c>
      <c r="AW232" s="57"/>
      <c r="AX232" s="54"/>
      <c r="AY232" s="54"/>
      <c r="AZ232" s="54"/>
      <c r="BA232" s="54"/>
      <c r="BB232" s="57"/>
      <c r="BC232" s="54"/>
      <c r="BD232" s="54"/>
      <c r="BE232" s="57"/>
      <c r="BF232" s="54"/>
      <c r="BG232" s="54"/>
      <c r="BH232" s="57"/>
      <c r="BI232" s="54"/>
      <c r="BJ232" s="54"/>
      <c r="BK232" s="57"/>
      <c r="BL232" s="54"/>
      <c r="BM232" s="54"/>
      <c r="BN232" s="57"/>
      <c r="BO232" s="54"/>
      <c r="BP232" s="54"/>
      <c r="BQ232" s="57"/>
      <c r="BR232" s="54"/>
      <c r="BS232" s="54"/>
      <c r="BT232" s="57"/>
      <c r="BU232" s="54"/>
      <c r="BV232" s="54"/>
      <c r="BW232" s="57"/>
      <c r="BX232" s="54"/>
      <c r="BY232" s="54"/>
    </row>
    <row r="233" spans="1:77" hidden="1" x14ac:dyDescent="0.2">
      <c r="A233" s="74" t="s">
        <v>116</v>
      </c>
      <c r="B233" s="74">
        <f>B231+(B222-B232)*$BA$2</f>
        <v>2390.8708518918388</v>
      </c>
      <c r="C233" s="74"/>
      <c r="D233" s="74">
        <f>D231+(D222-D232)*$BA$2</f>
        <v>2284.2292031823108</v>
      </c>
      <c r="E233" s="74">
        <f>E231+(E222-E232)*$BA$2</f>
        <v>2289.6621956005297</v>
      </c>
      <c r="G233" s="74">
        <f>G231+(G222-G232)*$BA$2</f>
        <v>2167.0306689877511</v>
      </c>
      <c r="H233" s="74">
        <f>H231+(H222-H232)*$BA$2</f>
        <v>2402.3375292126752</v>
      </c>
      <c r="J233" s="74">
        <f>J231+(J222-J232)*$BA$2</f>
        <v>2278.1955182796933</v>
      </c>
      <c r="T233" s="582" t="s">
        <v>116</v>
      </c>
      <c r="U233" s="582"/>
      <c r="V233" s="582"/>
      <c r="W233" s="74">
        <f>W231+(W222-W232)*$BA$2</f>
        <v>2251.5922032356007</v>
      </c>
      <c r="X233" s="74"/>
      <c r="Y233" s="74">
        <f>Y231+(Y222-Y232)*$BA$2</f>
        <v>2139.4047424288392</v>
      </c>
      <c r="Z233" s="74">
        <f>Z231+(Z222-Z232)*$BA$2</f>
        <v>2233.5917543732849</v>
      </c>
      <c r="AB233" s="74">
        <f>AB231+(AB222-AB232)*$BA$2</f>
        <v>2099.9123103292327</v>
      </c>
      <c r="AC233" s="74">
        <f>AC231+(AC222-AC232)*$BA$2</f>
        <v>2266.7639928315944</v>
      </c>
      <c r="AE233" s="74">
        <f>AE231+(AE222-AE232)*$BA$2</f>
        <v>2218.4199647772912</v>
      </c>
      <c r="AT233" s="4" t="str">
        <f>W230</f>
        <v>Vision 16 Regional</v>
      </c>
      <c r="AU233" s="4">
        <f>AE230</f>
        <v>2139.4047424288392</v>
      </c>
      <c r="AW233" s="57"/>
      <c r="AX233" s="54"/>
      <c r="AY233" s="54"/>
      <c r="AZ233" s="54"/>
      <c r="BA233" s="54"/>
      <c r="BB233" s="57"/>
      <c r="BC233" s="54"/>
      <c r="BD233" s="54"/>
      <c r="BE233" s="57"/>
      <c r="BF233" s="54"/>
      <c r="BG233" s="54"/>
      <c r="BH233" s="57"/>
      <c r="BI233" s="54"/>
      <c r="BJ233" s="54"/>
      <c r="BK233" s="57"/>
      <c r="BL233" s="54"/>
      <c r="BM233" s="54"/>
      <c r="BN233" s="57"/>
      <c r="BO233" s="54"/>
      <c r="BP233" s="54"/>
      <c r="BQ233" s="57"/>
      <c r="BR233" s="54"/>
      <c r="BS233" s="54"/>
      <c r="BT233" s="57"/>
      <c r="BU233" s="54"/>
      <c r="BV233" s="54"/>
      <c r="BW233" s="57"/>
      <c r="BX233" s="54"/>
      <c r="BY233" s="54"/>
    </row>
    <row r="234" spans="1:77" x14ac:dyDescent="0.2">
      <c r="A234" s="583" t="s">
        <v>167</v>
      </c>
      <c r="B234" s="583"/>
      <c r="C234" s="583"/>
      <c r="D234" s="583"/>
      <c r="E234" s="583"/>
      <c r="F234" s="583"/>
      <c r="G234" s="583"/>
      <c r="H234" s="583"/>
      <c r="I234" s="583"/>
      <c r="J234" s="583"/>
      <c r="K234" s="583"/>
      <c r="L234" s="583"/>
      <c r="M234" s="583"/>
      <c r="R234" s="101"/>
      <c r="S234" s="101"/>
      <c r="T234" s="121"/>
      <c r="U234" s="121"/>
      <c r="V234" s="583" t="s">
        <v>167</v>
      </c>
      <c r="W234" s="583"/>
      <c r="X234" s="583"/>
      <c r="Y234" s="583"/>
      <c r="Z234" s="583"/>
      <c r="AA234" s="583"/>
      <c r="AB234" s="583"/>
      <c r="AC234" s="583"/>
      <c r="AD234" s="583"/>
      <c r="AE234" s="583"/>
      <c r="AF234" s="583"/>
      <c r="AG234" s="583"/>
      <c r="AH234" s="101"/>
      <c r="AI234" s="101"/>
      <c r="AJ234" s="101"/>
      <c r="AW234" s="57"/>
      <c r="AX234" s="54"/>
      <c r="AY234" s="54"/>
      <c r="AZ234" s="54"/>
      <c r="BA234" s="54"/>
    </row>
    <row r="235" spans="1:77" x14ac:dyDescent="0.2">
      <c r="AT235" s="54"/>
      <c r="AU235" s="54"/>
      <c r="AV235" s="54"/>
      <c r="AW235" s="57"/>
      <c r="AX235" s="54"/>
      <c r="AY235" s="54"/>
      <c r="AZ235" s="54"/>
      <c r="BA235" s="54"/>
    </row>
    <row r="236" spans="1:77" x14ac:dyDescent="0.2">
      <c r="AT236" s="54"/>
      <c r="AU236" s="54"/>
      <c r="AV236" s="54"/>
      <c r="AW236" s="57"/>
      <c r="AX236" s="54"/>
      <c r="AY236" s="54"/>
      <c r="AZ236" s="54"/>
      <c r="BA236" s="54"/>
    </row>
    <row r="237" spans="1:77" x14ac:dyDescent="0.2">
      <c r="AT237" s="54"/>
      <c r="AU237" s="54"/>
      <c r="AV237" s="54"/>
      <c r="AW237" s="57"/>
      <c r="AX237" s="54"/>
      <c r="AY237" s="54"/>
      <c r="AZ237" s="54"/>
      <c r="BA237" s="54"/>
    </row>
    <row r="238" spans="1:77" x14ac:dyDescent="0.2">
      <c r="AT238" s="54"/>
      <c r="AU238" s="54"/>
      <c r="AV238" s="54"/>
      <c r="AW238" s="57"/>
      <c r="AX238" s="54"/>
      <c r="AY238" s="54"/>
      <c r="AZ238" s="54"/>
      <c r="BA238" s="54"/>
    </row>
    <row r="239" spans="1:77" x14ac:dyDescent="0.2">
      <c r="AT239" s="54"/>
      <c r="AU239" s="54"/>
      <c r="AV239" s="54"/>
      <c r="AW239" s="57"/>
      <c r="AX239" s="54"/>
      <c r="AY239" s="54"/>
      <c r="AZ239" s="54"/>
      <c r="BA239" s="54"/>
    </row>
    <row r="240" spans="1:77" x14ac:dyDescent="0.2">
      <c r="AT240" s="54"/>
      <c r="AU240" s="54"/>
      <c r="AV240" s="54"/>
      <c r="AW240" s="57"/>
      <c r="AX240" s="54"/>
      <c r="AY240" s="54"/>
      <c r="AZ240" s="54"/>
      <c r="BA240" s="54"/>
    </row>
    <row r="241" spans="46:53" x14ac:dyDescent="0.2">
      <c r="AT241" s="54"/>
      <c r="AU241" s="54"/>
      <c r="AV241" s="54"/>
      <c r="AW241" s="57"/>
      <c r="AX241" s="54"/>
      <c r="AY241" s="54"/>
      <c r="AZ241" s="54"/>
      <c r="BA241" s="54"/>
    </row>
    <row r="242" spans="46:53" x14ac:dyDescent="0.2">
      <c r="AT242" s="54"/>
      <c r="AU242" s="54"/>
      <c r="AV242" s="54"/>
      <c r="AW242" s="57"/>
      <c r="AX242" s="54"/>
      <c r="AY242" s="54"/>
      <c r="AZ242" s="54"/>
      <c r="BA242" s="54"/>
    </row>
    <row r="243" spans="46:53" x14ac:dyDescent="0.2">
      <c r="AT243" s="54"/>
      <c r="AU243" s="54"/>
      <c r="AV243" s="54"/>
      <c r="AW243" s="57"/>
      <c r="AX243" s="54"/>
      <c r="AY243" s="54"/>
      <c r="AZ243" s="54"/>
      <c r="BA243" s="54"/>
    </row>
    <row r="244" spans="46:53" x14ac:dyDescent="0.2">
      <c r="AT244" s="54"/>
      <c r="AU244" s="54"/>
      <c r="AV244" s="54"/>
      <c r="AW244" s="57"/>
      <c r="AX244" s="54"/>
      <c r="AY244" s="54"/>
      <c r="AZ244" s="54"/>
      <c r="BA244" s="54"/>
    </row>
    <row r="245" spans="46:53" x14ac:dyDescent="0.2">
      <c r="AT245" s="54"/>
      <c r="AU245" s="54"/>
      <c r="AV245" s="54"/>
      <c r="AW245" s="57"/>
      <c r="AX245" s="54"/>
      <c r="AY245" s="54"/>
      <c r="AZ245" s="54"/>
      <c r="BA245" s="54"/>
    </row>
    <row r="246" spans="46:53" x14ac:dyDescent="0.2">
      <c r="AT246" s="54"/>
      <c r="AU246" s="54"/>
      <c r="AV246" s="54"/>
      <c r="AW246" s="57"/>
      <c r="AX246" s="54"/>
      <c r="AY246" s="54"/>
      <c r="AZ246" s="54"/>
      <c r="BA246" s="54"/>
    </row>
    <row r="247" spans="46:53" x14ac:dyDescent="0.2">
      <c r="AT247" s="54"/>
      <c r="AU247" s="54"/>
      <c r="AV247" s="54"/>
    </row>
    <row r="248" spans="46:53" x14ac:dyDescent="0.2">
      <c r="AT248" s="54"/>
      <c r="AU248" s="54"/>
      <c r="AV248" s="54"/>
      <c r="AW248" s="65"/>
      <c r="AX248" s="62"/>
      <c r="AY248" s="62"/>
      <c r="AZ248" s="62"/>
      <c r="BA248" s="62"/>
    </row>
    <row r="249" spans="46:53" x14ac:dyDescent="0.2">
      <c r="AT249" s="54"/>
      <c r="AU249" s="54"/>
      <c r="AV249" s="54"/>
      <c r="AW249" s="65"/>
      <c r="AX249" s="62"/>
      <c r="AY249" s="62"/>
      <c r="AZ249" s="62"/>
      <c r="BA249" s="62"/>
    </row>
    <row r="250" spans="46:53" x14ac:dyDescent="0.2">
      <c r="AT250" s="54"/>
      <c r="AU250" s="54"/>
      <c r="AV250" s="54"/>
      <c r="AW250" s="65"/>
      <c r="AX250" s="62"/>
      <c r="AY250" s="62"/>
      <c r="AZ250" s="62"/>
      <c r="BA250" s="62"/>
    </row>
    <row r="251" spans="46:53" x14ac:dyDescent="0.2">
      <c r="AT251" s="54"/>
      <c r="AU251" s="54"/>
      <c r="AV251" s="54"/>
      <c r="AW251" s="65"/>
      <c r="AX251" s="62"/>
      <c r="AY251" s="62"/>
      <c r="AZ251" s="62"/>
      <c r="BA251" s="62"/>
    </row>
    <row r="252" spans="46:53" x14ac:dyDescent="0.2">
      <c r="AT252" s="54"/>
      <c r="AU252" s="54"/>
      <c r="AV252" s="54"/>
      <c r="AW252" s="65"/>
      <c r="AX252" s="62"/>
      <c r="AY252" s="62"/>
      <c r="AZ252" s="62"/>
      <c r="BA252" s="62"/>
    </row>
    <row r="253" spans="46:53" x14ac:dyDescent="0.2">
      <c r="AT253" s="54"/>
      <c r="AU253" s="54"/>
      <c r="AV253" s="54"/>
      <c r="AW253" s="65"/>
      <c r="AX253" s="62"/>
      <c r="AY253" s="62"/>
      <c r="AZ253" s="62"/>
      <c r="BA253" s="62"/>
    </row>
    <row r="254" spans="46:53" x14ac:dyDescent="0.2">
      <c r="AT254" s="54"/>
      <c r="AU254" s="54"/>
      <c r="AV254" s="54"/>
      <c r="AW254" s="65"/>
      <c r="AX254" s="62"/>
      <c r="AY254" s="62"/>
      <c r="AZ254" s="62"/>
      <c r="BA254" s="62"/>
    </row>
    <row r="255" spans="46:53" x14ac:dyDescent="0.2">
      <c r="AT255" s="54"/>
      <c r="AU255" s="54"/>
      <c r="AV255" s="54"/>
      <c r="AW255" s="65"/>
      <c r="AX255" s="62"/>
      <c r="AY255" s="62"/>
      <c r="AZ255" s="62"/>
      <c r="BA255" s="62"/>
    </row>
    <row r="256" spans="46:53" x14ac:dyDescent="0.2">
      <c r="AT256" s="54"/>
      <c r="AU256" s="54"/>
      <c r="AV256" s="54"/>
      <c r="AW256" s="72"/>
      <c r="AX256" s="71"/>
      <c r="AY256" s="71"/>
      <c r="AZ256" s="71"/>
      <c r="BA256" s="71"/>
    </row>
    <row r="257" spans="46:53" x14ac:dyDescent="0.2">
      <c r="AT257" s="54"/>
      <c r="AU257" s="54"/>
      <c r="AV257" s="54"/>
      <c r="AW257" s="78"/>
      <c r="AX257" s="77"/>
      <c r="AY257" s="77"/>
      <c r="AZ257" s="77"/>
      <c r="BA257" s="77"/>
    </row>
    <row r="258" spans="46:53" x14ac:dyDescent="0.2">
      <c r="AT258" s="54"/>
      <c r="AU258" s="54"/>
      <c r="AV258" s="54"/>
      <c r="AW258" s="78"/>
      <c r="AX258" s="77"/>
      <c r="AY258" s="77"/>
      <c r="AZ258" s="77"/>
      <c r="BA258" s="77"/>
    </row>
    <row r="259" spans="46:53" x14ac:dyDescent="0.2">
      <c r="AT259" s="54"/>
      <c r="AU259" s="54"/>
      <c r="AV259" s="54"/>
      <c r="AW259" s="65"/>
      <c r="AX259" s="62"/>
      <c r="AY259" s="62"/>
      <c r="AZ259" s="62"/>
      <c r="BA259" s="62"/>
    </row>
    <row r="260" spans="46:53" x14ac:dyDescent="0.2">
      <c r="AT260" s="62"/>
      <c r="AU260" s="62"/>
      <c r="AV260" s="62"/>
      <c r="AW260" s="65"/>
      <c r="AX260" s="62"/>
      <c r="AY260" s="62"/>
      <c r="AZ260" s="62"/>
      <c r="BA260" s="62"/>
    </row>
    <row r="261" spans="46:53" x14ac:dyDescent="0.2">
      <c r="AT261" s="62"/>
      <c r="AU261" s="62"/>
      <c r="AV261" s="62"/>
    </row>
    <row r="286" spans="46:53" x14ac:dyDescent="0.2">
      <c r="AT286" s="54"/>
      <c r="AU286" s="54"/>
      <c r="AV286" s="54"/>
      <c r="AW286" s="57"/>
      <c r="AX286" s="54"/>
      <c r="AY286" s="54"/>
      <c r="AZ286" s="54"/>
      <c r="BA286" s="54"/>
    </row>
    <row r="287" spans="46:53" x14ac:dyDescent="0.2">
      <c r="AT287" s="54"/>
      <c r="AU287" s="54"/>
      <c r="AV287" s="54"/>
      <c r="AW287" s="57"/>
      <c r="AX287" s="54"/>
      <c r="AY287" s="54"/>
      <c r="AZ287" s="54"/>
      <c r="BA287" s="54"/>
    </row>
    <row r="288" spans="46:53" x14ac:dyDescent="0.2">
      <c r="AT288" s="54"/>
      <c r="AU288" s="54"/>
      <c r="AV288" s="54"/>
      <c r="AW288" s="57"/>
      <c r="AX288" s="54"/>
      <c r="AY288" s="54"/>
      <c r="AZ288" s="54"/>
      <c r="BA288" s="54"/>
    </row>
    <row r="289" spans="46:53" x14ac:dyDescent="0.2">
      <c r="AT289" s="54"/>
      <c r="AU289" s="54"/>
      <c r="AV289" s="54"/>
      <c r="AW289" s="57"/>
      <c r="AX289" s="54"/>
      <c r="AY289" s="54"/>
      <c r="AZ289" s="54"/>
      <c r="BA289" s="54"/>
    </row>
    <row r="290" spans="46:53" x14ac:dyDescent="0.2">
      <c r="AT290" s="54"/>
      <c r="AU290" s="54"/>
      <c r="AV290" s="54"/>
      <c r="AW290" s="57"/>
      <c r="AX290" s="54"/>
      <c r="AY290" s="54"/>
      <c r="AZ290" s="54"/>
      <c r="BA290" s="54"/>
    </row>
    <row r="291" spans="46:53" x14ac:dyDescent="0.2">
      <c r="AT291" s="54"/>
      <c r="AU291" s="54"/>
      <c r="AV291" s="54"/>
      <c r="AW291" s="57"/>
      <c r="AX291" s="54"/>
      <c r="AY291" s="54"/>
      <c r="AZ291" s="54"/>
      <c r="BA291" s="54"/>
    </row>
    <row r="292" spans="46:53" x14ac:dyDescent="0.2">
      <c r="AT292" s="54"/>
      <c r="AU292" s="54"/>
      <c r="AV292" s="54"/>
      <c r="AW292" s="57"/>
      <c r="AX292" s="54"/>
      <c r="AY292" s="54"/>
      <c r="AZ292" s="54"/>
      <c r="BA292" s="54"/>
    </row>
    <row r="293" spans="46:53" x14ac:dyDescent="0.2">
      <c r="AT293" s="54"/>
      <c r="AU293" s="54"/>
      <c r="AV293" s="54"/>
      <c r="AW293" s="57"/>
      <c r="AX293" s="54"/>
      <c r="AY293" s="54"/>
      <c r="AZ293" s="54"/>
      <c r="BA293" s="54"/>
    </row>
    <row r="294" spans="46:53" x14ac:dyDescent="0.2">
      <c r="AT294" s="54"/>
      <c r="AU294" s="54"/>
      <c r="AV294" s="54"/>
      <c r="AW294" s="57"/>
      <c r="AX294" s="54"/>
      <c r="AY294" s="54"/>
      <c r="AZ294" s="54"/>
      <c r="BA294" s="54"/>
    </row>
    <row r="295" spans="46:53" x14ac:dyDescent="0.2">
      <c r="AT295" s="54"/>
      <c r="AU295" s="54"/>
      <c r="AV295" s="54"/>
      <c r="AW295" s="57"/>
      <c r="AX295" s="54"/>
      <c r="AY295" s="54"/>
      <c r="AZ295" s="54"/>
      <c r="BA295" s="54"/>
    </row>
    <row r="296" spans="46:53" x14ac:dyDescent="0.2">
      <c r="AT296" s="54"/>
      <c r="AU296" s="54"/>
      <c r="AV296" s="54"/>
      <c r="AW296" s="57"/>
      <c r="AX296" s="54"/>
      <c r="AY296" s="54"/>
      <c r="AZ296" s="54"/>
      <c r="BA296" s="54"/>
    </row>
    <row r="297" spans="46:53" x14ac:dyDescent="0.2">
      <c r="AT297" s="54"/>
      <c r="AU297" s="54"/>
      <c r="AV297" s="54"/>
      <c r="AW297" s="57"/>
      <c r="AX297" s="54"/>
      <c r="AY297" s="54"/>
      <c r="AZ297" s="54"/>
      <c r="BA297" s="54"/>
    </row>
    <row r="298" spans="46:53" x14ac:dyDescent="0.2">
      <c r="AT298" s="54"/>
      <c r="AU298" s="54"/>
      <c r="AV298" s="54"/>
      <c r="AW298" s="57"/>
      <c r="AX298" s="54"/>
      <c r="AY298" s="54"/>
      <c r="AZ298" s="54"/>
      <c r="BA298" s="54"/>
    </row>
    <row r="299" spans="46:53" x14ac:dyDescent="0.2">
      <c r="AT299" s="54"/>
      <c r="AU299" s="54"/>
      <c r="AV299" s="54"/>
      <c r="AW299" s="57"/>
      <c r="AX299" s="54"/>
      <c r="AY299" s="54"/>
      <c r="AZ299" s="54"/>
      <c r="BA299" s="54"/>
    </row>
    <row r="300" spans="46:53" x14ac:dyDescent="0.2">
      <c r="AT300" s="54"/>
      <c r="AU300" s="54"/>
      <c r="AV300" s="54"/>
      <c r="AW300" s="57"/>
      <c r="AX300" s="54"/>
      <c r="AY300" s="54"/>
      <c r="AZ300" s="54"/>
      <c r="BA300" s="54"/>
    </row>
    <row r="301" spans="46:53" x14ac:dyDescent="0.2">
      <c r="AT301" s="54"/>
      <c r="AU301" s="54"/>
      <c r="AV301" s="54"/>
      <c r="AW301" s="57"/>
      <c r="AX301" s="54"/>
      <c r="AY301" s="54"/>
      <c r="AZ301" s="54"/>
      <c r="BA301" s="54"/>
    </row>
    <row r="302" spans="46:53" x14ac:dyDescent="0.2">
      <c r="AT302" s="54"/>
      <c r="AU302" s="54"/>
      <c r="AV302" s="54"/>
      <c r="AW302" s="57"/>
      <c r="AX302" s="54"/>
      <c r="AY302" s="54"/>
      <c r="AZ302" s="54"/>
      <c r="BA302" s="54"/>
    </row>
    <row r="303" spans="46:53" x14ac:dyDescent="0.2">
      <c r="AT303" s="54"/>
      <c r="AU303" s="54"/>
      <c r="AV303" s="54"/>
      <c r="AW303" s="57"/>
      <c r="AX303" s="54"/>
      <c r="AY303" s="54"/>
      <c r="AZ303" s="54"/>
      <c r="BA303" s="54"/>
    </row>
    <row r="304" spans="46:53" x14ac:dyDescent="0.2">
      <c r="AT304" s="54"/>
      <c r="AU304" s="54"/>
      <c r="AV304" s="54"/>
      <c r="AW304" s="57"/>
      <c r="AX304" s="54"/>
      <c r="AY304" s="54"/>
      <c r="AZ304" s="54"/>
      <c r="BA304" s="54"/>
    </row>
    <row r="305" spans="46:53" x14ac:dyDescent="0.2">
      <c r="AT305" s="54"/>
      <c r="AU305" s="54"/>
      <c r="AV305" s="54"/>
      <c r="AW305" s="57"/>
      <c r="AX305" s="54"/>
      <c r="AY305" s="54"/>
      <c r="AZ305" s="54"/>
      <c r="BA305" s="54"/>
    </row>
    <row r="306" spans="46:53" x14ac:dyDescent="0.2">
      <c r="AT306" s="54"/>
      <c r="AU306" s="54"/>
      <c r="AV306" s="54"/>
      <c r="AW306" s="57"/>
      <c r="AX306" s="54"/>
      <c r="AY306" s="54"/>
      <c r="AZ306" s="54"/>
      <c r="BA306" s="54"/>
    </row>
    <row r="307" spans="46:53" x14ac:dyDescent="0.2">
      <c r="AT307" s="54"/>
      <c r="AU307" s="54"/>
      <c r="AV307" s="54"/>
      <c r="AW307" s="57"/>
      <c r="AX307" s="54"/>
      <c r="AY307" s="54"/>
      <c r="AZ307" s="54"/>
      <c r="BA307" s="54"/>
    </row>
    <row r="308" spans="46:53" x14ac:dyDescent="0.2">
      <c r="AT308" s="54"/>
      <c r="AU308" s="54"/>
      <c r="AV308" s="54"/>
      <c r="AW308" s="57"/>
      <c r="AX308" s="54"/>
      <c r="AY308" s="54"/>
      <c r="AZ308" s="54"/>
      <c r="BA308" s="54"/>
    </row>
    <row r="309" spans="46:53" x14ac:dyDescent="0.2">
      <c r="AT309" s="54"/>
      <c r="AU309" s="54"/>
      <c r="AV309" s="54"/>
      <c r="AW309" s="57"/>
      <c r="AX309" s="54"/>
      <c r="AY309" s="54"/>
      <c r="AZ309" s="54"/>
      <c r="BA309" s="54"/>
    </row>
    <row r="310" spans="46:53" x14ac:dyDescent="0.2">
      <c r="AT310" s="54"/>
      <c r="AU310" s="54"/>
      <c r="AV310" s="54"/>
      <c r="AW310" s="57"/>
      <c r="AX310" s="54"/>
      <c r="AY310" s="54"/>
      <c r="AZ310" s="54"/>
      <c r="BA310" s="54"/>
    </row>
    <row r="311" spans="46:53" x14ac:dyDescent="0.2">
      <c r="AT311" s="54"/>
      <c r="AU311" s="54"/>
      <c r="AV311" s="54"/>
      <c r="AW311" s="57"/>
      <c r="AX311" s="54"/>
      <c r="AY311" s="54"/>
      <c r="AZ311" s="54"/>
      <c r="BA311" s="54"/>
    </row>
    <row r="312" spans="46:53" x14ac:dyDescent="0.2">
      <c r="AT312" s="54"/>
      <c r="AU312" s="54"/>
      <c r="AV312" s="54"/>
      <c r="AW312" s="57"/>
      <c r="AX312" s="54"/>
      <c r="AY312" s="54"/>
      <c r="AZ312" s="54"/>
      <c r="BA312" s="54"/>
    </row>
    <row r="313" spans="46:53" x14ac:dyDescent="0.2">
      <c r="AT313" s="54"/>
      <c r="AU313" s="54"/>
      <c r="AV313" s="54"/>
      <c r="AW313" s="57"/>
      <c r="AX313" s="54"/>
      <c r="AY313" s="54"/>
      <c r="AZ313" s="54"/>
      <c r="BA313" s="54"/>
    </row>
    <row r="314" spans="46:53" x14ac:dyDescent="0.2">
      <c r="AT314" s="54"/>
      <c r="AU314" s="54"/>
      <c r="AV314" s="54"/>
      <c r="AW314" s="57"/>
      <c r="AX314" s="54"/>
      <c r="AY314" s="54"/>
      <c r="AZ314" s="54"/>
      <c r="BA314" s="54"/>
    </row>
    <row r="315" spans="46:53" x14ac:dyDescent="0.2">
      <c r="AT315" s="54"/>
      <c r="AU315" s="54"/>
      <c r="AV315" s="54"/>
      <c r="AW315" s="57"/>
      <c r="AX315" s="54"/>
      <c r="AY315" s="54"/>
      <c r="AZ315" s="54"/>
      <c r="BA315" s="54"/>
    </row>
    <row r="316" spans="46:53" x14ac:dyDescent="0.2">
      <c r="AT316" s="54"/>
      <c r="AU316" s="54"/>
      <c r="AV316" s="54"/>
      <c r="AW316" s="57"/>
      <c r="AX316" s="54"/>
      <c r="AY316" s="54"/>
      <c r="AZ316" s="54"/>
      <c r="BA316" s="54"/>
    </row>
    <row r="317" spans="46:53" x14ac:dyDescent="0.2">
      <c r="AT317" s="54"/>
      <c r="AU317" s="54"/>
      <c r="AV317" s="54"/>
      <c r="AW317" s="57"/>
      <c r="AX317" s="54"/>
      <c r="AY317" s="54"/>
      <c r="AZ317" s="54"/>
      <c r="BA317" s="54"/>
    </row>
    <row r="318" spans="46:53" x14ac:dyDescent="0.2">
      <c r="AT318" s="54"/>
      <c r="AU318" s="54"/>
      <c r="AV318" s="54"/>
      <c r="AW318" s="57"/>
      <c r="AX318" s="54"/>
      <c r="AY318" s="54"/>
      <c r="AZ318" s="54"/>
      <c r="BA318" s="54"/>
    </row>
    <row r="319" spans="46:53" x14ac:dyDescent="0.2">
      <c r="AT319" s="54"/>
      <c r="AU319" s="54"/>
      <c r="AV319" s="54"/>
      <c r="AW319" s="57"/>
      <c r="AX319" s="54"/>
      <c r="AY319" s="54"/>
      <c r="AZ319" s="54"/>
      <c r="BA319" s="54"/>
    </row>
    <row r="320" spans="46:53" x14ac:dyDescent="0.2">
      <c r="AT320" s="54"/>
      <c r="AU320" s="54"/>
      <c r="AV320" s="54"/>
      <c r="AW320" s="57"/>
      <c r="AX320" s="54"/>
      <c r="AY320" s="54"/>
      <c r="AZ320" s="54"/>
      <c r="BA320" s="54"/>
    </row>
    <row r="321" spans="46:53" x14ac:dyDescent="0.2">
      <c r="AT321" s="54"/>
      <c r="AU321" s="54"/>
      <c r="AV321" s="54"/>
      <c r="AW321" s="57"/>
      <c r="AX321" s="54"/>
      <c r="AY321" s="54"/>
      <c r="AZ321" s="54"/>
      <c r="BA321" s="54"/>
    </row>
    <row r="322" spans="46:53" x14ac:dyDescent="0.2">
      <c r="AT322" s="54"/>
      <c r="AU322" s="54"/>
      <c r="AV322" s="54"/>
      <c r="AW322" s="57"/>
      <c r="AX322" s="54"/>
      <c r="AY322" s="54"/>
      <c r="AZ322" s="54"/>
      <c r="BA322" s="54"/>
    </row>
    <row r="323" spans="46:53" x14ac:dyDescent="0.2">
      <c r="AT323" s="54"/>
      <c r="AU323" s="54"/>
      <c r="AV323" s="54"/>
      <c r="AW323" s="57"/>
      <c r="AX323" s="54"/>
      <c r="AY323" s="54"/>
      <c r="AZ323" s="54"/>
      <c r="BA323" s="54"/>
    </row>
    <row r="324" spans="46:53" x14ac:dyDescent="0.2">
      <c r="AT324" s="54"/>
      <c r="AU324" s="54"/>
      <c r="AV324" s="54"/>
      <c r="AW324" s="57"/>
      <c r="AX324" s="54"/>
      <c r="AY324" s="54"/>
      <c r="AZ324" s="54"/>
      <c r="BA324" s="54"/>
    </row>
    <row r="325" spans="46:53" x14ac:dyDescent="0.2">
      <c r="AT325" s="54"/>
      <c r="AU325" s="54"/>
      <c r="AV325" s="54"/>
      <c r="AW325" s="57"/>
      <c r="AX325" s="54"/>
      <c r="AY325" s="54"/>
      <c r="AZ325" s="54"/>
      <c r="BA325" s="54"/>
    </row>
    <row r="326" spans="46:53" x14ac:dyDescent="0.2">
      <c r="AT326" s="54"/>
      <c r="AU326" s="54"/>
      <c r="AV326" s="54"/>
      <c r="AW326" s="57"/>
      <c r="AX326" s="54"/>
      <c r="AY326" s="54"/>
      <c r="AZ326" s="54"/>
      <c r="BA326" s="54"/>
    </row>
    <row r="327" spans="46:53" x14ac:dyDescent="0.2">
      <c r="AT327" s="54"/>
      <c r="AU327" s="54"/>
      <c r="AV327" s="54"/>
      <c r="AW327" s="57"/>
      <c r="AX327" s="54"/>
      <c r="AY327" s="54"/>
      <c r="AZ327" s="54"/>
      <c r="BA327" s="54"/>
    </row>
    <row r="328" spans="46:53" x14ac:dyDescent="0.2">
      <c r="AT328" s="54"/>
      <c r="AU328" s="54"/>
      <c r="AV328" s="54"/>
      <c r="AW328" s="57"/>
      <c r="AX328" s="54"/>
      <c r="AY328" s="54"/>
      <c r="AZ328" s="54"/>
      <c r="BA328" s="54"/>
    </row>
    <row r="329" spans="46:53" x14ac:dyDescent="0.2">
      <c r="AT329" s="54"/>
      <c r="AU329" s="54"/>
      <c r="AV329" s="54"/>
      <c r="AW329" s="57"/>
      <c r="AX329" s="54"/>
      <c r="AY329" s="54"/>
      <c r="AZ329" s="54"/>
      <c r="BA329" s="54"/>
    </row>
    <row r="330" spans="46:53" x14ac:dyDescent="0.2">
      <c r="AT330" s="54"/>
      <c r="AU330" s="54"/>
      <c r="AV330" s="54"/>
      <c r="AW330" s="57"/>
      <c r="AX330" s="54"/>
      <c r="AY330" s="54"/>
      <c r="AZ330" s="54"/>
      <c r="BA330" s="54"/>
    </row>
    <row r="331" spans="46:53" x14ac:dyDescent="0.2">
      <c r="AT331" s="54"/>
      <c r="AU331" s="54"/>
      <c r="AV331" s="54"/>
      <c r="AW331" s="57"/>
      <c r="AX331" s="54"/>
      <c r="AY331" s="54"/>
      <c r="AZ331" s="54"/>
      <c r="BA331" s="54"/>
    </row>
    <row r="332" spans="46:53" x14ac:dyDescent="0.2">
      <c r="AT332" s="62"/>
      <c r="AU332" s="62"/>
      <c r="AV332" s="62"/>
    </row>
    <row r="333" spans="46:53" x14ac:dyDescent="0.2">
      <c r="AT333" s="62"/>
      <c r="AU333" s="62"/>
      <c r="AV333" s="62"/>
      <c r="AW333" s="65"/>
      <c r="AX333" s="62"/>
      <c r="AY333" s="62"/>
      <c r="AZ333" s="62"/>
      <c r="BA333" s="62"/>
    </row>
    <row r="334" spans="46:53" x14ac:dyDescent="0.2">
      <c r="AW334" s="65"/>
      <c r="AX334" s="62"/>
      <c r="AY334" s="62"/>
      <c r="AZ334" s="62"/>
      <c r="BA334" s="62"/>
    </row>
    <row r="335" spans="46:53" x14ac:dyDescent="0.2">
      <c r="AW335" s="65"/>
      <c r="AX335" s="62"/>
      <c r="AY335" s="62"/>
      <c r="AZ335" s="62"/>
      <c r="BA335" s="62"/>
    </row>
    <row r="336" spans="46:53" x14ac:dyDescent="0.2">
      <c r="AW336" s="65"/>
      <c r="AX336" s="62"/>
      <c r="AY336" s="62"/>
      <c r="AZ336" s="62"/>
      <c r="BA336" s="62"/>
    </row>
    <row r="337" spans="46:53" x14ac:dyDescent="0.2">
      <c r="AW337" s="65"/>
      <c r="AX337" s="62"/>
      <c r="AY337" s="62"/>
      <c r="AZ337" s="62"/>
      <c r="BA337" s="62"/>
    </row>
    <row r="338" spans="46:53" x14ac:dyDescent="0.2">
      <c r="AW338" s="65"/>
      <c r="AX338" s="62"/>
      <c r="AY338" s="62"/>
      <c r="AZ338" s="62"/>
      <c r="BA338" s="62"/>
    </row>
    <row r="339" spans="46:53" x14ac:dyDescent="0.2">
      <c r="AW339" s="65"/>
      <c r="AX339" s="62"/>
      <c r="AY339" s="62"/>
      <c r="AZ339" s="62"/>
      <c r="BA339" s="62"/>
    </row>
    <row r="340" spans="46:53" x14ac:dyDescent="0.2">
      <c r="AW340" s="65"/>
      <c r="AX340" s="62"/>
      <c r="AY340" s="62"/>
      <c r="AZ340" s="62"/>
      <c r="BA340" s="62"/>
    </row>
    <row r="341" spans="46:53" x14ac:dyDescent="0.2">
      <c r="AW341" s="72"/>
      <c r="AX341" s="71"/>
      <c r="AY341" s="71"/>
      <c r="AZ341" s="71"/>
      <c r="BA341" s="71"/>
    </row>
    <row r="342" spans="46:53" x14ac:dyDescent="0.2">
      <c r="AW342" s="78"/>
      <c r="AX342" s="77"/>
      <c r="AY342" s="77"/>
      <c r="AZ342" s="77"/>
      <c r="BA342" s="77"/>
    </row>
    <row r="343" spans="46:53" x14ac:dyDescent="0.2">
      <c r="AW343" s="78"/>
      <c r="AX343" s="77"/>
      <c r="AY343" s="77"/>
      <c r="AZ343" s="77"/>
      <c r="BA343" s="77"/>
    </row>
    <row r="344" spans="46:53" x14ac:dyDescent="0.2">
      <c r="AW344" s="65"/>
      <c r="AX344" s="62"/>
      <c r="AY344" s="62"/>
      <c r="AZ344" s="62"/>
      <c r="BA344" s="62"/>
    </row>
    <row r="345" spans="46:53" x14ac:dyDescent="0.2">
      <c r="AW345" s="65"/>
      <c r="AX345" s="62"/>
      <c r="AY345" s="62"/>
      <c r="AZ345" s="62"/>
      <c r="BA345" s="62"/>
    </row>
    <row r="348" spans="46:53" x14ac:dyDescent="0.2">
      <c r="AT348" s="95"/>
      <c r="AU348" s="95"/>
    </row>
    <row r="371" spans="46:53" x14ac:dyDescent="0.2">
      <c r="AW371" s="57"/>
      <c r="AX371" s="54"/>
      <c r="AY371" s="54"/>
      <c r="AZ371" s="54"/>
      <c r="BA371" s="54"/>
    </row>
    <row r="372" spans="46:53" x14ac:dyDescent="0.2">
      <c r="AW372" s="57"/>
      <c r="AX372" s="54"/>
      <c r="AY372" s="54"/>
      <c r="AZ372" s="54"/>
      <c r="BA372" s="54"/>
    </row>
    <row r="373" spans="46:53" x14ac:dyDescent="0.2">
      <c r="AW373" s="57"/>
      <c r="AX373" s="54"/>
      <c r="AY373" s="54"/>
      <c r="AZ373" s="54"/>
      <c r="BA373" s="54"/>
    </row>
    <row r="374" spans="46:53" x14ac:dyDescent="0.2">
      <c r="AW374" s="57"/>
      <c r="AX374" s="54"/>
      <c r="AY374" s="54"/>
      <c r="AZ374" s="54"/>
      <c r="BA374" s="54"/>
    </row>
    <row r="375" spans="46:53" x14ac:dyDescent="0.2">
      <c r="AW375" s="57"/>
      <c r="AX375" s="54"/>
      <c r="AY375" s="54"/>
      <c r="AZ375" s="54"/>
      <c r="BA375" s="54"/>
    </row>
    <row r="376" spans="46:53" x14ac:dyDescent="0.2">
      <c r="AW376" s="57"/>
      <c r="AX376" s="54"/>
      <c r="AY376" s="54"/>
      <c r="AZ376" s="54"/>
      <c r="BA376" s="54"/>
    </row>
    <row r="377" spans="46:53" x14ac:dyDescent="0.2">
      <c r="AW377" s="57"/>
      <c r="AX377" s="54"/>
      <c r="AY377" s="54"/>
      <c r="AZ377" s="54"/>
      <c r="BA377" s="54"/>
    </row>
    <row r="378" spans="46:53" x14ac:dyDescent="0.2">
      <c r="AW378" s="57"/>
      <c r="AX378" s="54"/>
      <c r="AY378" s="54"/>
      <c r="AZ378" s="54"/>
      <c r="BA378" s="54"/>
    </row>
    <row r="379" spans="46:53" x14ac:dyDescent="0.2">
      <c r="AW379" s="57"/>
      <c r="AX379" s="54"/>
      <c r="AY379" s="54"/>
      <c r="AZ379" s="54"/>
      <c r="BA379" s="54"/>
    </row>
    <row r="380" spans="46:53" x14ac:dyDescent="0.2">
      <c r="AW380" s="57"/>
      <c r="AX380" s="54"/>
      <c r="AY380" s="54"/>
      <c r="AZ380" s="54"/>
      <c r="BA380" s="54"/>
    </row>
    <row r="381" spans="46:53" x14ac:dyDescent="0.2">
      <c r="AW381" s="57"/>
      <c r="AX381" s="54"/>
      <c r="AY381" s="54"/>
      <c r="AZ381" s="54"/>
      <c r="BA381" s="54"/>
    </row>
    <row r="382" spans="46:53" x14ac:dyDescent="0.2">
      <c r="AW382" s="57"/>
      <c r="AX382" s="54"/>
      <c r="AY382" s="54"/>
      <c r="AZ382" s="54"/>
      <c r="BA382" s="54"/>
    </row>
    <row r="383" spans="46:53" x14ac:dyDescent="0.2">
      <c r="AW383" s="57"/>
      <c r="AX383" s="54"/>
      <c r="AY383" s="54"/>
      <c r="AZ383" s="54"/>
      <c r="BA383" s="54"/>
    </row>
    <row r="384" spans="46:53" x14ac:dyDescent="0.2">
      <c r="AT384" s="95"/>
      <c r="AU384" s="95"/>
      <c r="AW384" s="57"/>
      <c r="AX384" s="54"/>
      <c r="AY384" s="54"/>
      <c r="AZ384" s="54"/>
      <c r="BA384" s="54"/>
    </row>
    <row r="385" spans="49:53" x14ac:dyDescent="0.2">
      <c r="AW385" s="57"/>
      <c r="AX385" s="54"/>
      <c r="AY385" s="54"/>
      <c r="AZ385" s="54"/>
      <c r="BA385" s="54"/>
    </row>
    <row r="386" spans="49:53" x14ac:dyDescent="0.2">
      <c r="AW386" s="57"/>
      <c r="AX386" s="54"/>
      <c r="AY386" s="54"/>
      <c r="AZ386" s="54"/>
      <c r="BA386" s="54"/>
    </row>
    <row r="387" spans="49:53" x14ac:dyDescent="0.2">
      <c r="AW387" s="57"/>
      <c r="AX387" s="54"/>
      <c r="AY387" s="54"/>
      <c r="AZ387" s="54"/>
      <c r="BA387" s="54"/>
    </row>
    <row r="388" spans="49:53" x14ac:dyDescent="0.2">
      <c r="AW388" s="57"/>
      <c r="AX388" s="54"/>
      <c r="AY388" s="54"/>
      <c r="AZ388" s="54"/>
      <c r="BA388" s="54"/>
    </row>
    <row r="389" spans="49:53" x14ac:dyDescent="0.2">
      <c r="AW389" s="57"/>
      <c r="AX389" s="54"/>
      <c r="AY389" s="54"/>
      <c r="AZ389" s="54"/>
      <c r="BA389" s="54"/>
    </row>
    <row r="390" spans="49:53" x14ac:dyDescent="0.2">
      <c r="AW390" s="57"/>
      <c r="AX390" s="54"/>
      <c r="AY390" s="54"/>
      <c r="AZ390" s="54"/>
      <c r="BA390" s="54"/>
    </row>
    <row r="391" spans="49:53" x14ac:dyDescent="0.2">
      <c r="AW391" s="57"/>
      <c r="AX391" s="54"/>
      <c r="AY391" s="54"/>
      <c r="AZ391" s="54"/>
      <c r="BA391" s="54"/>
    </row>
    <row r="392" spans="49:53" x14ac:dyDescent="0.2">
      <c r="AW392" s="57"/>
      <c r="AX392" s="54"/>
      <c r="AY392" s="54"/>
      <c r="AZ392" s="54"/>
      <c r="BA392" s="54"/>
    </row>
    <row r="393" spans="49:53" x14ac:dyDescent="0.2">
      <c r="AW393" s="57"/>
      <c r="AX393" s="54"/>
      <c r="AY393" s="54"/>
      <c r="AZ393" s="54"/>
      <c r="BA393" s="54"/>
    </row>
    <row r="394" spans="49:53" x14ac:dyDescent="0.2">
      <c r="AW394" s="57"/>
      <c r="AX394" s="54"/>
      <c r="AY394" s="54"/>
      <c r="AZ394" s="54"/>
      <c r="BA394" s="54"/>
    </row>
    <row r="395" spans="49:53" x14ac:dyDescent="0.2">
      <c r="AW395" s="57"/>
      <c r="AX395" s="54"/>
      <c r="AY395" s="54"/>
      <c r="AZ395" s="54"/>
      <c r="BA395" s="54"/>
    </row>
    <row r="396" spans="49:53" x14ac:dyDescent="0.2">
      <c r="AW396" s="57"/>
      <c r="AX396" s="54"/>
      <c r="AY396" s="54"/>
      <c r="AZ396" s="54"/>
      <c r="BA396" s="54"/>
    </row>
    <row r="397" spans="49:53" x14ac:dyDescent="0.2">
      <c r="AW397" s="57"/>
      <c r="AX397" s="54"/>
      <c r="AY397" s="54"/>
      <c r="AZ397" s="54"/>
      <c r="BA397" s="54"/>
    </row>
    <row r="398" spans="49:53" x14ac:dyDescent="0.2">
      <c r="AW398" s="57"/>
      <c r="AX398" s="54"/>
      <c r="AY398" s="54"/>
      <c r="AZ398" s="54"/>
      <c r="BA398" s="54"/>
    </row>
    <row r="399" spans="49:53" x14ac:dyDescent="0.2">
      <c r="AW399" s="57"/>
      <c r="AX399" s="54"/>
      <c r="AY399" s="54"/>
      <c r="AZ399" s="54"/>
      <c r="BA399" s="54"/>
    </row>
    <row r="400" spans="49:53" x14ac:dyDescent="0.2">
      <c r="AW400" s="57"/>
      <c r="AX400" s="54"/>
      <c r="AY400" s="54"/>
      <c r="AZ400" s="54"/>
      <c r="BA400" s="54"/>
    </row>
    <row r="401" spans="49:53" x14ac:dyDescent="0.2">
      <c r="AW401" s="57"/>
      <c r="AX401" s="54"/>
      <c r="AY401" s="54"/>
      <c r="AZ401" s="54"/>
      <c r="BA401" s="54"/>
    </row>
    <row r="402" spans="49:53" x14ac:dyDescent="0.2">
      <c r="AW402" s="57"/>
      <c r="AX402" s="54"/>
      <c r="AY402" s="54"/>
      <c r="AZ402" s="54"/>
      <c r="BA402" s="54"/>
    </row>
    <row r="403" spans="49:53" x14ac:dyDescent="0.2">
      <c r="AW403" s="57"/>
      <c r="AX403" s="54"/>
      <c r="AY403" s="54"/>
      <c r="AZ403" s="54"/>
      <c r="BA403" s="54"/>
    </row>
    <row r="404" spans="49:53" x14ac:dyDescent="0.2">
      <c r="AW404" s="57"/>
      <c r="AX404" s="54"/>
      <c r="AY404" s="54"/>
      <c r="AZ404" s="54"/>
      <c r="BA404" s="54"/>
    </row>
    <row r="405" spans="49:53" x14ac:dyDescent="0.2">
      <c r="AW405" s="57"/>
      <c r="AX405" s="54"/>
      <c r="AY405" s="54"/>
      <c r="AZ405" s="54"/>
      <c r="BA405" s="54"/>
    </row>
    <row r="406" spans="49:53" x14ac:dyDescent="0.2">
      <c r="AW406" s="57"/>
      <c r="AX406" s="54"/>
      <c r="AY406" s="54"/>
      <c r="AZ406" s="54"/>
      <c r="BA406" s="54"/>
    </row>
    <row r="407" spans="49:53" x14ac:dyDescent="0.2">
      <c r="AW407" s="57"/>
      <c r="AX407" s="54"/>
      <c r="AY407" s="54"/>
      <c r="AZ407" s="54"/>
      <c r="BA407" s="54"/>
    </row>
    <row r="408" spans="49:53" x14ac:dyDescent="0.2">
      <c r="AW408" s="57"/>
      <c r="AX408" s="54"/>
      <c r="AY408" s="54"/>
      <c r="AZ408" s="54"/>
      <c r="BA408" s="54"/>
    </row>
    <row r="409" spans="49:53" x14ac:dyDescent="0.2">
      <c r="AW409" s="57"/>
      <c r="AX409" s="54"/>
      <c r="AY409" s="54"/>
      <c r="AZ409" s="54"/>
      <c r="BA409" s="54"/>
    </row>
    <row r="410" spans="49:53" x14ac:dyDescent="0.2">
      <c r="AW410" s="57"/>
      <c r="AX410" s="54"/>
      <c r="AY410" s="54"/>
      <c r="AZ410" s="54"/>
      <c r="BA410" s="54"/>
    </row>
    <row r="411" spans="49:53" x14ac:dyDescent="0.2">
      <c r="AW411" s="57"/>
      <c r="AX411" s="54"/>
      <c r="AY411" s="54"/>
      <c r="AZ411" s="54"/>
      <c r="BA411" s="54"/>
    </row>
    <row r="412" spans="49:53" x14ac:dyDescent="0.2">
      <c r="AW412" s="57"/>
      <c r="AX412" s="54"/>
      <c r="AY412" s="54"/>
      <c r="AZ412" s="54"/>
      <c r="BA412" s="54"/>
    </row>
    <row r="413" spans="49:53" x14ac:dyDescent="0.2">
      <c r="AW413" s="57"/>
      <c r="AX413" s="54"/>
      <c r="AY413" s="54"/>
      <c r="AZ413" s="54"/>
      <c r="BA413" s="54"/>
    </row>
    <row r="414" spans="49:53" x14ac:dyDescent="0.2">
      <c r="AW414" s="57"/>
      <c r="AX414" s="54"/>
      <c r="AY414" s="54"/>
      <c r="AZ414" s="54"/>
      <c r="BA414" s="54"/>
    </row>
    <row r="415" spans="49:53" x14ac:dyDescent="0.2">
      <c r="AW415" s="57"/>
      <c r="AX415" s="54"/>
      <c r="AY415" s="54"/>
      <c r="AZ415" s="54"/>
      <c r="BA415" s="54"/>
    </row>
    <row r="416" spans="49:53" x14ac:dyDescent="0.2">
      <c r="AW416" s="57"/>
      <c r="AX416" s="54"/>
      <c r="AY416" s="54"/>
      <c r="AZ416" s="54"/>
      <c r="BA416" s="54"/>
    </row>
    <row r="418" spans="49:53" x14ac:dyDescent="0.2">
      <c r="AW418" s="65"/>
      <c r="AX418" s="62"/>
      <c r="AY418" s="62"/>
      <c r="AZ418" s="62"/>
      <c r="BA418" s="62"/>
    </row>
    <row r="419" spans="49:53" x14ac:dyDescent="0.2">
      <c r="AW419" s="65"/>
      <c r="AX419" s="62"/>
      <c r="AY419" s="62"/>
      <c r="AZ419" s="62"/>
      <c r="BA419" s="62"/>
    </row>
    <row r="420" spans="49:53" x14ac:dyDescent="0.2">
      <c r="AW420" s="65"/>
      <c r="AX420" s="62"/>
      <c r="AY420" s="62"/>
      <c r="AZ420" s="62"/>
      <c r="BA420" s="62"/>
    </row>
    <row r="421" spans="49:53" x14ac:dyDescent="0.2">
      <c r="AW421" s="65"/>
      <c r="AX421" s="62"/>
      <c r="AY421" s="62"/>
      <c r="AZ421" s="62"/>
      <c r="BA421" s="62"/>
    </row>
    <row r="422" spans="49:53" x14ac:dyDescent="0.2">
      <c r="AW422" s="65"/>
      <c r="AX422" s="62"/>
      <c r="AY422" s="62"/>
      <c r="AZ422" s="62"/>
      <c r="BA422" s="62"/>
    </row>
    <row r="423" spans="49:53" x14ac:dyDescent="0.2">
      <c r="AW423" s="65"/>
      <c r="AX423" s="62"/>
      <c r="AY423" s="62"/>
      <c r="AZ423" s="62"/>
      <c r="BA423" s="62"/>
    </row>
    <row r="424" spans="49:53" x14ac:dyDescent="0.2">
      <c r="AW424" s="65"/>
      <c r="AX424" s="62"/>
      <c r="AY424" s="62"/>
      <c r="AZ424" s="62"/>
      <c r="BA424" s="62"/>
    </row>
    <row r="425" spans="49:53" x14ac:dyDescent="0.2">
      <c r="AW425" s="65"/>
      <c r="AX425" s="62"/>
      <c r="AY425" s="62"/>
      <c r="AZ425" s="62"/>
      <c r="BA425" s="62"/>
    </row>
    <row r="426" spans="49:53" x14ac:dyDescent="0.2">
      <c r="AW426" s="72"/>
      <c r="AX426" s="71"/>
      <c r="AY426" s="71"/>
      <c r="AZ426" s="71"/>
      <c r="BA426" s="71"/>
    </row>
    <row r="427" spans="49:53" x14ac:dyDescent="0.2">
      <c r="AW427" s="78"/>
      <c r="AX427" s="77"/>
      <c r="AY427" s="77"/>
      <c r="AZ427" s="77"/>
      <c r="BA427" s="77"/>
    </row>
    <row r="428" spans="49:53" x14ac:dyDescent="0.2">
      <c r="AW428" s="78"/>
      <c r="AX428" s="77"/>
      <c r="AY428" s="77"/>
      <c r="AZ428" s="77"/>
      <c r="BA428" s="77"/>
    </row>
    <row r="429" spans="49:53" x14ac:dyDescent="0.2">
      <c r="AW429" s="65"/>
      <c r="AX429" s="62"/>
      <c r="AY429" s="62"/>
      <c r="AZ429" s="62"/>
      <c r="BA429" s="62"/>
    </row>
    <row r="430" spans="49:53" x14ac:dyDescent="0.2">
      <c r="AW430" s="65"/>
      <c r="AX430" s="62"/>
      <c r="AY430" s="62"/>
      <c r="AZ430" s="62"/>
      <c r="BA430" s="62"/>
    </row>
    <row r="488" spans="49:49" x14ac:dyDescent="0.2">
      <c r="AW488" s="4"/>
    </row>
    <row r="489" spans="49:49" x14ac:dyDescent="0.2">
      <c r="AW489" s="4"/>
    </row>
    <row r="490" spans="49:49" x14ac:dyDescent="0.2">
      <c r="AW490" s="4"/>
    </row>
    <row r="491" spans="49:49" x14ac:dyDescent="0.2">
      <c r="AW491" s="4"/>
    </row>
    <row r="492" spans="49:49" x14ac:dyDescent="0.2">
      <c r="AW492" s="4"/>
    </row>
    <row r="493" spans="49:49" x14ac:dyDescent="0.2">
      <c r="AW493" s="4"/>
    </row>
    <row r="494" spans="49:49" x14ac:dyDescent="0.2">
      <c r="AW494" s="4"/>
    </row>
    <row r="495" spans="49:49" x14ac:dyDescent="0.2">
      <c r="AW495" s="4"/>
    </row>
    <row r="496" spans="49:49" x14ac:dyDescent="0.2">
      <c r="AW496" s="4"/>
    </row>
    <row r="542" spans="49:49" x14ac:dyDescent="0.2">
      <c r="AW542" s="4"/>
    </row>
    <row r="543" spans="49:49" x14ac:dyDescent="0.2">
      <c r="AW543" s="4"/>
    </row>
    <row r="544" spans="49:49" x14ac:dyDescent="0.2">
      <c r="AW544" s="4"/>
    </row>
    <row r="545" spans="49:49" x14ac:dyDescent="0.2">
      <c r="AW545" s="4"/>
    </row>
    <row r="546" spans="49:49" x14ac:dyDescent="0.2">
      <c r="AW546" s="4"/>
    </row>
    <row r="547" spans="49:49" x14ac:dyDescent="0.2">
      <c r="AW547" s="4"/>
    </row>
    <row r="548" spans="49:49" x14ac:dyDescent="0.2">
      <c r="AW548" s="4"/>
    </row>
    <row r="549" spans="49:49" x14ac:dyDescent="0.2">
      <c r="AW549" s="4"/>
    </row>
    <row r="550" spans="49:49" x14ac:dyDescent="0.2">
      <c r="AW550" s="4"/>
    </row>
    <row r="596" spans="49:49" x14ac:dyDescent="0.2">
      <c r="AW596" s="4"/>
    </row>
    <row r="597" spans="49:49" x14ac:dyDescent="0.2">
      <c r="AW597" s="4"/>
    </row>
    <row r="598" spans="49:49" x14ac:dyDescent="0.2">
      <c r="AW598" s="4"/>
    </row>
    <row r="599" spans="49:49" x14ac:dyDescent="0.2">
      <c r="AW599" s="4"/>
    </row>
    <row r="600" spans="49:49" x14ac:dyDescent="0.2">
      <c r="AW600" s="4"/>
    </row>
    <row r="601" spans="49:49" x14ac:dyDescent="0.2">
      <c r="AW601" s="4"/>
    </row>
    <row r="602" spans="49:49" x14ac:dyDescent="0.2">
      <c r="AW602" s="4"/>
    </row>
    <row r="603" spans="49:49" x14ac:dyDescent="0.2">
      <c r="AW603" s="4"/>
    </row>
    <row r="604" spans="49:49" x14ac:dyDescent="0.2">
      <c r="AW604" s="4"/>
    </row>
    <row r="650" spans="49:49" x14ac:dyDescent="0.2">
      <c r="AW650" s="4"/>
    </row>
    <row r="651" spans="49:49" x14ac:dyDescent="0.2">
      <c r="AW651" s="4"/>
    </row>
    <row r="652" spans="49:49" x14ac:dyDescent="0.2">
      <c r="AW652" s="4"/>
    </row>
    <row r="653" spans="49:49" x14ac:dyDescent="0.2">
      <c r="AW653" s="4"/>
    </row>
    <row r="654" spans="49:49" x14ac:dyDescent="0.2">
      <c r="AW654" s="4"/>
    </row>
    <row r="655" spans="49:49" x14ac:dyDescent="0.2">
      <c r="AW655" s="4"/>
    </row>
    <row r="656" spans="49:49" x14ac:dyDescent="0.2">
      <c r="AW656" s="4"/>
    </row>
    <row r="657" spans="49:49" x14ac:dyDescent="0.2">
      <c r="AW657" s="4"/>
    </row>
    <row r="658" spans="49:49" x14ac:dyDescent="0.2">
      <c r="AW658" s="4"/>
    </row>
  </sheetData>
  <sheetProtection sheet="1" objects="1" scenarios="1" formatCells="0" selectLockedCells="1"/>
  <mergeCells count="431">
    <mergeCell ref="T233:V233"/>
    <mergeCell ref="A234:M234"/>
    <mergeCell ref="V234:AG234"/>
    <mergeCell ref="T221:V221"/>
    <mergeCell ref="T222:V222"/>
    <mergeCell ref="K223:N225"/>
    <mergeCell ref="AF223:AG225"/>
    <mergeCell ref="T231:V231"/>
    <mergeCell ref="T232:V232"/>
    <mergeCell ref="AC217:AE217"/>
    <mergeCell ref="K218:N218"/>
    <mergeCell ref="T218:V218"/>
    <mergeCell ref="AF218:AG218"/>
    <mergeCell ref="T219:V219"/>
    <mergeCell ref="T220:V220"/>
    <mergeCell ref="B217:D217"/>
    <mergeCell ref="E217:G217"/>
    <mergeCell ref="H217:J217"/>
    <mergeCell ref="T217:V217"/>
    <mergeCell ref="W217:Y217"/>
    <mergeCell ref="Z217:AB217"/>
    <mergeCell ref="Z215:AB215"/>
    <mergeCell ref="AC215:AE215"/>
    <mergeCell ref="AF215:AJ217"/>
    <mergeCell ref="B216:D216"/>
    <mergeCell ref="E216:G216"/>
    <mergeCell ref="H216:J216"/>
    <mergeCell ref="T216:V216"/>
    <mergeCell ref="W216:Y216"/>
    <mergeCell ref="Z216:AB216"/>
    <mergeCell ref="AC216:AE216"/>
    <mergeCell ref="B213:J213"/>
    <mergeCell ref="K213:Q213"/>
    <mergeCell ref="U213:W213"/>
    <mergeCell ref="X213:AF213"/>
    <mergeCell ref="AG213:AM213"/>
    <mergeCell ref="B215:D215"/>
    <mergeCell ref="E215:G215"/>
    <mergeCell ref="H215:J215"/>
    <mergeCell ref="K215:Q217"/>
    <mergeCell ref="W215:Y215"/>
    <mergeCell ref="B211:J211"/>
    <mergeCell ref="K211:Q211"/>
    <mergeCell ref="U211:W211"/>
    <mergeCell ref="X211:AF211"/>
    <mergeCell ref="AG211:AM211"/>
    <mergeCell ref="B212:J212"/>
    <mergeCell ref="K212:Q212"/>
    <mergeCell ref="U212:W212"/>
    <mergeCell ref="X212:AF212"/>
    <mergeCell ref="AG212:AM212"/>
    <mergeCell ref="B209:J209"/>
    <mergeCell ref="K209:Q209"/>
    <mergeCell ref="U209:W209"/>
    <mergeCell ref="X209:AF209"/>
    <mergeCell ref="AG209:AM209"/>
    <mergeCell ref="B210:J210"/>
    <mergeCell ref="K210:Q210"/>
    <mergeCell ref="U210:W210"/>
    <mergeCell ref="X210:AF210"/>
    <mergeCell ref="AG210:AM210"/>
    <mergeCell ref="A204:E204"/>
    <mergeCell ref="U204:AA204"/>
    <mergeCell ref="A205:E205"/>
    <mergeCell ref="U205:AA205"/>
    <mergeCell ref="A208:J208"/>
    <mergeCell ref="U208:AF208"/>
    <mergeCell ref="AB202:AE202"/>
    <mergeCell ref="AF202:AH202"/>
    <mergeCell ref="A203:E203"/>
    <mergeCell ref="F203:M203"/>
    <mergeCell ref="T203:Z203"/>
    <mergeCell ref="AB203:AH203"/>
    <mergeCell ref="A200:E200"/>
    <mergeCell ref="J200:P200"/>
    <mergeCell ref="U200:AA200"/>
    <mergeCell ref="A202:D202"/>
    <mergeCell ref="F202:I202"/>
    <mergeCell ref="J202:M202"/>
    <mergeCell ref="T202:Z202"/>
    <mergeCell ref="J198:P198"/>
    <mergeCell ref="AF198:AJ198"/>
    <mergeCell ref="A199:E199"/>
    <mergeCell ref="F199:I199"/>
    <mergeCell ref="J199:P199"/>
    <mergeCell ref="U199:AA199"/>
    <mergeCell ref="AB199:AE199"/>
    <mergeCell ref="AF199:AJ199"/>
    <mergeCell ref="A195:E195"/>
    <mergeCell ref="U195:AA195"/>
    <mergeCell ref="A196:E196"/>
    <mergeCell ref="U196:AA196"/>
    <mergeCell ref="F197:I197"/>
    <mergeCell ref="AB197:AE197"/>
    <mergeCell ref="AB193:AH193"/>
    <mergeCell ref="A194:E194"/>
    <mergeCell ref="F194:I194"/>
    <mergeCell ref="J194:M194"/>
    <mergeCell ref="T194:Z194"/>
    <mergeCell ref="AB194:AE194"/>
    <mergeCell ref="AF194:AH194"/>
    <mergeCell ref="A190:E190"/>
    <mergeCell ref="U190:AA190"/>
    <mergeCell ref="A191:E191"/>
    <mergeCell ref="U191:AA191"/>
    <mergeCell ref="A193:E193"/>
    <mergeCell ref="F193:M193"/>
    <mergeCell ref="T193:AA193"/>
    <mergeCell ref="A182:AQ182"/>
    <mergeCell ref="A183:AQ183"/>
    <mergeCell ref="A184:AQ184"/>
    <mergeCell ref="A185:AQ185"/>
    <mergeCell ref="A186:K186"/>
    <mergeCell ref="A188:O188"/>
    <mergeCell ref="R188:AF188"/>
    <mergeCell ref="AF179:AK179"/>
    <mergeCell ref="AL179:AO179"/>
    <mergeCell ref="B180:G180"/>
    <mergeCell ref="H180:K180"/>
    <mergeCell ref="L180:Q180"/>
    <mergeCell ref="R180:U180"/>
    <mergeCell ref="V180:AA180"/>
    <mergeCell ref="AB180:AE180"/>
    <mergeCell ref="AF180:AK180"/>
    <mergeCell ref="AL180:AO180"/>
    <mergeCell ref="V178:AA178"/>
    <mergeCell ref="AB178:AE178"/>
    <mergeCell ref="AF178:AK178"/>
    <mergeCell ref="AL178:AO178"/>
    <mergeCell ref="B179:G179"/>
    <mergeCell ref="H179:K179"/>
    <mergeCell ref="L179:Q179"/>
    <mergeCell ref="R179:U179"/>
    <mergeCell ref="V179:AA179"/>
    <mergeCell ref="AB179:AE179"/>
    <mergeCell ref="A176:AQ176"/>
    <mergeCell ref="A177:A178"/>
    <mergeCell ref="B177:K177"/>
    <mergeCell ref="L177:U177"/>
    <mergeCell ref="V177:AE177"/>
    <mergeCell ref="AF177:AO177"/>
    <mergeCell ref="B178:G178"/>
    <mergeCell ref="H178:K178"/>
    <mergeCell ref="L178:Q178"/>
    <mergeCell ref="R178:U178"/>
    <mergeCell ref="Z108:AB108"/>
    <mergeCell ref="AC108:AE108"/>
    <mergeCell ref="AG142:AK142"/>
    <mergeCell ref="A174:AM174"/>
    <mergeCell ref="AN174:AQ174"/>
    <mergeCell ref="A175:AQ175"/>
    <mergeCell ref="Z107:AB107"/>
    <mergeCell ref="AC107:AE107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Z106:AB106"/>
    <mergeCell ref="AC106:AE106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Z105:AB105"/>
    <mergeCell ref="AC105:AE105"/>
    <mergeCell ref="B106:D106"/>
    <mergeCell ref="E106:G106"/>
    <mergeCell ref="H106:J106"/>
    <mergeCell ref="K106:M106"/>
    <mergeCell ref="N106:P106"/>
    <mergeCell ref="Q106:S106"/>
    <mergeCell ref="T106:V106"/>
    <mergeCell ref="W106:Y106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W104:Y104"/>
    <mergeCell ref="Z104:AB104"/>
    <mergeCell ref="Z101:AB102"/>
    <mergeCell ref="AC101:AE102"/>
    <mergeCell ref="AF101:AF102"/>
    <mergeCell ref="AG101:AG102"/>
    <mergeCell ref="AH101:AI102"/>
    <mergeCell ref="B102:D102"/>
    <mergeCell ref="E102:K102"/>
    <mergeCell ref="A101:A102"/>
    <mergeCell ref="B101:D101"/>
    <mergeCell ref="E101:K101"/>
    <mergeCell ref="L101:P102"/>
    <mergeCell ref="R101:V102"/>
    <mergeCell ref="W101:Y102"/>
    <mergeCell ref="Z99:AB100"/>
    <mergeCell ref="AC99:AE100"/>
    <mergeCell ref="AF99:AF100"/>
    <mergeCell ref="AG99:AG100"/>
    <mergeCell ref="AH99:AI100"/>
    <mergeCell ref="B100:D100"/>
    <mergeCell ref="E100:K100"/>
    <mergeCell ref="A99:A100"/>
    <mergeCell ref="B99:D99"/>
    <mergeCell ref="E99:K99"/>
    <mergeCell ref="L99:P100"/>
    <mergeCell ref="R99:V100"/>
    <mergeCell ref="W99:Y100"/>
    <mergeCell ref="Z97:AB98"/>
    <mergeCell ref="AC97:AE98"/>
    <mergeCell ref="AF97:AF98"/>
    <mergeCell ref="AG97:AG98"/>
    <mergeCell ref="AH97:AI98"/>
    <mergeCell ref="B98:D98"/>
    <mergeCell ref="E98:K98"/>
    <mergeCell ref="A97:A98"/>
    <mergeCell ref="B97:D97"/>
    <mergeCell ref="E97:K97"/>
    <mergeCell ref="L97:P98"/>
    <mergeCell ref="R97:V98"/>
    <mergeCell ref="W97:Y98"/>
    <mergeCell ref="Z95:AB96"/>
    <mergeCell ref="AC95:AE96"/>
    <mergeCell ref="AF95:AF96"/>
    <mergeCell ref="AG95:AG96"/>
    <mergeCell ref="AH95:AI96"/>
    <mergeCell ref="B96:D96"/>
    <mergeCell ref="E96:K96"/>
    <mergeCell ref="AG93:AG94"/>
    <mergeCell ref="AH93:AI94"/>
    <mergeCell ref="B94:D94"/>
    <mergeCell ref="E94:K94"/>
    <mergeCell ref="A95:A96"/>
    <mergeCell ref="B95:D95"/>
    <mergeCell ref="E95:K95"/>
    <mergeCell ref="L95:P96"/>
    <mergeCell ref="R95:V96"/>
    <mergeCell ref="W95:Y96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F93:AF94"/>
    <mergeCell ref="C91:H91"/>
    <mergeCell ref="I91:J91"/>
    <mergeCell ref="K91:AI91"/>
    <mergeCell ref="B92:K92"/>
    <mergeCell ref="L92:P92"/>
    <mergeCell ref="Q92:Q102"/>
    <mergeCell ref="R92:V92"/>
    <mergeCell ref="W92:Y92"/>
    <mergeCell ref="Z92:AB92"/>
    <mergeCell ref="AC92:AE92"/>
    <mergeCell ref="Z23:AB23"/>
    <mergeCell ref="AC23:AE23"/>
    <mergeCell ref="AG57:AK57"/>
    <mergeCell ref="A89:AM89"/>
    <mergeCell ref="AN89:AQ89"/>
    <mergeCell ref="A90:AQ90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Z16:AB17"/>
    <mergeCell ref="AC16:AE17"/>
    <mergeCell ref="AF16:AF17"/>
    <mergeCell ref="AG16:AG17"/>
    <mergeCell ref="AH16:AI17"/>
    <mergeCell ref="B17:D17"/>
    <mergeCell ref="E17:K17"/>
    <mergeCell ref="AG14:AG15"/>
    <mergeCell ref="AH14:AI15"/>
    <mergeCell ref="B15:D15"/>
    <mergeCell ref="E15:K15"/>
    <mergeCell ref="A16:A17"/>
    <mergeCell ref="B16:D16"/>
    <mergeCell ref="E16:K16"/>
    <mergeCell ref="L16:P17"/>
    <mergeCell ref="R16:V17"/>
    <mergeCell ref="W16:Y17"/>
    <mergeCell ref="AT13:AY14"/>
    <mergeCell ref="A14:A15"/>
    <mergeCell ref="B14:D14"/>
    <mergeCell ref="E14:K14"/>
    <mergeCell ref="L14:P15"/>
    <mergeCell ref="R14:V15"/>
    <mergeCell ref="W14:Y15"/>
    <mergeCell ref="Z14:AB15"/>
    <mergeCell ref="AC14:AE15"/>
    <mergeCell ref="AF14:AF15"/>
    <mergeCell ref="Z12:AB13"/>
    <mergeCell ref="AC12:AE13"/>
    <mergeCell ref="AF12:AF13"/>
    <mergeCell ref="AG12:AG13"/>
    <mergeCell ref="AH12:AI13"/>
    <mergeCell ref="B13:D13"/>
    <mergeCell ref="E13:K13"/>
    <mergeCell ref="A12:A13"/>
    <mergeCell ref="B12:D12"/>
    <mergeCell ref="E12:K12"/>
    <mergeCell ref="L12:P13"/>
    <mergeCell ref="R12:V13"/>
    <mergeCell ref="W12:Y13"/>
    <mergeCell ref="Z10:AB11"/>
    <mergeCell ref="AC10:AE11"/>
    <mergeCell ref="AF10:AF11"/>
    <mergeCell ref="AG10:AG11"/>
    <mergeCell ref="AH10:AI11"/>
    <mergeCell ref="B11:D11"/>
    <mergeCell ref="E11:K11"/>
    <mergeCell ref="A10:A11"/>
    <mergeCell ref="B10:D10"/>
    <mergeCell ref="E10:K10"/>
    <mergeCell ref="L10:P11"/>
    <mergeCell ref="R10:V11"/>
    <mergeCell ref="W10:Y11"/>
    <mergeCell ref="AC8:AE9"/>
    <mergeCell ref="AF8:AF9"/>
    <mergeCell ref="AG8:AG9"/>
    <mergeCell ref="AH8:AI9"/>
    <mergeCell ref="B9:D9"/>
    <mergeCell ref="E9:K9"/>
    <mergeCell ref="Z7:AB7"/>
    <mergeCell ref="AC7:AE7"/>
    <mergeCell ref="AH7:AI7"/>
    <mergeCell ref="A8:A9"/>
    <mergeCell ref="B8:D8"/>
    <mergeCell ref="E8:K8"/>
    <mergeCell ref="L8:P9"/>
    <mergeCell ref="R8:V9"/>
    <mergeCell ref="W8:Y9"/>
    <mergeCell ref="Z8:AB9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  <mergeCell ref="A1:AI1"/>
    <mergeCell ref="AT1:AW1"/>
    <mergeCell ref="AX1:AY1"/>
    <mergeCell ref="A2:I2"/>
    <mergeCell ref="J2:X2"/>
    <mergeCell ref="Y2:AC2"/>
    <mergeCell ref="AD2:AI2"/>
  </mergeCells>
  <conditionalFormatting sqref="A8 A93">
    <cfRule type="expression" dxfId="1305" priority="5" stopIfTrue="1">
      <formula>IF(AK9&gt;0,0,1)</formula>
    </cfRule>
  </conditionalFormatting>
  <conditionalFormatting sqref="A10:A11 A95:A96">
    <cfRule type="expression" dxfId="1304" priority="6" stopIfTrue="1">
      <formula>IF(AK9&gt;1,0,1)</formula>
    </cfRule>
  </conditionalFormatting>
  <conditionalFormatting sqref="A12:A13 A97:A98">
    <cfRule type="expression" dxfId="1303" priority="7" stopIfTrue="1">
      <formula>IF(AK9&gt;2,0,1)</formula>
    </cfRule>
  </conditionalFormatting>
  <conditionalFormatting sqref="A14:A15 A99:A100">
    <cfRule type="expression" dxfId="1302" priority="8" stopIfTrue="1">
      <formula>IF(AK9&gt;3,0,1)</formula>
    </cfRule>
  </conditionalFormatting>
  <conditionalFormatting sqref="A16:A17 A101:A102">
    <cfRule type="expression" dxfId="1301" priority="9" stopIfTrue="1">
      <formula>IF(AK9&gt;4,0,1)</formula>
    </cfRule>
  </conditionalFormatting>
  <conditionalFormatting sqref="B8 B93">
    <cfRule type="expression" dxfId="1300" priority="10" stopIfTrue="1">
      <formula>IF(AK9&gt;0,0,1)</formula>
    </cfRule>
  </conditionalFormatting>
  <conditionalFormatting sqref="B9 B94">
    <cfRule type="expression" dxfId="1299" priority="11" stopIfTrue="1">
      <formula>IF(AK9&gt;0,0,1)</formula>
    </cfRule>
  </conditionalFormatting>
  <conditionalFormatting sqref="B10 B95">
    <cfRule type="expression" dxfId="1298" priority="12" stopIfTrue="1">
      <formula>IF(AK9&gt;1,0,1)</formula>
    </cfRule>
  </conditionalFormatting>
  <conditionalFormatting sqref="B11:D11 B96:D96">
    <cfRule type="expression" dxfId="1297" priority="13" stopIfTrue="1">
      <formula>IF(AK9&gt;1,0,1)</formula>
    </cfRule>
  </conditionalFormatting>
  <conditionalFormatting sqref="B12:D12 B97:D97">
    <cfRule type="expression" dxfId="1296" priority="14" stopIfTrue="1">
      <formula>IF(AK9&gt;2,0,1)</formula>
    </cfRule>
  </conditionalFormatting>
  <conditionalFormatting sqref="B13:D13 B98:D98">
    <cfRule type="expression" dxfId="1295" priority="15" stopIfTrue="1">
      <formula>IF(AK9&gt;2,0,1)</formula>
    </cfRule>
  </conditionalFormatting>
  <conditionalFormatting sqref="B14:D14 B99:D99">
    <cfRule type="expression" dxfId="1294" priority="16" stopIfTrue="1">
      <formula>IF(AK9&gt;3,0,1)</formula>
    </cfRule>
  </conditionalFormatting>
  <conditionalFormatting sqref="B15:D15 B100:D100">
    <cfRule type="expression" dxfId="1293" priority="17" stopIfTrue="1">
      <formula>IF(AK9&gt;3,0,1)</formula>
    </cfRule>
  </conditionalFormatting>
  <conditionalFormatting sqref="B16:D16 B101:D101">
    <cfRule type="expression" dxfId="1292" priority="18" stopIfTrue="1">
      <formula>IF(AK9&gt;4,0,1)</formula>
    </cfRule>
  </conditionalFormatting>
  <conditionalFormatting sqref="B17:D17 B102:D102">
    <cfRule type="expression" dxfId="1291" priority="19" stopIfTrue="1">
      <formula>IF(AK9&gt;4,0,1)</formula>
    </cfRule>
  </conditionalFormatting>
  <conditionalFormatting sqref="E8 E93">
    <cfRule type="expression" dxfId="1290" priority="20" stopIfTrue="1">
      <formula>IF(AK9&gt;0,0,1)</formula>
    </cfRule>
  </conditionalFormatting>
  <conditionalFormatting sqref="E9 E94">
    <cfRule type="expression" dxfId="1289" priority="21" stopIfTrue="1">
      <formula>IF(AK9&gt;0,0,1)</formula>
    </cfRule>
  </conditionalFormatting>
  <conditionalFormatting sqref="E10 E95">
    <cfRule type="expression" dxfId="1288" priority="22" stopIfTrue="1">
      <formula>IF(AK9&gt;1,0,1)</formula>
    </cfRule>
  </conditionalFormatting>
  <conditionalFormatting sqref="E11 E96">
    <cfRule type="expression" dxfId="1287" priority="23" stopIfTrue="1">
      <formula>IF(AK9&gt;1,0,1)</formula>
    </cfRule>
  </conditionalFormatting>
  <conditionalFormatting sqref="E12 E97">
    <cfRule type="expression" dxfId="1286" priority="24" stopIfTrue="1">
      <formula>IF(AK9&gt;2,0,1)</formula>
    </cfRule>
  </conditionalFormatting>
  <conditionalFormatting sqref="E13 E98">
    <cfRule type="expression" dxfId="1285" priority="25" stopIfTrue="1">
      <formula>IF(AK9&gt;2,0,1)</formula>
    </cfRule>
  </conditionalFormatting>
  <conditionalFormatting sqref="E14 E99">
    <cfRule type="expression" dxfId="1284" priority="26" stopIfTrue="1">
      <formula>IF(AK9&gt;3,0,1)</formula>
    </cfRule>
  </conditionalFormatting>
  <conditionalFormatting sqref="E15 E100">
    <cfRule type="expression" dxfId="1283" priority="27" stopIfTrue="1">
      <formula>IF(AK9&gt;3,0,1)</formula>
    </cfRule>
  </conditionalFormatting>
  <conditionalFormatting sqref="E16 E101">
    <cfRule type="expression" dxfId="1282" priority="28" stopIfTrue="1">
      <formula>IF(AK9&gt;4,0,1)</formula>
    </cfRule>
  </conditionalFormatting>
  <conditionalFormatting sqref="E17 E102">
    <cfRule type="expression" dxfId="1281" priority="29" stopIfTrue="1">
      <formula>IF(AK9&gt;4,0,1)</formula>
    </cfRule>
  </conditionalFormatting>
  <conditionalFormatting sqref="AC8 AC93">
    <cfRule type="expression" dxfId="1280" priority="30" stopIfTrue="1">
      <formula>IF(AK11=1,IF(AK9&gt;0,0,1),1)</formula>
    </cfRule>
  </conditionalFormatting>
  <conditionalFormatting sqref="AC10:AE11 AC95:AE96">
    <cfRule type="expression" dxfId="1279" priority="31" stopIfTrue="1">
      <formula>IF(AK11=1,IF(AK9&gt;1,0,1),1)</formula>
    </cfRule>
  </conditionalFormatting>
  <conditionalFormatting sqref="AC12:AE13 AC97:AE98">
    <cfRule type="expression" dxfId="1278" priority="32" stopIfTrue="1">
      <formula>IF(AK11=1,IF(AK9&gt;2,0,1),1)</formula>
    </cfRule>
  </conditionalFormatting>
  <conditionalFormatting sqref="AC14:AE15 AC99:AE100">
    <cfRule type="expression" dxfId="1277" priority="33" stopIfTrue="1">
      <formula>IF(AK11=1,IF(AK9&gt;3,0,1),1)</formula>
    </cfRule>
  </conditionalFormatting>
  <conditionalFormatting sqref="AC16:AE17 AC101:AE102">
    <cfRule type="expression" dxfId="1276" priority="34" stopIfTrue="1">
      <formula>IF(AK11=1,IF(AK9&gt;4,0,1),1)</formula>
    </cfRule>
  </conditionalFormatting>
  <conditionalFormatting sqref="AH8 AH93">
    <cfRule type="expression" dxfId="1275" priority="35" stopIfTrue="1">
      <formula>IF(AK9&gt;0,0,1)</formula>
    </cfRule>
  </conditionalFormatting>
  <conditionalFormatting sqref="AH10:AI11 AH95:AI96">
    <cfRule type="expression" dxfId="1274" priority="36" stopIfTrue="1">
      <formula>IF(AK9&gt;1,0,1)</formula>
    </cfRule>
  </conditionalFormatting>
  <conditionalFormatting sqref="AH12:AI13 AH97:AI98">
    <cfRule type="expression" dxfId="1273" priority="37" stopIfTrue="1">
      <formula>IF(AK9&gt;2,0,1)</formula>
    </cfRule>
  </conditionalFormatting>
  <conditionalFormatting sqref="AH14:AI15 AH99:AI100">
    <cfRule type="expression" dxfId="1272" priority="38" stopIfTrue="1">
      <formula>IF(AK9&gt;3,0,1)</formula>
    </cfRule>
  </conditionalFormatting>
  <conditionalFormatting sqref="AH16:AI17 AH101:AI102">
    <cfRule type="expression" dxfId="1271" priority="39" stopIfTrue="1">
      <formula>IF(AK9&gt;4,0,1)</formula>
    </cfRule>
  </conditionalFormatting>
  <conditionalFormatting sqref="B19:D19 B104:D104">
    <cfRule type="expression" dxfId="1270" priority="40" stopIfTrue="1">
      <formula>IF(AK8&gt;0,0,1)</formula>
    </cfRule>
  </conditionalFormatting>
  <conditionalFormatting sqref="E19:G19 E104:G104">
    <cfRule type="expression" dxfId="1269" priority="41" stopIfTrue="1">
      <formula>IF(AK8&gt;1,0,1)</formula>
    </cfRule>
  </conditionalFormatting>
  <conditionalFormatting sqref="H19:J19 H104:J104">
    <cfRule type="expression" dxfId="1268" priority="42" stopIfTrue="1">
      <formula>IF(AK8&gt;2,0,1)</formula>
    </cfRule>
  </conditionalFormatting>
  <conditionalFormatting sqref="K19:M19 K104:M104">
    <cfRule type="expression" dxfId="1267" priority="43" stopIfTrue="1">
      <formula>IF(AK8&gt;3,0,1)</formula>
    </cfRule>
  </conditionalFormatting>
  <conditionalFormatting sqref="N19:P19 N104:P104">
    <cfRule type="expression" dxfId="1266" priority="44" stopIfTrue="1">
      <formula>IF(AK8&gt;4,0,1)</formula>
    </cfRule>
  </conditionalFormatting>
  <conditionalFormatting sqref="Q19:S19 Q104:S104">
    <cfRule type="expression" dxfId="1265" priority="45" stopIfTrue="1">
      <formula>IF(AK8&gt;5,0,1)</formula>
    </cfRule>
  </conditionalFormatting>
  <conditionalFormatting sqref="T19:V19 T104:V104">
    <cfRule type="expression" dxfId="1264" priority="46" stopIfTrue="1">
      <formula>IF(AK8&gt;6,0,1)</formula>
    </cfRule>
  </conditionalFormatting>
  <conditionalFormatting sqref="W19:Y19 W104:Y104">
    <cfRule type="expression" dxfId="1263" priority="47" stopIfTrue="1">
      <formula>IF(AK8&gt;7,0,1)</formula>
    </cfRule>
  </conditionalFormatting>
  <conditionalFormatting sqref="Z19:AB19 Z104:AB104">
    <cfRule type="expression" dxfId="1262" priority="48" stopIfTrue="1">
      <formula>IF(AK8&gt;8,0,1)</formula>
    </cfRule>
  </conditionalFormatting>
  <conditionalFormatting sqref="AC19:AE19 AC104:AE104">
    <cfRule type="expression" dxfId="1261" priority="49" stopIfTrue="1">
      <formula>IF(AK8&gt;9,0,1)</formula>
    </cfRule>
  </conditionalFormatting>
  <conditionalFormatting sqref="B20:D20 B105:D105">
    <cfRule type="expression" dxfId="1260" priority="50" stopIfTrue="1">
      <formula>IF(AK8&gt;0,0,1)</formula>
    </cfRule>
  </conditionalFormatting>
  <conditionalFormatting sqref="E20:G20 E105:G105">
    <cfRule type="expression" dxfId="1259" priority="51" stopIfTrue="1">
      <formula>IF(AK8&gt;1,0,1)</formula>
    </cfRule>
  </conditionalFormatting>
  <conditionalFormatting sqref="H20:J20 H105:J105">
    <cfRule type="expression" dxfId="1258" priority="52" stopIfTrue="1">
      <formula>IF(AK8&gt;2,0,1)</formula>
    </cfRule>
  </conditionalFormatting>
  <conditionalFormatting sqref="K20:M20 K105:M105">
    <cfRule type="expression" dxfId="1257" priority="53" stopIfTrue="1">
      <formula>IF(AK8&gt;3,0,1)</formula>
    </cfRule>
  </conditionalFormatting>
  <conditionalFormatting sqref="N20:P20 N105:P105">
    <cfRule type="expression" dxfId="1256" priority="54" stopIfTrue="1">
      <formula>IF(AK8&gt;4,0,1)</formula>
    </cfRule>
  </conditionalFormatting>
  <conditionalFormatting sqref="Q20:S20 Q105:S105">
    <cfRule type="expression" dxfId="1255" priority="55" stopIfTrue="1">
      <formula>IF(AK8&gt;5,0,1)</formula>
    </cfRule>
  </conditionalFormatting>
  <conditionalFormatting sqref="T20:V20 T105:V105">
    <cfRule type="expression" dxfId="1254" priority="56" stopIfTrue="1">
      <formula>IF(AK8&gt;6,0,1)</formula>
    </cfRule>
  </conditionalFormatting>
  <conditionalFormatting sqref="W20:Y20 W105:Y105">
    <cfRule type="expression" dxfId="1253" priority="57" stopIfTrue="1">
      <formula>IF(AK8&gt;7,0,1)</formula>
    </cfRule>
  </conditionalFormatting>
  <conditionalFormatting sqref="Z20:AB20 Z105:AB105">
    <cfRule type="expression" dxfId="1252" priority="58" stopIfTrue="1">
      <formula>IF(AK8&gt;8,0,1)</formula>
    </cfRule>
  </conditionalFormatting>
  <conditionalFormatting sqref="AC20:AE20 AC105:AE105">
    <cfRule type="expression" dxfId="1251" priority="59" stopIfTrue="1">
      <formula>IF(AK8&gt;9,0,1)</formula>
    </cfRule>
  </conditionalFormatting>
  <conditionalFormatting sqref="E22:G22 E107:G107">
    <cfRule type="expression" dxfId="1250" priority="60" stopIfTrue="1">
      <formula>IF(AK8&gt;1,0,1)</formula>
    </cfRule>
  </conditionalFormatting>
  <conditionalFormatting sqref="H22:J22 H107:J107">
    <cfRule type="expression" dxfId="1249" priority="61" stopIfTrue="1">
      <formula>IF(AK8&gt;2,0,1)</formula>
    </cfRule>
  </conditionalFormatting>
  <conditionalFormatting sqref="K22:M22 K107:M107">
    <cfRule type="expression" dxfId="1248" priority="62" stopIfTrue="1">
      <formula>IF(AK8&gt;3,0,1)</formula>
    </cfRule>
  </conditionalFormatting>
  <conditionalFormatting sqref="N22:P22 N107:P107">
    <cfRule type="expression" dxfId="1247" priority="63" stopIfTrue="1">
      <formula>IF(AK8&gt;4,0,1)</formula>
    </cfRule>
  </conditionalFormatting>
  <conditionalFormatting sqref="Q22:S22 Q107:S107">
    <cfRule type="expression" dxfId="1246" priority="64" stopIfTrue="1">
      <formula>IF(AK8&gt;5,0,1)</formula>
    </cfRule>
  </conditionalFormatting>
  <conditionalFormatting sqref="T22:V22 T107:V107">
    <cfRule type="expression" dxfId="1245" priority="65" stopIfTrue="1">
      <formula>IF(AK8&gt;6,0,1)</formula>
    </cfRule>
  </conditionalFormatting>
  <conditionalFormatting sqref="W22:Y22 W107:Y107">
    <cfRule type="expression" dxfId="1244" priority="66" stopIfTrue="1">
      <formula>IF(AK8&gt;7,0,1)</formula>
    </cfRule>
  </conditionalFormatting>
  <conditionalFormatting sqref="Z22:AB22 Z107:AB107">
    <cfRule type="expression" dxfId="1243" priority="67" stopIfTrue="1">
      <formula>IF(AK8&gt;8,0,1)</formula>
    </cfRule>
  </conditionalFormatting>
  <conditionalFormatting sqref="AC22:AE22 AC107:AE107">
    <cfRule type="expression" dxfId="1242" priority="68" stopIfTrue="1">
      <formula>IF(AK8&gt;9,0,1)</formula>
    </cfRule>
  </conditionalFormatting>
  <conditionalFormatting sqref="B24 B109">
    <cfRule type="expression" dxfId="1241" priority="69" stopIfTrue="1">
      <formula>IF(AK8&gt;0,0,1)</formula>
    </cfRule>
  </conditionalFormatting>
  <conditionalFormatting sqref="C24 C109">
    <cfRule type="expression" dxfId="1240" priority="70" stopIfTrue="1">
      <formula>IF(AK8&gt;0,0,1)</formula>
    </cfRule>
  </conditionalFormatting>
  <conditionalFormatting sqref="D24 D109">
    <cfRule type="expression" dxfId="1239" priority="71" stopIfTrue="1">
      <formula>IF(AK8&gt;0,0,1)</formula>
    </cfRule>
  </conditionalFormatting>
  <conditionalFormatting sqref="E23:G23 E108:G108">
    <cfRule type="expression" dxfId="1238" priority="72" stopIfTrue="1">
      <formula>IF(AK8&gt;1,0,1)</formula>
    </cfRule>
  </conditionalFormatting>
  <conditionalFormatting sqref="F24 F109">
    <cfRule type="expression" dxfId="1237" priority="73" stopIfTrue="1">
      <formula>IF(AK8&gt;1,0,1)</formula>
    </cfRule>
  </conditionalFormatting>
  <conditionalFormatting sqref="G24 G109">
    <cfRule type="expression" dxfId="1236" priority="74" stopIfTrue="1">
      <formula>IF(AK8&gt;1,0,1)</formula>
    </cfRule>
  </conditionalFormatting>
  <conditionalFormatting sqref="H23:J23 H108:J108">
    <cfRule type="expression" dxfId="1235" priority="75" stopIfTrue="1">
      <formula>IF(AK8&gt;2,0,1)</formula>
    </cfRule>
  </conditionalFormatting>
  <conditionalFormatting sqref="I24 I109">
    <cfRule type="expression" dxfId="1234" priority="76" stopIfTrue="1">
      <formula>IF(AK8&gt;2,0,1)</formula>
    </cfRule>
  </conditionalFormatting>
  <conditionalFormatting sqref="J24 J109">
    <cfRule type="expression" dxfId="1233" priority="77" stopIfTrue="1">
      <formula>IF(AK8&gt;2,0,1)</formula>
    </cfRule>
  </conditionalFormatting>
  <conditionalFormatting sqref="K23:M23 K108:M108">
    <cfRule type="expression" dxfId="1232" priority="78" stopIfTrue="1">
      <formula>IF(AK8&gt;3,0,1)</formula>
    </cfRule>
  </conditionalFormatting>
  <conditionalFormatting sqref="L24 L109">
    <cfRule type="expression" dxfId="1231" priority="79" stopIfTrue="1">
      <formula>IF(AK8&gt;3,0,1)</formula>
    </cfRule>
  </conditionalFormatting>
  <conditionalFormatting sqref="M24 M109">
    <cfRule type="expression" dxfId="1230" priority="80" stopIfTrue="1">
      <formula>IF(AK8&gt;3,0,1)</formula>
    </cfRule>
  </conditionalFormatting>
  <conditionalFormatting sqref="N23:P23 N108:P108">
    <cfRule type="expression" dxfId="1229" priority="81" stopIfTrue="1">
      <formula>IF(AK8&gt;4,0,1)</formula>
    </cfRule>
  </conditionalFormatting>
  <conditionalFormatting sqref="O24 O109">
    <cfRule type="expression" dxfId="1228" priority="82" stopIfTrue="1">
      <formula>IF(AK8&gt;4,0,1)</formula>
    </cfRule>
  </conditionalFormatting>
  <conditionalFormatting sqref="P24 P109">
    <cfRule type="expression" dxfId="1227" priority="83" stopIfTrue="1">
      <formula>IF(AK8&gt;4,0,1)</formula>
    </cfRule>
  </conditionalFormatting>
  <conditionalFormatting sqref="Q23:S23 Q108:S108">
    <cfRule type="expression" dxfId="1226" priority="84" stopIfTrue="1">
      <formula>IF(AK8&gt;5,0,1)</formula>
    </cfRule>
  </conditionalFormatting>
  <conditionalFormatting sqref="R24 R109">
    <cfRule type="expression" dxfId="1225" priority="85" stopIfTrue="1">
      <formula>IF(AK8&gt;5,0,1)</formula>
    </cfRule>
  </conditionalFormatting>
  <conditionalFormatting sqref="S24 S109">
    <cfRule type="expression" dxfId="1224" priority="86" stopIfTrue="1">
      <formula>IF(AK8&gt;5,0,1)</formula>
    </cfRule>
  </conditionalFormatting>
  <conditionalFormatting sqref="T23:V23 T108:V108">
    <cfRule type="expression" dxfId="1223" priority="87" stopIfTrue="1">
      <formula>IF(AK8&gt;6,0,1)</formula>
    </cfRule>
  </conditionalFormatting>
  <conditionalFormatting sqref="U24 U109">
    <cfRule type="expression" dxfId="1222" priority="88" stopIfTrue="1">
      <formula>IF(AK8&gt;6,0,1)</formula>
    </cfRule>
  </conditionalFormatting>
  <conditionalFormatting sqref="V24 V109">
    <cfRule type="expression" dxfId="1221" priority="89" stopIfTrue="1">
      <formula>IF(AK8&gt;6,0,1)</formula>
    </cfRule>
  </conditionalFormatting>
  <conditionalFormatting sqref="W23:Y23 W108:Y108">
    <cfRule type="expression" dxfId="1220" priority="90" stopIfTrue="1">
      <formula>IF(AK8&gt;7,0,1)</formula>
    </cfRule>
  </conditionalFormatting>
  <conditionalFormatting sqref="X24 X109">
    <cfRule type="expression" dxfId="1219" priority="91" stopIfTrue="1">
      <formula>IF(AK8&gt;7,0,1)</formula>
    </cfRule>
  </conditionalFormatting>
  <conditionalFormatting sqref="Y24 Y109">
    <cfRule type="expression" dxfId="1218" priority="92" stopIfTrue="1">
      <formula>IF(AK8&gt;7,0,1)</formula>
    </cfRule>
  </conditionalFormatting>
  <conditionalFormatting sqref="Z23:AB23 Z108:AB108">
    <cfRule type="expression" dxfId="1217" priority="93" stopIfTrue="1">
      <formula>IF(AK8&gt;8,0,1)</formula>
    </cfRule>
  </conditionalFormatting>
  <conditionalFormatting sqref="AA24 AA109">
    <cfRule type="expression" dxfId="1216" priority="94" stopIfTrue="1">
      <formula>IF(AK8&gt;8,0,1)</formula>
    </cfRule>
  </conditionalFormatting>
  <conditionalFormatting sqref="AB24 AB109">
    <cfRule type="expression" dxfId="1215" priority="95" stopIfTrue="1">
      <formula>IF(AK8&gt;8,0,1)</formula>
    </cfRule>
  </conditionalFormatting>
  <conditionalFormatting sqref="AC23:AE23 AC108:AE108">
    <cfRule type="expression" dxfId="1214" priority="96" stopIfTrue="1">
      <formula>IF(AK8&gt;9,0,1)</formula>
    </cfRule>
  </conditionalFormatting>
  <conditionalFormatting sqref="AD24 AD109">
    <cfRule type="expression" dxfId="1213" priority="97" stopIfTrue="1">
      <formula>IF(AK8&gt;9,0,1)</formula>
    </cfRule>
  </conditionalFormatting>
  <conditionalFormatting sqref="AE24 AE109">
    <cfRule type="expression" dxfId="1212" priority="98" stopIfTrue="1">
      <formula>IF(AK8&gt;9,0,1)</formula>
    </cfRule>
  </conditionalFormatting>
  <conditionalFormatting sqref="A26 A111">
    <cfRule type="expression" dxfId="1211" priority="99" stopIfTrue="1">
      <formula>IF(AK7&gt;1,0,1)</formula>
    </cfRule>
  </conditionalFormatting>
  <conditionalFormatting sqref="A27 A112">
    <cfRule type="expression" dxfId="1210" priority="100" stopIfTrue="1">
      <formula>IF(AK7&gt;2,0,1)</formula>
    </cfRule>
  </conditionalFormatting>
  <conditionalFormatting sqref="A28 A113">
    <cfRule type="expression" dxfId="1209" priority="101" stopIfTrue="1">
      <formula>IF(AK7&gt;3,0,1)</formula>
    </cfRule>
  </conditionalFormatting>
  <conditionalFormatting sqref="A29 A114">
    <cfRule type="expression" dxfId="1208" priority="102" stopIfTrue="1">
      <formula>IF(AK7&gt;4,0,1)</formula>
    </cfRule>
  </conditionalFormatting>
  <conditionalFormatting sqref="B25:D25 B110:D110">
    <cfRule type="expression" dxfId="1207" priority="103" stopIfTrue="1">
      <formula>IF($AK8&gt;0,0,1)</formula>
    </cfRule>
  </conditionalFormatting>
  <conditionalFormatting sqref="B26:D26 B111:D111">
    <cfRule type="expression" dxfId="1206" priority="104" stopIfTrue="1">
      <formula>IF($AK8&lt;1,1,IF($AK7&lt;2,1,0))</formula>
    </cfRule>
  </conditionalFormatting>
  <conditionalFormatting sqref="B27:D27 B112:D112">
    <cfRule type="expression" dxfId="1205" priority="105" stopIfTrue="1">
      <formula>IF($AK8&lt;1,1,IF($AK7&lt;3,1,0))</formula>
    </cfRule>
  </conditionalFormatting>
  <conditionalFormatting sqref="B28:D28 B113:D113">
    <cfRule type="expression" dxfId="1204" priority="106" stopIfTrue="1">
      <formula>IF($AK8&lt;1,1,IF($AK7&lt;4,1,0))</formula>
    </cfRule>
  </conditionalFormatting>
  <conditionalFormatting sqref="B29:D29 B114:D114">
    <cfRule type="expression" dxfId="1203" priority="107" stopIfTrue="1">
      <formula>IF($AK8&lt;1,1,IF($AK7&lt;5,1,0))</formula>
    </cfRule>
  </conditionalFormatting>
  <conditionalFormatting sqref="AF26 AF111">
    <cfRule type="expression" dxfId="1202" priority="108" stopIfTrue="1">
      <formula>IF($AK9&gt;2,0,1)</formula>
    </cfRule>
  </conditionalFormatting>
  <conditionalFormatting sqref="AF25 AF110">
    <cfRule type="expression" dxfId="1201" priority="109" stopIfTrue="1">
      <formula>IF($AK9&gt;1,0,1)</formula>
    </cfRule>
  </conditionalFormatting>
  <conditionalFormatting sqref="AF24 AF109">
    <cfRule type="expression" dxfId="1200" priority="110" stopIfTrue="1">
      <formula>IF($AK9&gt;0,0,1)</formula>
    </cfRule>
  </conditionalFormatting>
  <conditionalFormatting sqref="AF27 AF112">
    <cfRule type="expression" dxfId="1199" priority="111" stopIfTrue="1">
      <formula>IF($AK9&gt;3,0,1)</formula>
    </cfRule>
  </conditionalFormatting>
  <conditionalFormatting sqref="AF28 AF113">
    <cfRule type="expression" dxfId="1198" priority="112" stopIfTrue="1">
      <formula>IF($AK9&gt;4,0,1)</formula>
    </cfRule>
  </conditionalFormatting>
  <conditionalFormatting sqref="AG23 AG108">
    <cfRule type="expression" dxfId="1197" priority="113" stopIfTrue="1">
      <formula>IF($AK8&lt;1,1,0)</formula>
    </cfRule>
  </conditionalFormatting>
  <conditionalFormatting sqref="AH23 AH108">
    <cfRule type="expression" dxfId="1196" priority="114" stopIfTrue="1">
      <formula>IF($AK8&lt;2,1,0)</formula>
    </cfRule>
  </conditionalFormatting>
  <conditionalFormatting sqref="AI23 AI108">
    <cfRule type="expression" dxfId="1195" priority="115" stopIfTrue="1">
      <formula>IF($AK8&lt;3,1,0)</formula>
    </cfRule>
  </conditionalFormatting>
  <conditionalFormatting sqref="AJ23 AJ108">
    <cfRule type="expression" dxfId="1194" priority="116" stopIfTrue="1">
      <formula>IF($AK8&lt;4,1,0)</formula>
    </cfRule>
  </conditionalFormatting>
  <conditionalFormatting sqref="AK23 AK108">
    <cfRule type="expression" dxfId="1193" priority="117" stopIfTrue="1">
      <formula>IF($AK8&lt;5,1,0)</formula>
    </cfRule>
  </conditionalFormatting>
  <conditionalFormatting sqref="AL23 AL108">
    <cfRule type="expression" dxfId="1192" priority="118" stopIfTrue="1">
      <formula>IF($AK8&lt;6,1,0)</formula>
    </cfRule>
  </conditionalFormatting>
  <conditionalFormatting sqref="AM23 AM108">
    <cfRule type="expression" dxfId="1191" priority="119" stopIfTrue="1">
      <formula>IF($AK8&lt;7,1,0)</formula>
    </cfRule>
  </conditionalFormatting>
  <conditionalFormatting sqref="AN23 AN108">
    <cfRule type="expression" dxfId="1190" priority="120" stopIfTrue="1">
      <formula>IF($AK8&lt;8,1,0)</formula>
    </cfRule>
  </conditionalFormatting>
  <conditionalFormatting sqref="AO23 AO108">
    <cfRule type="expression" dxfId="1189" priority="121" stopIfTrue="1">
      <formula>IF($AK8&lt;9,1,0)</formula>
    </cfRule>
  </conditionalFormatting>
  <conditionalFormatting sqref="AP23 AP108">
    <cfRule type="expression" dxfId="1188" priority="122" stopIfTrue="1">
      <formula>IF($AK8&lt;10,1,0)</formula>
    </cfRule>
  </conditionalFormatting>
  <conditionalFormatting sqref="AQ24 AQ109">
    <cfRule type="expression" dxfId="1187" priority="123" stopIfTrue="1">
      <formula>IF($AK9&gt;0,0,1)</formula>
    </cfRule>
  </conditionalFormatting>
  <conditionalFormatting sqref="AQ25 AQ110">
    <cfRule type="expression" dxfId="1186" priority="124" stopIfTrue="1">
      <formula>IF($AK9&gt;1,0,1)</formula>
    </cfRule>
  </conditionalFormatting>
  <conditionalFormatting sqref="AQ26 H25:J25 AQ111 H110:J110">
    <cfRule type="expression" dxfId="1185" priority="125" stopIfTrue="1">
      <formula>IF($AK8&gt;2,0,1)</formula>
    </cfRule>
  </conditionalFormatting>
  <conditionalFormatting sqref="K25:M25 K110:M110">
    <cfRule type="expression" dxfId="1184" priority="126" stopIfTrue="1">
      <formula>IF($AK8&gt;3,0,1)</formula>
    </cfRule>
  </conditionalFormatting>
  <conditionalFormatting sqref="AQ28 AQ113">
    <cfRule type="expression" dxfId="1183" priority="127" stopIfTrue="1">
      <formula>IF($AK9&gt;4,0,1)</formula>
    </cfRule>
  </conditionalFormatting>
  <conditionalFormatting sqref="E26:G26 E111:G111">
    <cfRule type="expression" dxfId="1182" priority="128" stopIfTrue="1">
      <formula>IF($AK8&lt;2,1,IF($AK7&lt;2,1,0))</formula>
    </cfRule>
  </conditionalFormatting>
  <conditionalFormatting sqref="E27:G27 E112:G112">
    <cfRule type="expression" dxfId="1181" priority="129" stopIfTrue="1">
      <formula>IF($AK8&lt;2,1,IF($AK7&lt;3,1,0))</formula>
    </cfRule>
  </conditionalFormatting>
  <conditionalFormatting sqref="E28:G28 E113:G113">
    <cfRule type="expression" dxfId="1180" priority="130" stopIfTrue="1">
      <formula>IF($AK8&lt;2,1,IF($AK7&lt;4,1,0))</formula>
    </cfRule>
  </conditionalFormatting>
  <conditionalFormatting sqref="E29:G29 E114:G114">
    <cfRule type="expression" dxfId="1179" priority="131" stopIfTrue="1">
      <formula>IF($AK8&lt;2,1,IF($AK7&lt;5,1,0))</formula>
    </cfRule>
  </conditionalFormatting>
  <conditionalFormatting sqref="N25:P25 N110:P110">
    <cfRule type="expression" dxfId="1178" priority="132" stopIfTrue="1">
      <formula>IF($AK8&gt;4,0,1)</formula>
    </cfRule>
  </conditionalFormatting>
  <conditionalFormatting sqref="Q25:S25 Q110:S110">
    <cfRule type="expression" dxfId="1177" priority="133" stopIfTrue="1">
      <formula>IF($AK8&gt;5,0,1)</formula>
    </cfRule>
  </conditionalFormatting>
  <conditionalFormatting sqref="T25:V25 T110:V110">
    <cfRule type="expression" dxfId="1176" priority="134" stopIfTrue="1">
      <formula>IF($AK8&gt;6,0,1)</formula>
    </cfRule>
  </conditionalFormatting>
  <conditionalFormatting sqref="W25:Y25 W110:Y110">
    <cfRule type="expression" dxfId="1175" priority="135" stopIfTrue="1">
      <formula>IF($AK8&gt;7,0,1)</formula>
    </cfRule>
  </conditionalFormatting>
  <conditionalFormatting sqref="Z25:AB25 Z110:AB110">
    <cfRule type="expression" dxfId="1174" priority="136" stopIfTrue="1">
      <formula>IF($AK8&gt;8,0,1)</formula>
    </cfRule>
  </conditionalFormatting>
  <conditionalFormatting sqref="AC25:AE25 AC110:AE110">
    <cfRule type="expression" dxfId="1173" priority="137" stopIfTrue="1">
      <formula>IF($AK8&gt;9,0,1)</formula>
    </cfRule>
  </conditionalFormatting>
  <conditionalFormatting sqref="H26:J26 H111:J111">
    <cfRule type="expression" dxfId="1172" priority="138" stopIfTrue="1">
      <formula>IF($AK8&lt;3,1,IF($AK7&lt;2,1,0))</formula>
    </cfRule>
  </conditionalFormatting>
  <conditionalFormatting sqref="K26:M26 K111:M111">
    <cfRule type="expression" dxfId="1171" priority="139" stopIfTrue="1">
      <formula>IF($AK8&lt;4,1,IF($AK7&lt;2,1,0))</formula>
    </cfRule>
  </conditionalFormatting>
  <conditionalFormatting sqref="N26:P26 N111:P111">
    <cfRule type="expression" dxfId="1170" priority="140" stopIfTrue="1">
      <formula>IF($AK8&lt;5,1,IF($AK7&lt;2,1,0))</formula>
    </cfRule>
  </conditionalFormatting>
  <conditionalFormatting sqref="Q26:S26 Q111:S111">
    <cfRule type="expression" dxfId="1169" priority="141" stopIfTrue="1">
      <formula>IF($AK8&lt;6,1,IF($AK7&lt;2,1,0))</formula>
    </cfRule>
  </conditionalFormatting>
  <conditionalFormatting sqref="T26:V26 T111:V111">
    <cfRule type="expression" dxfId="1168" priority="142" stopIfTrue="1">
      <formula>IF($AK8&lt;7,1,IF($AK7&lt;2,1,0))</formula>
    </cfRule>
  </conditionalFormatting>
  <conditionalFormatting sqref="W26:Y26 W111:Y111">
    <cfRule type="expression" dxfId="1167" priority="143" stopIfTrue="1">
      <formula>IF($AK8&lt;8,1,IF($AK7&lt;2,1,0))</formula>
    </cfRule>
  </conditionalFormatting>
  <conditionalFormatting sqref="Z26:AB26 Z111:AB111">
    <cfRule type="expression" dxfId="1166" priority="144" stopIfTrue="1">
      <formula>IF($AK8&lt;9,1,IF($AK7&lt;2,1,0))</formula>
    </cfRule>
  </conditionalFormatting>
  <conditionalFormatting sqref="AC26:AE26 AC111:AE111">
    <cfRule type="expression" dxfId="1165" priority="145" stopIfTrue="1">
      <formula>IF($AK8&lt;10,1,IF($AK7&lt;2,1,0))</formula>
    </cfRule>
  </conditionalFormatting>
  <conditionalFormatting sqref="H27:J27 H112:J112">
    <cfRule type="expression" dxfId="1164" priority="146" stopIfTrue="1">
      <formula>IF($AK8&lt;3,1,IF($AK7&lt;3,1,0))</formula>
    </cfRule>
  </conditionalFormatting>
  <conditionalFormatting sqref="K27:M27 K112:M112">
    <cfRule type="expression" dxfId="1163" priority="147" stopIfTrue="1">
      <formula>IF($AK8&lt;4,1,IF($AK7&lt;3,1,0))</formula>
    </cfRule>
  </conditionalFormatting>
  <conditionalFormatting sqref="N27:P27 N112:P112">
    <cfRule type="expression" dxfId="1162" priority="148" stopIfTrue="1">
      <formula>IF($AK8&lt;5,1,IF($AK7&lt;3,1,0))</formula>
    </cfRule>
  </conditionalFormatting>
  <conditionalFormatting sqref="Q27:S27 Q112:S112">
    <cfRule type="expression" dxfId="1161" priority="149" stopIfTrue="1">
      <formula>IF($AK8&lt;6,1,IF($AK7&lt;3,1,0))</formula>
    </cfRule>
  </conditionalFormatting>
  <conditionalFormatting sqref="T27:V27 T112:V112">
    <cfRule type="expression" dxfId="1160" priority="150" stopIfTrue="1">
      <formula>IF($AK8&lt;7,1,IF($AK7&lt;3,1,0))</formula>
    </cfRule>
  </conditionalFormatting>
  <conditionalFormatting sqref="W27:Y27 W112:Y112">
    <cfRule type="expression" dxfId="1159" priority="151" stopIfTrue="1">
      <formula>IF($AK8&lt;8,1,IF($AK7&lt;3,1,0))</formula>
    </cfRule>
  </conditionalFormatting>
  <conditionalFormatting sqref="Z27:AB27 Z112:AB112">
    <cfRule type="expression" dxfId="1158" priority="152" stopIfTrue="1">
      <formula>IF($AK8&lt;9,1,IF($AK7&lt;3,1,0))</formula>
    </cfRule>
  </conditionalFormatting>
  <conditionalFormatting sqref="AC27:AE27 AC112:AE112">
    <cfRule type="expression" dxfId="1157" priority="153" stopIfTrue="1">
      <formula>IF($AK8&lt;10,1,IF($AK7&lt;3,1,0))</formula>
    </cfRule>
  </conditionalFormatting>
  <conditionalFormatting sqref="H28:J28 H113:J113">
    <cfRule type="expression" dxfId="1156" priority="154" stopIfTrue="1">
      <formula>IF($AK8&lt;3,1,IF($AK7&lt;4,1,0))</formula>
    </cfRule>
  </conditionalFormatting>
  <conditionalFormatting sqref="K28:M28 K113:M113">
    <cfRule type="expression" dxfId="1155" priority="155" stopIfTrue="1">
      <formula>IF($AK8&lt;4,1,IF($AK7&lt;4,1,0))</formula>
    </cfRule>
  </conditionalFormatting>
  <conditionalFormatting sqref="N28:P28 N113:P113">
    <cfRule type="expression" dxfId="1154" priority="156" stopIfTrue="1">
      <formula>IF($AK8&lt;5,1,IF($AK7&lt;4,1,0))</formula>
    </cfRule>
  </conditionalFormatting>
  <conditionalFormatting sqref="Q28:S28 Q113:S113">
    <cfRule type="expression" dxfId="1153" priority="157" stopIfTrue="1">
      <formula>IF($AK8&lt;6,1,IF($AK7&lt;4,1,0))</formula>
    </cfRule>
  </conditionalFormatting>
  <conditionalFormatting sqref="T28:V28 T113:V113">
    <cfRule type="expression" dxfId="1152" priority="158" stopIfTrue="1">
      <formula>IF($AK8&lt;7,1,IF($AK7&lt;4,1,0))</formula>
    </cfRule>
  </conditionalFormatting>
  <conditionalFormatting sqref="W28:Y28 W113:Y113">
    <cfRule type="expression" dxfId="1151" priority="159" stopIfTrue="1">
      <formula>IF($AK8&lt;8,1,IF($AK7&lt;4,1,0))</formula>
    </cfRule>
  </conditionalFormatting>
  <conditionalFormatting sqref="Z28:AB28 Z113:AB113">
    <cfRule type="expression" dxfId="1150" priority="160" stopIfTrue="1">
      <formula>IF($AK8&lt;9,1,IF($AK7&lt;4,1,0))</formula>
    </cfRule>
  </conditionalFormatting>
  <conditionalFormatting sqref="AC28:AE28 AC113:AE113">
    <cfRule type="expression" dxfId="1149" priority="161" stopIfTrue="1">
      <formula>IF($AK8&lt;10,1,IF($AK7&lt;4,1,0))</formula>
    </cfRule>
  </conditionalFormatting>
  <conditionalFormatting sqref="H29:J29 H114:J114">
    <cfRule type="expression" dxfId="1148" priority="162" stopIfTrue="1">
      <formula>IF($AK8&lt;3,1,IF($AK7&lt;5,1,0))</formula>
    </cfRule>
  </conditionalFormatting>
  <conditionalFormatting sqref="K29:M29 K114:M114">
    <cfRule type="expression" dxfId="1147" priority="163" stopIfTrue="1">
      <formula>IF($AK8&lt;4,1,IF($AK7&lt;5,1,0))</formula>
    </cfRule>
  </conditionalFormatting>
  <conditionalFormatting sqref="N29:P29 N114:P114">
    <cfRule type="expression" dxfId="1146" priority="164" stopIfTrue="1">
      <formula>IF($AK8&lt;5,1,IF($AK7&lt;5,1,0))</formula>
    </cfRule>
  </conditionalFormatting>
  <conditionalFormatting sqref="Q29:S29 Q114:S114">
    <cfRule type="expression" dxfId="1145" priority="165" stopIfTrue="1">
      <formula>IF($AK8&lt;6,1,IF($AK7&lt;5,1,0))</formula>
    </cfRule>
  </conditionalFormatting>
  <conditionalFormatting sqref="T29:V29 T114:V114">
    <cfRule type="expression" dxfId="1144" priority="166" stopIfTrue="1">
      <formula>IF($AK8&lt;7,1,IF($AK7&lt;5,1,0))</formula>
    </cfRule>
  </conditionalFormatting>
  <conditionalFormatting sqref="W29:Y29 W114:Y114">
    <cfRule type="expression" dxfId="1143" priority="167" stopIfTrue="1">
      <formula>IF($AK8&lt;8,1,IF($AK7&lt;5,1,0))</formula>
    </cfRule>
  </conditionalFormatting>
  <conditionalFormatting sqref="Z29:AB29 Z114:AB114">
    <cfRule type="expression" dxfId="1142" priority="168" stopIfTrue="1">
      <formula>IF($AK8&lt;9,1,IF($AK7&lt;5,1,0))</formula>
    </cfRule>
  </conditionalFormatting>
  <conditionalFormatting sqref="AC29:AE29 AC114:AE114">
    <cfRule type="expression" dxfId="1141" priority="169" stopIfTrue="1">
      <formula>IF($AK8&lt;10,1,IF($AK7&lt;5,1,0))</formula>
    </cfRule>
  </conditionalFormatting>
  <conditionalFormatting sqref="R14:AB15 AF14:AF15 L14:P15 R99:AB100 AF99:AF100 L99:P100 AG14 AG99">
    <cfRule type="expression" dxfId="1140" priority="170" stopIfTrue="1">
      <formula>IF($AK9&gt;3,0,1)</formula>
    </cfRule>
  </conditionalFormatting>
  <conditionalFormatting sqref="R16:AB17 AF16:AF17 L16:P17 R101:AB102 AF101:AF102 L101:P102 AG16 AG101">
    <cfRule type="expression" dxfId="1139" priority="171" stopIfTrue="1">
      <formula>IF($AK9&gt;4,0,1)</formula>
    </cfRule>
  </conditionalFormatting>
  <conditionalFormatting sqref="R8:AB9 AF8:AF9 L8:P9 R93:AB94 AF93:AF94 L93:P94 AG8 AG93">
    <cfRule type="expression" dxfId="1138" priority="172" stopIfTrue="1">
      <formula>IF($AK9&gt;0,0,1)</formula>
    </cfRule>
  </conditionalFormatting>
  <conditionalFormatting sqref="R10:AB11 AF10:AF11 L10:P11 R95:AB96 AF95:AF96 L95:P96 AG10 AG95">
    <cfRule type="expression" dxfId="1137" priority="173" stopIfTrue="1">
      <formula>IF($AK9&gt;1,0,1)</formula>
    </cfRule>
  </conditionalFormatting>
  <conditionalFormatting sqref="R12:AB13 AF12:AF13 L12:P13 R97:AB98 AF97:AF98 L97:P98 AG12 AG97">
    <cfRule type="expression" dxfId="1136" priority="174" stopIfTrue="1">
      <formula>IF($AK9&gt;2,0,1)</formula>
    </cfRule>
  </conditionalFormatting>
  <conditionalFormatting sqref="E24 E109">
    <cfRule type="expression" dxfId="1135" priority="175" stopIfTrue="1">
      <formula>IF(AK8&gt;1,0,1)</formula>
    </cfRule>
  </conditionalFormatting>
  <conditionalFormatting sqref="H24 H109">
    <cfRule type="expression" dxfId="1134" priority="176" stopIfTrue="1">
      <formula>IF(AK8&gt;2,0,1)</formula>
    </cfRule>
  </conditionalFormatting>
  <conditionalFormatting sqref="K24 K109">
    <cfRule type="expression" dxfId="1133" priority="177" stopIfTrue="1">
      <formula>IF(AK8&gt;3,0,1)</formula>
    </cfRule>
  </conditionalFormatting>
  <conditionalFormatting sqref="N24 N109">
    <cfRule type="expression" dxfId="1132" priority="178" stopIfTrue="1">
      <formula>IF(AK8&gt;4,0,1)</formula>
    </cfRule>
  </conditionalFormatting>
  <conditionalFormatting sqref="Q24 Q109">
    <cfRule type="expression" dxfId="1131" priority="179" stopIfTrue="1">
      <formula>IF(AK8&gt;5,0,1)</formula>
    </cfRule>
  </conditionalFormatting>
  <conditionalFormatting sqref="T24 T109">
    <cfRule type="expression" dxfId="1130" priority="180" stopIfTrue="1">
      <formula>IF(AK8&gt;6,0,1)</formula>
    </cfRule>
  </conditionalFormatting>
  <conditionalFormatting sqref="W24 W109">
    <cfRule type="expression" dxfId="1129" priority="181" stopIfTrue="1">
      <formula>IF(AK8&gt;7,0,1)</formula>
    </cfRule>
  </conditionalFormatting>
  <conditionalFormatting sqref="Z24 Z109">
    <cfRule type="expression" dxfId="1128" priority="182" stopIfTrue="1">
      <formula>IF(AK8&gt;8,0,1)</formula>
    </cfRule>
  </conditionalFormatting>
  <conditionalFormatting sqref="AC24 AC109">
    <cfRule type="expression" dxfId="1127" priority="183" stopIfTrue="1">
      <formula>IF(AK8&gt;9,0,1)</formula>
    </cfRule>
  </conditionalFormatting>
  <conditionalFormatting sqref="AQ27 AQ112">
    <cfRule type="expression" dxfId="1126" priority="184" stopIfTrue="1">
      <formula>IF($AK9&gt;3,0,1)</formula>
    </cfRule>
  </conditionalFormatting>
  <conditionalFormatting sqref="E25:G25 E110:G110">
    <cfRule type="expression" dxfId="1125" priority="185" stopIfTrue="1">
      <formula>IF($AK8&gt;1,0,1)</formula>
    </cfRule>
  </conditionalFormatting>
  <conditionalFormatting sqref="B21:D21 B106:D106">
    <cfRule type="expression" dxfId="1124" priority="186" stopIfTrue="1">
      <formula>IF(AK8&gt;0,0,1)</formula>
    </cfRule>
  </conditionalFormatting>
  <conditionalFormatting sqref="E21:G21 E106:G106">
    <cfRule type="expression" dxfId="1123" priority="187" stopIfTrue="1">
      <formula>IF(AK8&gt;1,0,1)</formula>
    </cfRule>
  </conditionalFormatting>
  <conditionalFormatting sqref="H21:J21 H106:J106">
    <cfRule type="expression" dxfId="1122" priority="188" stopIfTrue="1">
      <formula>IF(AK8&gt;2,0,1)</formula>
    </cfRule>
  </conditionalFormatting>
  <conditionalFormatting sqref="K21:M21 K106:M106">
    <cfRule type="expression" dxfId="1121" priority="189" stopIfTrue="1">
      <formula>IF(AK8&gt;3,0,1)</formula>
    </cfRule>
  </conditionalFormatting>
  <conditionalFormatting sqref="N21:P21 N106:P106">
    <cfRule type="expression" dxfId="1120" priority="190" stopIfTrue="1">
      <formula>IF(AK8&gt;4,0,1)</formula>
    </cfRule>
  </conditionalFormatting>
  <conditionalFormatting sqref="Q21:S21 Q106:S106">
    <cfRule type="expression" dxfId="1119" priority="191" stopIfTrue="1">
      <formula>IF(AK8&gt;5,0,1)</formula>
    </cfRule>
  </conditionalFormatting>
  <conditionalFormatting sqref="T21:V21 T106:V106">
    <cfRule type="expression" dxfId="1118" priority="192" stopIfTrue="1">
      <formula>IF(AK8&gt;6,0,1)</formula>
    </cfRule>
  </conditionalFormatting>
  <conditionalFormatting sqref="W21:Y21 W106:Y106">
    <cfRule type="expression" dxfId="1117" priority="193" stopIfTrue="1">
      <formula>IF(AK8&gt;7,0,1)</formula>
    </cfRule>
  </conditionalFormatting>
  <conditionalFormatting sqref="Z21:AB21 Z106:AB106">
    <cfRule type="expression" dxfId="1116" priority="194" stopIfTrue="1">
      <formula>IF(AK8&gt;8,0,1)</formula>
    </cfRule>
  </conditionalFormatting>
  <conditionalFormatting sqref="AC21:AE21 AC106:AE106">
    <cfRule type="expression" dxfId="1115" priority="195" stopIfTrue="1">
      <formula>IF(AK8&gt;9,0,1)</formula>
    </cfRule>
  </conditionalFormatting>
  <conditionalFormatting sqref="X224:X225 W215:W216 X215:Y215 W218:Y223 Z219:AE222 AA223:AA225 I223:I225 C224:C225 B215:B216 C215:D215 B218:D223 E219:J222 F223:F225 AD223:AD225">
    <cfRule type="expression" dxfId="1114" priority="196" stopIfTrue="1">
      <formula>IF(#REF!&gt;0,0,1)</formula>
    </cfRule>
  </conditionalFormatting>
  <conditionalFormatting sqref="AA215:AB215 AB223 AA218:AB218 Z223 Z215:Z218 F215:G215 G223 F218:G218 E223 E215:E218">
    <cfRule type="expression" dxfId="1113" priority="197" stopIfTrue="1">
      <formula>IF(#REF!&gt;1,0,1)</formula>
    </cfRule>
  </conditionalFormatting>
  <conditionalFormatting sqref="AC215:AC218 AD215:AE215 AE223 AD218:AE218 AC223 H223 H215:H218 I215:J215 J223 I218:J218">
    <cfRule type="expression" dxfId="1112" priority="198" stopIfTrue="1">
      <formula>IF(#REF!&gt;2,0,1)</formula>
    </cfRule>
  </conditionalFormatting>
  <conditionalFormatting sqref="W224 Y224 B224 D224">
    <cfRule type="expression" dxfId="1111" priority="199" stopIfTrue="1">
      <formula>IF(#REF!&lt;1,1,IF(#REF!&lt;2,1,0))</formula>
    </cfRule>
  </conditionalFormatting>
  <conditionalFormatting sqref="Z224 AB224 E224 G224">
    <cfRule type="expression" dxfId="1110" priority="200" stopIfTrue="1">
      <formula>IF(#REF!&lt;2,1,IF(#REF!&lt;2,1,0))</formula>
    </cfRule>
  </conditionalFormatting>
  <conditionalFormatting sqref="AC224 AE224 H224 J224">
    <cfRule type="expression" dxfId="1109" priority="201" stopIfTrue="1">
      <formula>IF(#REF!&lt;3,1,IF(#REF!&lt;2,1,0))</formula>
    </cfRule>
  </conditionalFormatting>
  <conditionalFormatting sqref="Y225 B225 D225 W225">
    <cfRule type="expression" dxfId="1108" priority="202" stopIfTrue="1">
      <formula>IF(#REF!&lt;1,1,IF(#REF!&lt;3,1,0))</formula>
    </cfRule>
  </conditionalFormatting>
  <conditionalFormatting sqref="AB225 E225 G225 Z225">
    <cfRule type="expression" dxfId="1107" priority="203" stopIfTrue="1">
      <formula>IF(#REF!&lt;2,1,IF(#REF!&lt;3,1,0))</formula>
    </cfRule>
  </conditionalFormatting>
  <conditionalFormatting sqref="AE225 H225 J225 AC225">
    <cfRule type="expression" dxfId="1106" priority="204" stopIfTrue="1">
      <formula>IF(#REF!&lt;3,1,IF(#REF!&lt;3,1,0))</formula>
    </cfRule>
  </conditionalFormatting>
  <conditionalFormatting sqref="AG24:AP28 AG109:AP113">
    <cfRule type="cellIs" dxfId="1105" priority="205" stopIfTrue="1" operator="notBetween">
      <formula>-9999</formula>
      <formula>9999</formula>
    </cfRule>
  </conditionalFormatting>
  <conditionalFormatting sqref="AC7 AC92">
    <cfRule type="expression" dxfId="1104" priority="206" stopIfTrue="1">
      <formula>IF($AK$11=0,1,0)</formula>
    </cfRule>
  </conditionalFormatting>
  <conditionalFormatting sqref="B18">
    <cfRule type="expression" dxfId="1103" priority="207" stopIfTrue="1">
      <formula>IF($AK$9&gt;0,0,1)</formula>
    </cfRule>
  </conditionalFormatting>
  <conditionalFormatting sqref="B22:D23 B107:D108">
    <cfRule type="cellIs" dxfId="1102" priority="208" stopIfTrue="1" operator="equal">
      <formula>99</formula>
    </cfRule>
  </conditionalFormatting>
  <conditionalFormatting sqref="X226 AA226 C226 F226">
    <cfRule type="expression" dxfId="1101" priority="209" stopIfTrue="1">
      <formula>IF(#REF!&gt;0,0,1)</formula>
    </cfRule>
  </conditionalFormatting>
  <conditionalFormatting sqref="K215">
    <cfRule type="expression" dxfId="1100" priority="4" stopIfTrue="1">
      <formula>IF(#REF!&gt;2,0,1)</formula>
    </cfRule>
  </conditionalFormatting>
  <conditionalFormatting sqref="K215">
    <cfRule type="expression" dxfId="1099" priority="3" stopIfTrue="1">
      <formula>IF(ISNUMBER(K223),0,1)</formula>
    </cfRule>
  </conditionalFormatting>
  <conditionalFormatting sqref="AF215">
    <cfRule type="expression" dxfId="1098" priority="2" stopIfTrue="1">
      <formula>IF(ISNUMBER(AF223),0,1)</formula>
    </cfRule>
  </conditionalFormatting>
  <conditionalFormatting sqref="B103">
    <cfRule type="expression" dxfId="1097" priority="1" stopIfTrue="1">
      <formula>IF($AK$9&gt;0,0,1)</formula>
    </cfRule>
  </conditionalFormatting>
  <pageMargins left="0.25" right="0.25" top="0.25" bottom="0.25" header="0" footer="0"/>
  <pageSetup scale="80" fitToHeight="5" orientation="landscape" r:id="rId1"/>
  <headerFooter alignWithMargins="0"/>
  <rowBreaks count="2" manualBreakCount="2">
    <brk id="90" max="42" man="1"/>
    <brk id="181" max="42" man="1"/>
  </rowBreaks>
  <drawing r:id="rId2"/>
  <legacyDrawing r:id="rId3"/>
  <controls>
    <mc:AlternateContent xmlns:mc="http://schemas.openxmlformats.org/markup-compatibility/2006">
      <mc:Choice Requires="x14">
        <control shapeId="20482" r:id="rId4" name="Pool2RecalcFinish">
          <controlPr defaultSize="0" autoLine="0" r:id="rId5">
            <anchor moveWithCells="1" sizeWithCells="1">
              <from>
                <xdr:col>36</xdr:col>
                <xdr:colOff>104775</xdr:colOff>
                <xdr:row>98</xdr:row>
                <xdr:rowOff>9525</xdr:rowOff>
              </from>
              <to>
                <xdr:col>41</xdr:col>
                <xdr:colOff>228600</xdr:colOff>
                <xdr:row>101</xdr:row>
                <xdr:rowOff>104775</xdr:rowOff>
              </to>
            </anchor>
          </controlPr>
        </control>
      </mc:Choice>
      <mc:Fallback>
        <control shapeId="20482" r:id="rId4" name="Pool2RecalcFinish"/>
      </mc:Fallback>
    </mc:AlternateContent>
    <mc:AlternateContent xmlns:mc="http://schemas.openxmlformats.org/markup-compatibility/2006">
      <mc:Choice Requires="x14">
        <control shapeId="20481" r:id="rId6" name="Pool1RecalcFinish">
          <controlPr defaultSize="0" autoLine="0" r:id="rId7">
            <anchor moveWithCells="1" sizeWithCells="1">
              <from>
                <xdr:col>36</xdr:col>
                <xdr:colOff>104775</xdr:colOff>
                <xdr:row>13</xdr:row>
                <xdr:rowOff>9525</xdr:rowOff>
              </from>
              <to>
                <xdr:col>41</xdr:col>
                <xdr:colOff>228600</xdr:colOff>
                <xdr:row>16</xdr:row>
                <xdr:rowOff>104775</xdr:rowOff>
              </to>
            </anchor>
          </controlPr>
        </control>
      </mc:Choice>
      <mc:Fallback>
        <control shapeId="20481" r:id="rId6" name="Pool1RecalcFinish"/>
      </mc:Fallback>
    </mc:AlternateContent>
  </control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11"/>
  </sheetPr>
  <dimension ref="A1:BY658"/>
  <sheetViews>
    <sheetView zoomScale="85" zoomScaleNormal="85" workbookViewId="0">
      <selection activeCell="AW3" sqref="AW3"/>
    </sheetView>
  </sheetViews>
  <sheetFormatPr defaultColWidth="8.7109375" defaultRowHeight="12.75" x14ac:dyDescent="0.2"/>
  <cols>
    <col min="1" max="1" width="8.7109375" style="4"/>
    <col min="2" max="2" width="3.7109375" style="4" customWidth="1"/>
    <col min="3" max="3" width="2.28515625" style="4" customWidth="1"/>
    <col min="4" max="5" width="3.7109375" style="4" customWidth="1"/>
    <col min="6" max="6" width="2.28515625" style="4" customWidth="1"/>
    <col min="7" max="8" width="3.7109375" style="4" customWidth="1"/>
    <col min="9" max="9" width="2.28515625" style="4" customWidth="1"/>
    <col min="10" max="11" width="3.7109375" style="4" customWidth="1"/>
    <col min="12" max="12" width="2.28515625" style="4" customWidth="1"/>
    <col min="13" max="14" width="3.7109375" style="4" customWidth="1"/>
    <col min="15" max="15" width="2.28515625" style="4" customWidth="1"/>
    <col min="16" max="17" width="3.7109375" style="4" customWidth="1"/>
    <col min="18" max="18" width="2.28515625" style="4" customWidth="1"/>
    <col min="19" max="20" width="3.7109375" style="4" customWidth="1"/>
    <col min="21" max="21" width="2.28515625" style="4" customWidth="1"/>
    <col min="22" max="23" width="3.7109375" style="4" customWidth="1"/>
    <col min="24" max="24" width="2.28515625" style="4" customWidth="1"/>
    <col min="25" max="26" width="3.7109375" style="4" customWidth="1"/>
    <col min="27" max="27" width="2.28515625" style="4" customWidth="1"/>
    <col min="28" max="29" width="3.7109375" style="4" customWidth="1"/>
    <col min="30" max="30" width="2.28515625" style="4" customWidth="1"/>
    <col min="31" max="31" width="3.7109375" style="4" customWidth="1"/>
    <col min="32" max="32" width="9.7109375" style="4" customWidth="1"/>
    <col min="33" max="42" width="3.7109375" style="4" customWidth="1"/>
    <col min="43" max="43" width="11" style="4" customWidth="1"/>
    <col min="44" max="46" width="8.7109375" style="4"/>
    <col min="47" max="47" width="21" style="4" customWidth="1"/>
    <col min="48" max="48" width="24.42578125" style="4" customWidth="1"/>
    <col min="49" max="49" width="15.28515625" style="53" customWidth="1"/>
    <col min="50" max="50" width="10.42578125" style="4" customWidth="1"/>
    <col min="51" max="51" width="11.28515625" style="4" customWidth="1"/>
    <col min="52" max="52" width="25" style="4" customWidth="1"/>
    <col min="53" max="53" width="6" style="4" customWidth="1"/>
    <col min="54" max="16384" width="8.7109375" style="4"/>
  </cols>
  <sheetData>
    <row r="1" spans="1:53" ht="13.5" thickBot="1" x14ac:dyDescent="0.25">
      <c r="A1" s="827" t="s">
        <v>0</v>
      </c>
      <c r="B1" s="827"/>
      <c r="C1" s="827"/>
      <c r="D1" s="827"/>
      <c r="E1" s="827"/>
      <c r="F1" s="827"/>
      <c r="G1" s="827"/>
      <c r="H1" s="827"/>
      <c r="I1" s="827"/>
      <c r="J1" s="827"/>
      <c r="K1" s="827"/>
      <c r="L1" s="827"/>
      <c r="M1" s="827"/>
      <c r="N1" s="827"/>
      <c r="O1" s="827"/>
      <c r="P1" s="827"/>
      <c r="Q1" s="827"/>
      <c r="R1" s="827"/>
      <c r="S1" s="827"/>
      <c r="T1" s="827"/>
      <c r="U1" s="827"/>
      <c r="V1" s="827"/>
      <c r="W1" s="827"/>
      <c r="X1" s="827"/>
      <c r="Y1" s="827"/>
      <c r="Z1" s="827"/>
      <c r="AA1" s="827"/>
      <c r="AB1" s="827"/>
      <c r="AC1" s="827"/>
      <c r="AD1" s="827"/>
      <c r="AE1" s="827"/>
      <c r="AF1" s="827"/>
      <c r="AG1" s="827"/>
      <c r="AH1" s="827"/>
      <c r="AI1" s="827"/>
      <c r="AJ1" s="1"/>
      <c r="AK1" s="1"/>
      <c r="AL1" s="1"/>
      <c r="AM1" s="1"/>
      <c r="AN1" s="1"/>
      <c r="AO1" s="1"/>
      <c r="AP1" s="1"/>
      <c r="AQ1" s="2" t="s">
        <v>1</v>
      </c>
      <c r="AR1" s="3"/>
      <c r="AT1" s="828" t="s">
        <v>2</v>
      </c>
      <c r="AU1" s="829"/>
      <c r="AV1" s="829"/>
      <c r="AW1" s="830"/>
      <c r="AX1" s="831" t="s">
        <v>3</v>
      </c>
      <c r="AY1" s="832"/>
      <c r="AZ1" s="5" t="s">
        <v>4</v>
      </c>
      <c r="BA1" s="6">
        <v>32</v>
      </c>
    </row>
    <row r="2" spans="1:53" ht="18.75" customHeight="1" thickBot="1" x14ac:dyDescent="0.3">
      <c r="A2" s="833" t="s">
        <v>5</v>
      </c>
      <c r="B2" s="834"/>
      <c r="C2" s="834"/>
      <c r="D2" s="834"/>
      <c r="E2" s="834"/>
      <c r="F2" s="834"/>
      <c r="G2" s="834"/>
      <c r="H2" s="834"/>
      <c r="I2" s="835"/>
      <c r="J2" s="836" t="s">
        <v>6</v>
      </c>
      <c r="K2" s="837"/>
      <c r="L2" s="837"/>
      <c r="M2" s="837"/>
      <c r="N2" s="837"/>
      <c r="O2" s="837"/>
      <c r="P2" s="837"/>
      <c r="Q2" s="837"/>
      <c r="R2" s="837"/>
      <c r="S2" s="837"/>
      <c r="T2" s="837"/>
      <c r="U2" s="837"/>
      <c r="V2" s="837"/>
      <c r="W2" s="837"/>
      <c r="X2" s="838"/>
      <c r="Y2" s="839" t="s">
        <v>7</v>
      </c>
      <c r="Z2" s="840"/>
      <c r="AA2" s="840"/>
      <c r="AB2" s="840"/>
      <c r="AC2" s="841"/>
      <c r="AD2" s="810" t="s">
        <v>8</v>
      </c>
      <c r="AE2" s="810"/>
      <c r="AF2" s="810"/>
      <c r="AG2" s="810"/>
      <c r="AH2" s="810"/>
      <c r="AI2" s="811"/>
      <c r="AJ2" s="7"/>
      <c r="AK2" s="7"/>
      <c r="AL2" s="7"/>
      <c r="AM2" s="7"/>
      <c r="AN2" s="7"/>
      <c r="AO2" s="7"/>
      <c r="AP2" s="7"/>
      <c r="AQ2" s="7"/>
      <c r="AR2" s="3"/>
      <c r="AT2" s="8" t="s">
        <v>9</v>
      </c>
      <c r="AU2" s="9" t="s">
        <v>10</v>
      </c>
      <c r="AV2" s="10" t="s">
        <v>11</v>
      </c>
      <c r="AW2" s="11" t="s">
        <v>12</v>
      </c>
      <c r="AX2" s="12" t="s">
        <v>13</v>
      </c>
      <c r="AY2" s="11" t="s">
        <v>14</v>
      </c>
      <c r="AZ2" s="5" t="s">
        <v>15</v>
      </c>
      <c r="BA2" s="6">
        <v>16</v>
      </c>
    </row>
    <row r="3" spans="1:53" ht="18.75" customHeight="1" thickBot="1" x14ac:dyDescent="0.3">
      <c r="A3" s="13" t="s">
        <v>16</v>
      </c>
      <c r="B3" s="812" t="s">
        <v>17</v>
      </c>
      <c r="C3" s="813"/>
      <c r="D3" s="813"/>
      <c r="E3" s="813"/>
      <c r="F3" s="813"/>
      <c r="G3" s="813"/>
      <c r="H3" s="813"/>
      <c r="I3" s="813"/>
      <c r="J3" s="813"/>
      <c r="K3" s="813"/>
      <c r="L3" s="813"/>
      <c r="M3" s="813"/>
      <c r="N3" s="813"/>
      <c r="O3" s="814"/>
      <c r="P3" s="815" t="s">
        <v>18</v>
      </c>
      <c r="Q3" s="816"/>
      <c r="R3" s="816"/>
      <c r="S3" s="817">
        <v>17</v>
      </c>
      <c r="T3" s="818"/>
      <c r="U3" s="818"/>
      <c r="V3" s="818"/>
      <c r="W3" s="818"/>
      <c r="X3" s="819"/>
      <c r="Y3" s="820" t="s">
        <v>19</v>
      </c>
      <c r="Z3" s="821"/>
      <c r="AA3" s="821"/>
      <c r="AB3" s="821"/>
      <c r="AC3" s="821"/>
      <c r="AD3" s="822"/>
      <c r="AE3" s="823" t="s">
        <v>20</v>
      </c>
      <c r="AF3" s="824"/>
      <c r="AG3" s="825" t="s">
        <v>21</v>
      </c>
      <c r="AH3" s="825"/>
      <c r="AI3" s="826"/>
      <c r="AJ3" s="7"/>
      <c r="AK3" s="7"/>
      <c r="AL3" s="7"/>
      <c r="AM3" s="7"/>
      <c r="AN3" s="7"/>
      <c r="AO3" s="7"/>
      <c r="AP3" s="7"/>
      <c r="AQ3" s="7"/>
      <c r="AR3" s="3"/>
      <c r="AT3" s="14">
        <v>1</v>
      </c>
      <c r="AU3" s="15" t="s">
        <v>22</v>
      </c>
      <c r="AV3" s="15" t="s">
        <v>23</v>
      </c>
      <c r="AW3" s="147">
        <f>VLOOKUP(AV3,Initial!G:K,5,FALSE)</f>
        <v>2562.1064003900715</v>
      </c>
      <c r="AX3" s="16">
        <f t="shared" ref="AX3:AX12" si="0">VLOOKUP(AU3,AT$79:AU$174,2,FALSE)</f>
        <v>2501.3499753223941</v>
      </c>
      <c r="AY3" s="17">
        <f t="shared" ref="AY3:AY12" si="1">IF(ISNA(VLOOKUP(AU3,AT$182:AU$234,2,FALSE)),AX3,VLOOKUP(AU3,AT$182:AU$234,2,FALSE))</f>
        <v>2490.7546597563824</v>
      </c>
    </row>
    <row r="4" spans="1:53" ht="24" customHeight="1" thickBot="1" x14ac:dyDescent="0.25">
      <c r="A4" s="803" t="s">
        <v>24</v>
      </c>
      <c r="B4" s="804"/>
      <c r="C4" s="804"/>
      <c r="D4" s="805"/>
      <c r="E4" s="806" t="s">
        <v>25</v>
      </c>
      <c r="F4" s="807"/>
      <c r="G4" s="807"/>
      <c r="H4" s="807"/>
      <c r="I4" s="807"/>
      <c r="J4" s="807"/>
      <c r="K4" s="807"/>
      <c r="L4" s="807"/>
      <c r="M4" s="808"/>
      <c r="N4" s="803" t="s">
        <v>26</v>
      </c>
      <c r="O4" s="804"/>
      <c r="P4" s="804"/>
      <c r="Q4" s="805"/>
      <c r="R4" s="809"/>
      <c r="S4" s="810"/>
      <c r="T4" s="810"/>
      <c r="U4" s="810"/>
      <c r="V4" s="810"/>
      <c r="W4" s="810"/>
      <c r="X4" s="810"/>
      <c r="Y4" s="810"/>
      <c r="Z4" s="810"/>
      <c r="AA4" s="811"/>
      <c r="AB4" s="803" t="s">
        <v>27</v>
      </c>
      <c r="AC4" s="804"/>
      <c r="AD4" s="804"/>
      <c r="AE4" s="805"/>
      <c r="AF4" s="809"/>
      <c r="AG4" s="810"/>
      <c r="AH4" s="810"/>
      <c r="AI4" s="811"/>
      <c r="AJ4" s="7"/>
      <c r="AK4" s="7"/>
      <c r="AL4" s="7"/>
      <c r="AM4" s="7"/>
      <c r="AN4" s="7"/>
      <c r="AO4" s="7"/>
      <c r="AP4" s="7"/>
      <c r="AQ4" s="7"/>
      <c r="AR4" s="3"/>
      <c r="AT4" s="18">
        <v>2</v>
      </c>
      <c r="AU4" s="15" t="s">
        <v>28</v>
      </c>
      <c r="AV4" s="15" t="s">
        <v>29</v>
      </c>
      <c r="AW4" s="147">
        <f>VLOOKUP(AV4,Initial!G:K,5,FALSE)</f>
        <v>2503.2179928017745</v>
      </c>
      <c r="AX4" s="19">
        <f t="shared" si="0"/>
        <v>2469.0199397386018</v>
      </c>
      <c r="AY4" s="20">
        <f t="shared" si="1"/>
        <v>2461.1682047986947</v>
      </c>
    </row>
    <row r="5" spans="1:53" ht="15.75" thickBot="1" x14ac:dyDescent="0.25">
      <c r="A5" s="1" t="s">
        <v>30</v>
      </c>
      <c r="B5" s="800" t="s">
        <v>30</v>
      </c>
      <c r="C5" s="801"/>
      <c r="D5" s="801"/>
      <c r="E5" s="801"/>
      <c r="F5" s="801"/>
      <c r="G5" s="801"/>
      <c r="H5" s="801"/>
      <c r="I5" s="801"/>
      <c r="J5" s="801"/>
      <c r="K5" s="802" t="s">
        <v>30</v>
      </c>
      <c r="L5" s="802"/>
      <c r="M5" s="802"/>
      <c r="N5" s="802"/>
      <c r="O5" s="802"/>
      <c r="P5" s="802"/>
      <c r="Q5" s="802"/>
      <c r="R5" s="802"/>
      <c r="S5" s="802"/>
      <c r="T5" s="802"/>
      <c r="U5" s="802"/>
      <c r="V5" s="802"/>
      <c r="W5" s="802"/>
      <c r="X5" s="802"/>
      <c r="Y5" s="802"/>
      <c r="Z5" s="802"/>
      <c r="AA5" s="802"/>
      <c r="AB5" s="802"/>
      <c r="AC5" s="802"/>
      <c r="AD5" s="802"/>
      <c r="AE5" s="802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3"/>
      <c r="AT5" s="18">
        <v>3</v>
      </c>
      <c r="AU5" s="15" t="s">
        <v>31</v>
      </c>
      <c r="AV5" s="15" t="s">
        <v>32</v>
      </c>
      <c r="AW5" s="147">
        <f>VLOOKUP(AV5,Initial!G:K,5,FALSE)</f>
        <v>2483.9011013183376</v>
      </c>
      <c r="AX5" s="19">
        <f t="shared" si="0"/>
        <v>2521.723704804047</v>
      </c>
      <c r="AY5" s="20">
        <f t="shared" si="1"/>
        <v>2534.2184179573715</v>
      </c>
    </row>
    <row r="6" spans="1:53" ht="24" customHeight="1" thickBot="1" x14ac:dyDescent="0.25">
      <c r="A6" s="21" t="s">
        <v>33</v>
      </c>
      <c r="B6" s="22" t="s">
        <v>34</v>
      </c>
      <c r="C6" s="775" t="s">
        <v>35</v>
      </c>
      <c r="D6" s="776"/>
      <c r="E6" s="776"/>
      <c r="F6" s="776"/>
      <c r="G6" s="776"/>
      <c r="H6" s="777"/>
      <c r="I6" s="778">
        <v>1</v>
      </c>
      <c r="J6" s="779"/>
      <c r="K6" s="780" t="str">
        <f>"Pool "&amp;B6&amp;" - Round 1 - Court "&amp;I6</f>
        <v>Pool A - Round 1 - Court 1</v>
      </c>
      <c r="L6" s="781"/>
      <c r="M6" s="781"/>
      <c r="N6" s="781"/>
      <c r="O6" s="781"/>
      <c r="P6" s="781"/>
      <c r="Q6" s="781"/>
      <c r="R6" s="781"/>
      <c r="S6" s="781"/>
      <c r="T6" s="781"/>
      <c r="U6" s="781"/>
      <c r="V6" s="781"/>
      <c r="W6" s="781"/>
      <c r="X6" s="781"/>
      <c r="Y6" s="781"/>
      <c r="Z6" s="781"/>
      <c r="AA6" s="781"/>
      <c r="AB6" s="781"/>
      <c r="AC6" s="781"/>
      <c r="AD6" s="781"/>
      <c r="AE6" s="781"/>
      <c r="AF6" s="781"/>
      <c r="AG6" s="781"/>
      <c r="AH6" s="781"/>
      <c r="AI6" s="782"/>
      <c r="AJ6" s="7"/>
      <c r="AK6" s="7"/>
      <c r="AL6" s="7"/>
      <c r="AM6" s="7"/>
      <c r="AN6" s="7"/>
      <c r="AO6" s="7"/>
      <c r="AP6" s="7"/>
      <c r="AQ6" s="7"/>
      <c r="AT6" s="18">
        <v>4</v>
      </c>
      <c r="AU6" s="15" t="s">
        <v>36</v>
      </c>
      <c r="AV6" s="15" t="s">
        <v>37</v>
      </c>
      <c r="AW6" s="147">
        <f>VLOOKUP(AV6,Initial!G:K,5,FALSE)</f>
        <v>2462.5038673672475</v>
      </c>
      <c r="AX6" s="19">
        <f t="shared" si="0"/>
        <v>2477.5655110911916</v>
      </c>
      <c r="AY6" s="20">
        <f t="shared" si="1"/>
        <v>2470.5768512788477</v>
      </c>
    </row>
    <row r="7" spans="1:53" ht="27" customHeight="1" thickBot="1" x14ac:dyDescent="0.25">
      <c r="A7" s="23" t="s">
        <v>38</v>
      </c>
      <c r="B7" s="783" t="s">
        <v>10</v>
      </c>
      <c r="C7" s="784"/>
      <c r="D7" s="784"/>
      <c r="E7" s="784"/>
      <c r="F7" s="784"/>
      <c r="G7" s="784"/>
      <c r="H7" s="784"/>
      <c r="I7" s="784"/>
      <c r="J7" s="784"/>
      <c r="K7" s="784"/>
      <c r="L7" s="783" t="str">
        <f>IF($AK10=0,"Games Won","Matches Won")</f>
        <v>Games Won</v>
      </c>
      <c r="M7" s="784"/>
      <c r="N7" s="784"/>
      <c r="O7" s="784"/>
      <c r="P7" s="784"/>
      <c r="Q7" s="785"/>
      <c r="R7" s="783" t="str">
        <f>IF($AK10=0,"Games Lost","Matches Lost")</f>
        <v>Games Lost</v>
      </c>
      <c r="S7" s="786"/>
      <c r="T7" s="786"/>
      <c r="U7" s="786"/>
      <c r="V7" s="787"/>
      <c r="W7" s="788" t="s">
        <v>39</v>
      </c>
      <c r="X7" s="789"/>
      <c r="Y7" s="790"/>
      <c r="Z7" s="788" t="s">
        <v>40</v>
      </c>
      <c r="AA7" s="789"/>
      <c r="AB7" s="790"/>
      <c r="AC7" s="791" t="s">
        <v>41</v>
      </c>
      <c r="AD7" s="792"/>
      <c r="AE7" s="793"/>
      <c r="AF7" s="24" t="s">
        <v>42</v>
      </c>
      <c r="AG7" s="25" t="s">
        <v>9</v>
      </c>
      <c r="AH7" s="773" t="s">
        <v>43</v>
      </c>
      <c r="AI7" s="774"/>
      <c r="AJ7" s="26"/>
      <c r="AK7" s="27">
        <v>2</v>
      </c>
      <c r="AL7" s="28" t="s">
        <v>44</v>
      </c>
      <c r="AM7" s="28"/>
      <c r="AN7" s="28"/>
      <c r="AO7" s="28"/>
      <c r="AP7" s="28"/>
      <c r="AQ7" s="28"/>
      <c r="AR7" s="29"/>
      <c r="AT7" s="18">
        <v>5</v>
      </c>
      <c r="AU7" s="15" t="s">
        <v>45</v>
      </c>
      <c r="AV7" s="15" t="s">
        <v>46</v>
      </c>
      <c r="AW7" s="147">
        <f>VLOOKUP(AV7,Initial!G:K,5,FALSE)</f>
        <v>2418.2277960489441</v>
      </c>
      <c r="AX7" s="19">
        <f t="shared" si="0"/>
        <v>2486.1708786393397</v>
      </c>
      <c r="AY7" s="20">
        <f t="shared" si="1"/>
        <v>2486.9719356907308</v>
      </c>
    </row>
    <row r="8" spans="1:53" ht="18.75" customHeight="1" thickBot="1" x14ac:dyDescent="0.25">
      <c r="A8" s="742" t="str">
        <f>IF($AK9&gt;0,"1","")</f>
        <v>1</v>
      </c>
      <c r="B8" s="770" t="s">
        <v>10</v>
      </c>
      <c r="C8" s="771"/>
      <c r="D8" s="772"/>
      <c r="E8" s="746" t="str">
        <f>AU3</f>
        <v>Augusta Elite 17U</v>
      </c>
      <c r="F8" s="747"/>
      <c r="G8" s="747"/>
      <c r="H8" s="747"/>
      <c r="I8" s="747"/>
      <c r="J8" s="747"/>
      <c r="K8" s="748"/>
      <c r="L8" s="749">
        <f>IF($AK10=0,AF64,AF46)</f>
        <v>4</v>
      </c>
      <c r="M8" s="750"/>
      <c r="N8" s="750"/>
      <c r="O8" s="750"/>
      <c r="P8" s="750"/>
      <c r="Q8" s="785"/>
      <c r="R8" s="749">
        <f>IF($AK10=0,AG64,AG46)</f>
        <v>4</v>
      </c>
      <c r="S8" s="750"/>
      <c r="T8" s="750"/>
      <c r="U8" s="750"/>
      <c r="V8" s="750"/>
      <c r="W8" s="749">
        <f>AQ24</f>
        <v>11</v>
      </c>
      <c r="X8" s="750"/>
      <c r="Y8" s="750"/>
      <c r="Z8" s="722">
        <f>IF(AF58&gt;0,(AQ24/AF58),0)</f>
        <v>5.5E-2</v>
      </c>
      <c r="AA8" s="723"/>
      <c r="AB8" s="723"/>
      <c r="AC8" s="726">
        <f>IF(AF72=0,0,(AF64/AF72))</f>
        <v>0.5</v>
      </c>
      <c r="AD8" s="727"/>
      <c r="AE8" s="728"/>
      <c r="AF8" s="732">
        <v>3</v>
      </c>
      <c r="AG8" s="732">
        <v>1</v>
      </c>
      <c r="AH8" s="734"/>
      <c r="AI8" s="735"/>
      <c r="AJ8" s="26"/>
      <c r="AK8" s="27">
        <v>10</v>
      </c>
      <c r="AL8" s="28" t="s">
        <v>47</v>
      </c>
      <c r="AM8" s="28"/>
      <c r="AN8" s="28"/>
      <c r="AO8" s="28"/>
      <c r="AP8" s="28"/>
      <c r="AQ8" s="28"/>
      <c r="AR8" s="29"/>
      <c r="AT8" s="18">
        <v>6</v>
      </c>
      <c r="AU8" s="15" t="s">
        <v>48</v>
      </c>
      <c r="AV8" s="15" t="s">
        <v>49</v>
      </c>
      <c r="AW8" s="147">
        <f>VLOOKUP(AV8,Initial!G:K,5,FALSE)</f>
        <v>2400</v>
      </c>
      <c r="AX8" s="19">
        <f t="shared" si="0"/>
        <v>2357.6436227783074</v>
      </c>
      <c r="AY8" s="20">
        <f t="shared" si="1"/>
        <v>2357.6436227783074</v>
      </c>
    </row>
    <row r="9" spans="1:53" ht="18.75" customHeight="1" thickBot="1" x14ac:dyDescent="0.25">
      <c r="A9" s="743"/>
      <c r="B9" s="767" t="s">
        <v>11</v>
      </c>
      <c r="C9" s="768"/>
      <c r="D9" s="769"/>
      <c r="E9" s="763" t="str">
        <f>AV3</f>
        <v>fj7aelit1pm</v>
      </c>
      <c r="F9" s="764"/>
      <c r="G9" s="764"/>
      <c r="H9" s="764"/>
      <c r="I9" s="764"/>
      <c r="J9" s="764"/>
      <c r="K9" s="764"/>
      <c r="L9" s="765"/>
      <c r="M9" s="766"/>
      <c r="N9" s="766"/>
      <c r="O9" s="766"/>
      <c r="P9" s="766"/>
      <c r="Q9" s="785"/>
      <c r="R9" s="765"/>
      <c r="S9" s="766"/>
      <c r="T9" s="766"/>
      <c r="U9" s="766"/>
      <c r="V9" s="766"/>
      <c r="W9" s="765"/>
      <c r="X9" s="766"/>
      <c r="Y9" s="766"/>
      <c r="Z9" s="753"/>
      <c r="AA9" s="754"/>
      <c r="AB9" s="754"/>
      <c r="AC9" s="755"/>
      <c r="AD9" s="756"/>
      <c r="AE9" s="757"/>
      <c r="AF9" s="758"/>
      <c r="AG9" s="758"/>
      <c r="AH9" s="759"/>
      <c r="AI9" s="760"/>
      <c r="AJ9" s="26"/>
      <c r="AK9" s="27">
        <v>5</v>
      </c>
      <c r="AL9" s="28" t="s">
        <v>50</v>
      </c>
      <c r="AM9" s="26"/>
      <c r="AN9" s="26"/>
      <c r="AO9" s="26"/>
      <c r="AP9" s="26"/>
      <c r="AQ9" s="26"/>
      <c r="AR9" s="3"/>
      <c r="AT9" s="18">
        <v>7</v>
      </c>
      <c r="AU9" s="15" t="s">
        <v>51</v>
      </c>
      <c r="AV9" s="15" t="s">
        <v>52</v>
      </c>
      <c r="AW9" s="147">
        <f>VLOOKUP(AV9,Initial!G:K,5,FALSE)</f>
        <v>2400</v>
      </c>
      <c r="AX9" s="19">
        <f t="shared" si="0"/>
        <v>2384.4125535599082</v>
      </c>
      <c r="AY9" s="20">
        <f t="shared" si="1"/>
        <v>2408.4097346410776</v>
      </c>
    </row>
    <row r="10" spans="1:53" ht="18.75" customHeight="1" thickBot="1" x14ac:dyDescent="0.25">
      <c r="A10" s="742" t="str">
        <f>IF($AK9&gt;1,"2","")</f>
        <v>2</v>
      </c>
      <c r="B10" s="770" t="s">
        <v>10</v>
      </c>
      <c r="C10" s="771"/>
      <c r="D10" s="772"/>
      <c r="E10" s="746" t="str">
        <f>AU6</f>
        <v>Foothills 17</v>
      </c>
      <c r="F10" s="747"/>
      <c r="G10" s="747"/>
      <c r="H10" s="747"/>
      <c r="I10" s="747"/>
      <c r="J10" s="747"/>
      <c r="K10" s="748"/>
      <c r="L10" s="749">
        <f>IF($AK10=0,AF65,AF47)</f>
        <v>5</v>
      </c>
      <c r="M10" s="750"/>
      <c r="N10" s="750"/>
      <c r="O10" s="750"/>
      <c r="P10" s="750"/>
      <c r="Q10" s="785"/>
      <c r="R10" s="749">
        <f>IF($AK10=0,AG65,AG47)</f>
        <v>3</v>
      </c>
      <c r="S10" s="750"/>
      <c r="T10" s="750"/>
      <c r="U10" s="750"/>
      <c r="V10" s="750"/>
      <c r="W10" s="749">
        <f>AQ25</f>
        <v>-7</v>
      </c>
      <c r="X10" s="750"/>
      <c r="Y10" s="750"/>
      <c r="Z10" s="722">
        <f>IF(AF59&gt;0,(AQ25/AF59),0)</f>
        <v>-3.4653465346534656E-2</v>
      </c>
      <c r="AA10" s="723"/>
      <c r="AB10" s="723"/>
      <c r="AC10" s="726">
        <f>IF(AF73=0,0,(AF65/AF73))</f>
        <v>0.625</v>
      </c>
      <c r="AD10" s="727"/>
      <c r="AE10" s="728"/>
      <c r="AF10" s="732">
        <v>2</v>
      </c>
      <c r="AG10" s="732">
        <v>1</v>
      </c>
      <c r="AH10" s="734"/>
      <c r="AI10" s="735"/>
      <c r="AJ10" s="26"/>
      <c r="AK10" s="27">
        <v>0</v>
      </c>
      <c r="AL10" s="28" t="s">
        <v>53</v>
      </c>
      <c r="AM10" s="28"/>
      <c r="AN10" s="28"/>
      <c r="AO10" s="28"/>
      <c r="AP10" s="28"/>
      <c r="AQ10" s="28"/>
      <c r="AR10" s="29"/>
      <c r="AT10" s="18">
        <v>8</v>
      </c>
      <c r="AU10" s="15" t="s">
        <v>54</v>
      </c>
      <c r="AV10" s="15" t="s">
        <v>55</v>
      </c>
      <c r="AW10" s="147">
        <f>VLOOKUP(AV10,Initial!G:K,5,FALSE)</f>
        <v>2355.6429300299578</v>
      </c>
      <c r="AX10" s="19">
        <f t="shared" si="0"/>
        <v>2359.0968744907545</v>
      </c>
      <c r="AY10" s="20">
        <f t="shared" si="1"/>
        <v>2353.5467439155041</v>
      </c>
    </row>
    <row r="11" spans="1:53" ht="18.75" customHeight="1" thickBot="1" x14ac:dyDescent="0.25">
      <c r="A11" s="743"/>
      <c r="B11" s="761" t="s">
        <v>11</v>
      </c>
      <c r="C11" s="762"/>
      <c r="D11" s="762"/>
      <c r="E11" s="763" t="str">
        <f>AV6</f>
        <v>fj7footh7pm</v>
      </c>
      <c r="F11" s="764"/>
      <c r="G11" s="764"/>
      <c r="H11" s="764"/>
      <c r="I11" s="764"/>
      <c r="J11" s="764"/>
      <c r="K11" s="764"/>
      <c r="L11" s="765"/>
      <c r="M11" s="766"/>
      <c r="N11" s="766"/>
      <c r="O11" s="766"/>
      <c r="P11" s="766"/>
      <c r="Q11" s="785"/>
      <c r="R11" s="765"/>
      <c r="S11" s="766"/>
      <c r="T11" s="766"/>
      <c r="U11" s="766"/>
      <c r="V11" s="766"/>
      <c r="W11" s="765"/>
      <c r="X11" s="766"/>
      <c r="Y11" s="766"/>
      <c r="Z11" s="753"/>
      <c r="AA11" s="754"/>
      <c r="AB11" s="754"/>
      <c r="AC11" s="755"/>
      <c r="AD11" s="756"/>
      <c r="AE11" s="757"/>
      <c r="AF11" s="758"/>
      <c r="AG11" s="758"/>
      <c r="AH11" s="759"/>
      <c r="AI11" s="760"/>
      <c r="AJ11" s="26"/>
      <c r="AK11" s="27">
        <v>1</v>
      </c>
      <c r="AL11" s="28" t="s">
        <v>56</v>
      </c>
      <c r="AM11" s="26"/>
      <c r="AN11" s="26"/>
      <c r="AO11" s="26"/>
      <c r="AP11" s="26"/>
      <c r="AQ11" s="26"/>
      <c r="AR11" s="3"/>
      <c r="AT11" s="18">
        <v>9</v>
      </c>
      <c r="AU11" s="15" t="s">
        <v>57</v>
      </c>
      <c r="AV11" s="15" t="s">
        <v>58</v>
      </c>
      <c r="AW11" s="147">
        <f>VLOOKUP(AV11,Initial!G:K,5,FALSE)</f>
        <v>2355.4932684736682</v>
      </c>
      <c r="AX11" s="19">
        <f t="shared" si="0"/>
        <v>2329.7910227662092</v>
      </c>
      <c r="AY11" s="20">
        <f t="shared" si="1"/>
        <v>2329.7910227662092</v>
      </c>
    </row>
    <row r="12" spans="1:53" ht="18.75" customHeight="1" thickBot="1" x14ac:dyDescent="0.25">
      <c r="A12" s="742" t="str">
        <f>IF($AK9&gt;2,"3","")</f>
        <v>3</v>
      </c>
      <c r="B12" s="744" t="s">
        <v>10</v>
      </c>
      <c r="C12" s="745"/>
      <c r="D12" s="745"/>
      <c r="E12" s="746" t="str">
        <f>AU7</f>
        <v>Vision 17 Regional</v>
      </c>
      <c r="F12" s="747"/>
      <c r="G12" s="747"/>
      <c r="H12" s="747"/>
      <c r="I12" s="747"/>
      <c r="J12" s="747"/>
      <c r="K12" s="748"/>
      <c r="L12" s="749">
        <f>IF($AK10=0,AF66,AF48)</f>
        <v>6</v>
      </c>
      <c r="M12" s="750"/>
      <c r="N12" s="750"/>
      <c r="O12" s="750"/>
      <c r="P12" s="750"/>
      <c r="Q12" s="785"/>
      <c r="R12" s="749">
        <f>IF($AK10=0,AG66,AG48)</f>
        <v>2</v>
      </c>
      <c r="S12" s="750"/>
      <c r="T12" s="750"/>
      <c r="U12" s="750"/>
      <c r="V12" s="750"/>
      <c r="W12" s="749">
        <f>AQ26</f>
        <v>25</v>
      </c>
      <c r="X12" s="750"/>
      <c r="Y12" s="750"/>
      <c r="Z12" s="722">
        <f>IF(AF60&gt;0,(AQ26/AF60),0)</f>
        <v>0.12437810945273632</v>
      </c>
      <c r="AA12" s="723"/>
      <c r="AB12" s="723"/>
      <c r="AC12" s="726">
        <f>IF(AF74=0,0,(AF66/AF74))</f>
        <v>0.75</v>
      </c>
      <c r="AD12" s="727"/>
      <c r="AE12" s="728"/>
      <c r="AF12" s="732">
        <v>1</v>
      </c>
      <c r="AG12" s="732">
        <v>1</v>
      </c>
      <c r="AH12" s="734"/>
      <c r="AI12" s="735"/>
      <c r="AJ12" s="30"/>
      <c r="AK12" s="27">
        <v>8</v>
      </c>
      <c r="AL12" s="31" t="s">
        <v>59</v>
      </c>
      <c r="AM12" s="28"/>
      <c r="AN12" s="28"/>
      <c r="AO12" s="28"/>
      <c r="AP12" s="28"/>
      <c r="AQ12" s="28"/>
      <c r="AR12" s="29"/>
      <c r="AT12" s="32">
        <v>10</v>
      </c>
      <c r="AU12" s="15" t="s">
        <v>60</v>
      </c>
      <c r="AV12" s="15" t="s">
        <v>61</v>
      </c>
      <c r="AW12" s="147">
        <f>VLOOKUP(AV12,Initial!G:K,5,FALSE)</f>
        <v>2357.2024717461968</v>
      </c>
      <c r="AX12" s="33">
        <f t="shared" si="0"/>
        <v>2411.521744985444</v>
      </c>
      <c r="AY12" s="34">
        <f t="shared" si="1"/>
        <v>2405.2146345930723</v>
      </c>
    </row>
    <row r="13" spans="1:53" ht="18.75" customHeight="1" thickBot="1" x14ac:dyDescent="0.25">
      <c r="A13" s="743"/>
      <c r="B13" s="761" t="s">
        <v>11</v>
      </c>
      <c r="C13" s="762"/>
      <c r="D13" s="762"/>
      <c r="E13" s="763" t="str">
        <f>AV7</f>
        <v>fj7vison1pm</v>
      </c>
      <c r="F13" s="764"/>
      <c r="G13" s="764"/>
      <c r="H13" s="764"/>
      <c r="I13" s="764"/>
      <c r="J13" s="764"/>
      <c r="K13" s="764"/>
      <c r="L13" s="765"/>
      <c r="M13" s="766"/>
      <c r="N13" s="766"/>
      <c r="O13" s="766"/>
      <c r="P13" s="766"/>
      <c r="Q13" s="785"/>
      <c r="R13" s="765"/>
      <c r="S13" s="766"/>
      <c r="T13" s="766"/>
      <c r="U13" s="766"/>
      <c r="V13" s="766"/>
      <c r="W13" s="765"/>
      <c r="X13" s="766"/>
      <c r="Y13" s="766"/>
      <c r="Z13" s="753"/>
      <c r="AA13" s="754"/>
      <c r="AB13" s="754"/>
      <c r="AC13" s="755"/>
      <c r="AD13" s="756"/>
      <c r="AE13" s="757"/>
      <c r="AF13" s="758"/>
      <c r="AG13" s="758"/>
      <c r="AH13" s="759"/>
      <c r="AI13" s="760"/>
      <c r="AJ13" s="30"/>
      <c r="AK13" s="35"/>
      <c r="AL13" s="36"/>
      <c r="AM13" s="36"/>
      <c r="AN13" s="36"/>
      <c r="AO13" s="36"/>
      <c r="AP13" s="36"/>
      <c r="AQ13" s="26"/>
      <c r="AR13" s="3"/>
      <c r="AT13" s="794" t="s">
        <v>62</v>
      </c>
      <c r="AU13" s="795"/>
      <c r="AV13" s="795"/>
      <c r="AW13" s="795"/>
      <c r="AX13" s="795"/>
      <c r="AY13" s="796"/>
    </row>
    <row r="14" spans="1:53" ht="18.75" customHeight="1" thickBot="1" x14ac:dyDescent="0.25">
      <c r="A14" s="742" t="str">
        <f>IF($AK9&gt;3,"4","")</f>
        <v>4</v>
      </c>
      <c r="B14" s="744" t="s">
        <v>10</v>
      </c>
      <c r="C14" s="745"/>
      <c r="D14" s="745"/>
      <c r="E14" s="746" t="str">
        <f>AU10</f>
        <v>OLC 17s Purple</v>
      </c>
      <c r="F14" s="747"/>
      <c r="G14" s="747"/>
      <c r="H14" s="747"/>
      <c r="I14" s="747"/>
      <c r="J14" s="747"/>
      <c r="K14" s="748"/>
      <c r="L14" s="749">
        <f>IF($AK10=0,AF67,AF49)</f>
        <v>3</v>
      </c>
      <c r="M14" s="750"/>
      <c r="N14" s="750"/>
      <c r="O14" s="750"/>
      <c r="P14" s="750"/>
      <c r="Q14" s="785"/>
      <c r="R14" s="749">
        <f>IF($AK10=0,AG67,AG49)</f>
        <v>5</v>
      </c>
      <c r="S14" s="750"/>
      <c r="T14" s="750"/>
      <c r="U14" s="750"/>
      <c r="V14" s="750"/>
      <c r="W14" s="749">
        <f>AQ27</f>
        <v>-15</v>
      </c>
      <c r="X14" s="750"/>
      <c r="Y14" s="750"/>
      <c r="Z14" s="722">
        <f>IF(AF61&gt;0,(AQ27/AF61),0)</f>
        <v>-7.4999999999999997E-2</v>
      </c>
      <c r="AA14" s="723"/>
      <c r="AB14" s="723"/>
      <c r="AC14" s="726">
        <f>IF(AF75=0,0,(AF67/AF75))</f>
        <v>0.375</v>
      </c>
      <c r="AD14" s="727"/>
      <c r="AE14" s="728"/>
      <c r="AF14" s="732">
        <v>4</v>
      </c>
      <c r="AG14" s="732">
        <v>1</v>
      </c>
      <c r="AH14" s="734"/>
      <c r="AI14" s="735"/>
      <c r="AJ14" s="7"/>
      <c r="AK14" s="36"/>
      <c r="AL14" s="36"/>
      <c r="AM14" s="36"/>
      <c r="AN14" s="36"/>
      <c r="AO14" s="36"/>
      <c r="AP14" s="36"/>
      <c r="AQ14" s="28"/>
      <c r="AR14" s="29"/>
      <c r="AT14" s="797"/>
      <c r="AU14" s="798"/>
      <c r="AV14" s="798"/>
      <c r="AW14" s="798"/>
      <c r="AX14" s="798"/>
      <c r="AY14" s="799"/>
    </row>
    <row r="15" spans="1:53" ht="18.75" customHeight="1" thickBot="1" x14ac:dyDescent="0.25">
      <c r="A15" s="743"/>
      <c r="B15" s="761" t="s">
        <v>11</v>
      </c>
      <c r="C15" s="762"/>
      <c r="D15" s="762"/>
      <c r="E15" s="763" t="str">
        <f>AV10</f>
        <v>fj6ladyc1pm</v>
      </c>
      <c r="F15" s="764"/>
      <c r="G15" s="764"/>
      <c r="H15" s="764"/>
      <c r="I15" s="764"/>
      <c r="J15" s="764"/>
      <c r="K15" s="764"/>
      <c r="L15" s="765"/>
      <c r="M15" s="766"/>
      <c r="N15" s="766"/>
      <c r="O15" s="766"/>
      <c r="P15" s="766"/>
      <c r="Q15" s="785"/>
      <c r="R15" s="765"/>
      <c r="S15" s="766"/>
      <c r="T15" s="766"/>
      <c r="U15" s="766"/>
      <c r="V15" s="766"/>
      <c r="W15" s="765"/>
      <c r="X15" s="766"/>
      <c r="Y15" s="766"/>
      <c r="Z15" s="753"/>
      <c r="AA15" s="754"/>
      <c r="AB15" s="754"/>
      <c r="AC15" s="755"/>
      <c r="AD15" s="756"/>
      <c r="AE15" s="757"/>
      <c r="AF15" s="758"/>
      <c r="AG15" s="758"/>
      <c r="AH15" s="759"/>
      <c r="AI15" s="760"/>
      <c r="AJ15" s="7"/>
      <c r="AK15" s="36"/>
      <c r="AL15" s="36"/>
      <c r="AM15" s="36"/>
      <c r="AN15" s="36"/>
      <c r="AO15" s="36"/>
      <c r="AP15" s="36"/>
      <c r="AQ15" s="7"/>
      <c r="AR15" s="3"/>
      <c r="AW15" s="37"/>
      <c r="AX15" s="37"/>
      <c r="AY15" s="37"/>
    </row>
    <row r="16" spans="1:53" ht="18.75" customHeight="1" x14ac:dyDescent="0.2">
      <c r="A16" s="742" t="str">
        <f>IF($AK9&gt;4,"5","")</f>
        <v>5</v>
      </c>
      <c r="B16" s="744" t="s">
        <v>10</v>
      </c>
      <c r="C16" s="745"/>
      <c r="D16" s="745"/>
      <c r="E16" s="746" t="str">
        <f>AU11</f>
        <v>SC Midlands 17 Black</v>
      </c>
      <c r="F16" s="747"/>
      <c r="G16" s="747"/>
      <c r="H16" s="747"/>
      <c r="I16" s="747"/>
      <c r="J16" s="747"/>
      <c r="K16" s="748"/>
      <c r="L16" s="749">
        <f>IF($AK10=0,AF68,AF50)</f>
        <v>2</v>
      </c>
      <c r="M16" s="750"/>
      <c r="N16" s="750"/>
      <c r="O16" s="750"/>
      <c r="P16" s="750"/>
      <c r="Q16" s="785"/>
      <c r="R16" s="749">
        <f>IF($AK10=0,AG68,AG50)</f>
        <v>6</v>
      </c>
      <c r="S16" s="750"/>
      <c r="T16" s="750"/>
      <c r="U16" s="750"/>
      <c r="V16" s="750"/>
      <c r="W16" s="749">
        <f>AQ28</f>
        <v>-14</v>
      </c>
      <c r="X16" s="750"/>
      <c r="Y16" s="750"/>
      <c r="Z16" s="722">
        <f>IF(AF62&gt;0,(AQ28/AF62),0)</f>
        <v>-6.8965517241379309E-2</v>
      </c>
      <c r="AA16" s="723"/>
      <c r="AB16" s="723"/>
      <c r="AC16" s="726">
        <f>IF(AF76=0,0,(AF68/AF76))</f>
        <v>0.25</v>
      </c>
      <c r="AD16" s="727"/>
      <c r="AE16" s="728"/>
      <c r="AF16" s="732">
        <v>5</v>
      </c>
      <c r="AG16" s="732">
        <v>1</v>
      </c>
      <c r="AH16" s="734"/>
      <c r="AI16" s="735"/>
      <c r="AJ16" s="7"/>
      <c r="AK16" s="36"/>
      <c r="AL16" s="36"/>
      <c r="AM16" s="36"/>
      <c r="AN16" s="36"/>
      <c r="AO16" s="36"/>
      <c r="AP16" s="36"/>
      <c r="AQ16" s="7"/>
      <c r="AR16" s="3"/>
      <c r="AT16" s="38"/>
      <c r="AU16" s="37"/>
      <c r="AV16" s="37"/>
      <c r="AW16" s="37"/>
      <c r="AX16" s="37"/>
      <c r="AY16" s="37"/>
    </row>
    <row r="17" spans="1:51" ht="18.75" customHeight="1" thickBot="1" x14ac:dyDescent="0.25">
      <c r="A17" s="743"/>
      <c r="B17" s="738" t="s">
        <v>11</v>
      </c>
      <c r="C17" s="739"/>
      <c r="D17" s="739"/>
      <c r="E17" s="740" t="str">
        <f>AV11</f>
        <v>fj7scmid2pm</v>
      </c>
      <c r="F17" s="741"/>
      <c r="G17" s="741"/>
      <c r="H17" s="741"/>
      <c r="I17" s="741"/>
      <c r="J17" s="741"/>
      <c r="K17" s="741"/>
      <c r="L17" s="751"/>
      <c r="M17" s="752"/>
      <c r="N17" s="752"/>
      <c r="O17" s="752"/>
      <c r="P17" s="752"/>
      <c r="Q17" s="785"/>
      <c r="R17" s="751"/>
      <c r="S17" s="752"/>
      <c r="T17" s="752"/>
      <c r="U17" s="752"/>
      <c r="V17" s="752"/>
      <c r="W17" s="751"/>
      <c r="X17" s="752"/>
      <c r="Y17" s="752"/>
      <c r="Z17" s="724"/>
      <c r="AA17" s="725"/>
      <c r="AB17" s="725"/>
      <c r="AC17" s="729"/>
      <c r="AD17" s="730"/>
      <c r="AE17" s="731"/>
      <c r="AF17" s="733"/>
      <c r="AG17" s="733"/>
      <c r="AH17" s="736"/>
      <c r="AI17" s="737"/>
      <c r="AJ17" s="7"/>
      <c r="AK17" s="36"/>
      <c r="AL17" s="36"/>
      <c r="AM17" s="36"/>
      <c r="AN17" s="36"/>
      <c r="AO17" s="36"/>
      <c r="AP17" s="36"/>
      <c r="AQ17" s="7"/>
      <c r="AR17" s="3"/>
      <c r="AT17" s="38"/>
      <c r="AU17" s="37"/>
      <c r="AV17" s="37"/>
      <c r="AW17" s="37"/>
      <c r="AX17" s="37"/>
      <c r="AY17" s="37"/>
    </row>
    <row r="18" spans="1:51" ht="21" customHeight="1" thickTop="1" thickBot="1" x14ac:dyDescent="0.25">
      <c r="A18" s="39"/>
      <c r="B18" s="719" t="s">
        <v>63</v>
      </c>
      <c r="C18" s="720"/>
      <c r="D18" s="720"/>
      <c r="E18" s="720"/>
      <c r="F18" s="720"/>
      <c r="G18" s="720"/>
      <c r="H18" s="720"/>
      <c r="I18" s="720"/>
      <c r="J18" s="720"/>
      <c r="K18" s="720"/>
      <c r="L18" s="720"/>
      <c r="M18" s="720"/>
      <c r="N18" s="720"/>
      <c r="O18" s="720"/>
      <c r="P18" s="720"/>
      <c r="Q18" s="720"/>
      <c r="R18" s="720"/>
      <c r="S18" s="720"/>
      <c r="T18" s="720"/>
      <c r="U18" s="720"/>
      <c r="V18" s="720"/>
      <c r="W18" s="720"/>
      <c r="X18" s="720"/>
      <c r="Y18" s="720"/>
      <c r="Z18" s="720"/>
      <c r="AA18" s="720"/>
      <c r="AB18" s="720"/>
      <c r="AC18" s="720"/>
      <c r="AD18" s="720"/>
      <c r="AE18" s="720"/>
      <c r="AF18" s="720"/>
      <c r="AG18" s="720"/>
      <c r="AH18" s="720"/>
      <c r="AI18" s="721"/>
      <c r="AJ18" s="7"/>
      <c r="AK18" s="36"/>
      <c r="AL18" s="36"/>
      <c r="AM18" s="36"/>
      <c r="AN18" s="36"/>
      <c r="AO18" s="36"/>
      <c r="AP18" s="36"/>
      <c r="AQ18" s="7"/>
      <c r="AR18" s="3"/>
      <c r="AT18" s="38"/>
      <c r="AU18" s="37"/>
      <c r="AV18" s="37"/>
      <c r="AW18" s="4"/>
    </row>
    <row r="19" spans="1:51" ht="13.5" thickTop="1" x14ac:dyDescent="0.2">
      <c r="A19" s="4" t="s">
        <v>64</v>
      </c>
      <c r="B19" s="708">
        <v>0.375</v>
      </c>
      <c r="C19" s="709"/>
      <c r="D19" s="710"/>
      <c r="E19" s="708">
        <v>0.40625</v>
      </c>
      <c r="F19" s="709"/>
      <c r="G19" s="710"/>
      <c r="H19" s="708">
        <v>0.4375</v>
      </c>
      <c r="I19" s="709"/>
      <c r="J19" s="710"/>
      <c r="K19" s="708">
        <v>0.46875</v>
      </c>
      <c r="L19" s="709"/>
      <c r="M19" s="710"/>
      <c r="N19" s="708">
        <v>0.5</v>
      </c>
      <c r="O19" s="709"/>
      <c r="P19" s="710"/>
      <c r="Q19" s="708">
        <v>0.53125</v>
      </c>
      <c r="R19" s="709"/>
      <c r="S19" s="710"/>
      <c r="T19" s="708">
        <v>6.25E-2</v>
      </c>
      <c r="U19" s="709"/>
      <c r="V19" s="710"/>
      <c r="W19" s="708">
        <v>9.375E-2</v>
      </c>
      <c r="X19" s="709"/>
      <c r="Y19" s="710"/>
      <c r="Z19" s="708">
        <v>0.125</v>
      </c>
      <c r="AA19" s="709"/>
      <c r="AB19" s="710"/>
      <c r="AC19" s="708">
        <v>0.15625</v>
      </c>
      <c r="AD19" s="709"/>
      <c r="AE19" s="710"/>
      <c r="AF19" s="711" t="s">
        <v>65</v>
      </c>
      <c r="AG19" s="712"/>
      <c r="AH19" s="712"/>
      <c r="AI19" s="712"/>
      <c r="AJ19" s="713"/>
      <c r="AK19" s="713"/>
      <c r="AL19" s="713"/>
      <c r="AM19" s="713"/>
      <c r="AN19" s="713"/>
      <c r="AO19" s="713"/>
      <c r="AP19" s="713"/>
      <c r="AQ19" s="714"/>
      <c r="AT19" s="38"/>
      <c r="AU19" s="37"/>
      <c r="AV19" s="37"/>
      <c r="AW19" s="4"/>
    </row>
    <row r="20" spans="1:51" x14ac:dyDescent="0.2">
      <c r="A20" s="40" t="s">
        <v>66</v>
      </c>
      <c r="B20" s="705"/>
      <c r="C20" s="706"/>
      <c r="D20" s="707"/>
      <c r="E20" s="705"/>
      <c r="F20" s="706"/>
      <c r="G20" s="707"/>
      <c r="H20" s="705"/>
      <c r="I20" s="706"/>
      <c r="J20" s="707"/>
      <c r="K20" s="705"/>
      <c r="L20" s="706"/>
      <c r="M20" s="707"/>
      <c r="N20" s="705"/>
      <c r="O20" s="706"/>
      <c r="P20" s="707"/>
      <c r="Q20" s="705"/>
      <c r="R20" s="706"/>
      <c r="S20" s="707"/>
      <c r="T20" s="705"/>
      <c r="U20" s="706"/>
      <c r="V20" s="707"/>
      <c r="W20" s="705"/>
      <c r="X20" s="706"/>
      <c r="Y20" s="707"/>
      <c r="Z20" s="705"/>
      <c r="AA20" s="706"/>
      <c r="AB20" s="707"/>
      <c r="AC20" s="705"/>
      <c r="AD20" s="706"/>
      <c r="AE20" s="707"/>
      <c r="AF20" s="711"/>
      <c r="AG20" s="712"/>
      <c r="AH20" s="712"/>
      <c r="AI20" s="712"/>
      <c r="AJ20" s="712"/>
      <c r="AK20" s="712"/>
      <c r="AL20" s="712"/>
      <c r="AM20" s="712"/>
      <c r="AN20" s="712"/>
      <c r="AO20" s="712"/>
      <c r="AP20" s="712"/>
      <c r="AQ20" s="715"/>
      <c r="AT20" s="38"/>
      <c r="AU20" s="37"/>
      <c r="AV20" s="37"/>
      <c r="AW20" s="4"/>
    </row>
    <row r="21" spans="1:51" x14ac:dyDescent="0.2">
      <c r="A21" s="40" t="s">
        <v>67</v>
      </c>
      <c r="B21" s="705"/>
      <c r="C21" s="706"/>
      <c r="D21" s="707"/>
      <c r="E21" s="705"/>
      <c r="F21" s="706"/>
      <c r="G21" s="707"/>
      <c r="H21" s="705"/>
      <c r="I21" s="706"/>
      <c r="J21" s="707"/>
      <c r="K21" s="705"/>
      <c r="L21" s="706"/>
      <c r="M21" s="707"/>
      <c r="N21" s="705"/>
      <c r="O21" s="706"/>
      <c r="P21" s="707"/>
      <c r="Q21" s="705"/>
      <c r="R21" s="706"/>
      <c r="S21" s="707"/>
      <c r="T21" s="705"/>
      <c r="U21" s="706"/>
      <c r="V21" s="707"/>
      <c r="W21" s="705"/>
      <c r="X21" s="706"/>
      <c r="Y21" s="707"/>
      <c r="Z21" s="705"/>
      <c r="AA21" s="706"/>
      <c r="AB21" s="707"/>
      <c r="AC21" s="705"/>
      <c r="AD21" s="706"/>
      <c r="AE21" s="707"/>
      <c r="AF21" s="711"/>
      <c r="AG21" s="712"/>
      <c r="AH21" s="712"/>
      <c r="AI21" s="712"/>
      <c r="AJ21" s="712"/>
      <c r="AK21" s="712"/>
      <c r="AL21" s="712"/>
      <c r="AM21" s="712"/>
      <c r="AN21" s="712"/>
      <c r="AO21" s="712"/>
      <c r="AP21" s="712"/>
      <c r="AQ21" s="715"/>
      <c r="AT21" s="6"/>
      <c r="AU21" s="6"/>
      <c r="AV21" s="6"/>
      <c r="AW21" s="4"/>
    </row>
    <row r="22" spans="1:51" ht="13.5" thickBot="1" x14ac:dyDescent="0.25">
      <c r="A22" s="7"/>
      <c r="B22" s="597" t="s">
        <v>68</v>
      </c>
      <c r="C22" s="598"/>
      <c r="D22" s="604"/>
      <c r="E22" s="597" t="str">
        <f>IF($AK8&gt;1,"Match 2","")</f>
        <v>Match 2</v>
      </c>
      <c r="F22" s="598"/>
      <c r="G22" s="604"/>
      <c r="H22" s="597" t="str">
        <f>IF($AK8&gt;2,"Match 3","")</f>
        <v>Match 3</v>
      </c>
      <c r="I22" s="598"/>
      <c r="J22" s="604"/>
      <c r="K22" s="597" t="str">
        <f>IF($AK8&gt;3,"Match 4","")</f>
        <v>Match 4</v>
      </c>
      <c r="L22" s="598"/>
      <c r="M22" s="604"/>
      <c r="N22" s="597" t="str">
        <f>IF($AK8&gt;4,"Match 5","")</f>
        <v>Match 5</v>
      </c>
      <c r="O22" s="598"/>
      <c r="P22" s="604"/>
      <c r="Q22" s="597" t="str">
        <f>IF($AK8&gt;5,"Match 6","")</f>
        <v>Match 6</v>
      </c>
      <c r="R22" s="598"/>
      <c r="S22" s="604"/>
      <c r="T22" s="597" t="str">
        <f>IF($AK8&gt;6,"Match 7","")</f>
        <v>Match 7</v>
      </c>
      <c r="U22" s="598"/>
      <c r="V22" s="604"/>
      <c r="W22" s="597" t="str">
        <f>IF($AK8&gt;7,"Match 8","")</f>
        <v>Match 8</v>
      </c>
      <c r="X22" s="598"/>
      <c r="Y22" s="604"/>
      <c r="Z22" s="597" t="str">
        <f>IF($AK8&gt;8,"Match 9","")</f>
        <v>Match 9</v>
      </c>
      <c r="AA22" s="598"/>
      <c r="AB22" s="604"/>
      <c r="AC22" s="597" t="str">
        <f>IF($AK8&gt;9,"Match 10","")</f>
        <v>Match 10</v>
      </c>
      <c r="AD22" s="598"/>
      <c r="AE22" s="604"/>
      <c r="AF22" s="716"/>
      <c r="AG22" s="717"/>
      <c r="AH22" s="717"/>
      <c r="AI22" s="717"/>
      <c r="AJ22" s="717"/>
      <c r="AK22" s="717"/>
      <c r="AL22" s="717"/>
      <c r="AM22" s="717"/>
      <c r="AN22" s="717"/>
      <c r="AO22" s="717"/>
      <c r="AP22" s="717"/>
      <c r="AQ22" s="718"/>
      <c r="AT22" s="38"/>
      <c r="AU22" s="37"/>
      <c r="AV22" s="37"/>
      <c r="AW22" s="4"/>
    </row>
    <row r="23" spans="1:51" ht="15.75" x14ac:dyDescent="0.25">
      <c r="A23" s="7"/>
      <c r="B23" s="699" t="s">
        <v>69</v>
      </c>
      <c r="C23" s="700"/>
      <c r="D23" s="701"/>
      <c r="E23" s="699" t="s">
        <v>70</v>
      </c>
      <c r="F23" s="700"/>
      <c r="G23" s="701"/>
      <c r="H23" s="699" t="s">
        <v>71</v>
      </c>
      <c r="I23" s="700"/>
      <c r="J23" s="701"/>
      <c r="K23" s="699" t="s">
        <v>72</v>
      </c>
      <c r="L23" s="700"/>
      <c r="M23" s="701"/>
      <c r="N23" s="699" t="s">
        <v>73</v>
      </c>
      <c r="O23" s="700"/>
      <c r="P23" s="701"/>
      <c r="Q23" s="699" t="s">
        <v>71</v>
      </c>
      <c r="R23" s="700"/>
      <c r="S23" s="701"/>
      <c r="T23" s="699" t="s">
        <v>69</v>
      </c>
      <c r="U23" s="700"/>
      <c r="V23" s="701"/>
      <c r="W23" s="699" t="s">
        <v>73</v>
      </c>
      <c r="X23" s="700"/>
      <c r="Y23" s="701"/>
      <c r="Z23" s="699" t="s">
        <v>72</v>
      </c>
      <c r="AA23" s="700"/>
      <c r="AB23" s="701"/>
      <c r="AC23" s="699" t="s">
        <v>70</v>
      </c>
      <c r="AD23" s="700"/>
      <c r="AE23" s="701"/>
      <c r="AF23" s="41" t="s">
        <v>74</v>
      </c>
      <c r="AG23" s="42">
        <v>1</v>
      </c>
      <c r="AH23" s="42">
        <v>2</v>
      </c>
      <c r="AI23" s="42">
        <v>3</v>
      </c>
      <c r="AJ23" s="42">
        <v>4</v>
      </c>
      <c r="AK23" s="42">
        <v>5</v>
      </c>
      <c r="AL23" s="42">
        <v>6</v>
      </c>
      <c r="AM23" s="42">
        <v>7</v>
      </c>
      <c r="AN23" s="42">
        <v>8</v>
      </c>
      <c r="AO23" s="42">
        <v>9</v>
      </c>
      <c r="AP23" s="42">
        <v>10</v>
      </c>
      <c r="AQ23" s="43" t="s">
        <v>75</v>
      </c>
      <c r="AT23" s="38"/>
      <c r="AU23" s="37"/>
      <c r="AV23" s="37"/>
      <c r="AW23" s="37"/>
      <c r="AX23" s="37"/>
      <c r="AY23" s="37"/>
    </row>
    <row r="24" spans="1:51" ht="15.75" x14ac:dyDescent="0.25">
      <c r="A24" s="7"/>
      <c r="B24" s="44">
        <v>2</v>
      </c>
      <c r="C24" s="45" t="s">
        <v>76</v>
      </c>
      <c r="D24" s="46">
        <v>5</v>
      </c>
      <c r="E24" s="44">
        <v>1</v>
      </c>
      <c r="F24" s="45" t="str">
        <f>IF($AK8&gt;1,"v","")</f>
        <v>v</v>
      </c>
      <c r="G24" s="46">
        <v>4</v>
      </c>
      <c r="H24" s="44">
        <v>3</v>
      </c>
      <c r="I24" s="45" t="str">
        <f>IF($AK8&gt;2,"v","")</f>
        <v>v</v>
      </c>
      <c r="J24" s="46">
        <v>5</v>
      </c>
      <c r="K24" s="44">
        <v>2</v>
      </c>
      <c r="L24" s="45" t="str">
        <f>IF($AK8&gt;3,"v","")</f>
        <v>v</v>
      </c>
      <c r="M24" s="46">
        <v>4</v>
      </c>
      <c r="N24" s="44">
        <v>1</v>
      </c>
      <c r="O24" s="45" t="str">
        <f>IF($AK8&gt;4,"v","")</f>
        <v>v</v>
      </c>
      <c r="P24" s="46">
        <v>3</v>
      </c>
      <c r="Q24" s="44">
        <v>4</v>
      </c>
      <c r="R24" s="45" t="str">
        <f>IF($AK8&gt;5,"v","")</f>
        <v>v</v>
      </c>
      <c r="S24" s="46">
        <v>5</v>
      </c>
      <c r="T24" s="44">
        <v>2</v>
      </c>
      <c r="U24" s="45" t="str">
        <f>IF($AK8&gt;6,"v","")</f>
        <v>v</v>
      </c>
      <c r="V24" s="46">
        <v>3</v>
      </c>
      <c r="W24" s="44">
        <v>1</v>
      </c>
      <c r="X24" s="45" t="str">
        <f>IF($AK8&gt;7,"v","")</f>
        <v>v</v>
      </c>
      <c r="Y24" s="46">
        <v>5</v>
      </c>
      <c r="Z24" s="44">
        <v>3</v>
      </c>
      <c r="AA24" s="45" t="str">
        <f>IF($AK8&gt;8,"v","")</f>
        <v>v</v>
      </c>
      <c r="AB24" s="46">
        <v>4</v>
      </c>
      <c r="AC24" s="44">
        <v>1</v>
      </c>
      <c r="AD24" s="45" t="str">
        <f>IF($AK8&gt;9,"v","")</f>
        <v>v</v>
      </c>
      <c r="AE24" s="46">
        <v>2</v>
      </c>
      <c r="AF24" s="41" t="str">
        <f>IF($AK9&gt;0,"Team 1","")</f>
        <v>Team 1</v>
      </c>
      <c r="AG24" s="47" t="str">
        <f>IF($AK9&lt;1,"",IF($AK8&lt;1,"",IF(B24=1,B30-D30,IF(D24=1,D30-B30,""))))</f>
        <v/>
      </c>
      <c r="AH24" s="47">
        <f>IF($AK9&lt;1,"",IF($AK8&lt;2,"",IF(E24=1,E30-G30,IF(G24=1,G30-E30,""))))</f>
        <v>14</v>
      </c>
      <c r="AI24" s="47" t="str">
        <f>IF($AK9&lt;1,"",IF($AK8&lt;3,"",IF(H24=1,H30-J30,IF(J24=1,J30-H30,""))))</f>
        <v/>
      </c>
      <c r="AJ24" s="47" t="str">
        <f>IF($AK9&lt;1,"",IF($AK8&lt;4,"",IF(K24=1,K30-M30,IF(M24=1,M30-K30,""))))</f>
        <v/>
      </c>
      <c r="AK24" s="47">
        <f>IF($AK9&lt;1,"",IF($AK8&lt;5,"",IF(N24=1,N30-P30,IF(P24=1,P30-N30,""))))</f>
        <v>1</v>
      </c>
      <c r="AL24" s="47" t="str">
        <f>IF($AK9&lt;1,"",IF($AK8&lt;6,"",IF(Q24=1,Q30-S30,IF(S24=1,S30-Q30,""))))</f>
        <v/>
      </c>
      <c r="AM24" s="47" t="str">
        <f>IF($AK9&lt;1,"",IF($AK8&lt;7,"",IF(T24=1,T30-V30,IF(V24=1,V30-T30,""))))</f>
        <v/>
      </c>
      <c r="AN24" s="47">
        <f>IF($AK9&lt;1,"",IF($AK8&lt;8,"",IF(W24=1,W30-Y30,IF(Y24=1,Y30-W30,""))))</f>
        <v>1</v>
      </c>
      <c r="AO24" s="47" t="str">
        <f>IF($AK9&lt;1,"",IF($AK8&lt;9,"",IF(Z24=1,Z30-AB30,IF(AB24=1,AB30-Z30,""))))</f>
        <v/>
      </c>
      <c r="AP24" s="47">
        <f>IF($AK9&lt;1,"",IF($AK8&lt;10,"",IF(AC24=1,AC30-AE30,IF(AE24=1,AE30-AC30,""))))</f>
        <v>-5</v>
      </c>
      <c r="AQ24" s="43">
        <f>SUM(AG24:AP24)</f>
        <v>11</v>
      </c>
      <c r="AT24" s="38"/>
      <c r="AU24" s="37"/>
      <c r="AV24" s="37"/>
      <c r="AW24" s="37"/>
      <c r="AX24" s="37"/>
      <c r="AY24" s="37"/>
    </row>
    <row r="25" spans="1:51" ht="15" x14ac:dyDescent="0.2">
      <c r="A25" s="4" t="s">
        <v>77</v>
      </c>
      <c r="B25" s="48">
        <v>27</v>
      </c>
      <c r="C25" s="49" t="s">
        <v>78</v>
      </c>
      <c r="D25" s="50">
        <v>25</v>
      </c>
      <c r="E25" s="48">
        <v>25</v>
      </c>
      <c r="F25" s="49" t="str">
        <f>IF($AK8&gt;1,"/","")</f>
        <v>/</v>
      </c>
      <c r="G25" s="50">
        <v>17</v>
      </c>
      <c r="H25" s="48">
        <v>21</v>
      </c>
      <c r="I25" s="49" t="str">
        <f>IF($AK8&gt;2,"/","")</f>
        <v>/</v>
      </c>
      <c r="J25" s="50">
        <v>25</v>
      </c>
      <c r="K25" s="48">
        <v>25</v>
      </c>
      <c r="L25" s="49" t="str">
        <f>IF($AK8&gt;3,"/","")</f>
        <v>/</v>
      </c>
      <c r="M25" s="50">
        <v>21</v>
      </c>
      <c r="N25" s="48">
        <v>25</v>
      </c>
      <c r="O25" s="49" t="str">
        <f>IF($AK8&gt;4,"/","")</f>
        <v>/</v>
      </c>
      <c r="P25" s="50">
        <v>18</v>
      </c>
      <c r="Q25" s="48">
        <v>25</v>
      </c>
      <c r="R25" s="49" t="str">
        <f>IF($AK8&gt;5,"/","")</f>
        <v>/</v>
      </c>
      <c r="S25" s="50">
        <v>22</v>
      </c>
      <c r="T25" s="48">
        <v>21</v>
      </c>
      <c r="U25" s="49" t="str">
        <f>IF($AK8&gt;6,"/","")</f>
        <v>/</v>
      </c>
      <c r="V25" s="50">
        <v>25</v>
      </c>
      <c r="W25" s="48">
        <v>25</v>
      </c>
      <c r="X25" s="49" t="str">
        <f>IF($AK8&gt;7,"/","")</f>
        <v>/</v>
      </c>
      <c r="Y25" s="50">
        <v>20</v>
      </c>
      <c r="Z25" s="48">
        <v>25</v>
      </c>
      <c r="AA25" s="49" t="str">
        <f>IF($AK8&gt;8,"/","")</f>
        <v>/</v>
      </c>
      <c r="AB25" s="50">
        <v>15</v>
      </c>
      <c r="AC25" s="48">
        <v>23</v>
      </c>
      <c r="AD25" s="49" t="str">
        <f>IF($AK8&gt;9,"/","")</f>
        <v>/</v>
      </c>
      <c r="AE25" s="50">
        <v>25</v>
      </c>
      <c r="AF25" s="41" t="str">
        <f>IF($AK9&gt;1,"Team 2","")</f>
        <v>Team 2</v>
      </c>
      <c r="AG25" s="47">
        <f>IF($AK9&lt;2,"",IF($AK8&lt;1,"",IF(B24=2,B30-D30,IF(D24=2,D30-B30,""))))</f>
        <v>6</v>
      </c>
      <c r="AH25" s="47" t="str">
        <f>IF($AK9&lt;2,"",IF($AK8&lt;2,"",IF(E24=2,E30-G30,IF(G24=2,G30-E30,""))))</f>
        <v/>
      </c>
      <c r="AI25" s="47" t="str">
        <f>IF($AK9&lt;2,"",IF($AK8&lt;3,"",IF(H24=2,H30-J30,IF(J24=2,J30-H30,""))))</f>
        <v/>
      </c>
      <c r="AJ25" s="47">
        <f>IF($AK9&lt;2,"",IF($AK8&lt;4,"",IF(K24=2,K30-M30,IF(M24=2,M30-K30,""))))</f>
        <v>-3</v>
      </c>
      <c r="AK25" s="47" t="str">
        <f>IF($AK9&lt;2,"",IF($AK8&lt;5,"",IF(N24=2,N30-P30,IF(P24=2,P30-N30,""))))</f>
        <v/>
      </c>
      <c r="AL25" s="47" t="str">
        <f>IF($AK9&lt;2,"",IF($AK8&lt;6,"",IF(Q24=2,Q30-S30,IF(S24=2,S30-Q30,""))))</f>
        <v/>
      </c>
      <c r="AM25" s="47">
        <f>IF($AK9&lt;2,"",IF($AK8&lt;7,"",IF(T24=2,T30-V30,IF(V24=2,V30-T30,""))))</f>
        <v>-15</v>
      </c>
      <c r="AN25" s="47" t="str">
        <f>IF($AK9&lt;2,"",IF($AK8&lt;8,"",IF(W24=2,W30-Y30,IF(Y24=2,Y30-W30,""))))</f>
        <v/>
      </c>
      <c r="AO25" s="47" t="str">
        <f>IF($AK9&lt;2,"",IF($AK8&lt;9,"",IF(Z24=2,Z30-AB30,IF(AB24=2,AB30-Z30,""))))</f>
        <v/>
      </c>
      <c r="AP25" s="47">
        <f>IF($AK9&lt;2,"",IF($AK8&lt;10,"",IF(AC24=2,AC30-AE30,IF(AE24=2,AE30-AC30,""))))</f>
        <v>5</v>
      </c>
      <c r="AQ25" s="43">
        <f>SUM(AG25:AP25)</f>
        <v>-7</v>
      </c>
      <c r="AW25" s="4"/>
    </row>
    <row r="26" spans="1:51" ht="15" x14ac:dyDescent="0.2">
      <c r="A26" s="3" t="str">
        <f>IF($AK7&gt;1,"Game 2","")</f>
        <v>Game 2</v>
      </c>
      <c r="B26" s="48">
        <v>25</v>
      </c>
      <c r="C26" s="49" t="s">
        <v>78</v>
      </c>
      <c r="D26" s="50">
        <v>21</v>
      </c>
      <c r="E26" s="48">
        <v>25</v>
      </c>
      <c r="F26" s="49" t="str">
        <f>IF($AK8&gt;1,IF($AK7&gt;1,"/",""),"")</f>
        <v>/</v>
      </c>
      <c r="G26" s="50">
        <v>19</v>
      </c>
      <c r="H26" s="48">
        <v>26</v>
      </c>
      <c r="I26" s="49" t="str">
        <f>IF($AK8&gt;2,IF($AK7&gt;1,"/",""),"")</f>
        <v>/</v>
      </c>
      <c r="J26" s="50">
        <v>24</v>
      </c>
      <c r="K26" s="48">
        <v>18</v>
      </c>
      <c r="L26" s="49" t="str">
        <f>IF($AK8&gt;3,IF($AK7&gt;1,"/",""),"")</f>
        <v>/</v>
      </c>
      <c r="M26" s="50">
        <v>25</v>
      </c>
      <c r="N26" s="48">
        <v>19</v>
      </c>
      <c r="O26" s="49" t="str">
        <f>IF($AK8&gt;4,IF($AK7&gt;1,"/",""),"")</f>
        <v>/</v>
      </c>
      <c r="P26" s="50">
        <v>25</v>
      </c>
      <c r="Q26" s="48">
        <v>25</v>
      </c>
      <c r="R26" s="49" t="str">
        <f>IF($AK8&gt;5,IF($AK7&gt;1,"/",""),"")</f>
        <v>/</v>
      </c>
      <c r="S26" s="50">
        <v>19</v>
      </c>
      <c r="T26" s="48">
        <v>14</v>
      </c>
      <c r="U26" s="49" t="str">
        <f>IF($AK8&gt;6,IF($AK7&gt;1,"/",""),"")</f>
        <v>/</v>
      </c>
      <c r="V26" s="50">
        <v>25</v>
      </c>
      <c r="W26" s="48">
        <v>21</v>
      </c>
      <c r="X26" s="49" t="str">
        <f>IF($AK8&gt;7,IF($AK7&gt;1,"/",""),"")</f>
        <v>/</v>
      </c>
      <c r="Y26" s="50">
        <v>25</v>
      </c>
      <c r="Z26" s="48">
        <v>25</v>
      </c>
      <c r="AA26" s="49" t="str">
        <f>IF($AK8&gt;8,IF($AK7&gt;1,"/",""),"")</f>
        <v>/</v>
      </c>
      <c r="AB26" s="50">
        <v>22</v>
      </c>
      <c r="AC26" s="48">
        <v>22</v>
      </c>
      <c r="AD26" s="49" t="str">
        <f>IF($AK8&gt;9,IF($AK7&gt;1,"/",""),"")</f>
        <v>/</v>
      </c>
      <c r="AE26" s="50">
        <v>25</v>
      </c>
      <c r="AF26" s="41" t="str">
        <f>IF($AK9&gt;2,"Team 3","")</f>
        <v>Team 3</v>
      </c>
      <c r="AG26" s="47" t="str">
        <f>IF($AK9&lt;3,"",IF($AK8&lt;1,"",IF(B24=3,B30-D30,IF(D24=3,D30-B30,""))))</f>
        <v/>
      </c>
      <c r="AH26" s="47" t="str">
        <f>IF($AK9&lt;3,"",IF($AK8&lt;2,"",IF(E24=3,E30-G30,IF(G24=3,G30-E30,""))))</f>
        <v/>
      </c>
      <c r="AI26" s="47">
        <f>IF($AK9&lt;3,"",IF($AK8&lt;3,"",IF(H24=3,H30-J30,IF(J24=3,J30-H30,""))))</f>
        <v>-2</v>
      </c>
      <c r="AJ26" s="47" t="str">
        <f>IF($AK9&lt;3,"",IF($AK8&lt;4,"",IF(K24=3,K30-M30,IF(M24=3,M30-K30,""))))</f>
        <v/>
      </c>
      <c r="AK26" s="47">
        <f>IF($AK9&lt;3,"",IF($AK8&lt;5,"",IF(N24=3,N30-P30,IF(P24=3,P30-N30,""))))</f>
        <v>-1</v>
      </c>
      <c r="AL26" s="47" t="str">
        <f>IF($AK9&lt;3,"",IF($AK8&lt;6,"",IF(Q24=3,Q30-S30,IF(S24=3,S30-Q30,""))))</f>
        <v/>
      </c>
      <c r="AM26" s="47">
        <f>IF($AK9&lt;3,"",IF($AK8&lt;7,"",IF(T24=3,T30-V30,IF(V24=3,V30-T30,""))))</f>
        <v>15</v>
      </c>
      <c r="AN26" s="47" t="str">
        <f>IF($AK9&lt;3,"",IF($AK8&lt;8,"",IF(W24=3,W30-Y30,IF(Y24=3,Y30-W30,""))))</f>
        <v/>
      </c>
      <c r="AO26" s="47">
        <f>IF($AK9&lt;3,"",IF($AK8&lt;9,"",IF(Z24=3,Z30-AB30,IF(AB24=3,AB30-Z30,""))))</f>
        <v>13</v>
      </c>
      <c r="AP26" s="47" t="str">
        <f>IF($AK9&lt;3,"",IF($AK8&lt;9,"",IF(AC24=3,AC30-AE30,IF(AE24=3,AE30-AC30,""))))</f>
        <v/>
      </c>
      <c r="AQ26" s="43">
        <f>SUM(AG26:AP26)</f>
        <v>25</v>
      </c>
      <c r="AW26" s="4"/>
    </row>
    <row r="27" spans="1:51" ht="15" x14ac:dyDescent="0.2">
      <c r="A27" s="3" t="str">
        <f>IF($AK7&gt;2,"Game 3","")</f>
        <v/>
      </c>
      <c r="B27" s="48"/>
      <c r="C27" s="49" t="s">
        <v>78</v>
      </c>
      <c r="D27" s="50"/>
      <c r="E27" s="48"/>
      <c r="F27" s="49" t="str">
        <f>IF($AK8&gt;1,IF($AK7&gt;2,"/",""),"")</f>
        <v/>
      </c>
      <c r="G27" s="50"/>
      <c r="H27" s="48"/>
      <c r="I27" s="49" t="str">
        <f>IF($AK8&gt;2,IF($AK7&gt;2,"/",""),"")</f>
        <v/>
      </c>
      <c r="J27" s="50"/>
      <c r="K27" s="48"/>
      <c r="L27" s="49" t="str">
        <f>IF($AK8&gt;3,IF($AK7&gt;2,"/",""),"")</f>
        <v/>
      </c>
      <c r="M27" s="50"/>
      <c r="N27" s="48"/>
      <c r="O27" s="49" t="str">
        <f>IF($AK8&gt;4,IF($AK7&gt;2,"/",""),"")</f>
        <v/>
      </c>
      <c r="P27" s="50"/>
      <c r="Q27" s="48"/>
      <c r="R27" s="49" t="str">
        <f>IF($AK8&gt;5,IF($AK7&gt;2,"/",""),"")</f>
        <v/>
      </c>
      <c r="S27" s="50"/>
      <c r="T27" s="48"/>
      <c r="U27" s="49" t="str">
        <f>IF($AK8&gt;6,IF($AK7&gt;2,"/",""),"")</f>
        <v/>
      </c>
      <c r="V27" s="50"/>
      <c r="W27" s="48"/>
      <c r="X27" s="49" t="str">
        <f>IF($AK8&gt;7,IF($AK7&gt;2,"/",""),"")</f>
        <v/>
      </c>
      <c r="Y27" s="50"/>
      <c r="Z27" s="48"/>
      <c r="AA27" s="49" t="str">
        <f>IF($AK8&gt;8,IF($AK7&gt;2,"/",""),"")</f>
        <v/>
      </c>
      <c r="AB27" s="50"/>
      <c r="AC27" s="48"/>
      <c r="AD27" s="49" t="str">
        <f>IF($AK8&gt;9,IF($AK7&gt;2,"/",""),"")</f>
        <v/>
      </c>
      <c r="AE27" s="50"/>
      <c r="AF27" s="41" t="str">
        <f>IF($AK9&gt;3,"Team 4","")</f>
        <v>Team 4</v>
      </c>
      <c r="AG27" s="47" t="str">
        <f>IF($AK9&lt;4,"",IF($AK8&lt;1,"",IF(B24=4,B30-D30,IF(D24=4,D30-B30,""))))</f>
        <v/>
      </c>
      <c r="AH27" s="47">
        <f>IF($AK9&lt;4,"",IF($AK8&lt;2,"",IF(E24=4,E30-G30,IF(G24=4,G30-E30,""))))</f>
        <v>-14</v>
      </c>
      <c r="AI27" s="47" t="str">
        <f>IF($AK9&lt;4,"",IF($AK8&lt;3,"",IF(H24=4,H30-J30,IF(J24=4,J30-H30,""))))</f>
        <v/>
      </c>
      <c r="AJ27" s="47">
        <f>IF($AK9&lt;4,"",IF($AK8&lt;4,"",IF(K24=4,K30-M30,IF(M24=4,M30-K30,""))))</f>
        <v>3</v>
      </c>
      <c r="AK27" s="47" t="str">
        <f>IF($AK9&lt;4,"",IF($AK8&lt;5,"",IF(N24=4,N30-P30,IF(P24=4,P30-N30,""))))</f>
        <v/>
      </c>
      <c r="AL27" s="47">
        <f>IF($AK9&lt;4,"",IF($AK8&lt;6,"",IF(Q24=4,Q30-S30,IF(S24=4,S30-Q30,""))))</f>
        <v>9</v>
      </c>
      <c r="AM27" s="47" t="str">
        <f>IF($AK9&lt;4,"",IF($AK8&lt;7,"",IF(T24=4,T30-V30,IF(V24=4,V30-T30,""))))</f>
        <v/>
      </c>
      <c r="AN27" s="47" t="str">
        <f>IF($AK9&lt;4,"",IF($AK8&lt;8,"",IF(W24=4,W30-Y30,IF(Y24=4,Y30-W30,""))))</f>
        <v/>
      </c>
      <c r="AO27" s="47">
        <f>IF($AK9&lt;4,"",IF($AK8&lt;9,"",IF(Z24=4,Z30-AB30,IF(AB24=4,AB30-Z30,""))))</f>
        <v>-13</v>
      </c>
      <c r="AP27" s="47" t="str">
        <f>IF($AK9&lt;4,"",IF($AK8&lt;10,"",IF(AC24=4,AC30-AE30,IF(AE24=4,AE30-AC30,""))))</f>
        <v/>
      </c>
      <c r="AQ27" s="43">
        <f>SUM(AG27:AP27)</f>
        <v>-15</v>
      </c>
      <c r="AW27" s="4"/>
    </row>
    <row r="28" spans="1:51" ht="15" x14ac:dyDescent="0.2">
      <c r="A28" s="3" t="str">
        <f>IF($AK7&gt;3,"Game 4","")</f>
        <v/>
      </c>
      <c r="B28" s="48"/>
      <c r="C28" s="49" t="s">
        <v>78</v>
      </c>
      <c r="D28" s="50"/>
      <c r="E28" s="48"/>
      <c r="F28" s="49" t="str">
        <f>IF($AK8&gt;1,IF($AK7&gt;3,"/",""),"")</f>
        <v/>
      </c>
      <c r="G28" s="50"/>
      <c r="H28" s="48"/>
      <c r="I28" s="49" t="str">
        <f>IF($AK8&gt;2,IF($AK7&gt;3,"/",""),"")</f>
        <v/>
      </c>
      <c r="J28" s="50"/>
      <c r="K28" s="48"/>
      <c r="L28" s="49" t="str">
        <f>IF($AK8&gt;3,IF($AK7&gt;3,"/",""),"")</f>
        <v/>
      </c>
      <c r="M28" s="50"/>
      <c r="N28" s="48"/>
      <c r="O28" s="49" t="str">
        <f>IF($AK8&gt;4,IF($AK7&gt;3,"/",""),"")</f>
        <v/>
      </c>
      <c r="P28" s="50"/>
      <c r="Q28" s="48"/>
      <c r="R28" s="49" t="str">
        <f>IF($AK8&gt;5,IF($AK7&gt;3,"/",""),"")</f>
        <v/>
      </c>
      <c r="S28" s="50"/>
      <c r="T28" s="48"/>
      <c r="U28" s="49" t="str">
        <f>IF($AK8&gt;6,IF($AK7&gt;3,"/",""),"")</f>
        <v/>
      </c>
      <c r="V28" s="50"/>
      <c r="W28" s="48"/>
      <c r="X28" s="49" t="str">
        <f>IF($AK8&gt;7,IF($AK7&gt;3,"/",""),"")</f>
        <v/>
      </c>
      <c r="Y28" s="50"/>
      <c r="Z28" s="48"/>
      <c r="AA28" s="49" t="str">
        <f>IF($AK8&gt;8,IF($AK7&gt;3,"/",""),"")</f>
        <v/>
      </c>
      <c r="AB28" s="50"/>
      <c r="AC28" s="48"/>
      <c r="AD28" s="49" t="str">
        <f>IF($AK8&gt;9,IF($AK7&gt;3,"/",""),"")</f>
        <v/>
      </c>
      <c r="AE28" s="50"/>
      <c r="AF28" s="41" t="str">
        <f>IF($AK9&gt;4,"Team 5","")</f>
        <v>Team 5</v>
      </c>
      <c r="AG28" s="51">
        <f>IF($AK9&lt;5,"",IF($AK8&lt;1,"",IF(B24=5,B30-D30,IF(D24=5,D30-B30,""))))</f>
        <v>-6</v>
      </c>
      <c r="AH28" s="47" t="str">
        <f>IF($AK9&lt;5,"",IF($AK8&lt;2,"",IF(E24=5,E30-G30,IF(G24=5,G30-E30,""))))</f>
        <v/>
      </c>
      <c r="AI28" s="47">
        <f>IF($AK9&lt;5,"",IF($AK8&lt;3,"",IF(H24=5,H30-J30,IF(J24=5,J30-H30,""))))</f>
        <v>2</v>
      </c>
      <c r="AJ28" s="47" t="str">
        <f>IF($AK9&lt;5,"",IF($AK8&lt;4,"",IF(K24=5,K30-M30,IF(M24=5,M30-K30,""))))</f>
        <v/>
      </c>
      <c r="AK28" s="47" t="str">
        <f>IF($AK9&lt;5,"",IF($AK8&lt;5,"",IF(N24=5,N30-P30,IF(P24=5,P30-N30,""))))</f>
        <v/>
      </c>
      <c r="AL28" s="47">
        <f>IF($AK9&lt;5,"",IF($AK8&lt;6,"",IF(Q24=5,Q30-S30,IF(S24=5,S30-Q30,""))))</f>
        <v>-9</v>
      </c>
      <c r="AM28" s="47" t="str">
        <f>IF($AK9&lt;5,"",IF($AK8&lt;7,"",IF(T24=5,T30-V30,IF(V24=5,V30-T30,""))))</f>
        <v/>
      </c>
      <c r="AN28" s="47">
        <f>IF($AK9&lt;5,"",IF($AK8&lt;8,"",IF(W24=5,W30-Y30,IF(Y24=5,Y30-W30,""))))</f>
        <v>-1</v>
      </c>
      <c r="AO28" s="47" t="str">
        <f>IF($AK9&lt;5,"",IF($AK8&lt;9,"",IF(Z24=5,Z30-AB30,IF(AB24=5,AB30-Z30,""))))</f>
        <v/>
      </c>
      <c r="AP28" s="47" t="str">
        <f>IF($AK9&lt;5,"",IF($AK8&lt;10,"",IF(AC24=5,AC30-AE30,IF(AE24=5,AE30-AC30,""))))</f>
        <v/>
      </c>
      <c r="AQ28" s="43">
        <f>SUM(AG28:AP28)</f>
        <v>-14</v>
      </c>
      <c r="AW28" s="6"/>
      <c r="AX28" s="6"/>
      <c r="AY28" s="6"/>
    </row>
    <row r="29" spans="1:51" ht="15" x14ac:dyDescent="0.2">
      <c r="A29" s="3" t="str">
        <f>IF($AK7&gt;4,"Game 5","")</f>
        <v/>
      </c>
      <c r="B29" s="48"/>
      <c r="C29" s="49" t="s">
        <v>78</v>
      </c>
      <c r="D29" s="50"/>
      <c r="E29" s="48"/>
      <c r="F29" s="49" t="str">
        <f>IF($AK8&gt;1,IF($AK7&gt;4,"/",""),"")</f>
        <v/>
      </c>
      <c r="G29" s="50"/>
      <c r="H29" s="48"/>
      <c r="I29" s="49" t="str">
        <f>IF($AK8&gt;2,IF($AK7&gt;4,"/",""),"")</f>
        <v/>
      </c>
      <c r="J29" s="50"/>
      <c r="K29" s="48"/>
      <c r="L29" s="49" t="str">
        <f>IF($AK8&gt;3,IF($AK7&gt;4,"/",""),"")</f>
        <v/>
      </c>
      <c r="M29" s="50"/>
      <c r="N29" s="48"/>
      <c r="O29" s="49" t="str">
        <f>IF($AK8&gt;4,IF($AK7&gt;4,"/",""),"")</f>
        <v/>
      </c>
      <c r="P29" s="50"/>
      <c r="Q29" s="48"/>
      <c r="R29" s="49" t="str">
        <f>IF($AK8&gt;5,IF($AK7&gt;4,"/",""),"")</f>
        <v/>
      </c>
      <c r="S29" s="50"/>
      <c r="T29" s="48"/>
      <c r="U29" s="49" t="str">
        <f>IF($AK8&gt;6,IF($AK7&gt;4,"/",""),"")</f>
        <v/>
      </c>
      <c r="V29" s="50"/>
      <c r="W29" s="48"/>
      <c r="X29" s="49" t="str">
        <f>IF($AK8&gt;7,IF($AK7&gt;4,"/",""),"")</f>
        <v/>
      </c>
      <c r="Y29" s="50"/>
      <c r="Z29" s="48"/>
      <c r="AA29" s="49" t="str">
        <f>IF($AK8&gt;8,IF($AK7&gt;4,"/",""),"")</f>
        <v/>
      </c>
      <c r="AB29" s="50"/>
      <c r="AC29" s="48"/>
      <c r="AD29" s="49" t="str">
        <f>IF($AK8&gt;9,IF($AK7&gt;4,"/",""),"")</f>
        <v/>
      </c>
      <c r="AE29" s="50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W29" s="6"/>
      <c r="AX29" s="6"/>
      <c r="AY29" s="6"/>
    </row>
    <row r="30" spans="1:51" hidden="1" x14ac:dyDescent="0.2">
      <c r="A30" s="52"/>
      <c r="B30" s="52">
        <f>IF($AK7=5,SUM(B25:B29),IF($AK7=4,SUM(B25:B28),IF($AK7=3,SUM(B25:B27),IF($AK7=2,SUM(B25:B26),B25))))</f>
        <v>52</v>
      </c>
      <c r="C30" s="52"/>
      <c r="D30" s="52">
        <f>IF($AK7=5,SUM(D25:D29),IF($AK7=4,SUM(D25:D28),IF($AK7=3,SUM(D25:D27),IF($AK7=2,SUM(D25:D26),D25))))</f>
        <v>46</v>
      </c>
      <c r="E30" s="52">
        <f>IF($AK7=5,SUM(E25:E29),IF($AK7=4,SUM(E25:E28),IF($AK7=3,SUM(E25:E27),IF($AK7=2,SUM(E25:E26),E25))))</f>
        <v>50</v>
      </c>
      <c r="F30" s="52"/>
      <c r="G30" s="52">
        <f>IF($AK7=5,SUM(G25:G29),IF($AK7=4,SUM(G25:G28),IF($AK7=3,SUM(G25:G27),IF($AK7=2,SUM(G25:G26),G25))))</f>
        <v>36</v>
      </c>
      <c r="H30" s="52">
        <f>IF($AK7=5,SUM(H25:H29),IF($AK7=4,SUM(H25:H28),IF($AK7=3,SUM(H25:H27),IF($AK7=2,SUM(H25:H26),H25))))</f>
        <v>47</v>
      </c>
      <c r="I30" s="52"/>
      <c r="J30" s="52">
        <f>IF($AK7=5,SUM(J25:J29),IF($AK7=4,SUM(J25:J28),IF($AK7=3,SUM(J25:J27),IF($AK7=2,SUM(J25:J26),J25))))</f>
        <v>49</v>
      </c>
      <c r="K30" s="52">
        <f>IF($AK7=5,SUM(K25:K29),IF($AK7=4,SUM(K25:K28),IF($AK7=3,SUM(K25:K27),IF($AK7=2,SUM(K25:K26),K25))))</f>
        <v>43</v>
      </c>
      <c r="L30" s="52"/>
      <c r="M30" s="52">
        <f>IF($AK7=5,SUM(M25:M29),IF($AK7=4,SUM(M25:M28),IF($AK7=3,SUM(M25:M27),IF($AK7=2,SUM(M25:M26),M25))))</f>
        <v>46</v>
      </c>
      <c r="N30" s="52">
        <f>IF($AK7=5,SUM(N25:N29),IF($AK7=4,SUM(N25:N28),IF($AK7=3,SUM(N25:N27),IF($AK7=2,SUM(N25:N26),N25))))</f>
        <v>44</v>
      </c>
      <c r="O30" s="52"/>
      <c r="P30" s="52">
        <f>IF($AK7=5,SUM(P25:P29),IF($AK7=4,SUM(P25:P28),IF($AK7=3,SUM(P25:P27),IF($AK7=2,SUM(P25:P26),P25))))</f>
        <v>43</v>
      </c>
      <c r="Q30" s="52">
        <f>IF($AK7=5,SUM(Q25:Q29),IF($AK7=4,SUM(Q25:Q28),IF($AK7=3,SUM(Q25:Q27),IF($AK7=2,SUM(Q25:Q26),Q25))))</f>
        <v>50</v>
      </c>
      <c r="R30" s="52"/>
      <c r="S30" s="52">
        <f>IF($AK7=5,SUM(S25:S29),IF($AK7=4,SUM(S25:S28),IF($AK7=3,SUM(S25:S27),IF($AK7=2,SUM(S25:S26),S25))))</f>
        <v>41</v>
      </c>
      <c r="T30" s="52">
        <f>IF($AK7=5,SUM(T25:T29),IF($AK7=4,SUM(T25:T28),IF($AK7=3,SUM(T25:T27),IF($AK7=2,SUM(T25:T26),T25))))</f>
        <v>35</v>
      </c>
      <c r="U30" s="52"/>
      <c r="V30" s="52">
        <f>IF($AK7=5,SUM(V25:V29),IF($AK7=4,SUM(V25:V28),IF($AK7=3,SUM(V25:V27),IF($AK7=2,SUM(V25:V26),V25))))</f>
        <v>50</v>
      </c>
      <c r="W30" s="52">
        <f>IF($AK7=5,SUM(W25:W29),IF($AK7=4,SUM(W25:W28),IF($AK7=3,SUM(W25:W27),IF($AK7=2,SUM(W25:W26),W25))))</f>
        <v>46</v>
      </c>
      <c r="X30" s="52"/>
      <c r="Y30" s="52">
        <f>IF($AK7=5,SUM(Y25:Y29),IF($AK7=4,SUM(Y25:Y28),IF($AK7=3,SUM(Y25:Y27),IF($AK7=2,SUM(Y25:Y26),Y25))))</f>
        <v>45</v>
      </c>
      <c r="Z30" s="52">
        <f>IF($AK7=5,SUM(Z25:Z29),IF($AK7=4,SUM(Z25:Z28),IF($AK7=3,SUM(Z25:Z27),IF($AK7=2,SUM(Z25:Z26),Z25))))</f>
        <v>50</v>
      </c>
      <c r="AA30" s="52"/>
      <c r="AB30" s="52">
        <f>IF($AK7=5,SUM(AB25:AB29),IF($AK7=4,SUM(AB25:AB28),IF($AK7=3,SUM(AB25:AB27),IF($AK7=2,SUM(AB25:AB26),AB25))))</f>
        <v>37</v>
      </c>
      <c r="AC30" s="52">
        <f>IF($AK7=5,SUM(AC25:AC29),IF($AK7=4,SUM(AC25:AC28),IF($AK7=3,SUM(AC25:AC27),IF($AK7=2,SUM(AC25:AC26),AC25))))</f>
        <v>45</v>
      </c>
      <c r="AD30" s="52"/>
      <c r="AE30" s="52">
        <f>IF($AK7=5,SUM(AE25:AE29),IF($AK7=4,SUM(AE25:AE28),IF($AK7=3,SUM(AE25:AE27),IF($AK7=2,SUM(AE25:AE26),AE25))))</f>
        <v>50</v>
      </c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</row>
    <row r="31" spans="1:51" s="54" customFormat="1" ht="12.75" hidden="1" customHeight="1" x14ac:dyDescent="0.2">
      <c r="A31" s="54" t="s">
        <v>79</v>
      </c>
      <c r="B31" s="55">
        <f>IF(AND(B25&gt;D25,$AK8&gt;0,ISNUMBER(B25),ISNUMBER(D25)),1,0)</f>
        <v>1</v>
      </c>
      <c r="C31" s="55"/>
      <c r="D31" s="56">
        <f>IF(AND(D25&gt;B25,$AK8&gt;0,ISNUMBER(B25),ISNUMBER(D25)),1,0)</f>
        <v>0</v>
      </c>
      <c r="E31" s="55">
        <f>IF(AND(E25&gt;G25,$AK8&gt;1,ISNUMBER(E25),ISNUMBER(G25)),1,0)</f>
        <v>1</v>
      </c>
      <c r="F31" s="55"/>
      <c r="G31" s="56">
        <f>IF(AND(G25&gt;E25,$AK8&gt;1,ISNUMBER(E25),ISNUMBER(G25)),1,0)</f>
        <v>0</v>
      </c>
      <c r="H31" s="55">
        <f>IF(AND(H25&gt;J25,$AK8&gt;2,ISNUMBER(H25),ISNUMBER(J25)),1,0)</f>
        <v>0</v>
      </c>
      <c r="I31" s="55"/>
      <c r="J31" s="56">
        <f>IF(AND(J25&gt;H25,$AK8&gt;2,ISNUMBER(H25),ISNUMBER(J25)),1,0)</f>
        <v>1</v>
      </c>
      <c r="K31" s="55">
        <f>IF(AND(K25&gt;M25,$AK8&gt;3,ISNUMBER(K25),ISNUMBER(M25)),1,0)</f>
        <v>1</v>
      </c>
      <c r="L31" s="55"/>
      <c r="M31" s="56">
        <f>IF(AND(M25&gt;K25,$AK8&gt;3,ISNUMBER(K25),ISNUMBER(M25)),1,0)</f>
        <v>0</v>
      </c>
      <c r="N31" s="55">
        <f>IF(AND(N25&gt;P25,$AK8&gt;4,ISNUMBER(N25),ISNUMBER(P25)),1,0)</f>
        <v>1</v>
      </c>
      <c r="O31" s="55"/>
      <c r="P31" s="56">
        <f>IF(AND(P25&gt;N25,$AK8&gt;4,ISNUMBER(N25),ISNUMBER(P25)),1,0)</f>
        <v>0</v>
      </c>
      <c r="Q31" s="55">
        <f>IF(AND(Q25&gt;S25,$AK8&gt;5,ISNUMBER(Q25),ISNUMBER(S25)),1,0)</f>
        <v>1</v>
      </c>
      <c r="R31" s="55"/>
      <c r="S31" s="56">
        <f>IF(AND(S25&gt;Q25,$AK8&gt;5,ISNUMBER(Q25),ISNUMBER(S25)),1,0)</f>
        <v>0</v>
      </c>
      <c r="T31" s="55">
        <f>IF(AND(T25&gt;V25,$AK8&gt;6,ISNUMBER(T25),ISNUMBER(V25)),1,0)</f>
        <v>0</v>
      </c>
      <c r="U31" s="55"/>
      <c r="V31" s="56">
        <f>IF(AND(V25&gt;T25,$AK8&gt;6,ISNUMBER(T25),ISNUMBER(V25)),1,0)</f>
        <v>1</v>
      </c>
      <c r="W31" s="55">
        <f>IF(AND(W25&gt;Y25,$AK8&gt;7,ISNUMBER(W25),ISNUMBER(Y25)),1,0)</f>
        <v>1</v>
      </c>
      <c r="X31" s="55"/>
      <c r="Y31" s="56">
        <f>IF(AND(Y25&gt;W25,$AK8&gt;7,ISNUMBER(W25),ISNUMBER(Y25)),1,0)</f>
        <v>0</v>
      </c>
      <c r="Z31" s="55">
        <f>IF(AND(Z25&gt;AB25,$AK8&gt;8,ISNUMBER(Z25),ISNUMBER(AB25)),1,0)</f>
        <v>1</v>
      </c>
      <c r="AA31" s="55"/>
      <c r="AB31" s="56">
        <f>IF(AND(AB25&gt;Z25,$AK8&gt;8,ISNUMBER(Z25),ISNUMBER(AB25)),1,0)</f>
        <v>0</v>
      </c>
      <c r="AC31" s="55">
        <f>IF(AND(AC25&gt;AE25,$AK8&gt;9,ISNUMBER(AC25),ISNUMBER(AE25)),1,0)</f>
        <v>0</v>
      </c>
      <c r="AD31" s="55"/>
      <c r="AE31" s="56">
        <f>IF(AND(AE25&gt;AC25,$AK8&gt;9,ISNUMBER(AC25),ISNUMBER(AE25)),1,0)</f>
        <v>1</v>
      </c>
      <c r="AW31" s="57"/>
    </row>
    <row r="32" spans="1:51" s="54" customFormat="1" ht="12.75" hidden="1" customHeight="1" x14ac:dyDescent="0.2">
      <c r="A32" s="54" t="s">
        <v>80</v>
      </c>
      <c r="B32" s="55">
        <f>IF(AND(B26&gt;D26,$AK8&gt;0,$AK7&gt;1,ISNUMBER(B26),ISNUMBER(D26)),1,0)</f>
        <v>1</v>
      </c>
      <c r="C32" s="55"/>
      <c r="D32" s="56">
        <f>IF(AND(D26&gt;B26,$AK8&gt;0,$AK7&gt;1,ISNUMBER(B26),ISNUMBER(D26)),1,0)</f>
        <v>0</v>
      </c>
      <c r="E32" s="55">
        <f>IF(AND(E26&gt;G26,$AK8&gt;1,$AK7&gt;1,ISNUMBER(E26),ISNUMBER(G26)),1,0)</f>
        <v>1</v>
      </c>
      <c r="F32" s="55"/>
      <c r="G32" s="56">
        <f>IF(AND(G26&gt;E26,$AK8&gt;1,$AK7&gt;1,ISNUMBER(E26),ISNUMBER(G26)),1,0)</f>
        <v>0</v>
      </c>
      <c r="H32" s="55">
        <f>IF(AND(H26&gt;J26,$AK8&gt;2,$AK7&gt;1,ISNUMBER(H26),ISNUMBER(J26)),1,0)</f>
        <v>1</v>
      </c>
      <c r="I32" s="55"/>
      <c r="J32" s="56">
        <f>IF(AND(J26&gt;H26,$AK8&gt;2,$AK7&gt;1,ISNUMBER(H26),ISNUMBER(J26)),1,0)</f>
        <v>0</v>
      </c>
      <c r="K32" s="55">
        <f>IF(AND(K26&gt;M26,$AK8&gt;3,$AK7&gt;1,ISNUMBER(K26),ISNUMBER(M26)),1,0)</f>
        <v>0</v>
      </c>
      <c r="L32" s="55"/>
      <c r="M32" s="56">
        <f>IF(AND(M26&gt;K26,$AK8&gt;3,$AK7&gt;1,ISNUMBER(K26),ISNUMBER(M26)),1,0)</f>
        <v>1</v>
      </c>
      <c r="N32" s="55">
        <f>IF(AND(N26&gt;P26,$AK8&gt;4,$AK7&gt;1,ISNUMBER(N26),ISNUMBER(P26)),1,0)</f>
        <v>0</v>
      </c>
      <c r="O32" s="55"/>
      <c r="P32" s="56">
        <f>IF(AND(P26&gt;N26,$AK8&gt;4,$AK7&gt;1,ISNUMBER(N26),ISNUMBER(P26)),1,0)</f>
        <v>1</v>
      </c>
      <c r="Q32" s="55">
        <f>IF(AND(Q26&gt;S26,$AK8&gt;5,$AK7&gt;1,ISNUMBER(Q26),ISNUMBER(S26)),1,0)</f>
        <v>1</v>
      </c>
      <c r="R32" s="55"/>
      <c r="S32" s="56">
        <f>IF(AND(S26&gt;Q26,$AK8&gt;5,$AK7&gt;1,ISNUMBER(Q26),ISNUMBER(S26)),1,0)</f>
        <v>0</v>
      </c>
      <c r="T32" s="55">
        <f>IF(AND(T26&gt;V26,$AK8&gt;6,$AK7&gt;1,ISNUMBER(T26),ISNUMBER(V26)),1,0)</f>
        <v>0</v>
      </c>
      <c r="U32" s="55"/>
      <c r="V32" s="56">
        <f>IF(AND(V26&gt;T26,$AK8&gt;6,$AK7&gt;1,ISNUMBER(T26),ISNUMBER(V26)),1,0)</f>
        <v>1</v>
      </c>
      <c r="W32" s="55">
        <f>IF(AND(W26&gt;Y26,$AK8&gt;7,$AK7&gt;1,ISNUMBER(W26),ISNUMBER(Y26)),1,0)</f>
        <v>0</v>
      </c>
      <c r="X32" s="55"/>
      <c r="Y32" s="56">
        <f>IF(AND(Y26&gt;W26,$AK8&gt;7,$AK7&gt;1,ISNUMBER(W26),ISNUMBER(Y26)),1,0)</f>
        <v>1</v>
      </c>
      <c r="Z32" s="55">
        <f>IF(AND(Z26&gt;AB26,$AK8&gt;8,$AK7&gt;1,ISNUMBER(Z26),ISNUMBER(AB26)),1,0)</f>
        <v>1</v>
      </c>
      <c r="AA32" s="55"/>
      <c r="AB32" s="56">
        <f>IF(AND(AB26&gt;Z26,$AK8&gt;8,$AK7&gt;1,ISNUMBER(Z26),ISNUMBER(AB26)),1,0)</f>
        <v>0</v>
      </c>
      <c r="AC32" s="55">
        <f>IF(AND(AC26&gt;AE26,$AK8&gt;9,$AK7&gt;1,ISNUMBER(AC26),ISNUMBER(AE26)),1,0)</f>
        <v>0</v>
      </c>
      <c r="AD32" s="55"/>
      <c r="AE32" s="56">
        <f>IF(AND(AE26&gt;AC26,$AK8&gt;9,$AK7&gt;1,ISNUMBER(AC26),ISNUMBER(AE26)),1,0)</f>
        <v>1</v>
      </c>
      <c r="AW32" s="57"/>
    </row>
    <row r="33" spans="1:49" s="54" customFormat="1" ht="12.75" hidden="1" customHeight="1" x14ac:dyDescent="0.2">
      <c r="A33" s="54" t="s">
        <v>81</v>
      </c>
      <c r="B33" s="55">
        <f>IF(AND(B27&gt;D27,$AK8&gt;0,$AK7&gt;2,ISNUMBER(B27),ISNUMBER(D27)),1,0)</f>
        <v>0</v>
      </c>
      <c r="C33" s="55"/>
      <c r="D33" s="56">
        <f>IF(AND(D27&gt;B27,$AK8&gt;0,$AK7&gt;2,ISNUMBER(B27),ISNUMBER(D27)),1,0)</f>
        <v>0</v>
      </c>
      <c r="E33" s="55">
        <f>IF(AND(E27&gt;G27,$AK8&gt;1,$AK7&gt;2,ISNUMBER(E27),ISNUMBER(G27)),1,0)</f>
        <v>0</v>
      </c>
      <c r="F33" s="55"/>
      <c r="G33" s="56">
        <f>IF(AND(G27&gt;E27,$AK8&gt;1,$AK7&gt;2,ISNUMBER(E27),ISNUMBER(G27)),1,0)</f>
        <v>0</v>
      </c>
      <c r="H33" s="55">
        <f>IF(AND(H27&gt;J27,$AK8&gt;2,$AK7&gt;2,ISNUMBER(H27),ISNUMBER(J27)),1,0)</f>
        <v>0</v>
      </c>
      <c r="I33" s="55"/>
      <c r="J33" s="56">
        <f>IF(AND(J27&gt;H27,$AK8&gt;2,$AK7&gt;2,ISNUMBER(H27),ISNUMBER(J27)),1,0)</f>
        <v>0</v>
      </c>
      <c r="K33" s="55">
        <f>IF(AND(K27&gt;M27,$AK8&gt;3,$AK7&gt;2,ISNUMBER(K27),ISNUMBER(M27)),1,0)</f>
        <v>0</v>
      </c>
      <c r="L33" s="55"/>
      <c r="M33" s="56">
        <f>IF(AND(M27&gt;K27,$AK8&gt;3,$AK7&gt;2,ISNUMBER(K27),ISNUMBER(M27)),1,0)</f>
        <v>0</v>
      </c>
      <c r="N33" s="55">
        <f>IF(AND(N27&gt;P27,$AK8&gt;4,$AK7&gt;2,ISNUMBER(N27),ISNUMBER(P27)),1,0)</f>
        <v>0</v>
      </c>
      <c r="O33" s="55"/>
      <c r="P33" s="56">
        <f>IF(AND(P27&gt;N27,$AK8&gt;4,$AK7&gt;2,ISNUMBER(N27),ISNUMBER(P27)),1,0)</f>
        <v>0</v>
      </c>
      <c r="Q33" s="55">
        <f>IF(AND(Q27&gt;S27,$AK8&gt;5,$AK7&gt;2,ISNUMBER(Q27),ISNUMBER(S27)),1,0)</f>
        <v>0</v>
      </c>
      <c r="R33" s="55"/>
      <c r="S33" s="56">
        <f>IF(AND(S27&gt;Q27,$AK8&gt;5,$AK7&gt;2,ISNUMBER(Q27),ISNUMBER(S27)),1,0)</f>
        <v>0</v>
      </c>
      <c r="T33" s="55">
        <f>IF(AND(T27&gt;V27,$AK8&gt;6,$AK7&gt;2,ISNUMBER(T27),ISNUMBER(V27)),1,0)</f>
        <v>0</v>
      </c>
      <c r="U33" s="55"/>
      <c r="V33" s="56">
        <f>IF(AND(V27&gt;T27,$AK8&gt;6,$AK7&gt;2,ISNUMBER(T27),ISNUMBER(V27)),1,0)</f>
        <v>0</v>
      </c>
      <c r="W33" s="55">
        <f>IF(AND(W27&gt;Y27,$AK8&gt;7,$AK7&gt;2,ISNUMBER(W27),ISNUMBER(Y27)),1,0)</f>
        <v>0</v>
      </c>
      <c r="X33" s="55"/>
      <c r="Y33" s="56">
        <f>IF(AND(Y27&gt;W27,$AK8&gt;7,$AK7&gt;2,ISNUMBER(W27),ISNUMBER(Y27)),1,0)</f>
        <v>0</v>
      </c>
      <c r="Z33" s="55">
        <f>IF(AND(Z27&gt;AB27,$AK8&gt;8,$AK7&gt;2,ISNUMBER(Z27),ISNUMBER(AB27)),1,0)</f>
        <v>0</v>
      </c>
      <c r="AA33" s="55"/>
      <c r="AB33" s="56">
        <f>IF(AND(AB27&gt;Z27,$AK8&gt;8,$AK7&gt;2,ISNUMBER(Z27),ISNUMBER(AB27)),1,0)</f>
        <v>0</v>
      </c>
      <c r="AC33" s="55">
        <f>IF(AND(AC27&gt;AE27,$AK8&gt;9,$AK7&gt;2,ISNUMBER(AC27),ISNUMBER(AE27)),1,0)</f>
        <v>0</v>
      </c>
      <c r="AD33" s="55"/>
      <c r="AE33" s="56">
        <f>IF(AND(AE27&gt;AC27,$AK8&gt;9,$AK7&gt;2,ISNUMBER(AC27),ISNUMBER(AE27)),1,0)</f>
        <v>0</v>
      </c>
      <c r="AW33" s="57"/>
    </row>
    <row r="34" spans="1:49" s="54" customFormat="1" ht="12.75" hidden="1" customHeight="1" x14ac:dyDescent="0.2">
      <c r="A34" s="54" t="s">
        <v>82</v>
      </c>
      <c r="B34" s="55">
        <f>IF(AND(B28&gt;D28,$AK8&gt;0,$AK7&gt;3,ISNUMBER(B28),ISNUMBER(D28)),1,0)</f>
        <v>0</v>
      </c>
      <c r="C34" s="55"/>
      <c r="D34" s="56">
        <f>IF(AND(D28&gt;B28,$AK8&gt;0,$AK7&gt;3,ISNUMBER(B28),ISNUMBER(D28)),1,0)</f>
        <v>0</v>
      </c>
      <c r="E34" s="55">
        <f>IF(AND(E28&gt;G28,$AK8&gt;1,$AK7&gt;3,ISNUMBER(E28),ISNUMBER(G28)),1,0)</f>
        <v>0</v>
      </c>
      <c r="F34" s="55"/>
      <c r="G34" s="56">
        <f>IF(AND(G28&gt;E28,$AK8&gt;1,$AK7&gt;3,ISNUMBER(E28),ISNUMBER(G28)),1,0)</f>
        <v>0</v>
      </c>
      <c r="H34" s="55">
        <f>IF(AND(H28&gt;J28,$AK8&gt;2,$AK7&gt;3,ISNUMBER(H28),ISNUMBER(J28)),1,0)</f>
        <v>0</v>
      </c>
      <c r="I34" s="55"/>
      <c r="J34" s="56">
        <f>IF(AND(J28&gt;H28,$AK8&gt;2,$AK7&gt;3,ISNUMBER(H28),ISNUMBER(J28)),1,0)</f>
        <v>0</v>
      </c>
      <c r="K34" s="55">
        <f>IF(AND(K28&gt;M28,$AK8&gt;3,$AK7&gt;3,ISNUMBER(K28),ISNUMBER(M28)),1,0)</f>
        <v>0</v>
      </c>
      <c r="L34" s="55"/>
      <c r="M34" s="56">
        <f>IF(AND(M28&gt;K28,$AK8&gt;3,$AK7&gt;3,ISNUMBER(K28),ISNUMBER(M28)),1,0)</f>
        <v>0</v>
      </c>
      <c r="N34" s="55">
        <f>IF(AND(N28&gt;P28,$AK8&gt;4,$AK7&gt;3,ISNUMBER(N28),ISNUMBER(P28)),1,0)</f>
        <v>0</v>
      </c>
      <c r="O34" s="55"/>
      <c r="P34" s="56">
        <f>IF(AND(P28&gt;N28,$AK8&gt;4,$AK7&gt;3,ISNUMBER(N28),ISNUMBER(P28)),1,0)</f>
        <v>0</v>
      </c>
      <c r="Q34" s="55">
        <f>IF(AND(Q28&gt;S28,$AK8&gt;5,$AK7&gt;3,ISNUMBER(Q28),ISNUMBER(S28)),1,0)</f>
        <v>0</v>
      </c>
      <c r="R34" s="55"/>
      <c r="S34" s="56">
        <f>IF(AND(S28&gt;Q28,$AK8&gt;5,$AK7&gt;3,ISNUMBER(Q28),ISNUMBER(S28)),1,0)</f>
        <v>0</v>
      </c>
      <c r="T34" s="55">
        <f>IF(AND(T28&gt;V28,$AK8&gt;6,$AK7&gt;3,ISNUMBER(T28),ISNUMBER(V28)),1,0)</f>
        <v>0</v>
      </c>
      <c r="U34" s="55"/>
      <c r="V34" s="56">
        <f>IF(AND(V28&gt;T28,$AK8&gt;6,$AK7&gt;3,ISNUMBER(T28),ISNUMBER(V28)),1,0)</f>
        <v>0</v>
      </c>
      <c r="W34" s="55">
        <f>IF(AND(W28&gt;Y28,$AK8&gt;7,$AK7&gt;3,ISNUMBER(W28),ISNUMBER(Y28)),1,0)</f>
        <v>0</v>
      </c>
      <c r="X34" s="55"/>
      <c r="Y34" s="56">
        <f>IF(AND(Y28&gt;W28,$AK8&gt;7,$AK7&gt;3,ISNUMBER(W28),ISNUMBER(Y28)),1,0)</f>
        <v>0</v>
      </c>
      <c r="Z34" s="55">
        <f>IF(AND(Z28&gt;AB28,$AK8&gt;8,$AK7&gt;3,ISNUMBER(Z28),ISNUMBER(AB28)),1,0)</f>
        <v>0</v>
      </c>
      <c r="AA34" s="55"/>
      <c r="AB34" s="56">
        <f>IF(AND(AB28&gt;Z28,$AK8&gt;8,$AK7&gt;3,ISNUMBER(Z28),ISNUMBER(AB28)),1,0)</f>
        <v>0</v>
      </c>
      <c r="AC34" s="55">
        <f>IF(AND(AC28&gt;AE28,$AK8&gt;9,$AK7&gt;3,ISNUMBER(AC28),ISNUMBER(AE28)),1,0)</f>
        <v>0</v>
      </c>
      <c r="AD34" s="55"/>
      <c r="AE34" s="56">
        <f>IF(AND(AE28&gt;AC28,$AK8&gt;9,$AK7&gt;3,ISNUMBER(AC28),ISNUMBER(AE28)),1,0)</f>
        <v>0</v>
      </c>
      <c r="AW34" s="57"/>
    </row>
    <row r="35" spans="1:49" s="54" customFormat="1" ht="12.75" hidden="1" customHeight="1" x14ac:dyDescent="0.2">
      <c r="A35" s="54" t="s">
        <v>83</v>
      </c>
      <c r="B35" s="55">
        <f>IF(AND(B29&gt;D29,$AK8&gt;0,$AK7&gt;4,ISNUMBER(B29),ISNUMBER(D29)),1,0)</f>
        <v>0</v>
      </c>
      <c r="C35" s="55"/>
      <c r="D35" s="56">
        <f>IF(AND(D29&gt;B29,$AK8&gt;0,$AK7&gt;4,ISNUMBER(B29),ISNUMBER(D29)),1,0)</f>
        <v>0</v>
      </c>
      <c r="E35" s="55">
        <f>IF(AND(E29&gt;G29,$AK8&gt;1,$AK7&gt;4,ISNUMBER(E29),ISNUMBER(G29)),1,0)</f>
        <v>0</v>
      </c>
      <c r="F35" s="55"/>
      <c r="G35" s="56">
        <f>IF(AND(G29&gt;E29,$AK8&gt;1,$AK7&gt;4,ISNUMBER(E29),ISNUMBER(G29)),1,0)</f>
        <v>0</v>
      </c>
      <c r="H35" s="55">
        <f>IF(AND(H29&gt;J29,$AK8&gt;2,$AK7&gt;4,ISNUMBER(H29),ISNUMBER(J29)),1,0)</f>
        <v>0</v>
      </c>
      <c r="I35" s="55"/>
      <c r="J35" s="56">
        <f>IF(AND(J29&gt;H29,$AK8&gt;2,$AK7&gt;4,ISNUMBER(H29),ISNUMBER(J29)),1,0)</f>
        <v>0</v>
      </c>
      <c r="K35" s="55">
        <f>IF(AND(K29&gt;M29,$AK8&gt;3,$AK7&gt;4,ISNUMBER(K29),ISNUMBER(M29)),1,0)</f>
        <v>0</v>
      </c>
      <c r="L35" s="55"/>
      <c r="M35" s="56">
        <f>IF(AND(M29&gt;K29,$AK8&gt;3,$AK7&gt;4,ISNUMBER(K29),ISNUMBER(M29)),1,0)</f>
        <v>0</v>
      </c>
      <c r="N35" s="55">
        <f>IF(AND(N29&gt;P29,$AK8&gt;4,$AK7&gt;4,ISNUMBER(N29),ISNUMBER(P29)),1,0)</f>
        <v>0</v>
      </c>
      <c r="O35" s="55"/>
      <c r="P35" s="56">
        <f>IF(AND(P29&gt;N29,$AK8&gt;4,$AK7&gt;4,ISNUMBER(N29),ISNUMBER(P29)),1,0)</f>
        <v>0</v>
      </c>
      <c r="Q35" s="55">
        <f>IF(AND(Q29&gt;S29,$AK8&gt;5,$AK7&gt;4,ISNUMBER(Q29),ISNUMBER(S29)),1,0)</f>
        <v>0</v>
      </c>
      <c r="R35" s="55"/>
      <c r="S35" s="56">
        <f>IF(AND(S29&gt;Q29,$AK8&gt;5,$AK7&gt;4,ISNUMBER(Q29),ISNUMBER(S29)),1,0)</f>
        <v>0</v>
      </c>
      <c r="T35" s="55">
        <f>IF(AND(T29&gt;V29,$AK8&gt;6,$AK7&gt;4,ISNUMBER(T29),ISNUMBER(V29)),1,0)</f>
        <v>0</v>
      </c>
      <c r="U35" s="55"/>
      <c r="V35" s="56">
        <f>IF(AND(V29&gt;T29,$AK8&gt;6,$AK7&gt;4,ISNUMBER(T29),ISNUMBER(V29)),1,0)</f>
        <v>0</v>
      </c>
      <c r="W35" s="55">
        <f>IF(AND(W29&gt;Y29,$AK8&gt;7,$AK7&gt;4,ISNUMBER(W29),ISNUMBER(Y29)),1,0)</f>
        <v>0</v>
      </c>
      <c r="X35" s="55"/>
      <c r="Y35" s="56">
        <f>IF(AND(Y29&gt;W29,$AK8&gt;7,$AK7&gt;4,ISNUMBER(W29),ISNUMBER(Y29)),1,0)</f>
        <v>0</v>
      </c>
      <c r="Z35" s="55">
        <f>IF(AND(Z29&gt;AB29,$AK8&gt;8,$AK7&gt;4,ISNUMBER(Z29),ISNUMBER(AB29)),1,0)</f>
        <v>0</v>
      </c>
      <c r="AA35" s="55"/>
      <c r="AB35" s="56">
        <f>IF(AND(AB29&gt;Z29,$AK8&gt;8,$AK7&gt;4,ISNUMBER(Z29),ISNUMBER(AB29)),1,0)</f>
        <v>0</v>
      </c>
      <c r="AC35" s="55">
        <f>IF(AND(AC29&gt;AE29,$AK8&gt;9,$AK7&gt;4,ISNUMBER(AC29),ISNUMBER(AE29)),1,0)</f>
        <v>0</v>
      </c>
      <c r="AD35" s="55"/>
      <c r="AE35" s="56">
        <f>IF(AND(AE29&gt;AC29,$AK8&gt;9,$AK7&gt;4,ISNUMBER(AC29),ISNUMBER(AE29)),1,0)</f>
        <v>0</v>
      </c>
      <c r="AW35" s="57"/>
    </row>
    <row r="36" spans="1:49" s="54" customFormat="1" ht="38.25" hidden="1" customHeight="1" x14ac:dyDescent="0.2">
      <c r="A36" s="58" t="s">
        <v>84</v>
      </c>
      <c r="B36" s="54">
        <f>SUM(B31:B35)</f>
        <v>2</v>
      </c>
      <c r="D36" s="59">
        <f>SUM(D31:D35)</f>
        <v>0</v>
      </c>
      <c r="E36" s="54">
        <f>SUM(E31:E35)</f>
        <v>2</v>
      </c>
      <c r="G36" s="59">
        <f>SUM(G31:G35)</f>
        <v>0</v>
      </c>
      <c r="H36" s="54">
        <f>SUM(H31:H35)</f>
        <v>1</v>
      </c>
      <c r="J36" s="59">
        <f>SUM(J31:J35)</f>
        <v>1</v>
      </c>
      <c r="K36" s="54">
        <f>SUM(K31:K35)</f>
        <v>1</v>
      </c>
      <c r="M36" s="59">
        <f>SUM(M31:M35)</f>
        <v>1</v>
      </c>
      <c r="N36" s="54">
        <f>SUM(N31:N35)</f>
        <v>1</v>
      </c>
      <c r="P36" s="59">
        <f>SUM(P31:P35)</f>
        <v>1</v>
      </c>
      <c r="Q36" s="54">
        <f>SUM(Q31:Q35)</f>
        <v>2</v>
      </c>
      <c r="S36" s="59">
        <f>SUM(S31:S35)</f>
        <v>0</v>
      </c>
      <c r="T36" s="54">
        <f>SUM(T31:T35)</f>
        <v>0</v>
      </c>
      <c r="V36" s="59">
        <f>SUM(V31:V35)</f>
        <v>2</v>
      </c>
      <c r="W36" s="54">
        <f>SUM(W31:W35)</f>
        <v>1</v>
      </c>
      <c r="Y36" s="59">
        <f>SUM(Y31:Y35)</f>
        <v>1</v>
      </c>
      <c r="Z36" s="54">
        <f>SUM(Z31:Z35)</f>
        <v>2</v>
      </c>
      <c r="AB36" s="59">
        <f>SUM(AB31:AB35)</f>
        <v>0</v>
      </c>
      <c r="AC36" s="54">
        <f>SUM(AC31:AC35)</f>
        <v>0</v>
      </c>
      <c r="AE36" s="59">
        <f>SUM(AE31:AE35)</f>
        <v>2</v>
      </c>
      <c r="AW36" s="57"/>
    </row>
    <row r="37" spans="1:49" s="54" customFormat="1" ht="25.5" hidden="1" customHeight="1" x14ac:dyDescent="0.2">
      <c r="A37" s="58" t="s">
        <v>85</v>
      </c>
      <c r="B37" s="54">
        <f>IF(B36&gt;D36,IF(C71=AK7,1,IF(C71=AK7-1,1,0)),0)</f>
        <v>1</v>
      </c>
      <c r="C37" s="54">
        <f>B37+D37</f>
        <v>1</v>
      </c>
      <c r="D37" s="59">
        <f>IF(D36&gt;B36,IF(C71=AK7,1,IF(C71=AK7-1,1,0)),0)</f>
        <v>0</v>
      </c>
      <c r="E37" s="54">
        <f>IF(E36&gt;G36,IF(F71=AK7,1,IF(F71=AK7-1,1,0)),0)</f>
        <v>1</v>
      </c>
      <c r="F37" s="54">
        <f>E37+G37</f>
        <v>1</v>
      </c>
      <c r="G37" s="59">
        <f>IF(G36&gt;E36,IF(F71=AK7,1,IF(F71=AK7-1,1,0)),0)</f>
        <v>0</v>
      </c>
      <c r="H37" s="54">
        <f>IF(H36&gt;J36,IF(I71=AK7,1,IF(I71=AK7-1,1,0)),0)</f>
        <v>0</v>
      </c>
      <c r="I37" s="54">
        <f>H37+J37</f>
        <v>0</v>
      </c>
      <c r="J37" s="59">
        <f>IF(J36&gt;H36,IF(I71=AK7,1,IF(I71=AK7-1,1,0)),0)</f>
        <v>0</v>
      </c>
      <c r="K37" s="54">
        <f>IF(K36&gt;M36,IF(L71=AK7,1,IF(L71=AK7-1,1,0)),0)</f>
        <v>0</v>
      </c>
      <c r="L37" s="54">
        <f>K37+M37</f>
        <v>0</v>
      </c>
      <c r="M37" s="59">
        <f>IF(M36&gt;K36,IF(L71=AK7,1,IF(L71=AK7-1,1,0)),0)</f>
        <v>0</v>
      </c>
      <c r="N37" s="54">
        <f>IF(N36&gt;P36,IF(O71=AK7,1,IF(O71=AK7-1,1,0)),0)</f>
        <v>0</v>
      </c>
      <c r="O37" s="54">
        <f>N37+P37</f>
        <v>0</v>
      </c>
      <c r="P37" s="59">
        <f>IF(P36&gt;N36,IF(O71=AK7,1,IF(O71=AK7-1,1,0)),0)</f>
        <v>0</v>
      </c>
      <c r="Q37" s="54">
        <f>IF(Q36&gt;S36,IF(R71=AK7,1,IF(R71=AK7-1,1,0)),0)</f>
        <v>1</v>
      </c>
      <c r="R37" s="54">
        <f>Q37+S37</f>
        <v>1</v>
      </c>
      <c r="S37" s="59">
        <f>IF(S36&gt;Q36,IF(R71=AK7,1,IF(R71=AK7-1,1,0)),0)</f>
        <v>0</v>
      </c>
      <c r="T37" s="54">
        <f>IF(T36&gt;V36,IF(U71=AK7,1,IF(U71=AK7-1,1,0)),0)</f>
        <v>0</v>
      </c>
      <c r="U37" s="54">
        <f>T37+V37</f>
        <v>1</v>
      </c>
      <c r="V37" s="59">
        <f>IF(V36&gt;T36,IF(U71=AK7,1,IF(U71=AK7-1,1,0)),0)</f>
        <v>1</v>
      </c>
      <c r="W37" s="54">
        <f>IF(W36&gt;Y36,IF(X71=AK7,1,IF(X71=AK7-1,1,0)),0)</f>
        <v>0</v>
      </c>
      <c r="X37" s="54">
        <f>W37+Y37</f>
        <v>0</v>
      </c>
      <c r="Y37" s="59">
        <f>IF(Y36&gt;W36,IF(X71=AK7,1,IF(X71=AK7-1,1,0)),0)</f>
        <v>0</v>
      </c>
      <c r="Z37" s="54">
        <f>IF(Z36&gt;AB36,IF(AA71=AK7,1,IF(AA71=AK7-1,1,0)),0)</f>
        <v>1</v>
      </c>
      <c r="AA37" s="54">
        <f>Z37+AB37</f>
        <v>1</v>
      </c>
      <c r="AB37" s="59">
        <f>IF(AB36&gt;Z36,IF(AA71=AK7,1,IF(AA71=AK7-1,1,0)),0)</f>
        <v>0</v>
      </c>
      <c r="AC37" s="54">
        <f>IF(AC36&gt;AE36,IF(AD71=AK7,1,IF(AD71=AK7-1,1,0)),0)</f>
        <v>0</v>
      </c>
      <c r="AD37" s="54">
        <f>AC37+AE37</f>
        <v>1</v>
      </c>
      <c r="AE37" s="59">
        <f>IF(AE36&gt;AC36,IF(AD71=AK7,1,IF(AD71=AK7-1,1,0)),0)</f>
        <v>1</v>
      </c>
      <c r="AW37" s="57"/>
    </row>
    <row r="38" spans="1:49" s="54" customFormat="1" ht="25.5" hidden="1" customHeight="1" x14ac:dyDescent="0.2">
      <c r="A38" s="58"/>
      <c r="D38" s="59"/>
      <c r="G38" s="59"/>
      <c r="J38" s="59"/>
      <c r="M38" s="59"/>
      <c r="P38" s="59"/>
      <c r="S38" s="59"/>
      <c r="V38" s="59"/>
      <c r="Y38" s="59"/>
      <c r="AB38" s="59"/>
      <c r="AE38" s="59"/>
      <c r="AW38" s="57"/>
    </row>
    <row r="39" spans="1:49" s="54" customFormat="1" ht="12.75" hidden="1" customHeight="1" x14ac:dyDescent="0.2">
      <c r="A39" s="54" t="s">
        <v>86</v>
      </c>
      <c r="B39" s="54">
        <f>IF(B31=1,B25,0)</f>
        <v>27</v>
      </c>
      <c r="D39" s="59">
        <f t="shared" ref="D39:E43" si="2">IF(D31=1,D25,0)</f>
        <v>0</v>
      </c>
      <c r="E39" s="54">
        <f t="shared" si="2"/>
        <v>25</v>
      </c>
      <c r="G39" s="59">
        <f t="shared" ref="G39:H43" si="3">IF(G31=1,G25,0)</f>
        <v>0</v>
      </c>
      <c r="H39" s="54">
        <f t="shared" si="3"/>
        <v>0</v>
      </c>
      <c r="J39" s="59">
        <f t="shared" ref="J39:K43" si="4">IF(J31=1,J25,0)</f>
        <v>25</v>
      </c>
      <c r="K39" s="54">
        <f t="shared" si="4"/>
        <v>25</v>
      </c>
      <c r="M39" s="59">
        <f t="shared" ref="M39:N43" si="5">IF(M31=1,M25,0)</f>
        <v>0</v>
      </c>
      <c r="N39" s="54">
        <f t="shared" si="5"/>
        <v>25</v>
      </c>
      <c r="P39" s="59">
        <f t="shared" ref="P39:Q43" si="6">IF(P31=1,P25,0)</f>
        <v>0</v>
      </c>
      <c r="Q39" s="54">
        <f t="shared" si="6"/>
        <v>25</v>
      </c>
      <c r="S39" s="59">
        <f t="shared" ref="S39:T43" si="7">IF(S31=1,S25,0)</f>
        <v>0</v>
      </c>
      <c r="T39" s="54">
        <f t="shared" si="7"/>
        <v>0</v>
      </c>
      <c r="V39" s="59">
        <f t="shared" ref="V39:W43" si="8">IF(V31=1,V25,0)</f>
        <v>25</v>
      </c>
      <c r="W39" s="54">
        <f t="shared" si="8"/>
        <v>25</v>
      </c>
      <c r="Y39" s="59">
        <f t="shared" ref="Y39:Z43" si="9">IF(Y31=1,Y25,0)</f>
        <v>0</v>
      </c>
      <c r="Z39" s="54">
        <f t="shared" si="9"/>
        <v>25</v>
      </c>
      <c r="AB39" s="59">
        <f t="shared" ref="AB39:AC43" si="10">IF(AB31=1,AB25,0)</f>
        <v>0</v>
      </c>
      <c r="AC39" s="54">
        <f t="shared" si="10"/>
        <v>0</v>
      </c>
      <c r="AE39" s="59">
        <f>IF(AE31=1,AE25,0)</f>
        <v>25</v>
      </c>
      <c r="AW39" s="57"/>
    </row>
    <row r="40" spans="1:49" s="54" customFormat="1" ht="12.75" hidden="1" customHeight="1" x14ac:dyDescent="0.2">
      <c r="A40" s="54" t="s">
        <v>87</v>
      </c>
      <c r="B40" s="54">
        <f>IF(B32=1,B26,0)</f>
        <v>25</v>
      </c>
      <c r="D40" s="59">
        <f t="shared" si="2"/>
        <v>0</v>
      </c>
      <c r="E40" s="54">
        <f t="shared" si="2"/>
        <v>25</v>
      </c>
      <c r="G40" s="59">
        <f t="shared" si="3"/>
        <v>0</v>
      </c>
      <c r="H40" s="54">
        <f t="shared" si="3"/>
        <v>26</v>
      </c>
      <c r="J40" s="59">
        <f t="shared" si="4"/>
        <v>0</v>
      </c>
      <c r="K40" s="54">
        <f t="shared" si="4"/>
        <v>0</v>
      </c>
      <c r="M40" s="59">
        <f t="shared" si="5"/>
        <v>25</v>
      </c>
      <c r="N40" s="54">
        <f t="shared" si="5"/>
        <v>0</v>
      </c>
      <c r="P40" s="59">
        <f t="shared" si="6"/>
        <v>25</v>
      </c>
      <c r="Q40" s="54">
        <f t="shared" si="6"/>
        <v>25</v>
      </c>
      <c r="S40" s="59">
        <f t="shared" si="7"/>
        <v>0</v>
      </c>
      <c r="T40" s="54">
        <f t="shared" si="7"/>
        <v>0</v>
      </c>
      <c r="V40" s="59">
        <f t="shared" si="8"/>
        <v>25</v>
      </c>
      <c r="W40" s="54">
        <f t="shared" si="8"/>
        <v>0</v>
      </c>
      <c r="Y40" s="59">
        <f t="shared" si="9"/>
        <v>25</v>
      </c>
      <c r="Z40" s="54">
        <f t="shared" si="9"/>
        <v>25</v>
      </c>
      <c r="AB40" s="59">
        <f t="shared" si="10"/>
        <v>0</v>
      </c>
      <c r="AC40" s="54">
        <f t="shared" si="10"/>
        <v>0</v>
      </c>
      <c r="AE40" s="59">
        <f>IF(AE32=1,AE26,0)</f>
        <v>25</v>
      </c>
      <c r="AW40" s="57"/>
    </row>
    <row r="41" spans="1:49" s="54" customFormat="1" ht="12.75" hidden="1" customHeight="1" x14ac:dyDescent="0.2">
      <c r="A41" s="54" t="s">
        <v>88</v>
      </c>
      <c r="B41" s="54">
        <f>IF(B33=1,B27,0)</f>
        <v>0</v>
      </c>
      <c r="D41" s="59">
        <f t="shared" si="2"/>
        <v>0</v>
      </c>
      <c r="E41" s="54">
        <f t="shared" si="2"/>
        <v>0</v>
      </c>
      <c r="G41" s="59">
        <f t="shared" si="3"/>
        <v>0</v>
      </c>
      <c r="H41" s="54">
        <f t="shared" si="3"/>
        <v>0</v>
      </c>
      <c r="J41" s="59">
        <f t="shared" si="4"/>
        <v>0</v>
      </c>
      <c r="K41" s="54">
        <f t="shared" si="4"/>
        <v>0</v>
      </c>
      <c r="M41" s="59">
        <f t="shared" si="5"/>
        <v>0</v>
      </c>
      <c r="N41" s="54">
        <f t="shared" si="5"/>
        <v>0</v>
      </c>
      <c r="P41" s="59">
        <f t="shared" si="6"/>
        <v>0</v>
      </c>
      <c r="Q41" s="54">
        <f t="shared" si="6"/>
        <v>0</v>
      </c>
      <c r="S41" s="59">
        <f t="shared" si="7"/>
        <v>0</v>
      </c>
      <c r="T41" s="54">
        <f t="shared" si="7"/>
        <v>0</v>
      </c>
      <c r="V41" s="59">
        <f t="shared" si="8"/>
        <v>0</v>
      </c>
      <c r="W41" s="54">
        <f t="shared" si="8"/>
        <v>0</v>
      </c>
      <c r="Y41" s="59">
        <f t="shared" si="9"/>
        <v>0</v>
      </c>
      <c r="Z41" s="54">
        <f t="shared" si="9"/>
        <v>0</v>
      </c>
      <c r="AB41" s="59">
        <f t="shared" si="10"/>
        <v>0</v>
      </c>
      <c r="AC41" s="54">
        <f t="shared" si="10"/>
        <v>0</v>
      </c>
      <c r="AE41" s="59">
        <f>IF(AE33=1,AE27,0)</f>
        <v>0</v>
      </c>
      <c r="AW41" s="57"/>
    </row>
    <row r="42" spans="1:49" s="54" customFormat="1" ht="12.75" hidden="1" customHeight="1" x14ac:dyDescent="0.2">
      <c r="A42" s="54" t="s">
        <v>89</v>
      </c>
      <c r="B42" s="54">
        <f>IF(B34=1,B28,0)</f>
        <v>0</v>
      </c>
      <c r="D42" s="59">
        <f t="shared" si="2"/>
        <v>0</v>
      </c>
      <c r="E42" s="54">
        <f t="shared" si="2"/>
        <v>0</v>
      </c>
      <c r="G42" s="59">
        <f t="shared" si="3"/>
        <v>0</v>
      </c>
      <c r="H42" s="54">
        <f t="shared" si="3"/>
        <v>0</v>
      </c>
      <c r="J42" s="59">
        <f t="shared" si="4"/>
        <v>0</v>
      </c>
      <c r="K42" s="54">
        <f t="shared" si="4"/>
        <v>0</v>
      </c>
      <c r="M42" s="59">
        <f t="shared" si="5"/>
        <v>0</v>
      </c>
      <c r="N42" s="54">
        <f t="shared" si="5"/>
        <v>0</v>
      </c>
      <c r="P42" s="59">
        <f t="shared" si="6"/>
        <v>0</v>
      </c>
      <c r="Q42" s="54">
        <f t="shared" si="6"/>
        <v>0</v>
      </c>
      <c r="S42" s="59">
        <f t="shared" si="7"/>
        <v>0</v>
      </c>
      <c r="T42" s="54">
        <f t="shared" si="7"/>
        <v>0</v>
      </c>
      <c r="V42" s="59">
        <f t="shared" si="8"/>
        <v>0</v>
      </c>
      <c r="W42" s="54">
        <f t="shared" si="8"/>
        <v>0</v>
      </c>
      <c r="Y42" s="59">
        <f t="shared" si="9"/>
        <v>0</v>
      </c>
      <c r="Z42" s="54">
        <f t="shared" si="9"/>
        <v>0</v>
      </c>
      <c r="AB42" s="59">
        <f t="shared" si="10"/>
        <v>0</v>
      </c>
      <c r="AC42" s="54">
        <f t="shared" si="10"/>
        <v>0</v>
      </c>
      <c r="AE42" s="59">
        <f>IF(AE34=1,AE28,0)</f>
        <v>0</v>
      </c>
      <c r="AW42" s="57"/>
    </row>
    <row r="43" spans="1:49" s="54" customFormat="1" ht="12.75" hidden="1" customHeight="1" x14ac:dyDescent="0.2">
      <c r="A43" s="54" t="s">
        <v>90</v>
      </c>
      <c r="B43" s="54">
        <f>IF(B35=1,B29,0)</f>
        <v>0</v>
      </c>
      <c r="D43" s="59">
        <f t="shared" si="2"/>
        <v>0</v>
      </c>
      <c r="E43" s="54">
        <f t="shared" si="2"/>
        <v>0</v>
      </c>
      <c r="G43" s="59">
        <f t="shared" si="3"/>
        <v>0</v>
      </c>
      <c r="H43" s="54">
        <f t="shared" si="3"/>
        <v>0</v>
      </c>
      <c r="J43" s="59">
        <f t="shared" si="4"/>
        <v>0</v>
      </c>
      <c r="K43" s="54">
        <f t="shared" si="4"/>
        <v>0</v>
      </c>
      <c r="M43" s="59">
        <f t="shared" si="5"/>
        <v>0</v>
      </c>
      <c r="N43" s="54">
        <f t="shared" si="5"/>
        <v>0</v>
      </c>
      <c r="P43" s="59">
        <f t="shared" si="6"/>
        <v>0</v>
      </c>
      <c r="Q43" s="54">
        <f t="shared" si="6"/>
        <v>0</v>
      </c>
      <c r="S43" s="59">
        <f t="shared" si="7"/>
        <v>0</v>
      </c>
      <c r="T43" s="54">
        <f t="shared" si="7"/>
        <v>0</v>
      </c>
      <c r="V43" s="59">
        <f t="shared" si="8"/>
        <v>0</v>
      </c>
      <c r="W43" s="54">
        <f t="shared" si="8"/>
        <v>0</v>
      </c>
      <c r="Y43" s="59">
        <f t="shared" si="9"/>
        <v>0</v>
      </c>
      <c r="Z43" s="54">
        <f t="shared" si="9"/>
        <v>0</v>
      </c>
      <c r="AB43" s="59">
        <f t="shared" si="10"/>
        <v>0</v>
      </c>
      <c r="AC43" s="54">
        <f t="shared" si="10"/>
        <v>0</v>
      </c>
      <c r="AE43" s="59">
        <f>IF(AE35=1,AE29,0)</f>
        <v>0</v>
      </c>
      <c r="AW43" s="57"/>
    </row>
    <row r="44" spans="1:49" s="54" customFormat="1" ht="38.25" hidden="1" customHeight="1" x14ac:dyDescent="0.2">
      <c r="A44" s="58" t="s">
        <v>91</v>
      </c>
      <c r="B44" s="54">
        <f>SUM(B39:D43)</f>
        <v>52</v>
      </c>
      <c r="D44" s="59"/>
      <c r="E44" s="54">
        <f>SUM(E39:G43)</f>
        <v>50</v>
      </c>
      <c r="G44" s="59"/>
      <c r="H44" s="54">
        <f>SUM(H39:J43)</f>
        <v>51</v>
      </c>
      <c r="J44" s="59"/>
      <c r="K44" s="54">
        <f>SUM(K39:M43)</f>
        <v>50</v>
      </c>
      <c r="M44" s="59"/>
      <c r="N44" s="54">
        <f>SUM(N39:P43)</f>
        <v>50</v>
      </c>
      <c r="P44" s="59"/>
      <c r="Q44" s="54">
        <f>SUM(Q39:S43)</f>
        <v>50</v>
      </c>
      <c r="S44" s="59"/>
      <c r="T44" s="54">
        <f>SUM(T39:V43)</f>
        <v>50</v>
      </c>
      <c r="V44" s="59"/>
      <c r="W44" s="54">
        <f>SUM(W39:Y43)</f>
        <v>50</v>
      </c>
      <c r="Y44" s="59"/>
      <c r="Z44" s="54">
        <f>SUM(Z39:AB43)</f>
        <v>50</v>
      </c>
      <c r="AB44" s="59"/>
      <c r="AC44" s="54">
        <f>SUM(AC39:AE43)</f>
        <v>50</v>
      </c>
      <c r="AE44" s="59"/>
      <c r="AW44" s="57"/>
    </row>
    <row r="45" spans="1:49" s="54" customFormat="1" ht="38.25" hidden="1" customHeight="1" x14ac:dyDescent="0.2">
      <c r="A45" s="54" t="s">
        <v>92</v>
      </c>
      <c r="D45" s="59"/>
      <c r="G45" s="59"/>
      <c r="J45" s="59"/>
      <c r="M45" s="59"/>
      <c r="P45" s="59"/>
      <c r="S45" s="59"/>
      <c r="V45" s="59"/>
      <c r="Y45" s="59"/>
      <c r="AB45" s="59"/>
      <c r="AE45" s="59"/>
      <c r="AF45" s="58" t="s">
        <v>93</v>
      </c>
      <c r="AG45" s="54" t="s">
        <v>94</v>
      </c>
      <c r="AW45" s="57"/>
    </row>
    <row r="46" spans="1:49" s="54" customFormat="1" ht="12.75" hidden="1" customHeight="1" x14ac:dyDescent="0.2">
      <c r="A46" s="54" t="s">
        <v>95</v>
      </c>
      <c r="B46" s="54">
        <f>IF(B24=1,IF(B37=1,1,0),0)</f>
        <v>0</v>
      </c>
      <c r="D46" s="59">
        <f>IF(D24=1,IF(D37=1,1,0),0)</f>
        <v>0</v>
      </c>
      <c r="E46" s="54">
        <f>IF(E24=1,IF(E37=1,1,0),0)</f>
        <v>1</v>
      </c>
      <c r="G46" s="59">
        <f>IF(G24=1,IF(G37=1,1,0),0)</f>
        <v>0</v>
      </c>
      <c r="H46" s="54">
        <f>IF(H24=1,IF(H37=1,1,0),0)</f>
        <v>0</v>
      </c>
      <c r="J46" s="59">
        <f>IF(J24=1,IF(J37=1,1,0),0)</f>
        <v>0</v>
      </c>
      <c r="K46" s="54">
        <f>IF(K24=1,IF(K37=1,1,0),0)</f>
        <v>0</v>
      </c>
      <c r="M46" s="59">
        <f>IF(M24=1,IF(M37=1,1,0),0)</f>
        <v>0</v>
      </c>
      <c r="N46" s="54">
        <f>IF(N24=1,IF(N37=1,1,0),0)</f>
        <v>0</v>
      </c>
      <c r="P46" s="59">
        <f>IF(P24=1,IF(P37=1,1,0),0)</f>
        <v>0</v>
      </c>
      <c r="Q46" s="54">
        <f>IF(Q24=1,IF(Q37=1,1,0),0)</f>
        <v>0</v>
      </c>
      <c r="S46" s="59">
        <f>IF(S24=1,IF(S37=1,1,0),0)</f>
        <v>0</v>
      </c>
      <c r="T46" s="54">
        <f>IF(T24=1,IF(T37=1,1,0),0)</f>
        <v>0</v>
      </c>
      <c r="V46" s="59">
        <f>IF(V24=1,IF(V37=1,1,0),0)</f>
        <v>0</v>
      </c>
      <c r="W46" s="54">
        <f>IF(W24=1,IF(W37=1,1,0),0)</f>
        <v>0</v>
      </c>
      <c r="Y46" s="59">
        <f>IF(Y24=1,IF(Y37=1,1,0),0)</f>
        <v>0</v>
      </c>
      <c r="Z46" s="54">
        <f>IF(Z24=1,IF(Z37=1,1,0),0)</f>
        <v>0</v>
      </c>
      <c r="AB46" s="59">
        <f>IF(AB24=1,IF(AB37=1,1,0),0)</f>
        <v>0</v>
      </c>
      <c r="AC46" s="54">
        <f>IF(AC24=1,IF(AC37=1,1,0),0)</f>
        <v>0</v>
      </c>
      <c r="AE46" s="59">
        <f>IF(AE24=1,IF(AE37=1,1,0),0)</f>
        <v>0</v>
      </c>
      <c r="AF46" s="54">
        <f>SUM(B46:AE46)</f>
        <v>1</v>
      </c>
      <c r="AG46" s="54">
        <f>AF52-AF46</f>
        <v>1</v>
      </c>
      <c r="AW46" s="57"/>
    </row>
    <row r="47" spans="1:49" s="54" customFormat="1" ht="12.75" hidden="1" customHeight="1" x14ac:dyDescent="0.2">
      <c r="A47" s="54" t="s">
        <v>96</v>
      </c>
      <c r="B47" s="54">
        <f>IF(B24=2,IF(B37=1,1,0),0)</f>
        <v>1</v>
      </c>
      <c r="D47" s="59">
        <f>IF(D24=2,IF(D37=1,1,0),0)</f>
        <v>0</v>
      </c>
      <c r="E47" s="54">
        <f>IF(E24=2,IF(E37=1,1,0),0)</f>
        <v>0</v>
      </c>
      <c r="G47" s="59">
        <f>IF(G24=2,IF(G37=1,1,0),0)</f>
        <v>0</v>
      </c>
      <c r="H47" s="54">
        <f>IF(H24=2,IF(H37=1,1,0),0)</f>
        <v>0</v>
      </c>
      <c r="J47" s="59">
        <f>IF(J24=2,IF(J37=1,1,0),0)</f>
        <v>0</v>
      </c>
      <c r="K47" s="54">
        <f>IF(K24=2,IF(K37=1,1,0),0)</f>
        <v>0</v>
      </c>
      <c r="M47" s="59">
        <f>IF(M24=2,IF(M37=1,1,0),0)</f>
        <v>0</v>
      </c>
      <c r="N47" s="54">
        <f>IF(N24=2,IF(N37=1,1,0),0)</f>
        <v>0</v>
      </c>
      <c r="P47" s="59">
        <f>IF(P24=2,IF(P37=1,1,0),0)</f>
        <v>0</v>
      </c>
      <c r="Q47" s="54">
        <f>IF(Q24=2,IF(Q37=1,1,0),0)</f>
        <v>0</v>
      </c>
      <c r="S47" s="59">
        <f>IF(S24=2,IF(S37=1,1,0),0)</f>
        <v>0</v>
      </c>
      <c r="T47" s="54">
        <f>IF(T24=2,IF(T37=1,1,0),0)</f>
        <v>0</v>
      </c>
      <c r="V47" s="59">
        <f>IF(V24=2,IF(V37=1,1,0),0)</f>
        <v>0</v>
      </c>
      <c r="W47" s="54">
        <f>IF(W24=2,IF(W37=1,1,0),0)</f>
        <v>0</v>
      </c>
      <c r="Y47" s="59">
        <f>IF(Y24=2,IF(Y37=1,1,0),0)</f>
        <v>0</v>
      </c>
      <c r="Z47" s="54">
        <f>IF(Z24=2,IF(Z37=1,1,0),0)</f>
        <v>0</v>
      </c>
      <c r="AB47" s="59">
        <f>IF(AB24=2,IF(AB37=1,1,0),0)</f>
        <v>0</v>
      </c>
      <c r="AC47" s="54">
        <f>IF(AC24=2,IF(AC37=1,1,0),0)</f>
        <v>0</v>
      </c>
      <c r="AE47" s="59">
        <f>IF(AE24=2,IF(AE37=1,1,0),0)</f>
        <v>1</v>
      </c>
      <c r="AF47" s="54">
        <f>SUM(B47:AE47)</f>
        <v>2</v>
      </c>
      <c r="AG47" s="54">
        <f>AF53-AF47</f>
        <v>1</v>
      </c>
      <c r="AW47" s="57"/>
    </row>
    <row r="48" spans="1:49" s="54" customFormat="1" ht="12.75" hidden="1" customHeight="1" x14ac:dyDescent="0.2">
      <c r="A48" s="54" t="s">
        <v>97</v>
      </c>
      <c r="B48" s="54">
        <f>IF(B24=3,IF(B37=1,1,0),0)</f>
        <v>0</v>
      </c>
      <c r="D48" s="59">
        <f>IF(D24=3,IF(D37=1,1,0),0)</f>
        <v>0</v>
      </c>
      <c r="E48" s="54">
        <f>IF(E24=3,IF(E37=1,1,0),0)</f>
        <v>0</v>
      </c>
      <c r="G48" s="59">
        <f>IF(G24=3,IF(G37=1,1,0),0)</f>
        <v>0</v>
      </c>
      <c r="H48" s="54">
        <f>IF(H24=3,IF(H37=1,1,0),0)</f>
        <v>0</v>
      </c>
      <c r="J48" s="59">
        <f>IF(J24=3,IF(J37=1,1,0),0)</f>
        <v>0</v>
      </c>
      <c r="K48" s="54">
        <f>IF(K24=3,IF(K37=1,1,0),0)</f>
        <v>0</v>
      </c>
      <c r="M48" s="59">
        <f>IF(M24=3,IF(M37=1,1,0),0)</f>
        <v>0</v>
      </c>
      <c r="N48" s="54">
        <f>IF(N24=3,IF(N37=1,1,0),0)</f>
        <v>0</v>
      </c>
      <c r="P48" s="59">
        <f>IF(P24=3,IF(P37=1,1,0),0)</f>
        <v>0</v>
      </c>
      <c r="Q48" s="54">
        <f>IF(Q24=3,IF(Q37=1,1,0),0)</f>
        <v>0</v>
      </c>
      <c r="S48" s="59">
        <f>IF(S24=3,IF(S37=1,1,0),0)</f>
        <v>0</v>
      </c>
      <c r="T48" s="54">
        <f>IF(T24=3,IF(T37=1,1,0),0)</f>
        <v>0</v>
      </c>
      <c r="V48" s="59">
        <f>IF(V24=3,IF(V37=1,1,0),0)</f>
        <v>1</v>
      </c>
      <c r="W48" s="54">
        <f>IF(W24=3,IF(W37=1,1,0),0)</f>
        <v>0</v>
      </c>
      <c r="Y48" s="59">
        <f>IF(Y24=3,IF(Y37=1,1,0),0)</f>
        <v>0</v>
      </c>
      <c r="Z48" s="54">
        <f>IF(Z24=3,IF(Z37=1,1,0),0)</f>
        <v>1</v>
      </c>
      <c r="AB48" s="59">
        <f>IF(AB24=3,IF(AB37=1,1,0),0)</f>
        <v>0</v>
      </c>
      <c r="AC48" s="54">
        <f>IF(AC24=3,IF(AC37=1,1,0),0)</f>
        <v>0</v>
      </c>
      <c r="AE48" s="59">
        <f>IF(AE24=3,IF(AE37=1,1,0),0)</f>
        <v>0</v>
      </c>
      <c r="AF48" s="54">
        <f>SUM(B48:AE48)</f>
        <v>2</v>
      </c>
      <c r="AG48" s="54">
        <f>AF54-AF48</f>
        <v>0</v>
      </c>
      <c r="AW48" s="57"/>
    </row>
    <row r="49" spans="1:49" s="54" customFormat="1" ht="12.75" hidden="1" customHeight="1" x14ac:dyDescent="0.2">
      <c r="A49" s="54" t="s">
        <v>98</v>
      </c>
      <c r="B49" s="54">
        <f>IF(B24=4,IF(B37=1,1,0),0)</f>
        <v>0</v>
      </c>
      <c r="D49" s="59">
        <f>IF(D24=4,IF(D37=1,1,0),0)</f>
        <v>0</v>
      </c>
      <c r="E49" s="54">
        <f>IF(E24=4,IF(E37=1,1,0),0)</f>
        <v>0</v>
      </c>
      <c r="G49" s="59">
        <f>IF(G24=4,IF(G37=1,1,0),0)</f>
        <v>0</v>
      </c>
      <c r="H49" s="54">
        <f>IF(H24=4,IF(H37=1,1,0),0)</f>
        <v>0</v>
      </c>
      <c r="J49" s="59">
        <f>IF(J24=4,IF(J37=1,1,0),0)</f>
        <v>0</v>
      </c>
      <c r="K49" s="54">
        <f>IF(K24=4,IF(K37=1,1,0),0)</f>
        <v>0</v>
      </c>
      <c r="M49" s="59">
        <f>IF(M24=4,IF(M37=1,1,0),0)</f>
        <v>0</v>
      </c>
      <c r="N49" s="54">
        <f>IF(N24=4,IF(N37=1,1,0),0)</f>
        <v>0</v>
      </c>
      <c r="P49" s="59">
        <f>IF(P24=4,IF(P37=1,1,0),0)</f>
        <v>0</v>
      </c>
      <c r="Q49" s="54">
        <f>IF(Q24=4,IF(Q37=1,1,0),0)</f>
        <v>1</v>
      </c>
      <c r="S49" s="59">
        <f>IF(S24=4,IF(S37=1,1,0),0)</f>
        <v>0</v>
      </c>
      <c r="T49" s="54">
        <f>IF(T24=4,IF(T37=1,1,0),0)</f>
        <v>0</v>
      </c>
      <c r="V49" s="59">
        <f>IF(V24=4,IF(V37=1,1,0),0)</f>
        <v>0</v>
      </c>
      <c r="W49" s="54">
        <f>IF(W24=4,IF(W37=1,1,0),0)</f>
        <v>0</v>
      </c>
      <c r="Y49" s="59">
        <f>IF(Y24=4,IF(Y37=1,1,0),0)</f>
        <v>0</v>
      </c>
      <c r="Z49" s="54">
        <f>IF(Z24=4,IF(Z37=1,1,0),0)</f>
        <v>0</v>
      </c>
      <c r="AB49" s="59">
        <f>IF(AB24=4,IF(AB37=1,1,0),0)</f>
        <v>0</v>
      </c>
      <c r="AC49" s="54">
        <f>IF(AC24=4,IF(AC37=1,1,0),0)</f>
        <v>0</v>
      </c>
      <c r="AE49" s="59">
        <f>IF(AE24=4,IF(AE37=1,1,0),0)</f>
        <v>0</v>
      </c>
      <c r="AF49" s="54">
        <f>SUM(B49:AE49)</f>
        <v>1</v>
      </c>
      <c r="AG49" s="54">
        <f>AF55-AF49</f>
        <v>2</v>
      </c>
      <c r="AW49" s="57"/>
    </row>
    <row r="50" spans="1:49" s="54" customFormat="1" ht="12.75" hidden="1" customHeight="1" x14ac:dyDescent="0.2">
      <c r="A50" s="54" t="s">
        <v>99</v>
      </c>
      <c r="B50" s="54">
        <f>IF(B24=5,IF(B37=1,1,0),0)</f>
        <v>0</v>
      </c>
      <c r="D50" s="59">
        <f>IF(D24=5,IF(D37=1,1,0),0)</f>
        <v>0</v>
      </c>
      <c r="E50" s="54">
        <f>IF(E24=5,IF(E37=1,1,0),0)</f>
        <v>0</v>
      </c>
      <c r="G50" s="59">
        <f>IF(G24=5,IF(G37=1,1,0),0)</f>
        <v>0</v>
      </c>
      <c r="H50" s="54">
        <f>IF(H24=5,IF(H37=1,1,0),0)</f>
        <v>0</v>
      </c>
      <c r="J50" s="59">
        <f>IF(J24=5,IF(J37=1,1,0),0)</f>
        <v>0</v>
      </c>
      <c r="K50" s="54">
        <f>IF(K24=5,IF(K37=1,1,0),0)</f>
        <v>0</v>
      </c>
      <c r="M50" s="59">
        <f>IF(M24=5,IF(M37=1,1,0),0)</f>
        <v>0</v>
      </c>
      <c r="N50" s="54">
        <f>IF(N24=5,IF(N37=1,1,0),0)</f>
        <v>0</v>
      </c>
      <c r="P50" s="59">
        <f>IF(P24=5,IF(P37=1,1,0),0)</f>
        <v>0</v>
      </c>
      <c r="Q50" s="54">
        <f>IF(Q24=5,IF(Q37=1,1,0),0)</f>
        <v>0</v>
      </c>
      <c r="S50" s="59">
        <f>IF(S24=5,IF(S37=1,1,0),0)</f>
        <v>0</v>
      </c>
      <c r="T50" s="54">
        <f>IF(T24=5,IF(T37=1,1,0),0)</f>
        <v>0</v>
      </c>
      <c r="V50" s="59">
        <f>IF(V24=5,IF(V37=1,1,0),0)</f>
        <v>0</v>
      </c>
      <c r="W50" s="54">
        <f>IF(W24=5,IF(W37=1,1,0),0)</f>
        <v>0</v>
      </c>
      <c r="Y50" s="59">
        <f>IF(Y24=5,IF(Y37=1,1,0),0)</f>
        <v>0</v>
      </c>
      <c r="Z50" s="54">
        <f>IF(Z24=5,IF(Z37=1,1,0),0)</f>
        <v>0</v>
      </c>
      <c r="AB50" s="59">
        <f>IF(AB24=5,IF(AB37=1,1,0),0)</f>
        <v>0</v>
      </c>
      <c r="AC50" s="54">
        <f>IF(AC24=5,IF(AC37=1,1,0),0)</f>
        <v>0</v>
      </c>
      <c r="AE50" s="59">
        <f>IF(AE24=5,IF(AE37=1,1,0),0)</f>
        <v>0</v>
      </c>
      <c r="AF50" s="54">
        <f>SUM(B50:AE50)</f>
        <v>0</v>
      </c>
      <c r="AG50" s="54">
        <f>AF56-AF50</f>
        <v>2</v>
      </c>
      <c r="AW50" s="57"/>
    </row>
    <row r="51" spans="1:49" s="54" customFormat="1" ht="38.25" hidden="1" customHeight="1" x14ac:dyDescent="0.2">
      <c r="A51" s="58"/>
      <c r="D51" s="59"/>
      <c r="G51" s="59"/>
      <c r="J51" s="59"/>
      <c r="M51" s="59"/>
      <c r="P51" s="59"/>
      <c r="S51" s="59"/>
      <c r="V51" s="59"/>
      <c r="Y51" s="59"/>
      <c r="AB51" s="59"/>
      <c r="AE51" s="59"/>
      <c r="AF51" s="58" t="s">
        <v>100</v>
      </c>
      <c r="AW51" s="57"/>
    </row>
    <row r="52" spans="1:49" s="54" customFormat="1" ht="12.75" hidden="1" customHeight="1" x14ac:dyDescent="0.2">
      <c r="A52" s="54" t="s">
        <v>101</v>
      </c>
      <c r="B52" s="54">
        <f>IF(B24=1,IF(C37=1,1,0),0)</f>
        <v>0</v>
      </c>
      <c r="D52" s="59">
        <f>IF(D24=1,IF(C37=1,1,0),0)</f>
        <v>0</v>
      </c>
      <c r="E52" s="54">
        <f>IF(E24=1,IF(F37=1,1,0),0)</f>
        <v>1</v>
      </c>
      <c r="G52" s="59">
        <f>IF(G24=1,IF(F37=1,1,0),0)</f>
        <v>0</v>
      </c>
      <c r="H52" s="54">
        <f>IF(H24=1,IF(I37=1,1,0),0)</f>
        <v>0</v>
      </c>
      <c r="J52" s="59">
        <f>IF(J24=1,IF(I37=1,1,0),0)</f>
        <v>0</v>
      </c>
      <c r="K52" s="54">
        <f>IF(K24=1,IF(L37=1,1,0),0)</f>
        <v>0</v>
      </c>
      <c r="M52" s="59">
        <f>IF(M24=1,IF(L37=1,1,0),0)</f>
        <v>0</v>
      </c>
      <c r="N52" s="54">
        <f>IF(N24=1,IF(O37=1,1,0),0)</f>
        <v>0</v>
      </c>
      <c r="P52" s="59">
        <f>IF(P24=1,IF(O37=1,1,0),0)</f>
        <v>0</v>
      </c>
      <c r="Q52" s="54">
        <f>IF(Q24=1,IF(R37=1,1,0),0)</f>
        <v>0</v>
      </c>
      <c r="S52" s="59">
        <f>IF(S24=1,IF(R37=1,1,0),0)</f>
        <v>0</v>
      </c>
      <c r="T52" s="54">
        <f>IF(T24=1,IF(U37=1,1,0),0)</f>
        <v>0</v>
      </c>
      <c r="V52" s="59">
        <f>IF(V24=1,IF(U37=1,1,0),0)</f>
        <v>0</v>
      </c>
      <c r="W52" s="54">
        <f>IF(W24=1,IF(X37=1,1,0),0)</f>
        <v>0</v>
      </c>
      <c r="Y52" s="59">
        <f>IF(Y24=1,IF(X37=1,1,0),0)</f>
        <v>0</v>
      </c>
      <c r="Z52" s="54">
        <f>IF(Z24=1,IF(AA37=1,1,0),0)</f>
        <v>0</v>
      </c>
      <c r="AB52" s="59">
        <f>IF(AB24=1,IF(AA37=1,1,0),0)</f>
        <v>0</v>
      </c>
      <c r="AC52" s="54">
        <f>IF(AC24=1,IF(AD37=1,1,0),0)</f>
        <v>1</v>
      </c>
      <c r="AE52" s="59">
        <f>IF(AE24=1,IF(AD37=1,1,0),0)</f>
        <v>0</v>
      </c>
      <c r="AF52" s="54">
        <f>SUM(B52:AE52)</f>
        <v>2</v>
      </c>
      <c r="AW52" s="57"/>
    </row>
    <row r="53" spans="1:49" s="54" customFormat="1" ht="12.75" hidden="1" customHeight="1" x14ac:dyDescent="0.2">
      <c r="A53" s="54" t="s">
        <v>102</v>
      </c>
      <c r="B53" s="54">
        <f>IF(B24=2,IF(C37=1,1,0),0)</f>
        <v>1</v>
      </c>
      <c r="D53" s="59">
        <f>IF(D24=2,IF(C37=1,1,0),0)</f>
        <v>0</v>
      </c>
      <c r="E53" s="54">
        <f>IF(E24=2,IF(F37=1,1,0),0)</f>
        <v>0</v>
      </c>
      <c r="G53" s="59">
        <f>IF(G24=2,IF(F37=1,1,0),0)</f>
        <v>0</v>
      </c>
      <c r="H53" s="54">
        <f>IF(H24=2,IF(I37=1,1,0),0)</f>
        <v>0</v>
      </c>
      <c r="J53" s="59">
        <f>IF(J24=2,IF(I37=1,1,0),0)</f>
        <v>0</v>
      </c>
      <c r="K53" s="54">
        <f>IF(K24=2,IF(L37=1,1,0),0)</f>
        <v>0</v>
      </c>
      <c r="M53" s="59">
        <f>IF(M24=2,IF(L37=1,1,0),0)</f>
        <v>0</v>
      </c>
      <c r="N53" s="54">
        <f>IF(N24=2,IF(O37=1,1,0),0)</f>
        <v>0</v>
      </c>
      <c r="P53" s="59">
        <f>IF(P24=2,IF(O37=1,1,0),0)</f>
        <v>0</v>
      </c>
      <c r="Q53" s="54">
        <f>IF(Q24=2,IF(R37=1,1,0),0)</f>
        <v>0</v>
      </c>
      <c r="S53" s="59">
        <f>IF(S24=2,IF(R37=1,1,0),0)</f>
        <v>0</v>
      </c>
      <c r="T53" s="54">
        <f>IF(T24=2,IF(U37=1,1,0),0)</f>
        <v>1</v>
      </c>
      <c r="V53" s="59">
        <f>IF(V24=2,IF(U37=1,1,0),0)</f>
        <v>0</v>
      </c>
      <c r="W53" s="54">
        <f>IF(W24=2,IF(X37=1,1,0),0)</f>
        <v>0</v>
      </c>
      <c r="Y53" s="59">
        <f>IF(Y24=2,IF(X37=1,1,0),0)</f>
        <v>0</v>
      </c>
      <c r="Z53" s="54">
        <f>IF(Z24=2,IF(AA37=1,1,0),0)</f>
        <v>0</v>
      </c>
      <c r="AB53" s="59">
        <f>IF(AB24=2,IF(AA37=1,1,0),0)</f>
        <v>0</v>
      </c>
      <c r="AC53" s="54">
        <f>IF(AC24=2,IF(AD37=1,1,0),0)</f>
        <v>0</v>
      </c>
      <c r="AE53" s="59">
        <f>IF(AE24=2,IF(AD37=1,1,0),0)</f>
        <v>1</v>
      </c>
      <c r="AF53" s="54">
        <f>SUM(B53:AE53)</f>
        <v>3</v>
      </c>
      <c r="AW53" s="57"/>
    </row>
    <row r="54" spans="1:49" s="54" customFormat="1" ht="12.75" hidden="1" customHeight="1" x14ac:dyDescent="0.2">
      <c r="A54" s="54" t="s">
        <v>103</v>
      </c>
      <c r="B54" s="54">
        <f>IF(B24=3,IF(C37=1,1,0),0)</f>
        <v>0</v>
      </c>
      <c r="D54" s="59">
        <f>IF(D24=3,IF(C37=1,1,0),0)</f>
        <v>0</v>
      </c>
      <c r="E54" s="54">
        <f>IF(E24=3,IF(F37=1,1,0),0)</f>
        <v>0</v>
      </c>
      <c r="G54" s="59">
        <f>IF(G24=3,IF(F37=1,1,0),0)</f>
        <v>0</v>
      </c>
      <c r="H54" s="54">
        <f>IF(H24=3,IF(I37=1,1,0),0)</f>
        <v>0</v>
      </c>
      <c r="J54" s="59">
        <f>IF(J24=3,IF(I37=1,1,0),0)</f>
        <v>0</v>
      </c>
      <c r="K54" s="54">
        <f>IF(K24=3,IF(L37=1,1,0),0)</f>
        <v>0</v>
      </c>
      <c r="M54" s="59">
        <f>IF(M24=3,IF(L37=1,1,0),0)</f>
        <v>0</v>
      </c>
      <c r="N54" s="54">
        <f>IF(N24=3,IF(O37=1,1,0),0)</f>
        <v>0</v>
      </c>
      <c r="P54" s="59">
        <f>IF(P24=3,IF(O37=1,1,0),0)</f>
        <v>0</v>
      </c>
      <c r="Q54" s="54">
        <f>IF(Q24=3,IF(R37=1,1,0),0)</f>
        <v>0</v>
      </c>
      <c r="S54" s="59">
        <f>IF(S24=3,IF(R37=1,1,0),0)</f>
        <v>0</v>
      </c>
      <c r="T54" s="54">
        <f>IF(T24=3,IF(U37=1,1,0),0)</f>
        <v>0</v>
      </c>
      <c r="V54" s="59">
        <f>IF(V24=3,IF(U37=1,1,0),0)</f>
        <v>1</v>
      </c>
      <c r="W54" s="54">
        <f>IF(W24=3,IF(X37=1,1,0),0)</f>
        <v>0</v>
      </c>
      <c r="Y54" s="59">
        <f>IF(Y24=3,IF(X37=1,1,0),0)</f>
        <v>0</v>
      </c>
      <c r="Z54" s="54">
        <f>IF(Z24=3,IF(AA37=1,1,0),0)</f>
        <v>1</v>
      </c>
      <c r="AB54" s="59">
        <f>IF(AB24=3,IF(AA37=1,1,0),0)</f>
        <v>0</v>
      </c>
      <c r="AC54" s="54">
        <f>IF(AC24=3,IF(AD37=1,1,0),0)</f>
        <v>0</v>
      </c>
      <c r="AE54" s="59">
        <f>IF(AE24=3,IF(AD37=1,1,0),0)</f>
        <v>0</v>
      </c>
      <c r="AF54" s="54">
        <f>SUM(B54:AE54)</f>
        <v>2</v>
      </c>
      <c r="AW54" s="57"/>
    </row>
    <row r="55" spans="1:49" s="54" customFormat="1" ht="12.75" hidden="1" customHeight="1" x14ac:dyDescent="0.2">
      <c r="A55" s="54" t="s">
        <v>104</v>
      </c>
      <c r="B55" s="54">
        <f>IF(B24=4,IF(C37=1,1,0),0)</f>
        <v>0</v>
      </c>
      <c r="D55" s="59">
        <f>IF(D24=4,IF(C37=1,1,0),0)</f>
        <v>0</v>
      </c>
      <c r="E55" s="54">
        <f>IF(E24=4,IF(F37=1,1,0),0)</f>
        <v>0</v>
      </c>
      <c r="G55" s="59">
        <f>IF(G24=4,IF(F37=1,1,0),0)</f>
        <v>1</v>
      </c>
      <c r="H55" s="54">
        <f>IF(H24=4,IF(I37=1,1,0),0)</f>
        <v>0</v>
      </c>
      <c r="J55" s="59">
        <f>IF(J24=4,IF(I37=1,1,0),0)</f>
        <v>0</v>
      </c>
      <c r="K55" s="54">
        <f>IF(K24=4,IF(L37=1,1,0),0)</f>
        <v>0</v>
      </c>
      <c r="M55" s="59">
        <f>IF(M24=4,IF(L37=1,1,0),0)</f>
        <v>0</v>
      </c>
      <c r="N55" s="54">
        <f>IF(N24=4,IF(O37=1,1,0),0)</f>
        <v>0</v>
      </c>
      <c r="P55" s="59">
        <f>IF(P24=4,IF(O37=1,1,0),0)</f>
        <v>0</v>
      </c>
      <c r="Q55" s="54">
        <f>IF(Q24=4,IF(R37=1,1,0),0)</f>
        <v>1</v>
      </c>
      <c r="S55" s="59">
        <f>IF(S24=4,IF(R37=1,1,0),0)</f>
        <v>0</v>
      </c>
      <c r="T55" s="54">
        <f>IF(T24=4,IF(U37=1,1,0),0)</f>
        <v>0</v>
      </c>
      <c r="V55" s="59">
        <f>IF(V24=4,IF(U37=1,1,0),0)</f>
        <v>0</v>
      </c>
      <c r="W55" s="54">
        <f>IF(W24=4,IF(X37=1,1,0),0)</f>
        <v>0</v>
      </c>
      <c r="Y55" s="59">
        <f>IF(Y24=4,IF(X37=1,1,0),0)</f>
        <v>0</v>
      </c>
      <c r="Z55" s="54">
        <f>IF(Z24=4,IF(AA37=1,1,0),0)</f>
        <v>0</v>
      </c>
      <c r="AB55" s="59">
        <f>IF(AB24=4,IF(AA37=1,1,0),0)</f>
        <v>1</v>
      </c>
      <c r="AC55" s="54">
        <f>IF(AC24=4,IF(AD37=1,1,0),0)</f>
        <v>0</v>
      </c>
      <c r="AE55" s="59">
        <f>IF(AE24=4,IF(AD37=1,1,0),0)</f>
        <v>0</v>
      </c>
      <c r="AF55" s="54">
        <f>SUM(B55:AE55)</f>
        <v>3</v>
      </c>
      <c r="AW55" s="57"/>
    </row>
    <row r="56" spans="1:49" s="54" customFormat="1" ht="12.75" hidden="1" customHeight="1" x14ac:dyDescent="0.2">
      <c r="A56" s="54" t="s">
        <v>105</v>
      </c>
      <c r="B56" s="54">
        <f>IF(B24=5,IF(C37=1,1,0),0)</f>
        <v>0</v>
      </c>
      <c r="D56" s="59">
        <f>IF(D24=5,IF(C37=1,1,0),0)</f>
        <v>1</v>
      </c>
      <c r="E56" s="54">
        <f>IF(E24=5,IF(F37=1,1,0),0)</f>
        <v>0</v>
      </c>
      <c r="G56" s="59">
        <f>IF(G24=5,IF(F37=1,1,0),0)</f>
        <v>0</v>
      </c>
      <c r="H56" s="54">
        <f>IF(H24=5,IF(I37=1,1,0),0)</f>
        <v>0</v>
      </c>
      <c r="J56" s="59">
        <f>IF(J24=5,IF(I37=1,1,0),0)</f>
        <v>0</v>
      </c>
      <c r="K56" s="54">
        <f>IF(K24=5,IF(L37=1,1,0),0)</f>
        <v>0</v>
      </c>
      <c r="M56" s="59">
        <f>IF(M24=5,IF(L37=1,1,0),0)</f>
        <v>0</v>
      </c>
      <c r="N56" s="54">
        <f>IF(N24=5,IF(O37=1,1,0),0)</f>
        <v>0</v>
      </c>
      <c r="P56" s="59">
        <f>IF(P24=5,IF(O37=1,1,0),0)</f>
        <v>0</v>
      </c>
      <c r="Q56" s="54">
        <f>IF(Q24=5,IF(R37=1,1,0),0)</f>
        <v>0</v>
      </c>
      <c r="S56" s="59">
        <f>IF(S24=5,IF(R37=1,1,0),0)</f>
        <v>1</v>
      </c>
      <c r="T56" s="54">
        <f>IF(T24=5,IF(U37=1,1,0),0)</f>
        <v>0</v>
      </c>
      <c r="V56" s="59">
        <f>IF(V24=5,IF(U37=1,1,0),0)</f>
        <v>0</v>
      </c>
      <c r="W56" s="54">
        <f>IF(W24=5,IF(X37=1,1,0),0)</f>
        <v>0</v>
      </c>
      <c r="Y56" s="59">
        <f>IF(Y24=5,IF(X37=1,1,0),0)</f>
        <v>0</v>
      </c>
      <c r="Z56" s="54">
        <f>IF(Z24=5,IF(AA37=1,1,0),0)</f>
        <v>0</v>
      </c>
      <c r="AB56" s="59">
        <f>IF(AB24=5,IF(AA37=1,1,0),0)</f>
        <v>0</v>
      </c>
      <c r="AC56" s="54">
        <f>IF(AC24=5,IF(AD37=1,1,0),0)</f>
        <v>0</v>
      </c>
      <c r="AE56" s="59">
        <f>IF(AE24=5,IF(AD37=1,1,0),0)</f>
        <v>0</v>
      </c>
      <c r="AF56" s="54">
        <f>SUM(B56:AE56)</f>
        <v>2</v>
      </c>
      <c r="AW56" s="57"/>
    </row>
    <row r="57" spans="1:49" s="54" customFormat="1" ht="38.25" hidden="1" customHeight="1" x14ac:dyDescent="0.2">
      <c r="A57" s="58"/>
      <c r="D57" s="59"/>
      <c r="G57" s="59"/>
      <c r="J57" s="59"/>
      <c r="M57" s="59"/>
      <c r="P57" s="59"/>
      <c r="S57" s="59"/>
      <c r="V57" s="59"/>
      <c r="Y57" s="59"/>
      <c r="AB57" s="59"/>
      <c r="AE57" s="59"/>
      <c r="AF57" s="58" t="s">
        <v>106</v>
      </c>
      <c r="AG57" s="702"/>
      <c r="AH57" s="702"/>
      <c r="AI57" s="702"/>
      <c r="AJ57" s="702"/>
      <c r="AK57" s="702"/>
      <c r="AW57" s="57"/>
    </row>
    <row r="58" spans="1:49" s="54" customFormat="1" ht="12.75" hidden="1" customHeight="1" x14ac:dyDescent="0.2">
      <c r="A58" s="54" t="s">
        <v>101</v>
      </c>
      <c r="B58" s="54">
        <f>IF(B24=1,B44,0)</f>
        <v>0</v>
      </c>
      <c r="D58" s="59">
        <f>IF(D24=1,B44,0)</f>
        <v>0</v>
      </c>
      <c r="E58" s="54">
        <f>IF(E24=1,E44,0)</f>
        <v>50</v>
      </c>
      <c r="G58" s="59">
        <f>IF(G24=1,E44,0)</f>
        <v>0</v>
      </c>
      <c r="H58" s="54">
        <f>IF(H24=1,H44,0)</f>
        <v>0</v>
      </c>
      <c r="J58" s="59">
        <f>IF(J24=1,H44,0)</f>
        <v>0</v>
      </c>
      <c r="K58" s="54">
        <f>IF(K24=1,K44,0)</f>
        <v>0</v>
      </c>
      <c r="M58" s="59">
        <f>IF(M24=1,K44,0)</f>
        <v>0</v>
      </c>
      <c r="N58" s="54">
        <f>IF(N24=1,N44,0)</f>
        <v>50</v>
      </c>
      <c r="P58" s="59">
        <f>IF(P24=1,N44,0)</f>
        <v>0</v>
      </c>
      <c r="Q58" s="54">
        <f>IF(Q24=1,Q44,0)</f>
        <v>0</v>
      </c>
      <c r="S58" s="59">
        <f>IF(S24=1,Q44,0)</f>
        <v>0</v>
      </c>
      <c r="T58" s="54">
        <f>IF(T24=1,T44,0)</f>
        <v>0</v>
      </c>
      <c r="V58" s="59">
        <f>IF(V24=1,T44,0)</f>
        <v>0</v>
      </c>
      <c r="W58" s="54">
        <f>IF(W24=1,W44,0)</f>
        <v>50</v>
      </c>
      <c r="Y58" s="59">
        <f>IF(Y24=1,W44,0)</f>
        <v>0</v>
      </c>
      <c r="Z58" s="54">
        <f>IF(Z24=1,Z44,0)</f>
        <v>0</v>
      </c>
      <c r="AB58" s="59">
        <f>IF(AB24=1,Z44,0)</f>
        <v>0</v>
      </c>
      <c r="AC58" s="54">
        <f>IF(AC24=1,AC44,0)</f>
        <v>50</v>
      </c>
      <c r="AE58" s="59">
        <f>IF(AE24=1,AC44,0)</f>
        <v>0</v>
      </c>
      <c r="AF58" s="54">
        <f>SUM(B58:AE58)</f>
        <v>200</v>
      </c>
      <c r="AW58" s="57"/>
    </row>
    <row r="59" spans="1:49" s="54" customFormat="1" ht="12.75" hidden="1" customHeight="1" x14ac:dyDescent="0.2">
      <c r="A59" s="54" t="s">
        <v>102</v>
      </c>
      <c r="B59" s="54">
        <f>IF(B24=2,B44,0)</f>
        <v>52</v>
      </c>
      <c r="D59" s="59">
        <f>IF(D24=2,B44,0)</f>
        <v>0</v>
      </c>
      <c r="E59" s="54">
        <f>IF(E24=2,E44,0)</f>
        <v>0</v>
      </c>
      <c r="G59" s="59">
        <f>IF(G24=2,E44,0)</f>
        <v>0</v>
      </c>
      <c r="H59" s="54">
        <f>IF(H24=2,H44,0)</f>
        <v>0</v>
      </c>
      <c r="J59" s="59">
        <f>IF(J24=2,H44,0)</f>
        <v>0</v>
      </c>
      <c r="K59" s="54">
        <f>IF(K24=2,K44,0)</f>
        <v>50</v>
      </c>
      <c r="M59" s="59">
        <f>IF(M24=2,K44,0)</f>
        <v>0</v>
      </c>
      <c r="N59" s="54">
        <f>IF(N24=2,N44,0)</f>
        <v>0</v>
      </c>
      <c r="P59" s="59">
        <f>IF(P24=2,N44,0)</f>
        <v>0</v>
      </c>
      <c r="Q59" s="54">
        <f>IF(Q24=2,Q44,0)</f>
        <v>0</v>
      </c>
      <c r="S59" s="59">
        <f>IF(S24=2,Q44,0)</f>
        <v>0</v>
      </c>
      <c r="T59" s="54">
        <f>IF(T24=2,T44,0)</f>
        <v>50</v>
      </c>
      <c r="V59" s="59">
        <f>IF(V24=2,T44,0)</f>
        <v>0</v>
      </c>
      <c r="W59" s="54">
        <f>IF(W24=2,W44,0)</f>
        <v>0</v>
      </c>
      <c r="Y59" s="59">
        <f>IF(Y24=2,W44,0)</f>
        <v>0</v>
      </c>
      <c r="Z59" s="54">
        <f>IF(Z24=2,Z44,0)</f>
        <v>0</v>
      </c>
      <c r="AB59" s="59">
        <f>IF(AB24=2,Z44,0)</f>
        <v>0</v>
      </c>
      <c r="AC59" s="54">
        <f>IF(AC24=2,AC44,0)</f>
        <v>0</v>
      </c>
      <c r="AE59" s="59">
        <f>IF(AE24=2,AC44,0)</f>
        <v>50</v>
      </c>
      <c r="AF59" s="54">
        <f>SUM(B59:AE59)</f>
        <v>202</v>
      </c>
      <c r="AW59" s="57"/>
    </row>
    <row r="60" spans="1:49" s="54" customFormat="1" ht="12.75" hidden="1" customHeight="1" x14ac:dyDescent="0.2">
      <c r="A60" s="54" t="s">
        <v>103</v>
      </c>
      <c r="B60" s="54">
        <f>IF(B24=3,B44,0)</f>
        <v>0</v>
      </c>
      <c r="D60" s="59">
        <f>IF(D24=3,B44,0)</f>
        <v>0</v>
      </c>
      <c r="E60" s="54">
        <f>IF(E24=3,E44,0)</f>
        <v>0</v>
      </c>
      <c r="G60" s="59">
        <f>IF(G24=3,E44,0)</f>
        <v>0</v>
      </c>
      <c r="H60" s="54">
        <f>IF(H24=3,H44,0)</f>
        <v>51</v>
      </c>
      <c r="J60" s="59">
        <f>IF(J24=3,H44,0)</f>
        <v>0</v>
      </c>
      <c r="K60" s="54">
        <f>IF(K24=3,K44,0)</f>
        <v>0</v>
      </c>
      <c r="M60" s="59">
        <f>IF(M24=3,K44,0)</f>
        <v>0</v>
      </c>
      <c r="N60" s="54">
        <f>IF(N24=3,N44,0)</f>
        <v>0</v>
      </c>
      <c r="P60" s="59">
        <f>IF(P24=3,N44,0)</f>
        <v>50</v>
      </c>
      <c r="Q60" s="54">
        <f>IF(Q24=3,Q44,0)</f>
        <v>0</v>
      </c>
      <c r="S60" s="59">
        <f>IF(S24=3,Q44,0)</f>
        <v>0</v>
      </c>
      <c r="T60" s="54">
        <f>IF(T24=3,T44,0)</f>
        <v>0</v>
      </c>
      <c r="V60" s="59">
        <f>IF(V24=3,T44,0)</f>
        <v>50</v>
      </c>
      <c r="W60" s="54">
        <f>IF(W24=3,W44,0)</f>
        <v>0</v>
      </c>
      <c r="Y60" s="59">
        <f>IF(Y24=3,W44,0)</f>
        <v>0</v>
      </c>
      <c r="Z60" s="54">
        <f>IF(Z24=3,Z44,0)</f>
        <v>50</v>
      </c>
      <c r="AB60" s="59">
        <f>IF(AB24=3,Z44,0)</f>
        <v>0</v>
      </c>
      <c r="AC60" s="54">
        <f>IF(AC24=3,AC44,0)</f>
        <v>0</v>
      </c>
      <c r="AE60" s="59">
        <f>IF(AE24=3,AC44,0)</f>
        <v>0</v>
      </c>
      <c r="AF60" s="54">
        <f>SUM(B60:AE60)</f>
        <v>201</v>
      </c>
      <c r="AW60" s="57"/>
    </row>
    <row r="61" spans="1:49" s="54" customFormat="1" ht="12.75" hidden="1" customHeight="1" x14ac:dyDescent="0.2">
      <c r="A61" s="54" t="s">
        <v>104</v>
      </c>
      <c r="B61" s="54">
        <f>IF(B24=4,B44,0)</f>
        <v>0</v>
      </c>
      <c r="D61" s="59">
        <f>IF(D24=4,B44,0)</f>
        <v>0</v>
      </c>
      <c r="E61" s="54">
        <f>IF(E24=4,E44,0)</f>
        <v>0</v>
      </c>
      <c r="G61" s="59">
        <f>IF(G24=4,E44,0)</f>
        <v>50</v>
      </c>
      <c r="H61" s="54">
        <f>IF(H24=4,H44,0)</f>
        <v>0</v>
      </c>
      <c r="J61" s="59">
        <f>IF(J24=4,H44,0)</f>
        <v>0</v>
      </c>
      <c r="K61" s="54">
        <f>IF(K24=4,K44,0)</f>
        <v>0</v>
      </c>
      <c r="M61" s="59">
        <f>IF(M24=4,K44,0)</f>
        <v>50</v>
      </c>
      <c r="N61" s="54">
        <f>IF(N24=4,N44,0)</f>
        <v>0</v>
      </c>
      <c r="P61" s="59">
        <f>IF(P24=4,N44,0)</f>
        <v>0</v>
      </c>
      <c r="Q61" s="54">
        <f>IF(Q24=4,Q44,0)</f>
        <v>50</v>
      </c>
      <c r="S61" s="59">
        <f>IF(S24=4,Q44,0)</f>
        <v>0</v>
      </c>
      <c r="T61" s="54">
        <f>IF(T24=4,T44,0)</f>
        <v>0</v>
      </c>
      <c r="V61" s="59">
        <f>IF(V24=4,T44,0)</f>
        <v>0</v>
      </c>
      <c r="W61" s="54">
        <f>IF(W24=4,W44,0)</f>
        <v>0</v>
      </c>
      <c r="Y61" s="59">
        <f>IF(Y24=4,W44,0)</f>
        <v>0</v>
      </c>
      <c r="Z61" s="54">
        <f>IF(Z24=4,Z44,0)</f>
        <v>0</v>
      </c>
      <c r="AB61" s="59">
        <f>IF(AB24=4,Z44,0)</f>
        <v>50</v>
      </c>
      <c r="AC61" s="54">
        <f>IF(AC24=4,AC44,0)</f>
        <v>0</v>
      </c>
      <c r="AE61" s="59">
        <f>IF(AE24=4,AC44,0)</f>
        <v>0</v>
      </c>
      <c r="AF61" s="54">
        <f>SUM(B61:AE61)</f>
        <v>200</v>
      </c>
      <c r="AW61" s="57"/>
    </row>
    <row r="62" spans="1:49" s="54" customFormat="1" ht="12.75" hidden="1" customHeight="1" x14ac:dyDescent="0.2">
      <c r="A62" s="54" t="s">
        <v>105</v>
      </c>
      <c r="B62" s="54">
        <f>IF(B24=5,B44,0)</f>
        <v>0</v>
      </c>
      <c r="D62" s="59">
        <f>IF(D24=5,B44,0)</f>
        <v>52</v>
      </c>
      <c r="E62" s="54">
        <f>IF(E24=5,E44,0)</f>
        <v>0</v>
      </c>
      <c r="G62" s="59">
        <f>IF(G24=5,E44,0)</f>
        <v>0</v>
      </c>
      <c r="H62" s="54">
        <f>IF(H24=5,H44,0)</f>
        <v>0</v>
      </c>
      <c r="J62" s="59">
        <f>IF(J24=5,H44,0)</f>
        <v>51</v>
      </c>
      <c r="K62" s="54">
        <f>IF(K24=5,K44,0)</f>
        <v>0</v>
      </c>
      <c r="M62" s="59">
        <f>IF(M24=5,K44,0)</f>
        <v>0</v>
      </c>
      <c r="N62" s="54">
        <f>IF(N24=5,N44,0)</f>
        <v>0</v>
      </c>
      <c r="P62" s="59">
        <f>IF(P24=5,N44,0)</f>
        <v>0</v>
      </c>
      <c r="Q62" s="54">
        <f>IF(Q24=5,Q44,0)</f>
        <v>0</v>
      </c>
      <c r="S62" s="59">
        <f>IF(S24=5,Q44,0)</f>
        <v>50</v>
      </c>
      <c r="T62" s="54">
        <f>IF(T24=5,T44,0)</f>
        <v>0</v>
      </c>
      <c r="V62" s="59">
        <f>IF(V24=5,T44,0)</f>
        <v>0</v>
      </c>
      <c r="W62" s="54">
        <f>IF(W24=5,W44,0)</f>
        <v>0</v>
      </c>
      <c r="Y62" s="59">
        <f>IF(Y24=5,W44,0)</f>
        <v>50</v>
      </c>
      <c r="Z62" s="54">
        <f>IF(Z24=5,Z44,0)</f>
        <v>0</v>
      </c>
      <c r="AB62" s="59">
        <f>IF(AB24=5,Z44,0)</f>
        <v>0</v>
      </c>
      <c r="AC62" s="54">
        <f>IF(AC24=5,AC44,0)</f>
        <v>0</v>
      </c>
      <c r="AE62" s="59">
        <f>IF(AE24=5,AC44,0)</f>
        <v>0</v>
      </c>
      <c r="AF62" s="54">
        <f>SUM(B62:AE62)</f>
        <v>203</v>
      </c>
      <c r="AW62" s="57"/>
    </row>
    <row r="63" spans="1:49" s="54" customFormat="1" ht="38.25" hidden="1" customHeight="1" x14ac:dyDescent="0.2">
      <c r="A63" s="54" t="s">
        <v>107</v>
      </c>
      <c r="D63" s="59"/>
      <c r="G63" s="59"/>
      <c r="J63" s="59"/>
      <c r="M63" s="59"/>
      <c r="P63" s="59"/>
      <c r="S63" s="59"/>
      <c r="V63" s="59"/>
      <c r="Y63" s="59"/>
      <c r="AB63" s="59"/>
      <c r="AE63" s="59"/>
      <c r="AF63" s="58" t="s">
        <v>108</v>
      </c>
      <c r="AG63" s="54" t="s">
        <v>109</v>
      </c>
      <c r="AW63" s="57"/>
    </row>
    <row r="64" spans="1:49" s="54" customFormat="1" ht="12.75" hidden="1" customHeight="1" x14ac:dyDescent="0.2">
      <c r="A64" s="54" t="s">
        <v>95</v>
      </c>
      <c r="B64" s="54">
        <f>IF(B24=1,SUMIF(B31:B35,"&gt;0"),0)</f>
        <v>0</v>
      </c>
      <c r="D64" s="59">
        <f>IF(D24=1,SUMIF(D31:D35,"&gt;0"),0)</f>
        <v>0</v>
      </c>
      <c r="E64" s="54">
        <f>IF(E24=1,SUMIF(E31:E35,"&gt;0"),0)</f>
        <v>2</v>
      </c>
      <c r="G64" s="59">
        <f>IF(G24=1,SUMIF(G31:G35,"&gt;0"),0)</f>
        <v>0</v>
      </c>
      <c r="H64" s="54">
        <f>IF(H24=1,SUMIF(H31:H35,"&gt;0"),0)</f>
        <v>0</v>
      </c>
      <c r="J64" s="59">
        <f>IF(J24=1,SUMIF(J31:J35,"&gt;0"),0)</f>
        <v>0</v>
      </c>
      <c r="K64" s="54">
        <f>IF(K24=1,SUMIF(K31:K35,"&gt;0"),0)</f>
        <v>0</v>
      </c>
      <c r="M64" s="59">
        <f>IF(M24=1,SUMIF(M31:M35,"&gt;0"),0)</f>
        <v>0</v>
      </c>
      <c r="N64" s="54">
        <f>IF(N24=1,SUMIF(N31:N35,"&gt;0"),0)</f>
        <v>1</v>
      </c>
      <c r="P64" s="59">
        <f>IF(P24=1,SUMIF(P31:P35,"&gt;0"),0)</f>
        <v>0</v>
      </c>
      <c r="Q64" s="54">
        <f>IF(Q24=1,SUMIF(Q31:Q35,"&gt;0"),0)</f>
        <v>0</v>
      </c>
      <c r="S64" s="59">
        <f>IF(S24=1,SUMIF(S31:S35,"&gt;0"),0)</f>
        <v>0</v>
      </c>
      <c r="T64" s="54">
        <f>IF(T24=1,SUMIF(T31:T35,"&gt;0"),0)</f>
        <v>0</v>
      </c>
      <c r="V64" s="59">
        <f>IF(V24=1,SUMIF(V31:V35,"&gt;0"),0)</f>
        <v>0</v>
      </c>
      <c r="W64" s="54">
        <f>IF(W24=1,SUMIF(W31:W35,"&gt;0"),0)</f>
        <v>1</v>
      </c>
      <c r="Y64" s="59">
        <f>IF(Y24=1,SUMIF(Y31:Y35,"&gt;0"),0)</f>
        <v>0</v>
      </c>
      <c r="Z64" s="54">
        <f>IF(Z24=1,SUMIF(Z31:Z35,"&gt;0"),0)</f>
        <v>0</v>
      </c>
      <c r="AB64" s="59">
        <f>IF(AB24=1,SUMIF(AB31:AB35,"&gt;0"),0)</f>
        <v>0</v>
      </c>
      <c r="AC64" s="54">
        <f>IF(AC24=1,SUMIF(AC31:AC35,"&gt;0"),0)</f>
        <v>0</v>
      </c>
      <c r="AE64" s="59">
        <f>IF(AE24=1,SUMIF(AE31:AE35,"&gt;0"),0)</f>
        <v>0</v>
      </c>
      <c r="AF64" s="54">
        <f>SUM(B64:AE64)</f>
        <v>4</v>
      </c>
      <c r="AG64" s="54">
        <f>AF72-AF64</f>
        <v>4</v>
      </c>
      <c r="AW64" s="57"/>
    </row>
    <row r="65" spans="1:54" s="54" customFormat="1" ht="12.75" hidden="1" customHeight="1" x14ac:dyDescent="0.2">
      <c r="A65" s="54" t="s">
        <v>96</v>
      </c>
      <c r="B65" s="54">
        <f>IF(B24=2,SUMIF(B31:B35,"&gt;0"),0)</f>
        <v>2</v>
      </c>
      <c r="D65" s="59">
        <f>IF(D24=2,SUMIF(D31:D35,"&gt;0"),0)</f>
        <v>0</v>
      </c>
      <c r="E65" s="54">
        <f>IF(E24=2,SUMIF(E31:E35,"&gt;0"),0)</f>
        <v>0</v>
      </c>
      <c r="G65" s="59">
        <f>IF(G24=2,SUMIF(G31:G35,"&gt;0"),0)</f>
        <v>0</v>
      </c>
      <c r="H65" s="54">
        <f>IF(H24=2,SUMIF(H31:H35,"&gt;0"),0)</f>
        <v>0</v>
      </c>
      <c r="J65" s="59">
        <f>IF(J24=2,SUMIF(J31:J35,"&gt;0"),0)</f>
        <v>0</v>
      </c>
      <c r="K65" s="54">
        <f>IF(K24=2,SUMIF(K31:K35,"&gt;0"),0)</f>
        <v>1</v>
      </c>
      <c r="M65" s="59">
        <f>IF(M24=2,SUMIF(M31:M35,"&gt;0"),0)</f>
        <v>0</v>
      </c>
      <c r="N65" s="54">
        <f>IF(N24=2,SUMIF(N31:N35,"&gt;0"),0)</f>
        <v>0</v>
      </c>
      <c r="P65" s="59">
        <f>IF(P24=2,SUMIF(P31:P35,"&gt;0"),0)</f>
        <v>0</v>
      </c>
      <c r="Q65" s="54">
        <f>IF(Q24=2,SUMIF(Q31:Q35,"&gt;0"),0)</f>
        <v>0</v>
      </c>
      <c r="S65" s="59">
        <f>IF(S24=2,SUMIF(S31:S35,"&gt;0"),0)</f>
        <v>0</v>
      </c>
      <c r="T65" s="54">
        <f>IF(T24=2,SUMIF(T31:T35,"&gt;0"),0)</f>
        <v>0</v>
      </c>
      <c r="V65" s="59">
        <f>IF(V24=2,SUMIF(V31:V35,"&gt;0"),0)</f>
        <v>0</v>
      </c>
      <c r="W65" s="54">
        <f>IF(W24=2,SUMIF(W31:W35,"&gt;0"),0)</f>
        <v>0</v>
      </c>
      <c r="Y65" s="59">
        <f>IF(Y24=2,SUMIF(Y31:Y35,"&gt;0"),0)</f>
        <v>0</v>
      </c>
      <c r="Z65" s="54">
        <f>IF(Z24=2,SUMIF(Z31:Z35,"&gt;0"),0)</f>
        <v>0</v>
      </c>
      <c r="AB65" s="59">
        <f>IF(AB24=2,SUMIF(AB31:AB35,"&gt;0"),0)</f>
        <v>0</v>
      </c>
      <c r="AC65" s="54">
        <f>IF(AC24=2,SUMIF(AC31:AC35,"&gt;0"),0)</f>
        <v>0</v>
      </c>
      <c r="AE65" s="59">
        <f>IF(AE24=2,SUMIF(AE31:AE35,"&gt;0"),0)</f>
        <v>2</v>
      </c>
      <c r="AF65" s="54">
        <f>SUM(B65:AE65)</f>
        <v>5</v>
      </c>
      <c r="AG65" s="54">
        <f>AF73-AF65</f>
        <v>3</v>
      </c>
      <c r="AW65" s="57"/>
    </row>
    <row r="66" spans="1:54" s="54" customFormat="1" ht="12.75" hidden="1" customHeight="1" x14ac:dyDescent="0.2">
      <c r="A66" s="54" t="s">
        <v>97</v>
      </c>
      <c r="B66" s="54">
        <f>IF(B24=3,SUMIF(B31:B35,"&gt;0"),0)</f>
        <v>0</v>
      </c>
      <c r="D66" s="59">
        <f>IF(D24=3,SUMIF(D31:D35,"&gt;0"),0)</f>
        <v>0</v>
      </c>
      <c r="E66" s="54">
        <f>IF(E24=3,SUMIF(E31:E35,"&gt;0"),0)</f>
        <v>0</v>
      </c>
      <c r="G66" s="59">
        <f>IF(G24=3,SUMIF(G31:G35,"&gt;0"),0)</f>
        <v>0</v>
      </c>
      <c r="H66" s="54">
        <f>IF(H24=3,SUMIF(H31:H35,"&gt;0"),0)</f>
        <v>1</v>
      </c>
      <c r="J66" s="59">
        <f>IF(J24=3,SUMIF(J31:J35,"&gt;0"),0)</f>
        <v>0</v>
      </c>
      <c r="K66" s="54">
        <f>IF(K24=3,SUMIF(K31:K35,"&gt;0"),0)</f>
        <v>0</v>
      </c>
      <c r="M66" s="59">
        <f>IF(M24=3,SUMIF(M31:M35,"&gt;0"),0)</f>
        <v>0</v>
      </c>
      <c r="N66" s="54">
        <f>IF(N24=3,SUMIF(N31:N35,"&gt;0"),0)</f>
        <v>0</v>
      </c>
      <c r="P66" s="59">
        <f>IF(P24=3,SUMIF(P31:P35,"&gt;0"),0)</f>
        <v>1</v>
      </c>
      <c r="Q66" s="54">
        <f>IF(Q24=3,SUMIF(Q31:Q35,"&gt;0"),0)</f>
        <v>0</v>
      </c>
      <c r="S66" s="59">
        <f>IF(S24=3,SUMIF(S31:S35,"&gt;0"),0)</f>
        <v>0</v>
      </c>
      <c r="T66" s="54">
        <f>IF(T24=3,SUMIF(T31:T35,"&gt;0"),0)</f>
        <v>0</v>
      </c>
      <c r="V66" s="59">
        <f>IF(V24=3,SUMIF(V31:V35,"&gt;0"),0)</f>
        <v>2</v>
      </c>
      <c r="W66" s="54">
        <f>IF(W24=3,SUMIF(W31:W35,"&gt;0"),0)</f>
        <v>0</v>
      </c>
      <c r="Y66" s="59">
        <f>IF(Y24=3,SUMIF(Y31:Y35,"&gt;0"),0)</f>
        <v>0</v>
      </c>
      <c r="Z66" s="54">
        <f>IF(Z24=3,SUMIF(Z31:Z35,"&gt;0"),0)</f>
        <v>2</v>
      </c>
      <c r="AB66" s="59">
        <f>IF(AB24=3,SUMIF(AB31:AB35,"&gt;0"),0)</f>
        <v>0</v>
      </c>
      <c r="AC66" s="54">
        <f>IF(AC24=3,SUMIF(AC31:AC35,"&gt;0"),0)</f>
        <v>0</v>
      </c>
      <c r="AE66" s="59">
        <f>IF(AE24=3,SUMIF(AE31:AE35,"&gt;0"),0)</f>
        <v>0</v>
      </c>
      <c r="AF66" s="54">
        <f>SUM(B66:AE66)</f>
        <v>6</v>
      </c>
      <c r="AG66" s="54">
        <f>AF74-AF66</f>
        <v>2</v>
      </c>
      <c r="AW66" s="57"/>
    </row>
    <row r="67" spans="1:54" s="54" customFormat="1" ht="12.75" hidden="1" customHeight="1" x14ac:dyDescent="0.2">
      <c r="A67" s="54" t="s">
        <v>98</v>
      </c>
      <c r="B67" s="54">
        <f>IF(B24=4,SUMIF(B31:B35,"&gt;0"),0)</f>
        <v>0</v>
      </c>
      <c r="D67" s="59">
        <f>IF(D24=4,SUMIF(D31:D35,"&gt;0"),0)</f>
        <v>0</v>
      </c>
      <c r="E67" s="54">
        <f>IF(E24=4,SUMIF(E31:E35,"&gt;0"),0)</f>
        <v>0</v>
      </c>
      <c r="G67" s="59">
        <f>IF(G24=4,SUMIF(G31:G35,"&gt;0"),0)</f>
        <v>0</v>
      </c>
      <c r="H67" s="54">
        <f>IF(H24=4,SUMIF(H31:H35,"&gt;0"),0)</f>
        <v>0</v>
      </c>
      <c r="J67" s="59">
        <f>IF(J24=4,SUMIF(J31:J35,"&gt;0"),0)</f>
        <v>0</v>
      </c>
      <c r="K67" s="54">
        <f>IF(K24=4,SUMIF(K31:K35,"&gt;0"),0)</f>
        <v>0</v>
      </c>
      <c r="M67" s="59">
        <f>IF(M24=4,SUMIF(M31:M35,"&gt;0"),0)</f>
        <v>1</v>
      </c>
      <c r="N67" s="54">
        <f>IF(N24=4,SUMIF(N31:N35,"&gt;0"),0)</f>
        <v>0</v>
      </c>
      <c r="P67" s="59">
        <f>IF(P24=4,SUMIF(P31:P35,"&gt;0"),0)</f>
        <v>0</v>
      </c>
      <c r="Q67" s="54">
        <f>IF(Q24=4,SUMIF(Q31:Q35,"&gt;0"),0)</f>
        <v>2</v>
      </c>
      <c r="S67" s="59">
        <f>IF(S24=4,SUMIF(S31:S35,"&gt;0"),0)</f>
        <v>0</v>
      </c>
      <c r="T67" s="54">
        <f>IF(T24=4,SUMIF(T31:T35,"&gt;0"),0)</f>
        <v>0</v>
      </c>
      <c r="V67" s="59">
        <f>IF(V24=4,SUMIF(V31:V35,"&gt;0"),0)</f>
        <v>0</v>
      </c>
      <c r="W67" s="54">
        <f>IF(W24=4,SUMIF(W31:W35,"&gt;0"),0)</f>
        <v>0</v>
      </c>
      <c r="Y67" s="59">
        <f>IF(Y24=4,SUMIF(Y31:Y35,"&gt;0"),0)</f>
        <v>0</v>
      </c>
      <c r="Z67" s="54">
        <f>IF(Z24=4,SUMIF(Z31:Z35,"&gt;0"),0)</f>
        <v>0</v>
      </c>
      <c r="AB67" s="59">
        <f>IF(AB24=4,SUMIF(AB31:AB35,"&gt;0"),0)</f>
        <v>0</v>
      </c>
      <c r="AC67" s="54">
        <f>IF(AC24=4,SUMIF(AC31:AC35,"&gt;0"),0)</f>
        <v>0</v>
      </c>
      <c r="AE67" s="59">
        <f>IF(AE24=4,SUMIF(AE31:AE35,"&gt;0"),0)</f>
        <v>0</v>
      </c>
      <c r="AF67" s="54">
        <f>SUM(B67:AE67)</f>
        <v>3</v>
      </c>
      <c r="AG67" s="54">
        <f>AF75-AF67</f>
        <v>5</v>
      </c>
      <c r="AW67" s="57"/>
    </row>
    <row r="68" spans="1:54" s="54" customFormat="1" ht="12.75" hidden="1" customHeight="1" x14ac:dyDescent="0.2">
      <c r="A68" s="54" t="s">
        <v>99</v>
      </c>
      <c r="B68" s="54">
        <f>IF(B24=5,SUMIF(B31:B35,"&gt;0"),0)</f>
        <v>0</v>
      </c>
      <c r="D68" s="59">
        <f>IF(D24=5,SUMIF(D31:D35,"&gt;0"),0)</f>
        <v>0</v>
      </c>
      <c r="E68" s="54">
        <f>IF(E24=5,SUMIF(E31:E35,"&gt;0"),0)</f>
        <v>0</v>
      </c>
      <c r="G68" s="59">
        <f>IF(G24=5,SUMIF(G31:G35,"&gt;0"),0)</f>
        <v>0</v>
      </c>
      <c r="H68" s="54">
        <f>IF(H24=5,SUMIF(H31:H35,"&gt;0"),0)</f>
        <v>0</v>
      </c>
      <c r="J68" s="59">
        <f>IF(J24=5,SUMIF(J31:J35,"&gt;0"),0)</f>
        <v>1</v>
      </c>
      <c r="K68" s="54">
        <f>IF(K24=5,SUMIF(K31:K35,"&gt;0"),0)</f>
        <v>0</v>
      </c>
      <c r="M68" s="59">
        <f>IF(M24=5,SUMIF(M31:M35,"&gt;0"),0)</f>
        <v>0</v>
      </c>
      <c r="N68" s="54">
        <f>IF(N24=5,SUMIF(N31:N35,"&gt;0"),0)</f>
        <v>0</v>
      </c>
      <c r="P68" s="59">
        <f>IF(P24=5,SUMIF(P31:P35,"&gt;0"),0)</f>
        <v>0</v>
      </c>
      <c r="Q68" s="54">
        <f>IF(Q24=5,SUMIF(Q31:Q35,"&gt;0"),0)</f>
        <v>0</v>
      </c>
      <c r="S68" s="59">
        <f>IF(S24=5,SUMIF(S31:S35,"&gt;0"),0)</f>
        <v>0</v>
      </c>
      <c r="T68" s="54">
        <f>IF(T24=5,SUMIF(T31:T35,"&gt;0"),0)</f>
        <v>0</v>
      </c>
      <c r="V68" s="59">
        <f>IF(V24=5,SUMIF(V31:V35,"&gt;0"),0)</f>
        <v>0</v>
      </c>
      <c r="W68" s="54">
        <f>IF(W24=5,SUMIF(W31:W35,"&gt;0"),0)</f>
        <v>0</v>
      </c>
      <c r="Y68" s="59">
        <f>IF(Y24=5,SUMIF(Y31:Y35,"&gt;0"),0)</f>
        <v>1</v>
      </c>
      <c r="Z68" s="54">
        <f>IF(Z24=5,SUMIF(Z31:Z35,"&gt;0"),0)</f>
        <v>0</v>
      </c>
      <c r="AB68" s="59">
        <f>IF(AB24=5,SUMIF(AB31:AB35,"&gt;0"),0)</f>
        <v>0</v>
      </c>
      <c r="AC68" s="54">
        <f>IF(AC24=5,SUMIF(AC31:AC35,"&gt;0"),0)</f>
        <v>0</v>
      </c>
      <c r="AE68" s="59">
        <f>IF(AE24=5,SUMIF(AE31:AE35,"&gt;0"),0)</f>
        <v>0</v>
      </c>
      <c r="AF68" s="54">
        <f>SUM(B68:AE68)</f>
        <v>2</v>
      </c>
      <c r="AG68" s="54">
        <f>AF76-AF68</f>
        <v>6</v>
      </c>
      <c r="AW68" s="57"/>
    </row>
    <row r="69" spans="1:54" s="54" customFormat="1" ht="12.75" hidden="1" customHeight="1" x14ac:dyDescent="0.2">
      <c r="D69" s="59"/>
      <c r="G69" s="59"/>
      <c r="J69" s="59"/>
      <c r="M69" s="59"/>
      <c r="P69" s="59"/>
      <c r="S69" s="59"/>
      <c r="V69" s="59"/>
      <c r="Y69" s="59"/>
      <c r="AB69" s="59"/>
      <c r="AE69" s="59"/>
      <c r="AW69" s="57"/>
    </row>
    <row r="70" spans="1:54" s="54" customFormat="1" ht="12.75" hidden="1" customHeight="1" x14ac:dyDescent="0.2">
      <c r="D70" s="59"/>
      <c r="G70" s="59"/>
      <c r="J70" s="59"/>
      <c r="M70" s="59"/>
      <c r="P70" s="59"/>
      <c r="S70" s="59"/>
      <c r="V70" s="59"/>
      <c r="Y70" s="59"/>
      <c r="AB70" s="59"/>
      <c r="AE70" s="59"/>
      <c r="AW70" s="57"/>
    </row>
    <row r="71" spans="1:54" s="54" customFormat="1" ht="51" hidden="1" customHeight="1" x14ac:dyDescent="0.2">
      <c r="A71" s="58" t="s">
        <v>110</v>
      </c>
      <c r="C71" s="54">
        <f>SUMIF(B64:D68,"&gt;0")</f>
        <v>2</v>
      </c>
      <c r="D71" s="59"/>
      <c r="F71" s="54">
        <f>SUMIF(E64:G68,"&gt;0")</f>
        <v>2</v>
      </c>
      <c r="G71" s="59"/>
      <c r="I71" s="54">
        <f>SUMIF(H64:J68,"&gt;0")</f>
        <v>2</v>
      </c>
      <c r="J71" s="59"/>
      <c r="L71" s="54">
        <f>SUMIF(K64:M68,"&gt;0")</f>
        <v>2</v>
      </c>
      <c r="M71" s="59"/>
      <c r="O71" s="54">
        <f>SUMIF(N64:P68,"&gt;0")</f>
        <v>2</v>
      </c>
      <c r="P71" s="59"/>
      <c r="R71" s="54">
        <f>SUMIF(Q64:S68,"&gt;0")</f>
        <v>2</v>
      </c>
      <c r="S71" s="59"/>
      <c r="U71" s="54">
        <f>SUMIF(T64:V68,"&gt;0")</f>
        <v>2</v>
      </c>
      <c r="V71" s="59"/>
      <c r="X71" s="54">
        <f>SUMIF(W64:Y68,"&gt;0")</f>
        <v>2</v>
      </c>
      <c r="Y71" s="59"/>
      <c r="AA71" s="54">
        <f>SUMIF(Z64:AB68,"&gt;0")</f>
        <v>2</v>
      </c>
      <c r="AB71" s="59"/>
      <c r="AD71" s="54">
        <f>SUMIF(AC64:AE68,"&gt;0")</f>
        <v>2</v>
      </c>
      <c r="AE71" s="59"/>
      <c r="AF71" s="58" t="s">
        <v>111</v>
      </c>
      <c r="AW71" s="57"/>
    </row>
    <row r="72" spans="1:54" s="54" customFormat="1" ht="12.75" hidden="1" customHeight="1" x14ac:dyDescent="0.2">
      <c r="A72" s="54" t="s">
        <v>101</v>
      </c>
      <c r="B72" s="54">
        <f>IF(B24=1,C71,0)</f>
        <v>0</v>
      </c>
      <c r="D72" s="59">
        <f>IF(D24=1,C71,0)</f>
        <v>0</v>
      </c>
      <c r="E72" s="54">
        <f>IF(E24=1,F71,0)</f>
        <v>2</v>
      </c>
      <c r="G72" s="59">
        <f>IF(G24=1,F71,0)</f>
        <v>0</v>
      </c>
      <c r="H72" s="54">
        <f>IF(H24=1,I71,0)</f>
        <v>0</v>
      </c>
      <c r="J72" s="59">
        <f>IF(J24=1,I71,0)</f>
        <v>0</v>
      </c>
      <c r="K72" s="54">
        <f>IF(K24=1,L71,0)</f>
        <v>0</v>
      </c>
      <c r="M72" s="59">
        <f>IF(M24=1,L71,0)</f>
        <v>0</v>
      </c>
      <c r="N72" s="54">
        <f>IF(N24=1,O71,0)</f>
        <v>2</v>
      </c>
      <c r="P72" s="59">
        <f>IF(P24=1,O71,0)</f>
        <v>0</v>
      </c>
      <c r="Q72" s="54">
        <f>IF(Q24=1,R71,0)</f>
        <v>0</v>
      </c>
      <c r="S72" s="59">
        <f>IF(S24=1,R71,0)</f>
        <v>0</v>
      </c>
      <c r="T72" s="54">
        <f>IF(T24=1,U71,0)</f>
        <v>0</v>
      </c>
      <c r="V72" s="59">
        <f>IF(V24=1,U71,0)</f>
        <v>0</v>
      </c>
      <c r="W72" s="54">
        <f>IF(W24=1,X71,0)</f>
        <v>2</v>
      </c>
      <c r="Y72" s="59">
        <f>IF(Y24=1,X71,0)</f>
        <v>0</v>
      </c>
      <c r="Z72" s="54">
        <f>IF(Z24=1,AA71,0)</f>
        <v>0</v>
      </c>
      <c r="AB72" s="59">
        <f>IF(AB24=1,AA71,0)</f>
        <v>0</v>
      </c>
      <c r="AC72" s="54">
        <f>IF(AC24=1,AD71,0)</f>
        <v>2</v>
      </c>
      <c r="AE72" s="59">
        <f>IF(AE24=1,AD71,0)</f>
        <v>0</v>
      </c>
      <c r="AF72" s="54">
        <f>SUM(B72:AE72)</f>
        <v>8</v>
      </c>
      <c r="AW72" s="57"/>
    </row>
    <row r="73" spans="1:54" s="54" customFormat="1" ht="12.75" hidden="1" customHeight="1" x14ac:dyDescent="0.2">
      <c r="A73" s="54" t="s">
        <v>102</v>
      </c>
      <c r="B73" s="54">
        <f>IF(B24=2,C71,0)</f>
        <v>2</v>
      </c>
      <c r="D73" s="59">
        <f>IF(D24=2,C71,0)</f>
        <v>0</v>
      </c>
      <c r="E73" s="54">
        <f>IF(E24=2,F71,0)</f>
        <v>0</v>
      </c>
      <c r="G73" s="59">
        <f>IF(G24=2,F71,0)</f>
        <v>0</v>
      </c>
      <c r="H73" s="54">
        <f>IF(H24=2,I71,0)</f>
        <v>0</v>
      </c>
      <c r="J73" s="59">
        <f>IF(J24=2,I71,0)</f>
        <v>0</v>
      </c>
      <c r="K73" s="54">
        <f>IF(K24=2,L71,0)</f>
        <v>2</v>
      </c>
      <c r="M73" s="59">
        <f>IF(M24=2,L71,0)</f>
        <v>0</v>
      </c>
      <c r="N73" s="54">
        <f>IF(N24=2,O71,0)</f>
        <v>0</v>
      </c>
      <c r="P73" s="59">
        <f>IF(P24=2,O71,0)</f>
        <v>0</v>
      </c>
      <c r="Q73" s="54">
        <f>IF(Q24=2,R71,0)</f>
        <v>0</v>
      </c>
      <c r="S73" s="59">
        <f>IF(S24=2,R71,0)</f>
        <v>0</v>
      </c>
      <c r="T73" s="54">
        <f>IF(T24=2,U71,0)</f>
        <v>2</v>
      </c>
      <c r="V73" s="59">
        <f>IF(V24=2,U71,0)</f>
        <v>0</v>
      </c>
      <c r="W73" s="54">
        <f>IF(W24=2,X71,0)</f>
        <v>0</v>
      </c>
      <c r="Y73" s="59">
        <f>IF(Y24=2,X71,0)</f>
        <v>0</v>
      </c>
      <c r="Z73" s="54">
        <f>IF(Z24=2,AA71,0)</f>
        <v>0</v>
      </c>
      <c r="AB73" s="59">
        <f>IF(AB24=2,AA71,0)</f>
        <v>0</v>
      </c>
      <c r="AC73" s="54">
        <f>IF(AC24=2,AD71,0)</f>
        <v>0</v>
      </c>
      <c r="AE73" s="59">
        <f>IF(AE24=2,AD71,0)</f>
        <v>2</v>
      </c>
      <c r="AF73" s="54">
        <f>SUM(B73:AE73)</f>
        <v>8</v>
      </c>
      <c r="AW73" s="57"/>
    </row>
    <row r="74" spans="1:54" s="54" customFormat="1" ht="12.75" hidden="1" customHeight="1" x14ac:dyDescent="0.2">
      <c r="A74" s="54" t="s">
        <v>103</v>
      </c>
      <c r="B74" s="54">
        <f>IF(B24=3,C71,0)</f>
        <v>0</v>
      </c>
      <c r="D74" s="59">
        <f>IF(D24=3,C71,0)</f>
        <v>0</v>
      </c>
      <c r="E74" s="54">
        <f>IF(E24=3,F71,0)</f>
        <v>0</v>
      </c>
      <c r="G74" s="59">
        <f>IF(G24=3,F71,0)</f>
        <v>0</v>
      </c>
      <c r="H74" s="54">
        <f>IF(H24=3,I71,0)</f>
        <v>2</v>
      </c>
      <c r="J74" s="59">
        <f>IF(J24=3,I71,0)</f>
        <v>0</v>
      </c>
      <c r="K74" s="54">
        <f>IF(K24=3,L71,0)</f>
        <v>0</v>
      </c>
      <c r="M74" s="59">
        <f>IF(M24=3,L71,0)</f>
        <v>0</v>
      </c>
      <c r="N74" s="54">
        <f>IF(N24=3,O71,0)</f>
        <v>0</v>
      </c>
      <c r="P74" s="59">
        <f>IF(P24=3,O71,0)</f>
        <v>2</v>
      </c>
      <c r="Q74" s="54">
        <f>IF(Q24=3,R71,0)</f>
        <v>0</v>
      </c>
      <c r="S74" s="59">
        <f>IF(S24=3,R71,0)</f>
        <v>0</v>
      </c>
      <c r="T74" s="54">
        <f>IF(T24=3,U71,0)</f>
        <v>0</v>
      </c>
      <c r="V74" s="59">
        <f>IF(V24=3,U71,0)</f>
        <v>2</v>
      </c>
      <c r="W74" s="54">
        <f>IF(W24=3,X71,0)</f>
        <v>0</v>
      </c>
      <c r="Y74" s="59">
        <f>IF(Y24=3,X71,0)</f>
        <v>0</v>
      </c>
      <c r="Z74" s="54">
        <f>IF(Z24=3,AA71,0)</f>
        <v>2</v>
      </c>
      <c r="AB74" s="59">
        <f>IF(AB24=3,AA71,0)</f>
        <v>0</v>
      </c>
      <c r="AC74" s="54">
        <f>IF(AC24=3,AD71,0)</f>
        <v>0</v>
      </c>
      <c r="AE74" s="59">
        <f>IF(AE24=3,AD71,0)</f>
        <v>0</v>
      </c>
      <c r="AF74" s="54">
        <f>SUM(B74:AE74)</f>
        <v>8</v>
      </c>
      <c r="AW74" s="57"/>
    </row>
    <row r="75" spans="1:54" s="54" customFormat="1" ht="12.75" hidden="1" customHeight="1" x14ac:dyDescent="0.2">
      <c r="A75" s="54" t="s">
        <v>104</v>
      </c>
      <c r="B75" s="54">
        <f>IF(B24=4,C71,0)</f>
        <v>0</v>
      </c>
      <c r="D75" s="59">
        <f>IF(D24=4,C71,0)</f>
        <v>0</v>
      </c>
      <c r="E75" s="54">
        <f>IF(E24=4,F71,0)</f>
        <v>0</v>
      </c>
      <c r="G75" s="59">
        <f>IF(G24=4,F71,0)</f>
        <v>2</v>
      </c>
      <c r="H75" s="54">
        <f>IF(H24=4,I71,0)</f>
        <v>0</v>
      </c>
      <c r="J75" s="59">
        <f>IF(J24=4,I71,0)</f>
        <v>0</v>
      </c>
      <c r="K75" s="54">
        <f>IF(K24=4,L71,0)</f>
        <v>0</v>
      </c>
      <c r="M75" s="59">
        <f>IF(M24=4,L71,0)</f>
        <v>2</v>
      </c>
      <c r="N75" s="54">
        <f>IF(N24=4,O71,0)</f>
        <v>0</v>
      </c>
      <c r="P75" s="59">
        <f>IF(P24=4,O71,0)</f>
        <v>0</v>
      </c>
      <c r="Q75" s="54">
        <f>IF(Q24=4,R71,0)</f>
        <v>2</v>
      </c>
      <c r="S75" s="59">
        <f>IF(S24=4,R71,0)</f>
        <v>0</v>
      </c>
      <c r="T75" s="54">
        <f>IF(T24=4,U71,0)</f>
        <v>0</v>
      </c>
      <c r="V75" s="59">
        <f>IF(V24=4,U71,0)</f>
        <v>0</v>
      </c>
      <c r="W75" s="54">
        <f>IF(W24=4,X71,0)</f>
        <v>0</v>
      </c>
      <c r="Y75" s="59">
        <f>IF(Y24=4,X71,0)</f>
        <v>0</v>
      </c>
      <c r="Z75" s="54">
        <f>IF(Z24=4,AA71,0)</f>
        <v>0</v>
      </c>
      <c r="AB75" s="59">
        <f>IF(AB24=4,AA71,0)</f>
        <v>2</v>
      </c>
      <c r="AC75" s="54">
        <f>IF(AC24=4,AD71,0)</f>
        <v>0</v>
      </c>
      <c r="AE75" s="59">
        <f>IF(AE24=4,AD71,0)</f>
        <v>0</v>
      </c>
      <c r="AF75" s="54">
        <f>SUM(B75:AE75)</f>
        <v>8</v>
      </c>
      <c r="AW75" s="57"/>
    </row>
    <row r="76" spans="1:54" s="54" customFormat="1" ht="12.75" hidden="1" customHeight="1" x14ac:dyDescent="0.2">
      <c r="A76" s="54" t="s">
        <v>105</v>
      </c>
      <c r="B76" s="54">
        <f>IF(B24=5,C71,0)</f>
        <v>0</v>
      </c>
      <c r="D76" s="59">
        <f>IF(D24=5,C71,0)</f>
        <v>2</v>
      </c>
      <c r="E76" s="54">
        <f>IF(E24=5,F71,0)</f>
        <v>0</v>
      </c>
      <c r="G76" s="59">
        <f>IF(G24=5,F71,0)</f>
        <v>0</v>
      </c>
      <c r="H76" s="54">
        <f>IF(H24=5,I71,0)</f>
        <v>0</v>
      </c>
      <c r="J76" s="59">
        <f>IF(J24=5,I71,0)</f>
        <v>2</v>
      </c>
      <c r="K76" s="54">
        <f>IF(K24=5,L71,0)</f>
        <v>0</v>
      </c>
      <c r="M76" s="59">
        <f>IF(M24=5,L71,0)</f>
        <v>0</v>
      </c>
      <c r="N76" s="54">
        <f>IF(N24=5,O71,0)</f>
        <v>0</v>
      </c>
      <c r="P76" s="59">
        <f>IF(P24=5,O71,0)</f>
        <v>0</v>
      </c>
      <c r="Q76" s="54">
        <f>IF(Q24=5,R71,0)</f>
        <v>0</v>
      </c>
      <c r="S76" s="59">
        <f>IF(S24=5,R71,0)</f>
        <v>2</v>
      </c>
      <c r="T76" s="54">
        <f>IF(T24=5,U71,0)</f>
        <v>0</v>
      </c>
      <c r="V76" s="59">
        <f>IF(V24=5,U71,0)</f>
        <v>0</v>
      </c>
      <c r="W76" s="54">
        <f>IF(W24=5,X71,0)</f>
        <v>0</v>
      </c>
      <c r="Y76" s="59">
        <f>IF(Y24=5,X71,0)</f>
        <v>2</v>
      </c>
      <c r="Z76" s="54">
        <f>IF(Z24=5,AA71,0)</f>
        <v>0</v>
      </c>
      <c r="AB76" s="59">
        <f>IF(AB24=5,AA71,0)</f>
        <v>0</v>
      </c>
      <c r="AC76" s="54">
        <f>IF(AC24=5,AD71,0)</f>
        <v>0</v>
      </c>
      <c r="AE76" s="59">
        <f>IF(AE24=5,AD71,0)</f>
        <v>0</v>
      </c>
      <c r="AF76" s="54">
        <f>SUM(B76:AE76)</f>
        <v>8</v>
      </c>
      <c r="AW76" s="57"/>
    </row>
    <row r="77" spans="1:54" hidden="1" x14ac:dyDescent="0.2">
      <c r="A77" s="60"/>
      <c r="B77" s="60"/>
      <c r="C77" s="60"/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  <c r="X77" s="60"/>
      <c r="Y77" s="60"/>
      <c r="Z77" s="60"/>
      <c r="AA77" s="60"/>
      <c r="AB77" s="60"/>
      <c r="AC77" s="60"/>
      <c r="AD77" s="60"/>
      <c r="AE77" s="60"/>
      <c r="AF77" s="60"/>
      <c r="AG77" s="60"/>
      <c r="AH77" s="60"/>
      <c r="AI77" s="60"/>
      <c r="AJ77" s="60"/>
      <c r="AK77" s="60"/>
      <c r="AL77" s="60"/>
      <c r="AM77" s="60"/>
      <c r="AN77" s="61"/>
      <c r="AO77" s="61"/>
      <c r="AP77" s="61"/>
      <c r="AQ77" s="61"/>
      <c r="AR77" s="62"/>
      <c r="AS77" s="62"/>
      <c r="AT77" s="62"/>
      <c r="AU77" s="62"/>
      <c r="AV77" s="62"/>
      <c r="BB77" s="53"/>
    </row>
    <row r="78" spans="1:54" s="62" customFormat="1" hidden="1" x14ac:dyDescent="0.2">
      <c r="A78" s="63"/>
      <c r="B78" s="63"/>
      <c r="C78" s="63" t="s">
        <v>112</v>
      </c>
      <c r="D78" s="63">
        <v>1</v>
      </c>
      <c r="E78" s="63"/>
      <c r="F78" s="63"/>
      <c r="G78" s="63">
        <v>2</v>
      </c>
      <c r="H78" s="63"/>
      <c r="I78" s="63"/>
      <c r="J78" s="63">
        <v>3</v>
      </c>
      <c r="K78" s="63"/>
      <c r="L78" s="63"/>
      <c r="M78" s="63">
        <v>4</v>
      </c>
      <c r="N78" s="63"/>
      <c r="O78" s="63"/>
      <c r="P78" s="63">
        <v>5</v>
      </c>
      <c r="Q78" s="63"/>
      <c r="R78" s="63"/>
      <c r="S78" s="63">
        <v>6</v>
      </c>
      <c r="T78" s="63"/>
      <c r="U78" s="63"/>
      <c r="V78" s="63">
        <v>7</v>
      </c>
      <c r="W78" s="63"/>
      <c r="X78" s="63"/>
      <c r="Y78" s="63">
        <v>8</v>
      </c>
      <c r="Z78" s="63"/>
      <c r="AA78" s="63"/>
      <c r="AB78" s="63">
        <v>9</v>
      </c>
      <c r="AC78" s="63"/>
      <c r="AD78" s="63"/>
      <c r="AE78" s="63">
        <v>10</v>
      </c>
      <c r="AF78" s="4"/>
      <c r="AG78" s="63"/>
      <c r="AI78" s="64"/>
      <c r="AJ78" s="4"/>
      <c r="AK78" s="4"/>
      <c r="AL78" s="4"/>
      <c r="AM78" s="4"/>
      <c r="AN78" s="4"/>
      <c r="AO78" s="4"/>
      <c r="AT78" s="64" t="s">
        <v>113</v>
      </c>
      <c r="AW78" s="65"/>
      <c r="BB78" s="65"/>
    </row>
    <row r="79" spans="1:54" s="62" customFormat="1" hidden="1" x14ac:dyDescent="0.2">
      <c r="A79" s="66">
        <v>1</v>
      </c>
      <c r="B79" s="66" t="str">
        <f>E8</f>
        <v>Augusta Elite 17U</v>
      </c>
      <c r="C79" s="66">
        <f>VLOOKUP(B79,AU$3:AY$12,3,FALSE)</f>
        <v>2562.1064003900715</v>
      </c>
      <c r="D79" s="66">
        <f>IF(B72,B87,IF(D72,D87,C79))</f>
        <v>2562.1064003900715</v>
      </c>
      <c r="E79" s="66"/>
      <c r="F79" s="66"/>
      <c r="G79" s="66">
        <f>IF(E72,E87,IF(G72,G87,D79))</f>
        <v>2577.0521570033929</v>
      </c>
      <c r="H79" s="66"/>
      <c r="I79" s="66"/>
      <c r="J79" s="66">
        <f>IF(H72,H87,IF(J72,J87,G79))</f>
        <v>2577.0521570033929</v>
      </c>
      <c r="K79" s="66"/>
      <c r="L79" s="66"/>
      <c r="M79" s="66">
        <f>IF(K72,K87,IF(M72,M87,J79))</f>
        <v>2577.0521570033929</v>
      </c>
      <c r="N79" s="66"/>
      <c r="O79" s="66"/>
      <c r="P79" s="66">
        <f>IF(N72,N87,IF(P72,P87,M79))</f>
        <v>2562.7910263540757</v>
      </c>
      <c r="Q79" s="66"/>
      <c r="R79" s="66"/>
      <c r="S79" s="66">
        <f>IF(Q72,Q87,IF(S72,S87,P79))</f>
        <v>2562.7910263540757</v>
      </c>
      <c r="T79" s="66"/>
      <c r="U79" s="66"/>
      <c r="V79" s="66">
        <f>IF(T72,T87,IF(V72,V87,S79))</f>
        <v>2562.7910263540757</v>
      </c>
      <c r="W79" s="66"/>
      <c r="X79" s="66"/>
      <c r="Y79" s="66">
        <f>IF(W72,W87,IF(Y72,Y87,V79))</f>
        <v>2542.8941870945896</v>
      </c>
      <c r="Z79" s="66"/>
      <c r="AA79" s="66"/>
      <c r="AB79" s="66">
        <f>IF(Z72,Z87,IF(AB72,AB87,Y79))</f>
        <v>2542.8941870945896</v>
      </c>
      <c r="AC79" s="66"/>
      <c r="AD79" s="66"/>
      <c r="AE79" s="66">
        <f>IF(AC72,AC87,IF(AE72,AE87,AB79))</f>
        <v>2501.3499753223941</v>
      </c>
      <c r="AF79" s="4"/>
      <c r="AG79" s="4"/>
      <c r="AJ79" s="4"/>
      <c r="AK79" s="4"/>
      <c r="AL79" s="4"/>
      <c r="AM79" s="4"/>
      <c r="AN79" s="4"/>
      <c r="AO79" s="4"/>
      <c r="AT79" s="62" t="str">
        <f>B79</f>
        <v>Augusta Elite 17U</v>
      </c>
      <c r="AU79" s="62">
        <f>AE79</f>
        <v>2501.3499753223941</v>
      </c>
      <c r="AW79" s="65"/>
      <c r="BB79" s="65"/>
    </row>
    <row r="80" spans="1:54" s="62" customFormat="1" hidden="1" x14ac:dyDescent="0.2">
      <c r="A80" s="66">
        <v>2</v>
      </c>
      <c r="B80" s="66" t="str">
        <f>E10</f>
        <v>Foothills 17</v>
      </c>
      <c r="C80" s="66">
        <f>VLOOKUP(B80,AU$3:AY$12,3,FALSE)</f>
        <v>2462.5038673672475</v>
      </c>
      <c r="D80" s="66">
        <f>IF(B73,B87,IF(D73,D87,C80))</f>
        <v>2484.9481015995652</v>
      </c>
      <c r="E80" s="66"/>
      <c r="F80" s="66"/>
      <c r="G80" s="66">
        <f>IF(E73,E87,IF(G73,G87,D80))</f>
        <v>2484.9481015995652</v>
      </c>
      <c r="H80" s="66"/>
      <c r="I80" s="66"/>
      <c r="J80" s="66">
        <f>IF(H73,H87,IF(J73,J87,G80))</f>
        <v>2484.9481015995652</v>
      </c>
      <c r="K80" s="66"/>
      <c r="L80" s="66"/>
      <c r="M80" s="66">
        <f>IF(K73,K87,IF(M73,M87,J80))</f>
        <v>2472.3763105430753</v>
      </c>
      <c r="N80" s="66"/>
      <c r="O80" s="66"/>
      <c r="P80" s="66">
        <f>IF(N73,N87,IF(P73,P87,M80))</f>
        <v>2472.3763105430753</v>
      </c>
      <c r="Q80" s="66"/>
      <c r="R80" s="66"/>
      <c r="S80" s="66">
        <f>IF(Q73,Q87,IF(S73,S87,P80))</f>
        <v>2472.3763105430753</v>
      </c>
      <c r="T80" s="66"/>
      <c r="U80" s="66"/>
      <c r="V80" s="66">
        <f>IF(T73,T87,IF(V73,V87,S80))</f>
        <v>2436.0212993189962</v>
      </c>
      <c r="W80" s="66"/>
      <c r="X80" s="66"/>
      <c r="Y80" s="66">
        <f>IF(W73,W87,IF(Y73,Y87,V80))</f>
        <v>2436.0212993189962</v>
      </c>
      <c r="Z80" s="66"/>
      <c r="AA80" s="66"/>
      <c r="AB80" s="66">
        <f>IF(Z73,Z87,IF(AB73,AB87,Y80))</f>
        <v>2436.0212993189962</v>
      </c>
      <c r="AC80" s="66"/>
      <c r="AD80" s="66"/>
      <c r="AE80" s="66">
        <f>IF(AC73,AC87,IF(AE73,AE87,AB80))</f>
        <v>2477.5655110911916</v>
      </c>
      <c r="AF80" s="4"/>
      <c r="AG80" s="4"/>
      <c r="AJ80" s="4"/>
      <c r="AL80" s="4"/>
      <c r="AM80" s="4"/>
      <c r="AN80" s="4"/>
      <c r="AO80" s="4"/>
      <c r="AT80" s="62" t="str">
        <f>B80</f>
        <v>Foothills 17</v>
      </c>
      <c r="AU80" s="62">
        <f>AE80</f>
        <v>2477.5655110911916</v>
      </c>
      <c r="AW80" s="65"/>
      <c r="BB80" s="65"/>
    </row>
    <row r="81" spans="1:54" s="62" customFormat="1" hidden="1" x14ac:dyDescent="0.2">
      <c r="A81" s="66">
        <v>3</v>
      </c>
      <c r="B81" s="66" t="str">
        <f>E12</f>
        <v>Vision 17 Regional</v>
      </c>
      <c r="C81" s="66">
        <f>VLOOKUP(B81,AU$3:AY$12,3,FALSE)</f>
        <v>2418.2277960489441</v>
      </c>
      <c r="D81" s="66">
        <f>IF(B74,B87,IF(D74,D87,C81))</f>
        <v>2418.2277960489441</v>
      </c>
      <c r="E81" s="66"/>
      <c r="F81" s="66"/>
      <c r="G81" s="66">
        <f>IF(E74,E87,IF(G74,G87,D81))</f>
        <v>2418.2277960489441</v>
      </c>
      <c r="H81" s="66"/>
      <c r="I81" s="66"/>
      <c r="J81" s="66">
        <f>IF(H74,H87,IF(J74,J87,G81))</f>
        <v>2410.5360338481132</v>
      </c>
      <c r="K81" s="66"/>
      <c r="L81" s="66"/>
      <c r="M81" s="66">
        <f>IF(K74,K87,IF(M74,M87,J81))</f>
        <v>2410.5360338481132</v>
      </c>
      <c r="N81" s="66"/>
      <c r="O81" s="66"/>
      <c r="P81" s="66">
        <f>IF(N74,N87,IF(P74,P87,M81))</f>
        <v>2424.7971644974305</v>
      </c>
      <c r="Q81" s="66"/>
      <c r="R81" s="66"/>
      <c r="S81" s="66">
        <f>IF(Q74,Q87,IF(S74,S87,P81))</f>
        <v>2424.7971644974305</v>
      </c>
      <c r="T81" s="66"/>
      <c r="U81" s="66"/>
      <c r="V81" s="66">
        <f>IF(T74,T87,IF(V74,V87,S81))</f>
        <v>2461.1521757215096</v>
      </c>
      <c r="W81" s="66"/>
      <c r="X81" s="66"/>
      <c r="Y81" s="66">
        <f>IF(W74,W87,IF(Y74,Y87,V81))</f>
        <v>2461.1521757215096</v>
      </c>
      <c r="Z81" s="66"/>
      <c r="AA81" s="66"/>
      <c r="AB81" s="66">
        <f>IF(Z74,Z87,IF(AB74,AB87,Y81))</f>
        <v>2486.1708786393397</v>
      </c>
      <c r="AC81" s="66"/>
      <c r="AD81" s="66"/>
      <c r="AE81" s="66">
        <f>IF(AC74,AC87,IF(AE74,AE87,AB81))</f>
        <v>2486.1708786393397</v>
      </c>
      <c r="AF81" s="4"/>
      <c r="AG81" s="4"/>
      <c r="AJ81" s="4"/>
      <c r="AL81" s="4"/>
      <c r="AM81" s="4"/>
      <c r="AN81" s="4"/>
      <c r="AO81" s="4"/>
      <c r="AT81" s="62" t="str">
        <f>B81</f>
        <v>Vision 17 Regional</v>
      </c>
      <c r="AU81" s="62">
        <f>AE81</f>
        <v>2486.1708786393397</v>
      </c>
      <c r="AW81" s="65"/>
      <c r="BB81" s="65"/>
    </row>
    <row r="82" spans="1:54" s="62" customFormat="1" hidden="1" x14ac:dyDescent="0.2">
      <c r="A82" s="66">
        <v>4</v>
      </c>
      <c r="B82" s="66" t="str">
        <f>E14</f>
        <v>OLC 17s Purple</v>
      </c>
      <c r="C82" s="66">
        <f>VLOOKUP(B82,AU$3:AY$12,3,FALSE)</f>
        <v>2355.6429300299578</v>
      </c>
      <c r="D82" s="66">
        <f>IF(B75,B87,IF(D75,D87,C82))</f>
        <v>2355.6429300299578</v>
      </c>
      <c r="E82" s="66"/>
      <c r="F82" s="66"/>
      <c r="G82" s="66">
        <f>IF(E75,E87,IF(G75,G87,D82))</f>
        <v>2340.6971734166364</v>
      </c>
      <c r="H82" s="66"/>
      <c r="I82" s="66"/>
      <c r="J82" s="66">
        <f>IF(H75,H87,IF(J75,J87,G82))</f>
        <v>2340.6971734166364</v>
      </c>
      <c r="K82" s="66"/>
      <c r="L82" s="66"/>
      <c r="M82" s="66">
        <f>IF(K75,K87,IF(M75,M87,J82))</f>
        <v>2353.2689644731263</v>
      </c>
      <c r="N82" s="66"/>
      <c r="O82" s="66"/>
      <c r="P82" s="66">
        <f>IF(N75,N87,IF(P75,P87,M82))</f>
        <v>2353.2689644731263</v>
      </c>
      <c r="Q82" s="66"/>
      <c r="R82" s="66"/>
      <c r="S82" s="66">
        <f>IF(Q75,Q87,IF(S75,S87,P82))</f>
        <v>2384.1155774085846</v>
      </c>
      <c r="T82" s="66"/>
      <c r="U82" s="66"/>
      <c r="V82" s="66">
        <f>IF(T75,T87,IF(V75,V87,S82))</f>
        <v>2384.1155774085846</v>
      </c>
      <c r="W82" s="66"/>
      <c r="X82" s="66"/>
      <c r="Y82" s="66">
        <f>IF(W75,W87,IF(Y75,Y87,V82))</f>
        <v>2384.1155774085846</v>
      </c>
      <c r="Z82" s="66"/>
      <c r="AA82" s="66"/>
      <c r="AB82" s="66">
        <f>IF(Z75,Z87,IF(AB75,AB87,Y82))</f>
        <v>2359.0968744907545</v>
      </c>
      <c r="AC82" s="66"/>
      <c r="AD82" s="66"/>
      <c r="AE82" s="66">
        <f>IF(AC75,AC87,IF(AE75,AE87,AB82))</f>
        <v>2359.0968744907545</v>
      </c>
      <c r="AF82" s="4"/>
      <c r="AG82" s="4"/>
      <c r="AJ82" s="4"/>
      <c r="AL82" s="4"/>
      <c r="AM82" s="4"/>
      <c r="AN82" s="4"/>
      <c r="AO82" s="4"/>
      <c r="AT82" s="62" t="str">
        <f>B82</f>
        <v>OLC 17s Purple</v>
      </c>
      <c r="AU82" s="62">
        <f>AE82</f>
        <v>2359.0968744907545</v>
      </c>
      <c r="AW82" s="65"/>
      <c r="BB82" s="65"/>
    </row>
    <row r="83" spans="1:54" s="62" customFormat="1" hidden="1" x14ac:dyDescent="0.2">
      <c r="A83" s="66">
        <v>5</v>
      </c>
      <c r="B83" s="66" t="str">
        <f>E16</f>
        <v>SC Midlands 17 Black</v>
      </c>
      <c r="C83" s="66">
        <f>VLOOKUP(B83,AU$3:AY$12,3,FALSE)</f>
        <v>2355.4932684736682</v>
      </c>
      <c r="D83" s="66">
        <f>IF(B76,B87,IF(D76,D87,C83))</f>
        <v>2333.0490342413505</v>
      </c>
      <c r="E83" s="66"/>
      <c r="F83" s="66"/>
      <c r="G83" s="66">
        <f>IF(E76,E87,IF(G76,G87,D83))</f>
        <v>2333.0490342413505</v>
      </c>
      <c r="H83" s="66"/>
      <c r="I83" s="66"/>
      <c r="J83" s="66">
        <f>IF(H76,H87,IF(J76,J87,G83))</f>
        <v>2340.7407964421814</v>
      </c>
      <c r="K83" s="66"/>
      <c r="L83" s="66"/>
      <c r="M83" s="66">
        <f>IF(K76,K87,IF(M76,M87,J83))</f>
        <v>2340.7407964421814</v>
      </c>
      <c r="N83" s="66"/>
      <c r="O83" s="66"/>
      <c r="P83" s="66">
        <f>IF(N76,N87,IF(P76,P87,M83))</f>
        <v>2340.7407964421814</v>
      </c>
      <c r="Q83" s="66"/>
      <c r="R83" s="66"/>
      <c r="S83" s="66">
        <f>IF(Q76,Q87,IF(S76,S87,P83))</f>
        <v>2309.894183506723</v>
      </c>
      <c r="T83" s="66"/>
      <c r="U83" s="66"/>
      <c r="V83" s="66">
        <f>IF(T76,T87,IF(V76,V87,S83))</f>
        <v>2309.894183506723</v>
      </c>
      <c r="W83" s="66"/>
      <c r="X83" s="66"/>
      <c r="Y83" s="66">
        <f>IF(W76,W87,IF(Y76,Y87,V83))</f>
        <v>2329.7910227662092</v>
      </c>
      <c r="Z83" s="66"/>
      <c r="AA83" s="66"/>
      <c r="AB83" s="66">
        <f>IF(Z76,Z87,IF(AB76,AB87,Y83))</f>
        <v>2329.7910227662092</v>
      </c>
      <c r="AC83" s="66"/>
      <c r="AD83" s="66"/>
      <c r="AE83" s="66">
        <f>IF(AC76,AC87,IF(AE76,AE87,AB83))</f>
        <v>2329.7910227662092</v>
      </c>
      <c r="AF83" s="4"/>
      <c r="AG83" s="4"/>
      <c r="AJ83" s="4"/>
      <c r="AL83" s="4"/>
      <c r="AM83" s="4"/>
      <c r="AN83" s="4"/>
      <c r="AO83" s="4"/>
      <c r="AT83" s="62" t="str">
        <f>B83</f>
        <v>SC Midlands 17 Black</v>
      </c>
      <c r="AU83" s="62">
        <f>AE83</f>
        <v>2329.7910227662092</v>
      </c>
      <c r="AW83" s="65"/>
      <c r="BB83" s="65"/>
    </row>
    <row r="84" spans="1:54" s="62" customFormat="1" hidden="1" x14ac:dyDescent="0.2">
      <c r="A84" s="66"/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66"/>
      <c r="AE84" s="66"/>
      <c r="AF84" s="4"/>
      <c r="AG84" s="4"/>
      <c r="AJ84" s="4"/>
      <c r="AL84" s="4"/>
      <c r="AM84" s="4"/>
      <c r="AN84" s="4"/>
      <c r="AO84" s="4"/>
      <c r="AW84" s="65"/>
      <c r="BB84" s="65"/>
    </row>
    <row r="85" spans="1:54" s="62" customFormat="1" hidden="1" x14ac:dyDescent="0.2">
      <c r="A85" s="66" t="s">
        <v>114</v>
      </c>
      <c r="B85" s="66">
        <f>VLOOKUP(B24,$A79:$AE83,3,FALSE)</f>
        <v>2462.5038673672475</v>
      </c>
      <c r="C85" s="66">
        <v>1</v>
      </c>
      <c r="D85" s="66">
        <f>VLOOKUP(D24,$A79:$AE83,3,FALSE)</f>
        <v>2355.4932684736682</v>
      </c>
      <c r="E85" s="66">
        <f>VLOOKUP(E24,$A79:$AE83,4,FALSE)</f>
        <v>2562.1064003900715</v>
      </c>
      <c r="F85" s="66">
        <v>2</v>
      </c>
      <c r="G85" s="66">
        <f>VLOOKUP(G24,$A79:$AE83,4,FALSE)</f>
        <v>2355.6429300299578</v>
      </c>
      <c r="H85" s="66">
        <f>VLOOKUP(H24,$A79:$AE83,7,FALSE)</f>
        <v>2418.2277960489441</v>
      </c>
      <c r="I85" s="66">
        <v>3</v>
      </c>
      <c r="J85" s="66">
        <f>VLOOKUP(J24,$A79:$AE83,7,FALSE)</f>
        <v>2333.0490342413505</v>
      </c>
      <c r="K85" s="66">
        <f>VLOOKUP(K24,$A79:$AE83,10,FALSE)</f>
        <v>2484.9481015995652</v>
      </c>
      <c r="L85" s="66">
        <v>4</v>
      </c>
      <c r="M85" s="66">
        <f>VLOOKUP(M24,$A79:$AE83,10,FALSE)</f>
        <v>2340.6971734166364</v>
      </c>
      <c r="N85" s="66">
        <f>VLOOKUP(N24,$A79:$AE83,13,FALSE)</f>
        <v>2577.0521570033929</v>
      </c>
      <c r="O85" s="66">
        <v>5</v>
      </c>
      <c r="P85" s="66">
        <f>VLOOKUP(P24,$A79:$AE83,13,FALSE)</f>
        <v>2410.5360338481132</v>
      </c>
      <c r="Q85" s="66">
        <f>VLOOKUP(Q24,$A79:$AE83,16,FALSE)</f>
        <v>2353.2689644731263</v>
      </c>
      <c r="R85" s="66">
        <v>6</v>
      </c>
      <c r="S85" s="66">
        <f>VLOOKUP(S24,$A79:$AE83,16,FALSE)</f>
        <v>2340.7407964421814</v>
      </c>
      <c r="T85" s="66">
        <f>VLOOKUP(T24,$A79:$AE83,19,FALSE)</f>
        <v>2472.3763105430753</v>
      </c>
      <c r="U85" s="66">
        <v>7</v>
      </c>
      <c r="V85" s="66">
        <f>VLOOKUP(V24,$A79:$AE83,19,FALSE)</f>
        <v>2424.7971644974305</v>
      </c>
      <c r="W85" s="66">
        <f>VLOOKUP(W24,$A79:$AE83,22,FALSE)</f>
        <v>2562.7910263540757</v>
      </c>
      <c r="X85" s="66">
        <v>8</v>
      </c>
      <c r="Y85" s="66">
        <f>VLOOKUP(Y24,$A79:$AE83,22,FALSE)</f>
        <v>2309.894183506723</v>
      </c>
      <c r="Z85" s="66">
        <f>VLOOKUP(Z24,$A79:$AE83,25,FALSE)</f>
        <v>2461.1521757215096</v>
      </c>
      <c r="AA85" s="66">
        <v>9</v>
      </c>
      <c r="AB85" s="66">
        <f>VLOOKUP(AB24,$A79:$AE83,25,FALSE)</f>
        <v>2384.1155774085846</v>
      </c>
      <c r="AC85" s="66">
        <f>VLOOKUP(AC24,$A79:$AE83,28,FALSE)</f>
        <v>2542.8941870945896</v>
      </c>
      <c r="AD85" s="66">
        <v>10</v>
      </c>
      <c r="AE85" s="66">
        <f>VLOOKUP(AE24,$A79:$AE83,28,FALSE)</f>
        <v>2436.0212993189962</v>
      </c>
      <c r="AF85" s="4"/>
      <c r="AG85" s="60"/>
      <c r="AH85" s="60"/>
      <c r="AI85" s="60"/>
      <c r="AJ85" s="60"/>
      <c r="AK85" s="60"/>
      <c r="AL85" s="60"/>
      <c r="AM85" s="60"/>
      <c r="AN85" s="61"/>
      <c r="AO85" s="61"/>
      <c r="AP85" s="61"/>
      <c r="AQ85" s="61"/>
      <c r="AW85" s="65"/>
      <c r="BB85" s="65"/>
    </row>
    <row r="86" spans="1:54" s="71" customFormat="1" hidden="1" x14ac:dyDescent="0.2">
      <c r="A86" s="67" t="s">
        <v>115</v>
      </c>
      <c r="B86" s="67">
        <f>1/(1+(10^-((B85-D85)/400)))*(B36+D36)</f>
        <v>1.2986176802400646</v>
      </c>
      <c r="C86" s="67"/>
      <c r="D86" s="67">
        <f>1/(1+(10^-((D85-B85)/400)))*(B36+D36)</f>
        <v>0.70138231975993548</v>
      </c>
      <c r="E86" s="67">
        <f>1/(1+(10^-((E85-G85)/400)))*(E36+G36)</f>
        <v>1.5329451058337089</v>
      </c>
      <c r="F86" s="67"/>
      <c r="G86" s="67">
        <f>1/(1+(10^-((G85-E85)/400)))*(E36+G36)</f>
        <v>0.46705489416629115</v>
      </c>
      <c r="H86" s="67">
        <f>1/(1+(10^-((H85-J85)/400)))*(H36+J36)</f>
        <v>1.240367568775969</v>
      </c>
      <c r="I86" s="67"/>
      <c r="J86" s="67">
        <f>1/(1+(10^-((J85-H85)/400)))*(H36+J36)</f>
        <v>0.75963243122403101</v>
      </c>
      <c r="K86" s="67">
        <f>1/(1+(10^-((K85-M85)/400)))*(K36+M36)</f>
        <v>1.392868470515316</v>
      </c>
      <c r="L86" s="67"/>
      <c r="M86" s="67">
        <f>1/(1+(10^-((M85-K85)/400)))*(K36+M36)</f>
        <v>0.60713152948468407</v>
      </c>
      <c r="N86" s="67">
        <f>1/(1+(10^-((N85-P85)/400)))*(N36+P36)</f>
        <v>1.4456603327911632</v>
      </c>
      <c r="O86" s="67"/>
      <c r="P86" s="67">
        <f>1/(1+(10^-((P85-N85)/400)))*(N36+P36)</f>
        <v>0.55433966720883676</v>
      </c>
      <c r="Q86" s="67">
        <f>1/(1+(10^-((Q85-S85)/400)))*(Q36+S36)</f>
        <v>1.0360433457669269</v>
      </c>
      <c r="R86" s="67"/>
      <c r="S86" s="67">
        <f>1/(1+(10^-((S85-Q85)/400)))*(Q36+S36)</f>
        <v>0.96395665423307286</v>
      </c>
      <c r="T86" s="67">
        <f>1/(1+(10^-((T85-V85)/400)))*(T36+V36)</f>
        <v>1.1360941007524712</v>
      </c>
      <c r="U86" s="67"/>
      <c r="V86" s="67">
        <f>1/(1+(10^-((V85-T85)/400)))*(T36+V36)</f>
        <v>0.86390589924752881</v>
      </c>
      <c r="W86" s="67">
        <f>1/(1+(10^-((W85-Y85)/400)))*(W36+Y36)</f>
        <v>1.6217762268589357</v>
      </c>
      <c r="X86" s="67"/>
      <c r="Y86" s="67">
        <f>1/(1+(10^-((Y85-W85)/400)))*(W36+Y36)</f>
        <v>0.37822377314106415</v>
      </c>
      <c r="Z86" s="67">
        <f>1/(1+(10^-((Z85-AB85)/400)))*(Z36+AB36)</f>
        <v>1.2181655338178057</v>
      </c>
      <c r="AA86" s="67"/>
      <c r="AB86" s="67">
        <f>1/(1+(10^-((AB85-Z85)/400)))*(Z36+AB36)</f>
        <v>0.78183446618219443</v>
      </c>
      <c r="AC86" s="67">
        <f>1/(1+(10^-((AC85-AE85)/400)))*(AC36+AE36)</f>
        <v>1.2982566178811024</v>
      </c>
      <c r="AD86" s="67"/>
      <c r="AE86" s="67">
        <f>1/(1+(10^-((AE85-AC85)/400)))*(AC36+AE36)</f>
        <v>0.70174338211889764</v>
      </c>
      <c r="AF86" s="68"/>
      <c r="AG86" s="69"/>
      <c r="AH86" s="69"/>
      <c r="AI86" s="69"/>
      <c r="AJ86" s="69"/>
      <c r="AK86" s="69"/>
      <c r="AL86" s="69"/>
      <c r="AM86" s="69"/>
      <c r="AN86" s="70"/>
      <c r="AO86" s="70"/>
      <c r="AP86" s="70"/>
      <c r="AQ86" s="70"/>
      <c r="AW86" s="72"/>
      <c r="BB86" s="72"/>
    </row>
    <row r="87" spans="1:54" s="77" customFormat="1" hidden="1" x14ac:dyDescent="0.2">
      <c r="A87" s="73" t="s">
        <v>116</v>
      </c>
      <c r="B87" s="73">
        <f>B85+(B36-B86)*$BA$1</f>
        <v>2484.9481015995652</v>
      </c>
      <c r="C87" s="73"/>
      <c r="D87" s="73">
        <f>D85+(D36-D86)*$BA$1</f>
        <v>2333.0490342413505</v>
      </c>
      <c r="E87" s="73">
        <f>E85+(E36-E86)*$BA$1</f>
        <v>2577.0521570033929</v>
      </c>
      <c r="F87" s="73"/>
      <c r="G87" s="73">
        <f>G85+(G36-G86)*$BA$1</f>
        <v>2340.6971734166364</v>
      </c>
      <c r="H87" s="73">
        <f>H85+(H36-H86)*$BA$1</f>
        <v>2410.5360338481132</v>
      </c>
      <c r="I87" s="73"/>
      <c r="J87" s="73">
        <f>J85+(J36-J86)*$BA$1</f>
        <v>2340.7407964421814</v>
      </c>
      <c r="K87" s="73">
        <f>K85+(K36-K86)*$BA$1</f>
        <v>2472.3763105430753</v>
      </c>
      <c r="L87" s="73"/>
      <c r="M87" s="73">
        <f>M85+(M36-M86)*$BA$1</f>
        <v>2353.2689644731263</v>
      </c>
      <c r="N87" s="73">
        <f>N85+(N36-N86)*$BA$1</f>
        <v>2562.7910263540757</v>
      </c>
      <c r="O87" s="73"/>
      <c r="P87" s="73">
        <f>P85+(P36-P86)*$BA$1</f>
        <v>2424.7971644974305</v>
      </c>
      <c r="Q87" s="73">
        <f>Q85+(Q36-Q86)*$BA$1</f>
        <v>2384.1155774085846</v>
      </c>
      <c r="R87" s="73"/>
      <c r="S87" s="73">
        <f>S85+(S36-S86)*$BA$1</f>
        <v>2309.894183506723</v>
      </c>
      <c r="T87" s="73">
        <f>T85+(T36-T86)*$BA$1</f>
        <v>2436.0212993189962</v>
      </c>
      <c r="U87" s="73"/>
      <c r="V87" s="73">
        <f>V85+(V36-V86)*$BA$1</f>
        <v>2461.1521757215096</v>
      </c>
      <c r="W87" s="73">
        <f>W85+(W36-W86)*$BA$1</f>
        <v>2542.8941870945896</v>
      </c>
      <c r="X87" s="73"/>
      <c r="Y87" s="73">
        <f>Y85+(Y36-Y86)*$BA$1</f>
        <v>2329.7910227662092</v>
      </c>
      <c r="Z87" s="73">
        <f>Z85+(Z36-Z86)*$BA$1</f>
        <v>2486.1708786393397</v>
      </c>
      <c r="AA87" s="73"/>
      <c r="AB87" s="73">
        <f>AB85+(AB36-AB86)*$BA$1</f>
        <v>2359.0968744907545</v>
      </c>
      <c r="AC87" s="73">
        <f>AC85+(AC36-AC86)*$BA$1</f>
        <v>2501.3499753223941</v>
      </c>
      <c r="AD87" s="73"/>
      <c r="AE87" s="73">
        <f>AE85+(AE36-AE86)*$BA$1</f>
        <v>2477.5655110911916</v>
      </c>
      <c r="AF87" s="74"/>
      <c r="AG87" s="75"/>
      <c r="AH87" s="75"/>
      <c r="AI87" s="75"/>
      <c r="AJ87" s="75"/>
      <c r="AK87" s="75"/>
      <c r="AL87" s="75"/>
      <c r="AM87" s="75"/>
      <c r="AN87" s="76"/>
      <c r="AO87" s="76"/>
      <c r="AP87" s="76"/>
      <c r="AQ87" s="76"/>
      <c r="AW87" s="78"/>
      <c r="BB87" s="78"/>
    </row>
    <row r="88" spans="1:54" s="77" customFormat="1" hidden="1" x14ac:dyDescent="0.2">
      <c r="A88" s="73"/>
      <c r="B88" s="73"/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73"/>
      <c r="AD88" s="73"/>
      <c r="AE88" s="73"/>
      <c r="AF88" s="74"/>
      <c r="AG88" s="75"/>
      <c r="AH88" s="75"/>
      <c r="AI88" s="75"/>
      <c r="AJ88" s="75"/>
      <c r="AK88" s="75"/>
      <c r="AL88" s="75"/>
      <c r="AM88" s="75"/>
      <c r="AN88" s="76"/>
      <c r="AO88" s="76"/>
      <c r="AP88" s="76"/>
      <c r="AQ88" s="76"/>
      <c r="AW88" s="78"/>
      <c r="BB88" s="78"/>
    </row>
    <row r="89" spans="1:54" s="62" customFormat="1" x14ac:dyDescent="0.2">
      <c r="A89" s="703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703"/>
      <c r="C89" s="703"/>
      <c r="D89" s="703"/>
      <c r="E89" s="703"/>
      <c r="F89" s="703"/>
      <c r="G89" s="703"/>
      <c r="H89" s="703"/>
      <c r="I89" s="703"/>
      <c r="J89" s="703"/>
      <c r="K89" s="703"/>
      <c r="L89" s="703"/>
      <c r="M89" s="703"/>
      <c r="N89" s="703"/>
      <c r="O89" s="703"/>
      <c r="P89" s="703"/>
      <c r="Q89" s="703"/>
      <c r="R89" s="703"/>
      <c r="S89" s="703"/>
      <c r="T89" s="703"/>
      <c r="U89" s="703"/>
      <c r="V89" s="703"/>
      <c r="W89" s="703"/>
      <c r="X89" s="703"/>
      <c r="Y89" s="703"/>
      <c r="Z89" s="703"/>
      <c r="AA89" s="703"/>
      <c r="AB89" s="703"/>
      <c r="AC89" s="703"/>
      <c r="AD89" s="703"/>
      <c r="AE89" s="703"/>
      <c r="AF89" s="703"/>
      <c r="AG89" s="703"/>
      <c r="AH89" s="703"/>
      <c r="AI89" s="703"/>
      <c r="AJ89" s="703"/>
      <c r="AK89" s="703"/>
      <c r="AL89" s="703"/>
      <c r="AM89" s="703"/>
      <c r="AN89" s="681"/>
      <c r="AO89" s="681"/>
      <c r="AP89" s="681"/>
      <c r="AQ89" s="681"/>
      <c r="AW89" s="65"/>
    </row>
    <row r="90" spans="1:54" s="62" customFormat="1" ht="13.5" thickBot="1" x14ac:dyDescent="0.25">
      <c r="A90" s="704"/>
      <c r="B90" s="704"/>
      <c r="C90" s="704"/>
      <c r="D90" s="704"/>
      <c r="E90" s="704"/>
      <c r="F90" s="704"/>
      <c r="G90" s="704"/>
      <c r="H90" s="704"/>
      <c r="I90" s="704"/>
      <c r="J90" s="704"/>
      <c r="K90" s="704"/>
      <c r="L90" s="704"/>
      <c r="M90" s="704"/>
      <c r="N90" s="704"/>
      <c r="O90" s="704"/>
      <c r="P90" s="704"/>
      <c r="Q90" s="704"/>
      <c r="R90" s="704"/>
      <c r="S90" s="704"/>
      <c r="T90" s="704"/>
      <c r="U90" s="704"/>
      <c r="V90" s="704"/>
      <c r="W90" s="704"/>
      <c r="X90" s="704"/>
      <c r="Y90" s="704"/>
      <c r="Z90" s="704"/>
      <c r="AA90" s="704"/>
      <c r="AB90" s="704"/>
      <c r="AC90" s="704"/>
      <c r="AD90" s="704"/>
      <c r="AE90" s="704"/>
      <c r="AF90" s="704"/>
      <c r="AG90" s="704"/>
      <c r="AH90" s="704"/>
      <c r="AI90" s="704"/>
      <c r="AJ90" s="704"/>
      <c r="AK90" s="704"/>
      <c r="AL90" s="704"/>
      <c r="AM90" s="704"/>
      <c r="AN90" s="704"/>
      <c r="AO90" s="704"/>
      <c r="AP90" s="704"/>
      <c r="AQ90" s="704"/>
      <c r="AW90" s="65"/>
    </row>
    <row r="91" spans="1:54" ht="24" customHeight="1" thickBot="1" x14ac:dyDescent="0.25">
      <c r="A91" s="21" t="s">
        <v>33</v>
      </c>
      <c r="B91" s="22" t="s">
        <v>117</v>
      </c>
      <c r="C91" s="775" t="s">
        <v>35</v>
      </c>
      <c r="D91" s="776"/>
      <c r="E91" s="776"/>
      <c r="F91" s="776"/>
      <c r="G91" s="776"/>
      <c r="H91" s="777"/>
      <c r="I91" s="778">
        <v>2</v>
      </c>
      <c r="J91" s="779"/>
      <c r="K91" s="780" t="str">
        <f>"Pool "&amp;B91&amp;" - Round 1 - Court "&amp;I91</f>
        <v>Pool B - Round 1 - Court 2</v>
      </c>
      <c r="L91" s="781"/>
      <c r="M91" s="781"/>
      <c r="N91" s="781"/>
      <c r="O91" s="781"/>
      <c r="P91" s="781"/>
      <c r="Q91" s="781"/>
      <c r="R91" s="781"/>
      <c r="S91" s="781"/>
      <c r="T91" s="781"/>
      <c r="U91" s="781"/>
      <c r="V91" s="781"/>
      <c r="W91" s="781"/>
      <c r="X91" s="781"/>
      <c r="Y91" s="781"/>
      <c r="Z91" s="781"/>
      <c r="AA91" s="781"/>
      <c r="AB91" s="781"/>
      <c r="AC91" s="781"/>
      <c r="AD91" s="781"/>
      <c r="AE91" s="781"/>
      <c r="AF91" s="781"/>
      <c r="AG91" s="781"/>
      <c r="AH91" s="781"/>
      <c r="AI91" s="782"/>
      <c r="AJ91" s="7"/>
      <c r="AK91" s="7"/>
      <c r="AL91" s="7"/>
      <c r="AM91" s="7"/>
      <c r="AN91" s="7"/>
      <c r="AO91" s="7"/>
      <c r="AP91" s="7"/>
      <c r="AQ91" s="7"/>
    </row>
    <row r="92" spans="1:54" ht="27" customHeight="1" thickBot="1" x14ac:dyDescent="0.25">
      <c r="A92" s="23" t="s">
        <v>38</v>
      </c>
      <c r="B92" s="783" t="s">
        <v>10</v>
      </c>
      <c r="C92" s="784"/>
      <c r="D92" s="784"/>
      <c r="E92" s="784"/>
      <c r="F92" s="784"/>
      <c r="G92" s="784"/>
      <c r="H92" s="784"/>
      <c r="I92" s="784"/>
      <c r="J92" s="784"/>
      <c r="K92" s="784"/>
      <c r="L92" s="783" t="str">
        <f>IF($AK95=0,"Games Won","Matches Won")</f>
        <v>Games Won</v>
      </c>
      <c r="M92" s="784"/>
      <c r="N92" s="784"/>
      <c r="O92" s="784"/>
      <c r="P92" s="784"/>
      <c r="Q92" s="785"/>
      <c r="R92" s="783" t="str">
        <f>IF($AK95=0,"Games Lost","Matches Lost")</f>
        <v>Games Lost</v>
      </c>
      <c r="S92" s="786"/>
      <c r="T92" s="786"/>
      <c r="U92" s="786"/>
      <c r="V92" s="787"/>
      <c r="W92" s="788" t="s">
        <v>39</v>
      </c>
      <c r="X92" s="789"/>
      <c r="Y92" s="790"/>
      <c r="Z92" s="788" t="s">
        <v>40</v>
      </c>
      <c r="AA92" s="789"/>
      <c r="AB92" s="790"/>
      <c r="AC92" s="791" t="s">
        <v>41</v>
      </c>
      <c r="AD92" s="792"/>
      <c r="AE92" s="793"/>
      <c r="AF92" s="24" t="s">
        <v>42</v>
      </c>
      <c r="AG92" s="25" t="s">
        <v>9</v>
      </c>
      <c r="AH92" s="773" t="s">
        <v>43</v>
      </c>
      <c r="AI92" s="774"/>
      <c r="AJ92" s="26"/>
      <c r="AK92" s="27">
        <v>2</v>
      </c>
      <c r="AL92" s="28" t="s">
        <v>44</v>
      </c>
      <c r="AM92" s="28"/>
      <c r="AN92" s="28"/>
      <c r="AO92" s="28"/>
      <c r="AP92" s="28"/>
      <c r="AQ92" s="28"/>
      <c r="AR92" s="29"/>
    </row>
    <row r="93" spans="1:54" ht="18.75" customHeight="1" x14ac:dyDescent="0.2">
      <c r="A93" s="742" t="str">
        <f>IF($AK94&gt;0,"1","")</f>
        <v>1</v>
      </c>
      <c r="B93" s="770" t="s">
        <v>10</v>
      </c>
      <c r="C93" s="771"/>
      <c r="D93" s="772"/>
      <c r="E93" s="746" t="str">
        <f>AU4</f>
        <v>Coastal 17 Cyclones</v>
      </c>
      <c r="F93" s="747"/>
      <c r="G93" s="747"/>
      <c r="H93" s="747"/>
      <c r="I93" s="747"/>
      <c r="J93" s="747"/>
      <c r="K93" s="748"/>
      <c r="L93" s="749">
        <f>IF($AK95=0,AF149,AF131)</f>
        <v>4</v>
      </c>
      <c r="M93" s="750"/>
      <c r="N93" s="750"/>
      <c r="O93" s="750"/>
      <c r="P93" s="750"/>
      <c r="Q93" s="785"/>
      <c r="R93" s="749">
        <f>IF($AK95=0,AG149,AG131)</f>
        <v>4</v>
      </c>
      <c r="S93" s="750"/>
      <c r="T93" s="750"/>
      <c r="U93" s="750"/>
      <c r="V93" s="750"/>
      <c r="W93" s="749">
        <f>AQ109</f>
        <v>-15</v>
      </c>
      <c r="X93" s="750"/>
      <c r="Y93" s="750"/>
      <c r="Z93" s="722">
        <f>IF(AF143&gt;0,(AQ109/AF143),0)</f>
        <v>-7.4257425742574254E-2</v>
      </c>
      <c r="AA93" s="723"/>
      <c r="AB93" s="723"/>
      <c r="AC93" s="726">
        <f>IF(AF157=0,0,(AF149/AF157))</f>
        <v>0.5</v>
      </c>
      <c r="AD93" s="727"/>
      <c r="AE93" s="728"/>
      <c r="AF93" s="732">
        <v>3</v>
      </c>
      <c r="AG93" s="732">
        <v>1</v>
      </c>
      <c r="AH93" s="734"/>
      <c r="AI93" s="735"/>
      <c r="AJ93" s="26"/>
      <c r="AK93" s="27">
        <v>10</v>
      </c>
      <c r="AL93" s="28" t="s">
        <v>47</v>
      </c>
      <c r="AM93" s="28"/>
      <c r="AN93" s="28"/>
      <c r="AO93" s="28"/>
      <c r="AP93" s="28"/>
      <c r="AQ93" s="28"/>
      <c r="AR93" s="29"/>
    </row>
    <row r="94" spans="1:54" ht="18.75" customHeight="1" thickBot="1" x14ac:dyDescent="0.25">
      <c r="A94" s="743"/>
      <c r="B94" s="767" t="s">
        <v>11</v>
      </c>
      <c r="C94" s="768"/>
      <c r="D94" s="769"/>
      <c r="E94" s="763" t="str">
        <f>AV4</f>
        <v>fj7ccoas1pm</v>
      </c>
      <c r="F94" s="764"/>
      <c r="G94" s="764"/>
      <c r="H94" s="764"/>
      <c r="I94" s="764"/>
      <c r="J94" s="764"/>
      <c r="K94" s="764"/>
      <c r="L94" s="765"/>
      <c r="M94" s="766"/>
      <c r="N94" s="766"/>
      <c r="O94" s="766"/>
      <c r="P94" s="766"/>
      <c r="Q94" s="785"/>
      <c r="R94" s="765"/>
      <c r="S94" s="766"/>
      <c r="T94" s="766"/>
      <c r="U94" s="766"/>
      <c r="V94" s="766"/>
      <c r="W94" s="765"/>
      <c r="X94" s="766"/>
      <c r="Y94" s="766"/>
      <c r="Z94" s="753"/>
      <c r="AA94" s="754"/>
      <c r="AB94" s="754"/>
      <c r="AC94" s="755"/>
      <c r="AD94" s="756"/>
      <c r="AE94" s="757"/>
      <c r="AF94" s="758"/>
      <c r="AG94" s="758"/>
      <c r="AH94" s="759"/>
      <c r="AI94" s="760"/>
      <c r="AJ94" s="26"/>
      <c r="AK94" s="27">
        <v>5</v>
      </c>
      <c r="AL94" s="28" t="s">
        <v>50</v>
      </c>
      <c r="AM94" s="26"/>
      <c r="AN94" s="26"/>
      <c r="AO94" s="26"/>
      <c r="AP94" s="26"/>
      <c r="AQ94" s="26"/>
      <c r="AR94" s="3"/>
    </row>
    <row r="95" spans="1:54" ht="18.75" customHeight="1" x14ac:dyDescent="0.2">
      <c r="A95" s="742" t="str">
        <f>IF($AK94&gt;1,"2","")</f>
        <v>2</v>
      </c>
      <c r="B95" s="770" t="s">
        <v>10</v>
      </c>
      <c r="C95" s="771"/>
      <c r="D95" s="772"/>
      <c r="E95" s="746" t="str">
        <f>AU5</f>
        <v>V-1 Academy SAV 17 Jon</v>
      </c>
      <c r="F95" s="747"/>
      <c r="G95" s="747"/>
      <c r="H95" s="747"/>
      <c r="I95" s="747"/>
      <c r="J95" s="747"/>
      <c r="K95" s="748"/>
      <c r="L95" s="749">
        <f>IF($AK95=0,AF150,AF132)</f>
        <v>6</v>
      </c>
      <c r="M95" s="750"/>
      <c r="N95" s="750"/>
      <c r="O95" s="750"/>
      <c r="P95" s="750"/>
      <c r="Q95" s="785"/>
      <c r="R95" s="749">
        <f>IF($AK95=0,AG150,AG132)</f>
        <v>2</v>
      </c>
      <c r="S95" s="750"/>
      <c r="T95" s="750"/>
      <c r="U95" s="750"/>
      <c r="V95" s="750"/>
      <c r="W95" s="749">
        <f>AQ110</f>
        <v>37</v>
      </c>
      <c r="X95" s="750"/>
      <c r="Y95" s="750"/>
      <c r="Z95" s="722">
        <f>IF(AF144&gt;0,(AQ110/AF144),0)</f>
        <v>0.185</v>
      </c>
      <c r="AA95" s="723"/>
      <c r="AB95" s="723"/>
      <c r="AC95" s="726">
        <f>IF(AF158=0,0,(AF150/AF158))</f>
        <v>0.75</v>
      </c>
      <c r="AD95" s="727"/>
      <c r="AE95" s="728"/>
      <c r="AF95" s="732">
        <v>1</v>
      </c>
      <c r="AG95" s="732">
        <v>1</v>
      </c>
      <c r="AH95" s="734"/>
      <c r="AI95" s="735"/>
      <c r="AJ95" s="26"/>
      <c r="AK95" s="27">
        <v>0</v>
      </c>
      <c r="AL95" s="28" t="s">
        <v>53</v>
      </c>
      <c r="AM95" s="28"/>
      <c r="AN95" s="28"/>
      <c r="AO95" s="28"/>
      <c r="AP95" s="28"/>
      <c r="AQ95" s="28"/>
      <c r="AR95" s="29"/>
    </row>
    <row r="96" spans="1:54" ht="18.75" customHeight="1" thickBot="1" x14ac:dyDescent="0.25">
      <c r="A96" s="743"/>
      <c r="B96" s="761" t="s">
        <v>11</v>
      </c>
      <c r="C96" s="762"/>
      <c r="D96" s="762"/>
      <c r="E96" s="763" t="str">
        <f>AV5</f>
        <v>fj7vosav1so</v>
      </c>
      <c r="F96" s="764"/>
      <c r="G96" s="764"/>
      <c r="H96" s="764"/>
      <c r="I96" s="764"/>
      <c r="J96" s="764"/>
      <c r="K96" s="764"/>
      <c r="L96" s="765"/>
      <c r="M96" s="766"/>
      <c r="N96" s="766"/>
      <c r="O96" s="766"/>
      <c r="P96" s="766"/>
      <c r="Q96" s="785"/>
      <c r="R96" s="765"/>
      <c r="S96" s="766"/>
      <c r="T96" s="766"/>
      <c r="U96" s="766"/>
      <c r="V96" s="766"/>
      <c r="W96" s="765"/>
      <c r="X96" s="766"/>
      <c r="Y96" s="766"/>
      <c r="Z96" s="753"/>
      <c r="AA96" s="754"/>
      <c r="AB96" s="754"/>
      <c r="AC96" s="755"/>
      <c r="AD96" s="756"/>
      <c r="AE96" s="757"/>
      <c r="AF96" s="758"/>
      <c r="AG96" s="758"/>
      <c r="AH96" s="759"/>
      <c r="AI96" s="760"/>
      <c r="AJ96" s="26"/>
      <c r="AK96" s="27">
        <v>1</v>
      </c>
      <c r="AL96" s="28" t="s">
        <v>56</v>
      </c>
      <c r="AM96" s="26"/>
      <c r="AN96" s="26"/>
      <c r="AO96" s="26"/>
      <c r="AP96" s="26"/>
      <c r="AQ96" s="26"/>
      <c r="AR96" s="3"/>
    </row>
    <row r="97" spans="1:44" ht="18.75" customHeight="1" x14ac:dyDescent="0.2">
      <c r="A97" s="742" t="str">
        <f>IF($AK94&gt;2,"3","")</f>
        <v>3</v>
      </c>
      <c r="B97" s="744" t="s">
        <v>10</v>
      </c>
      <c r="C97" s="745"/>
      <c r="D97" s="745"/>
      <c r="E97" s="746" t="str">
        <f>AU8</f>
        <v>Magnum Aiken 17 Yellow</v>
      </c>
      <c r="F97" s="747"/>
      <c r="G97" s="747"/>
      <c r="H97" s="747"/>
      <c r="I97" s="747"/>
      <c r="J97" s="747"/>
      <c r="K97" s="748"/>
      <c r="L97" s="749">
        <f>IF($AK95=0,AF151,AF133)</f>
        <v>2</v>
      </c>
      <c r="M97" s="750"/>
      <c r="N97" s="750"/>
      <c r="O97" s="750"/>
      <c r="P97" s="750"/>
      <c r="Q97" s="785"/>
      <c r="R97" s="749">
        <f>IF($AK95=0,AG151,AG133)</f>
        <v>6</v>
      </c>
      <c r="S97" s="750"/>
      <c r="T97" s="750"/>
      <c r="U97" s="750"/>
      <c r="V97" s="750"/>
      <c r="W97" s="749">
        <f>AQ111</f>
        <v>-28</v>
      </c>
      <c r="X97" s="750"/>
      <c r="Y97" s="750"/>
      <c r="Z97" s="722">
        <f>IF(AF145&gt;0,(AQ111/AF145),0)</f>
        <v>-0.14000000000000001</v>
      </c>
      <c r="AA97" s="723"/>
      <c r="AB97" s="723"/>
      <c r="AC97" s="726">
        <f>IF(AF159=0,0,(AF151/AF159))</f>
        <v>0.25</v>
      </c>
      <c r="AD97" s="727"/>
      <c r="AE97" s="728"/>
      <c r="AF97" s="732">
        <v>5</v>
      </c>
      <c r="AG97" s="732">
        <v>1</v>
      </c>
      <c r="AH97" s="734"/>
      <c r="AI97" s="735"/>
      <c r="AJ97" s="30"/>
      <c r="AK97" s="27">
        <v>8</v>
      </c>
      <c r="AL97" s="31" t="s">
        <v>59</v>
      </c>
      <c r="AM97" s="28"/>
      <c r="AN97" s="28"/>
      <c r="AO97" s="28"/>
      <c r="AP97" s="28"/>
      <c r="AQ97" s="28"/>
      <c r="AR97" s="29"/>
    </row>
    <row r="98" spans="1:44" ht="18.75" customHeight="1" thickBot="1" x14ac:dyDescent="0.25">
      <c r="A98" s="743"/>
      <c r="B98" s="761" t="s">
        <v>11</v>
      </c>
      <c r="C98" s="762"/>
      <c r="D98" s="762"/>
      <c r="E98" s="763" t="str">
        <f>AV8</f>
        <v>fj7magnm3pm</v>
      </c>
      <c r="F98" s="764"/>
      <c r="G98" s="764"/>
      <c r="H98" s="764"/>
      <c r="I98" s="764"/>
      <c r="J98" s="764"/>
      <c r="K98" s="764"/>
      <c r="L98" s="765"/>
      <c r="M98" s="766"/>
      <c r="N98" s="766"/>
      <c r="O98" s="766"/>
      <c r="P98" s="766"/>
      <c r="Q98" s="785"/>
      <c r="R98" s="765"/>
      <c r="S98" s="766"/>
      <c r="T98" s="766"/>
      <c r="U98" s="766"/>
      <c r="V98" s="766"/>
      <c r="W98" s="765"/>
      <c r="X98" s="766"/>
      <c r="Y98" s="766"/>
      <c r="Z98" s="753"/>
      <c r="AA98" s="754"/>
      <c r="AB98" s="754"/>
      <c r="AC98" s="755"/>
      <c r="AD98" s="756"/>
      <c r="AE98" s="757"/>
      <c r="AF98" s="758"/>
      <c r="AG98" s="758"/>
      <c r="AH98" s="759"/>
      <c r="AI98" s="760"/>
      <c r="AJ98" s="30"/>
      <c r="AK98" s="35"/>
      <c r="AL98" s="36"/>
      <c r="AM98" s="36"/>
      <c r="AN98" s="36"/>
      <c r="AO98" s="36"/>
      <c r="AP98" s="36"/>
      <c r="AQ98" s="26"/>
      <c r="AR98" s="3"/>
    </row>
    <row r="99" spans="1:44" ht="18.75" customHeight="1" x14ac:dyDescent="0.2">
      <c r="A99" s="742" t="str">
        <f>IF($AK94&gt;3,"4","")</f>
        <v>4</v>
      </c>
      <c r="B99" s="744" t="s">
        <v>10</v>
      </c>
      <c r="C99" s="745"/>
      <c r="D99" s="745"/>
      <c r="E99" s="746" t="str">
        <f>AU9</f>
        <v>Magnum Greenwood 17 Gold</v>
      </c>
      <c r="F99" s="747"/>
      <c r="G99" s="747"/>
      <c r="H99" s="747"/>
      <c r="I99" s="747"/>
      <c r="J99" s="747"/>
      <c r="K99" s="748"/>
      <c r="L99" s="749">
        <f>IF($AK95=0,AF152,AF134)</f>
        <v>3</v>
      </c>
      <c r="M99" s="750"/>
      <c r="N99" s="750"/>
      <c r="O99" s="750"/>
      <c r="P99" s="750"/>
      <c r="Q99" s="785"/>
      <c r="R99" s="749">
        <f>IF($AK95=0,AG152,AG134)</f>
        <v>5</v>
      </c>
      <c r="S99" s="750"/>
      <c r="T99" s="750"/>
      <c r="U99" s="750"/>
      <c r="V99" s="750"/>
      <c r="W99" s="749">
        <f>AQ112</f>
        <v>-8</v>
      </c>
      <c r="X99" s="750"/>
      <c r="Y99" s="750"/>
      <c r="Z99" s="722">
        <f>IF(AF146&gt;0,(AQ112/AF146),0)</f>
        <v>-0.04</v>
      </c>
      <c r="AA99" s="723"/>
      <c r="AB99" s="723"/>
      <c r="AC99" s="726">
        <f>IF(AF160=0,0,(AF152/AF160))</f>
        <v>0.375</v>
      </c>
      <c r="AD99" s="727"/>
      <c r="AE99" s="728"/>
      <c r="AF99" s="732">
        <v>4</v>
      </c>
      <c r="AG99" s="732">
        <v>1</v>
      </c>
      <c r="AH99" s="734"/>
      <c r="AI99" s="735"/>
      <c r="AJ99" s="7"/>
      <c r="AK99" s="36"/>
      <c r="AL99" s="36"/>
      <c r="AM99" s="36"/>
      <c r="AN99" s="36"/>
      <c r="AO99" s="36"/>
      <c r="AP99" s="36"/>
      <c r="AQ99" s="28"/>
      <c r="AR99" s="29"/>
    </row>
    <row r="100" spans="1:44" ht="18.75" customHeight="1" thickBot="1" x14ac:dyDescent="0.25">
      <c r="A100" s="743"/>
      <c r="B100" s="761" t="s">
        <v>11</v>
      </c>
      <c r="C100" s="762"/>
      <c r="D100" s="762"/>
      <c r="E100" s="763" t="str">
        <f>AV9</f>
        <v>fj7magnm4pm</v>
      </c>
      <c r="F100" s="764"/>
      <c r="G100" s="764"/>
      <c r="H100" s="764"/>
      <c r="I100" s="764"/>
      <c r="J100" s="764"/>
      <c r="K100" s="764"/>
      <c r="L100" s="765"/>
      <c r="M100" s="766"/>
      <c r="N100" s="766"/>
      <c r="O100" s="766"/>
      <c r="P100" s="766"/>
      <c r="Q100" s="785"/>
      <c r="R100" s="765"/>
      <c r="S100" s="766"/>
      <c r="T100" s="766"/>
      <c r="U100" s="766"/>
      <c r="V100" s="766"/>
      <c r="W100" s="765"/>
      <c r="X100" s="766"/>
      <c r="Y100" s="766"/>
      <c r="Z100" s="753"/>
      <c r="AA100" s="754"/>
      <c r="AB100" s="754"/>
      <c r="AC100" s="755"/>
      <c r="AD100" s="756"/>
      <c r="AE100" s="757"/>
      <c r="AF100" s="758"/>
      <c r="AG100" s="758"/>
      <c r="AH100" s="759"/>
      <c r="AI100" s="760"/>
      <c r="AJ100" s="7"/>
      <c r="AK100" s="36"/>
      <c r="AL100" s="36"/>
      <c r="AM100" s="36"/>
      <c r="AN100" s="36"/>
      <c r="AO100" s="36"/>
      <c r="AP100" s="36"/>
      <c r="AQ100" s="7"/>
      <c r="AR100" s="3"/>
    </row>
    <row r="101" spans="1:44" ht="18.75" customHeight="1" x14ac:dyDescent="0.2">
      <c r="A101" s="742" t="str">
        <f>IF($AK94&gt;4,"5","")</f>
        <v>5</v>
      </c>
      <c r="B101" s="744" t="s">
        <v>10</v>
      </c>
      <c r="C101" s="745"/>
      <c r="D101" s="745"/>
      <c r="E101" s="746" t="str">
        <f>AU12</f>
        <v>Sumter VBC 17</v>
      </c>
      <c r="F101" s="747"/>
      <c r="G101" s="747"/>
      <c r="H101" s="747"/>
      <c r="I101" s="747"/>
      <c r="J101" s="747"/>
      <c r="K101" s="748"/>
      <c r="L101" s="749">
        <f>IF($AK95=0,AF153,AF135)</f>
        <v>5</v>
      </c>
      <c r="M101" s="750"/>
      <c r="N101" s="750"/>
      <c r="O101" s="750"/>
      <c r="P101" s="750"/>
      <c r="Q101" s="785"/>
      <c r="R101" s="749">
        <f>IF($AK95=0,AG153,AG135)</f>
        <v>3</v>
      </c>
      <c r="S101" s="750"/>
      <c r="T101" s="750"/>
      <c r="U101" s="750"/>
      <c r="V101" s="750"/>
      <c r="W101" s="749">
        <f>AQ113</f>
        <v>14</v>
      </c>
      <c r="X101" s="750"/>
      <c r="Y101" s="750"/>
      <c r="Z101" s="722">
        <f>IF(AF147&gt;0,(AQ113/AF147),0)</f>
        <v>6.9306930693069313E-2</v>
      </c>
      <c r="AA101" s="723"/>
      <c r="AB101" s="723"/>
      <c r="AC101" s="726">
        <f>IF(AF161=0,0,(AF153/AF161))</f>
        <v>0.625</v>
      </c>
      <c r="AD101" s="727"/>
      <c r="AE101" s="728"/>
      <c r="AF101" s="732">
        <v>2</v>
      </c>
      <c r="AG101" s="732">
        <v>1</v>
      </c>
      <c r="AH101" s="734"/>
      <c r="AI101" s="735"/>
      <c r="AJ101" s="7"/>
      <c r="AK101" s="36"/>
      <c r="AL101" s="36"/>
      <c r="AM101" s="36"/>
      <c r="AN101" s="36"/>
      <c r="AO101" s="36"/>
      <c r="AP101" s="36"/>
      <c r="AQ101" s="7"/>
      <c r="AR101" s="3"/>
    </row>
    <row r="102" spans="1:44" ht="18.75" customHeight="1" thickBot="1" x14ac:dyDescent="0.25">
      <c r="A102" s="743"/>
      <c r="B102" s="738" t="s">
        <v>11</v>
      </c>
      <c r="C102" s="739"/>
      <c r="D102" s="739"/>
      <c r="E102" s="740" t="str">
        <f>AV12</f>
        <v>fj7sumtr1pm</v>
      </c>
      <c r="F102" s="741"/>
      <c r="G102" s="741"/>
      <c r="H102" s="741"/>
      <c r="I102" s="741"/>
      <c r="J102" s="741"/>
      <c r="K102" s="741"/>
      <c r="L102" s="751"/>
      <c r="M102" s="752"/>
      <c r="N102" s="752"/>
      <c r="O102" s="752"/>
      <c r="P102" s="752"/>
      <c r="Q102" s="785"/>
      <c r="R102" s="751"/>
      <c r="S102" s="752"/>
      <c r="T102" s="752"/>
      <c r="U102" s="752"/>
      <c r="V102" s="752"/>
      <c r="W102" s="751"/>
      <c r="X102" s="752"/>
      <c r="Y102" s="752"/>
      <c r="Z102" s="724"/>
      <c r="AA102" s="725"/>
      <c r="AB102" s="725"/>
      <c r="AC102" s="729"/>
      <c r="AD102" s="730"/>
      <c r="AE102" s="731"/>
      <c r="AF102" s="733"/>
      <c r="AG102" s="733"/>
      <c r="AH102" s="736"/>
      <c r="AI102" s="737"/>
      <c r="AJ102" s="7"/>
      <c r="AK102" s="36"/>
      <c r="AL102" s="36"/>
      <c r="AM102" s="36"/>
      <c r="AN102" s="36"/>
      <c r="AO102" s="36"/>
      <c r="AP102" s="36"/>
      <c r="AQ102" s="7"/>
      <c r="AR102" s="3"/>
    </row>
    <row r="103" spans="1:44" ht="21" customHeight="1" thickTop="1" thickBot="1" x14ac:dyDescent="0.25">
      <c r="A103" s="39"/>
      <c r="B103" s="719" t="s">
        <v>63</v>
      </c>
      <c r="C103" s="720"/>
      <c r="D103" s="720"/>
      <c r="E103" s="720"/>
      <c r="F103" s="720"/>
      <c r="G103" s="720"/>
      <c r="H103" s="720"/>
      <c r="I103" s="720"/>
      <c r="J103" s="720"/>
      <c r="K103" s="720"/>
      <c r="L103" s="720"/>
      <c r="M103" s="720"/>
      <c r="N103" s="720"/>
      <c r="O103" s="720"/>
      <c r="P103" s="720"/>
      <c r="Q103" s="720"/>
      <c r="R103" s="720"/>
      <c r="S103" s="720"/>
      <c r="T103" s="720"/>
      <c r="U103" s="720"/>
      <c r="V103" s="720"/>
      <c r="W103" s="720"/>
      <c r="X103" s="720"/>
      <c r="Y103" s="720"/>
      <c r="Z103" s="720"/>
      <c r="AA103" s="720"/>
      <c r="AB103" s="720"/>
      <c r="AC103" s="720"/>
      <c r="AD103" s="720"/>
      <c r="AE103" s="720"/>
      <c r="AF103" s="720"/>
      <c r="AG103" s="720"/>
      <c r="AH103" s="720"/>
      <c r="AI103" s="721"/>
      <c r="AJ103" s="7"/>
      <c r="AK103" s="36"/>
      <c r="AL103" s="36"/>
      <c r="AM103" s="36"/>
      <c r="AN103" s="36"/>
      <c r="AO103" s="36"/>
      <c r="AP103" s="36"/>
      <c r="AQ103" s="7"/>
      <c r="AR103" s="3"/>
    </row>
    <row r="104" spans="1:44" ht="13.5" thickTop="1" x14ac:dyDescent="0.2">
      <c r="A104" s="4" t="s">
        <v>64</v>
      </c>
      <c r="B104" s="708">
        <v>0.375</v>
      </c>
      <c r="C104" s="709"/>
      <c r="D104" s="710"/>
      <c r="E104" s="708">
        <v>0.40625</v>
      </c>
      <c r="F104" s="709"/>
      <c r="G104" s="710"/>
      <c r="H104" s="708">
        <v>0.4375</v>
      </c>
      <c r="I104" s="709"/>
      <c r="J104" s="710"/>
      <c r="K104" s="708">
        <v>0.46875</v>
      </c>
      <c r="L104" s="709"/>
      <c r="M104" s="710"/>
      <c r="N104" s="708">
        <v>0.5</v>
      </c>
      <c r="O104" s="709"/>
      <c r="P104" s="710"/>
      <c r="Q104" s="708">
        <v>0.53125</v>
      </c>
      <c r="R104" s="709"/>
      <c r="S104" s="710"/>
      <c r="T104" s="708">
        <v>6.25E-2</v>
      </c>
      <c r="U104" s="709"/>
      <c r="V104" s="710"/>
      <c r="W104" s="708">
        <v>9.375E-2</v>
      </c>
      <c r="X104" s="709"/>
      <c r="Y104" s="710"/>
      <c r="Z104" s="708">
        <v>0.125</v>
      </c>
      <c r="AA104" s="709"/>
      <c r="AB104" s="710"/>
      <c r="AC104" s="708">
        <v>0.15625</v>
      </c>
      <c r="AD104" s="709"/>
      <c r="AE104" s="710"/>
      <c r="AF104" s="711" t="s">
        <v>65</v>
      </c>
      <c r="AG104" s="712"/>
      <c r="AH104" s="712"/>
      <c r="AI104" s="712"/>
      <c r="AJ104" s="713"/>
      <c r="AK104" s="713"/>
      <c r="AL104" s="713"/>
      <c r="AM104" s="713"/>
      <c r="AN104" s="713"/>
      <c r="AO104" s="713"/>
      <c r="AP104" s="713"/>
      <c r="AQ104" s="714"/>
    </row>
    <row r="105" spans="1:44" x14ac:dyDescent="0.2">
      <c r="A105" s="40" t="s">
        <v>66</v>
      </c>
      <c r="B105" s="705"/>
      <c r="C105" s="706"/>
      <c r="D105" s="707"/>
      <c r="E105" s="705"/>
      <c r="F105" s="706"/>
      <c r="G105" s="707"/>
      <c r="H105" s="705"/>
      <c r="I105" s="706"/>
      <c r="J105" s="707"/>
      <c r="K105" s="705"/>
      <c r="L105" s="706"/>
      <c r="M105" s="707"/>
      <c r="N105" s="705"/>
      <c r="O105" s="706"/>
      <c r="P105" s="707"/>
      <c r="Q105" s="705"/>
      <c r="R105" s="706"/>
      <c r="S105" s="707"/>
      <c r="T105" s="705"/>
      <c r="U105" s="706"/>
      <c r="V105" s="707"/>
      <c r="W105" s="705"/>
      <c r="X105" s="706"/>
      <c r="Y105" s="707"/>
      <c r="Z105" s="705"/>
      <c r="AA105" s="706"/>
      <c r="AB105" s="707"/>
      <c r="AC105" s="705"/>
      <c r="AD105" s="706"/>
      <c r="AE105" s="707"/>
      <c r="AF105" s="711"/>
      <c r="AG105" s="712"/>
      <c r="AH105" s="712"/>
      <c r="AI105" s="712"/>
      <c r="AJ105" s="712"/>
      <c r="AK105" s="712"/>
      <c r="AL105" s="712"/>
      <c r="AM105" s="712"/>
      <c r="AN105" s="712"/>
      <c r="AO105" s="712"/>
      <c r="AP105" s="712"/>
      <c r="AQ105" s="715"/>
    </row>
    <row r="106" spans="1:44" x14ac:dyDescent="0.2">
      <c r="A106" s="40" t="s">
        <v>67</v>
      </c>
      <c r="B106" s="705"/>
      <c r="C106" s="706"/>
      <c r="D106" s="707"/>
      <c r="E106" s="705"/>
      <c r="F106" s="706"/>
      <c r="G106" s="707"/>
      <c r="H106" s="705"/>
      <c r="I106" s="706"/>
      <c r="J106" s="707"/>
      <c r="K106" s="705"/>
      <c r="L106" s="706"/>
      <c r="M106" s="707"/>
      <c r="N106" s="705"/>
      <c r="O106" s="706"/>
      <c r="P106" s="707"/>
      <c r="Q106" s="705"/>
      <c r="R106" s="706"/>
      <c r="S106" s="707"/>
      <c r="T106" s="705"/>
      <c r="U106" s="706"/>
      <c r="V106" s="707"/>
      <c r="W106" s="705"/>
      <c r="X106" s="706"/>
      <c r="Y106" s="707"/>
      <c r="Z106" s="705"/>
      <c r="AA106" s="706"/>
      <c r="AB106" s="707"/>
      <c r="AC106" s="705"/>
      <c r="AD106" s="706"/>
      <c r="AE106" s="707"/>
      <c r="AF106" s="711"/>
      <c r="AG106" s="712"/>
      <c r="AH106" s="712"/>
      <c r="AI106" s="712"/>
      <c r="AJ106" s="712"/>
      <c r="AK106" s="712"/>
      <c r="AL106" s="712"/>
      <c r="AM106" s="712"/>
      <c r="AN106" s="712"/>
      <c r="AO106" s="712"/>
      <c r="AP106" s="712"/>
      <c r="AQ106" s="715"/>
    </row>
    <row r="107" spans="1:44" ht="13.5" thickBot="1" x14ac:dyDescent="0.25">
      <c r="A107" s="7"/>
      <c r="B107" s="597" t="s">
        <v>68</v>
      </c>
      <c r="C107" s="598"/>
      <c r="D107" s="604"/>
      <c r="E107" s="597" t="str">
        <f>IF(AK93&gt;1,"Match 2","")</f>
        <v>Match 2</v>
      </c>
      <c r="F107" s="598"/>
      <c r="G107" s="604"/>
      <c r="H107" s="597" t="str">
        <f>IF(AK93&gt;2,"Match 3","")</f>
        <v>Match 3</v>
      </c>
      <c r="I107" s="598"/>
      <c r="J107" s="604"/>
      <c r="K107" s="597" t="str">
        <f>IF(AK93&gt;3,"Match 4","")</f>
        <v>Match 4</v>
      </c>
      <c r="L107" s="598"/>
      <c r="M107" s="604"/>
      <c r="N107" s="597" t="str">
        <f>IF(AK93&gt;4,"Match 5","")</f>
        <v>Match 5</v>
      </c>
      <c r="O107" s="598"/>
      <c r="P107" s="604"/>
      <c r="Q107" s="597" t="str">
        <f>IF(AK93&gt;5,"Match 6","")</f>
        <v>Match 6</v>
      </c>
      <c r="R107" s="598"/>
      <c r="S107" s="604"/>
      <c r="T107" s="597" t="str">
        <f>IF(AK93&gt;6,"Match 7","")</f>
        <v>Match 7</v>
      </c>
      <c r="U107" s="598"/>
      <c r="V107" s="604"/>
      <c r="W107" s="597" t="str">
        <f>IF(AK93&gt;7,"Match 8","")</f>
        <v>Match 8</v>
      </c>
      <c r="X107" s="598"/>
      <c r="Y107" s="604"/>
      <c r="Z107" s="597" t="str">
        <f>IF(AK93&gt;8,"Match 9","")</f>
        <v>Match 9</v>
      </c>
      <c r="AA107" s="598"/>
      <c r="AB107" s="604"/>
      <c r="AC107" s="597" t="str">
        <f>IF(AK93&gt;9,"Match 10","")</f>
        <v>Match 10</v>
      </c>
      <c r="AD107" s="598"/>
      <c r="AE107" s="604"/>
      <c r="AF107" s="716"/>
      <c r="AG107" s="717"/>
      <c r="AH107" s="717"/>
      <c r="AI107" s="717"/>
      <c r="AJ107" s="717"/>
      <c r="AK107" s="717"/>
      <c r="AL107" s="717"/>
      <c r="AM107" s="717"/>
      <c r="AN107" s="717"/>
      <c r="AO107" s="717"/>
      <c r="AP107" s="717"/>
      <c r="AQ107" s="718"/>
    </row>
    <row r="108" spans="1:44" ht="15.75" x14ac:dyDescent="0.25">
      <c r="A108" s="7"/>
      <c r="B108" s="699" t="s">
        <v>69</v>
      </c>
      <c r="C108" s="700"/>
      <c r="D108" s="701"/>
      <c r="E108" s="699" t="s">
        <v>70</v>
      </c>
      <c r="F108" s="700"/>
      <c r="G108" s="701"/>
      <c r="H108" s="699" t="s">
        <v>71</v>
      </c>
      <c r="I108" s="700"/>
      <c r="J108" s="701"/>
      <c r="K108" s="699" t="s">
        <v>72</v>
      </c>
      <c r="L108" s="700"/>
      <c r="M108" s="701"/>
      <c r="N108" s="699" t="s">
        <v>73</v>
      </c>
      <c r="O108" s="700"/>
      <c r="P108" s="701"/>
      <c r="Q108" s="699" t="s">
        <v>71</v>
      </c>
      <c r="R108" s="700"/>
      <c r="S108" s="701"/>
      <c r="T108" s="699" t="s">
        <v>69</v>
      </c>
      <c r="U108" s="700"/>
      <c r="V108" s="701"/>
      <c r="W108" s="699" t="s">
        <v>73</v>
      </c>
      <c r="X108" s="700"/>
      <c r="Y108" s="701"/>
      <c r="Z108" s="699" t="s">
        <v>72</v>
      </c>
      <c r="AA108" s="700"/>
      <c r="AB108" s="701"/>
      <c r="AC108" s="699" t="s">
        <v>70</v>
      </c>
      <c r="AD108" s="700"/>
      <c r="AE108" s="701"/>
      <c r="AF108" s="41" t="s">
        <v>74</v>
      </c>
      <c r="AG108" s="42">
        <v>1</v>
      </c>
      <c r="AH108" s="42">
        <v>2</v>
      </c>
      <c r="AI108" s="42">
        <v>3</v>
      </c>
      <c r="AJ108" s="42">
        <v>4</v>
      </c>
      <c r="AK108" s="42">
        <v>5</v>
      </c>
      <c r="AL108" s="42">
        <v>6</v>
      </c>
      <c r="AM108" s="42">
        <v>7</v>
      </c>
      <c r="AN108" s="42">
        <v>8</v>
      </c>
      <c r="AO108" s="42">
        <v>9</v>
      </c>
      <c r="AP108" s="42">
        <v>10</v>
      </c>
      <c r="AQ108" s="43" t="s">
        <v>75</v>
      </c>
    </row>
    <row r="109" spans="1:44" ht="15.75" x14ac:dyDescent="0.25">
      <c r="A109" s="7"/>
      <c r="B109" s="44">
        <v>2</v>
      </c>
      <c r="C109" s="45" t="s">
        <v>76</v>
      </c>
      <c r="D109" s="46">
        <v>5</v>
      </c>
      <c r="E109" s="44">
        <v>1</v>
      </c>
      <c r="F109" s="45" t="str">
        <f>IF(AK93&gt;1,"v","")</f>
        <v>v</v>
      </c>
      <c r="G109" s="46">
        <v>4</v>
      </c>
      <c r="H109" s="44">
        <v>3</v>
      </c>
      <c r="I109" s="45" t="str">
        <f>IF(AK93&gt;2,"v","")</f>
        <v>v</v>
      </c>
      <c r="J109" s="46">
        <v>5</v>
      </c>
      <c r="K109" s="44">
        <v>2</v>
      </c>
      <c r="L109" s="45" t="str">
        <f>IF(AK93&gt;3,"v","")</f>
        <v>v</v>
      </c>
      <c r="M109" s="46">
        <v>4</v>
      </c>
      <c r="N109" s="44">
        <v>1</v>
      </c>
      <c r="O109" s="45" t="str">
        <f>IF(AK93&gt;4,"v","")</f>
        <v>v</v>
      </c>
      <c r="P109" s="46">
        <v>3</v>
      </c>
      <c r="Q109" s="44">
        <v>4</v>
      </c>
      <c r="R109" s="45" t="str">
        <f>IF(AK93&gt;5,"v","")</f>
        <v>v</v>
      </c>
      <c r="S109" s="46">
        <v>5</v>
      </c>
      <c r="T109" s="44">
        <v>2</v>
      </c>
      <c r="U109" s="45" t="str">
        <f>IF(AK93&gt;6,"v","")</f>
        <v>v</v>
      </c>
      <c r="V109" s="46">
        <v>3</v>
      </c>
      <c r="W109" s="44">
        <v>1</v>
      </c>
      <c r="X109" s="45" t="str">
        <f>IF(AK93&gt;7,"v","")</f>
        <v>v</v>
      </c>
      <c r="Y109" s="46">
        <v>5</v>
      </c>
      <c r="Z109" s="44">
        <v>3</v>
      </c>
      <c r="AA109" s="45" t="str">
        <f>IF(AK93&gt;8,"v","")</f>
        <v>v</v>
      </c>
      <c r="AB109" s="46">
        <v>4</v>
      </c>
      <c r="AC109" s="44">
        <v>1</v>
      </c>
      <c r="AD109" s="45" t="str">
        <f>IF(AK93&gt;9,"v","")</f>
        <v>v</v>
      </c>
      <c r="AE109" s="46">
        <v>2</v>
      </c>
      <c r="AF109" s="41" t="str">
        <f>IF(AK94&gt;0,"Team 1","")</f>
        <v>Team 1</v>
      </c>
      <c r="AG109" s="47" t="str">
        <f>IF(AK94&lt;1,"",IF(AK93&lt;1,"",IF(B109=1,B115-D115,IF(D109=1,D115-B115,""))))</f>
        <v/>
      </c>
      <c r="AH109" s="47">
        <f>IF(AK94&lt;1,"",IF(AK93&lt;2,"",IF(E109=1,E115-G115,IF(G109=1,G115-E115,""))))</f>
        <v>12</v>
      </c>
      <c r="AI109" s="47" t="str">
        <f>IF(AK94&lt;1,"",IF(AK93&lt;3,"",IF(H109=1,H115-J115,IF(J109=1,J115-H115,""))))</f>
        <v/>
      </c>
      <c r="AJ109" s="47" t="str">
        <f>IF(AK94&lt;1,"",IF(AK93&lt;4,"",IF(K109=1,K115-M115,IF(M109=1,M115-K115,""))))</f>
        <v/>
      </c>
      <c r="AK109" s="47">
        <f>IF(AK94&lt;1,"",IF(AK93&lt;5,"",IF(N109=1,N115-P115,IF(P109=1,P115-N115,""))))</f>
        <v>-6</v>
      </c>
      <c r="AL109" s="47" t="str">
        <f>IF(AK94&lt;1,"",IF(AK93&lt;6,"",IF(Q109=1,Q115-S115,IF(S109=1,S115-Q115,""))))</f>
        <v/>
      </c>
      <c r="AM109" s="47" t="str">
        <f>IF(AK94&lt;1,"",IF(AK93&lt;7,"",IF(T109=1,T115-V115,IF(V109=1,V115-T115,""))))</f>
        <v/>
      </c>
      <c r="AN109" s="47">
        <f>IF(AK94&lt;1,"",IF(AK93&lt;8,"",IF(W109=1,W115-Y115,IF(Y109=1,Y115-W115,""))))</f>
        <v>-3</v>
      </c>
      <c r="AO109" s="47" t="str">
        <f>IF(AK94&lt;1,"",IF(AK93&lt;9,"",IF(Z109=1,Z115-AB115,IF(AB109=1,AB115-Z115,""))))</f>
        <v/>
      </c>
      <c r="AP109" s="47">
        <f>IF(AK94&lt;1,"",IF(AK93&lt;10,"",IF(AC109=1,AC115-AE115,IF(AE109=1,AE115-AC115,""))))</f>
        <v>-18</v>
      </c>
      <c r="AQ109" s="43">
        <f>SUM(AG109:AP109)</f>
        <v>-15</v>
      </c>
    </row>
    <row r="110" spans="1:44" ht="15" x14ac:dyDescent="0.2">
      <c r="A110" s="4" t="s">
        <v>77</v>
      </c>
      <c r="B110" s="48">
        <v>25</v>
      </c>
      <c r="C110" s="49" t="s">
        <v>78</v>
      </c>
      <c r="D110" s="50">
        <v>19</v>
      </c>
      <c r="E110" s="48">
        <v>25</v>
      </c>
      <c r="F110" s="49" t="str">
        <f>IF(AK93&gt;1,"/","")</f>
        <v>/</v>
      </c>
      <c r="G110" s="50">
        <v>20</v>
      </c>
      <c r="H110" s="48">
        <v>22</v>
      </c>
      <c r="I110" s="49" t="str">
        <f>IF(AK93&gt;2,"/","")</f>
        <v>/</v>
      </c>
      <c r="J110" s="50">
        <v>25</v>
      </c>
      <c r="K110" s="48">
        <v>19</v>
      </c>
      <c r="L110" s="49" t="str">
        <f>IF(AK93&gt;3,"/","")</f>
        <v>/</v>
      </c>
      <c r="M110" s="50">
        <v>25</v>
      </c>
      <c r="N110" s="48">
        <v>25</v>
      </c>
      <c r="O110" s="49" t="str">
        <f>IF(AK93&gt;4,"/","")</f>
        <v>/</v>
      </c>
      <c r="P110" s="50">
        <v>23</v>
      </c>
      <c r="Q110" s="48">
        <v>25</v>
      </c>
      <c r="R110" s="49" t="str">
        <f>IF(AK93&gt;5,"/","")</f>
        <v>/</v>
      </c>
      <c r="S110" s="50">
        <v>22</v>
      </c>
      <c r="T110" s="48">
        <v>25</v>
      </c>
      <c r="U110" s="49" t="str">
        <f>IF(AK93&gt;6,"/","")</f>
        <v>/</v>
      </c>
      <c r="V110" s="50">
        <v>15</v>
      </c>
      <c r="W110" s="48">
        <v>21</v>
      </c>
      <c r="X110" s="49" t="str">
        <f>IF(AK93&gt;7,"/","")</f>
        <v>/</v>
      </c>
      <c r="Y110" s="50">
        <v>25</v>
      </c>
      <c r="Z110" s="48">
        <v>25</v>
      </c>
      <c r="AA110" s="49" t="str">
        <f>IF(AK93&gt;8,"/","")</f>
        <v>/</v>
      </c>
      <c r="AB110" s="50">
        <v>19</v>
      </c>
      <c r="AC110" s="48">
        <v>15</v>
      </c>
      <c r="AD110" s="49" t="str">
        <f>IF(AK93&gt;9,"/","")</f>
        <v>/</v>
      </c>
      <c r="AE110" s="50">
        <v>25</v>
      </c>
      <c r="AF110" s="41" t="str">
        <f>IF(AK94&gt;1,"Team 2","")</f>
        <v>Team 2</v>
      </c>
      <c r="AG110" s="47">
        <f>IF(AK94&lt;2,"",IF(AK93&lt;1,"",IF(B109=2,B115-D115,IF(D109=2,D115-B115,""))))</f>
        <v>-2</v>
      </c>
      <c r="AH110" s="47" t="str">
        <f>IF(AK94&lt;2,"",IF(AK93&lt;2,"",IF(E109=2,E115-G115,IF(G109=2,G115-E115,""))))</f>
        <v/>
      </c>
      <c r="AI110" s="47" t="str">
        <f>IF(AK94&lt;2,"",IF(AK93&lt;3,"",IF(H109=2,H115-J115,IF(J109=2,J115-H115,""))))</f>
        <v/>
      </c>
      <c r="AJ110" s="47">
        <f>IF(AK94&lt;2,"",IF(AK93&lt;4,"",IF(K109=2,K115-M115,IF(M109=2,M115-K115,""))))</f>
        <v>3</v>
      </c>
      <c r="AK110" s="47" t="str">
        <f>IF(AK94&lt;2,"",IF(AK93&lt;5,"",IF(N109=2,N115-P115,IF(P109=2,P115-N115,""))))</f>
        <v/>
      </c>
      <c r="AL110" s="47" t="str">
        <f>IF(AK94&lt;2,"",IF(AK93&lt;6,"",IF(Q109=2,Q115-S115,IF(S109=2,S115-Q115,""))))</f>
        <v/>
      </c>
      <c r="AM110" s="47">
        <f>IF(AK94&lt;2,"",IF(AK93&lt;7,"",IF(T109=2,T115-V115,IF(V109=2,V115-T115,""))))</f>
        <v>18</v>
      </c>
      <c r="AN110" s="47" t="str">
        <f>IF(AK94&lt;2,"",IF(AK93&lt;8,"",IF(W109=2,W115-Y115,IF(Y109=2,Y115-W115,""))))</f>
        <v/>
      </c>
      <c r="AO110" s="47" t="str">
        <f>IF(AK94&lt;2,"",IF(AK93&lt;9,"",IF(Z109=2,Z115-AB115,IF(AB109=2,AB115-Z115,""))))</f>
        <v/>
      </c>
      <c r="AP110" s="47">
        <f>IF(AK94&lt;2,"",IF(AK93&lt;10,"",IF(AC109=2,AC115-AE115,IF(AE109=2,AE115-AC115,""))))</f>
        <v>18</v>
      </c>
      <c r="AQ110" s="43">
        <f>SUM(AG110:AP110)</f>
        <v>37</v>
      </c>
    </row>
    <row r="111" spans="1:44" ht="15" x14ac:dyDescent="0.2">
      <c r="A111" s="3" t="str">
        <f>IF(AK92&gt;1,"Game 2","")</f>
        <v>Game 2</v>
      </c>
      <c r="B111" s="48">
        <v>17</v>
      </c>
      <c r="C111" s="49" t="s">
        <v>78</v>
      </c>
      <c r="D111" s="50">
        <v>25</v>
      </c>
      <c r="E111" s="48">
        <v>25</v>
      </c>
      <c r="F111" s="49" t="str">
        <f>IF(AK93&gt;1,IF(AK92&gt;1,"/",""),"")</f>
        <v>/</v>
      </c>
      <c r="G111" s="50">
        <v>18</v>
      </c>
      <c r="H111" s="48">
        <v>19</v>
      </c>
      <c r="I111" s="49" t="str">
        <f>IF(AK93&gt;2,IF(AK92&gt;1,"/",""),"")</f>
        <v>/</v>
      </c>
      <c r="J111" s="50">
        <v>25</v>
      </c>
      <c r="K111" s="48">
        <v>25</v>
      </c>
      <c r="L111" s="49" t="str">
        <f>IF(AK93&gt;3,IF(AK92&gt;1,"/",""),"")</f>
        <v>/</v>
      </c>
      <c r="M111" s="50">
        <v>16</v>
      </c>
      <c r="N111" s="48">
        <v>17</v>
      </c>
      <c r="O111" s="49" t="str">
        <f>IF(AK93&gt;4,IF(AK92&gt;1,"/",""),"")</f>
        <v>/</v>
      </c>
      <c r="P111" s="50">
        <v>25</v>
      </c>
      <c r="Q111" s="48">
        <v>22</v>
      </c>
      <c r="R111" s="49" t="str">
        <f>IF(AK93&gt;5,IF(AK92&gt;1,"/",""),"")</f>
        <v>/</v>
      </c>
      <c r="S111" s="50">
        <v>25</v>
      </c>
      <c r="T111" s="48">
        <v>25</v>
      </c>
      <c r="U111" s="49" t="str">
        <f>IF(AK93&gt;6,IF(AK92&gt;1,"/",""),"")</f>
        <v>/</v>
      </c>
      <c r="V111" s="50">
        <v>17</v>
      </c>
      <c r="W111" s="48">
        <v>27</v>
      </c>
      <c r="X111" s="49" t="str">
        <f>IF(AK93&gt;7,IF(AK92&gt;1,"/",""),"")</f>
        <v>/</v>
      </c>
      <c r="Y111" s="50">
        <v>26</v>
      </c>
      <c r="Z111" s="48">
        <v>12</v>
      </c>
      <c r="AA111" s="49" t="str">
        <f>IF(AK93&gt;8,IF(AK92&gt;1,"/",""),"")</f>
        <v>/</v>
      </c>
      <c r="AB111" s="50">
        <v>25</v>
      </c>
      <c r="AC111" s="48">
        <v>17</v>
      </c>
      <c r="AD111" s="49" t="str">
        <f>IF(AK93&gt;9,IF(AK92&gt;1,"/",""),"")</f>
        <v>/</v>
      </c>
      <c r="AE111" s="50">
        <v>25</v>
      </c>
      <c r="AF111" s="41" t="str">
        <f>IF(AK94&gt;2,"Team 3","")</f>
        <v>Team 3</v>
      </c>
      <c r="AG111" s="47" t="str">
        <f>IF(AK94&lt;3,"",IF(AK93&lt;1,"",IF(B109=3,B115-D115,IF(D109=3,D115-B115,""))))</f>
        <v/>
      </c>
      <c r="AH111" s="47" t="str">
        <f>IF(AK94&lt;3,"",IF(AK93&lt;2,"",IF(E109=3,E115-G115,IF(G109=3,G115-E115,""))))</f>
        <v/>
      </c>
      <c r="AI111" s="47">
        <f>IF(AK94&lt;3,"",IF(AK93&lt;3,"",IF(H109=3,H115-J115,IF(J109=3,J115-H115,""))))</f>
        <v>-9</v>
      </c>
      <c r="AJ111" s="47" t="str">
        <f>IF(AK94&lt;3,"",IF(AK93&lt;4,"",IF(K109=3,K115-M115,IF(M109=3,M115-K115,""))))</f>
        <v/>
      </c>
      <c r="AK111" s="47">
        <f>IF(AK94&lt;3,"",IF(AK93&lt;5,"",IF(N109=3,N115-P115,IF(P109=3,P115-N115,""))))</f>
        <v>6</v>
      </c>
      <c r="AL111" s="47" t="str">
        <f>IF(AK94&lt;3,"",IF(AK93&lt;6,"",IF(Q109=3,Q115-S115,IF(S109=3,S115-Q115,""))))</f>
        <v/>
      </c>
      <c r="AM111" s="47">
        <f>IF(AK94&lt;3,"",IF(AK93&lt;7,"",IF(T109=3,T115-V115,IF(V109=3,V115-T115,""))))</f>
        <v>-18</v>
      </c>
      <c r="AN111" s="47" t="str">
        <f>IF(AK94&lt;3,"",IF(AK93&lt;8,"",IF(W109=3,W115-Y115,IF(Y109=3,Y115-W115,""))))</f>
        <v/>
      </c>
      <c r="AO111" s="47">
        <f>IF(AK94&lt;3,"",IF(AK93&lt;9,"",IF(Z109=3,Z115-AB115,IF(AB109=3,AB115-Z115,""))))</f>
        <v>-7</v>
      </c>
      <c r="AP111" s="47" t="str">
        <f>IF(AK94&lt;3,"",IF(AK93&lt;9,"",IF(AC109=3,AC115-AE115,IF(AE109=3,AE115-AC115,""))))</f>
        <v/>
      </c>
      <c r="AQ111" s="43">
        <f>SUM(AG111:AP111)</f>
        <v>-28</v>
      </c>
    </row>
    <row r="112" spans="1:44" ht="15" x14ac:dyDescent="0.2">
      <c r="A112" s="3" t="str">
        <f>IF(AK92&gt;2,"Game 3","")</f>
        <v/>
      </c>
      <c r="B112" s="48"/>
      <c r="C112" s="49" t="s">
        <v>78</v>
      </c>
      <c r="D112" s="50"/>
      <c r="E112" s="48"/>
      <c r="F112" s="49" t="str">
        <f>IF(AK93&gt;1,IF(AK92&gt;2,"/",""),"")</f>
        <v/>
      </c>
      <c r="G112" s="50"/>
      <c r="H112" s="48"/>
      <c r="I112" s="49" t="str">
        <f>IF(AK93&gt;2,IF(AK92&gt;2,"/",""),"")</f>
        <v/>
      </c>
      <c r="J112" s="50"/>
      <c r="K112" s="48"/>
      <c r="L112" s="49" t="str">
        <f>IF(AK93&gt;3,IF(AK92&gt;2,"/",""),"")</f>
        <v/>
      </c>
      <c r="M112" s="50"/>
      <c r="N112" s="48"/>
      <c r="O112" s="49" t="str">
        <f>IF(AK93&gt;4,IF(AK92&gt;2,"/",""),"")</f>
        <v/>
      </c>
      <c r="P112" s="50"/>
      <c r="Q112" s="48"/>
      <c r="R112" s="49" t="str">
        <f>IF(AK93&gt;5,IF(AK92&gt;2,"/",""),"")</f>
        <v/>
      </c>
      <c r="S112" s="50"/>
      <c r="T112" s="48"/>
      <c r="U112" s="49" t="str">
        <f>IF(AK93&gt;6,IF(AK92&gt;2,"/",""),"")</f>
        <v/>
      </c>
      <c r="V112" s="50"/>
      <c r="W112" s="48"/>
      <c r="X112" s="49" t="str">
        <f>IF(AK93&gt;7,IF(AK92&gt;2,"/",""),"")</f>
        <v/>
      </c>
      <c r="Y112" s="50"/>
      <c r="Z112" s="48"/>
      <c r="AA112" s="49" t="str">
        <f>IF(AK93&gt;8,IF(AK92&gt;2,"/",""),"")</f>
        <v/>
      </c>
      <c r="AB112" s="50"/>
      <c r="AC112" s="48"/>
      <c r="AD112" s="49" t="str">
        <f>IF(AK93&gt;9,IF(AK92&gt;2,"/",""),"")</f>
        <v/>
      </c>
      <c r="AE112" s="50"/>
      <c r="AF112" s="41" t="str">
        <f>IF(AK94&gt;3,"Team 4","")</f>
        <v>Team 4</v>
      </c>
      <c r="AG112" s="47" t="str">
        <f>IF(AK94&lt;4,"",IF(AK93&lt;1,"",IF(B109=4,B115-D115,IF(D109=4,D115-B115,""))))</f>
        <v/>
      </c>
      <c r="AH112" s="47">
        <f>IF(AK94&lt;4,"",IF(AK93&lt;2,"",IF(E109=4,E115-G115,IF(G109=4,G115-E115,""))))</f>
        <v>-12</v>
      </c>
      <c r="AI112" s="47" t="str">
        <f>IF(AK94&lt;4,"",IF(AK93&lt;3,"",IF(H109=4,H115-J115,IF(J109=4,J115-H115,""))))</f>
        <v/>
      </c>
      <c r="AJ112" s="47">
        <f>IF(AK94&lt;4,"",IF(AK93&lt;4,"",IF(K109=4,K115-M115,IF(M109=4,M115-K115,""))))</f>
        <v>-3</v>
      </c>
      <c r="AK112" s="47" t="str">
        <f>IF(AK94&lt;4,"",IF(AK93&lt;5,"",IF(N109=4,N115-P115,IF(P109=4,P115-N115,""))))</f>
        <v/>
      </c>
      <c r="AL112" s="47">
        <f>IF(AK94&lt;4,"",IF(AK93&lt;6,"",IF(Q109=4,Q115-S115,IF(S109=4,S115-Q115,""))))</f>
        <v>0</v>
      </c>
      <c r="AM112" s="47" t="str">
        <f>IF(AK94&lt;4,"",IF(AK93&lt;7,"",IF(T109=4,T115-V115,IF(V109=4,V115-T115,""))))</f>
        <v/>
      </c>
      <c r="AN112" s="47" t="str">
        <f>IF(AK94&lt;4,"",IF(AK93&lt;8,"",IF(W109=4,W115-Y115,IF(Y109=4,Y115-W115,""))))</f>
        <v/>
      </c>
      <c r="AO112" s="47">
        <f>IF(AK94&lt;4,"",IF(AK93&lt;9,"",IF(Z109=4,Z115-AB115,IF(AB109=4,AB115-Z115,""))))</f>
        <v>7</v>
      </c>
      <c r="AP112" s="47" t="str">
        <f>IF(AK94&lt;4,"",IF(AK93&lt;10,"",IF(AC109=4,AC115-AE115,IF(AE109=4,AE115-AC115,""))))</f>
        <v/>
      </c>
      <c r="AQ112" s="43">
        <f>SUM(AG112:AP112)</f>
        <v>-8</v>
      </c>
    </row>
    <row r="113" spans="1:49" ht="15" x14ac:dyDescent="0.2">
      <c r="A113" s="3" t="str">
        <f>IF(AK92&gt;3,"Game 4","")</f>
        <v/>
      </c>
      <c r="B113" s="48"/>
      <c r="C113" s="49" t="s">
        <v>78</v>
      </c>
      <c r="D113" s="50"/>
      <c r="E113" s="48"/>
      <c r="F113" s="49" t="str">
        <f>IF(AK93&gt;1,IF(AK92&gt;3,"/",""),"")</f>
        <v/>
      </c>
      <c r="G113" s="50"/>
      <c r="H113" s="48"/>
      <c r="I113" s="49" t="str">
        <f>IF(AK93&gt;2,IF(AK92&gt;3,"/",""),"")</f>
        <v/>
      </c>
      <c r="J113" s="50"/>
      <c r="K113" s="48"/>
      <c r="L113" s="49" t="str">
        <f>IF(AK93&gt;3,IF(AK92&gt;3,"/",""),"")</f>
        <v/>
      </c>
      <c r="M113" s="50"/>
      <c r="N113" s="48"/>
      <c r="O113" s="49" t="str">
        <f>IF(AK93&gt;4,IF(AK92&gt;3,"/",""),"")</f>
        <v/>
      </c>
      <c r="P113" s="50"/>
      <c r="Q113" s="48"/>
      <c r="R113" s="49" t="str">
        <f>IF(AK93&gt;5,IF(AK92&gt;3,"/",""),"")</f>
        <v/>
      </c>
      <c r="S113" s="50"/>
      <c r="T113" s="48"/>
      <c r="U113" s="49" t="str">
        <f>IF(AK93&gt;6,IF(AK92&gt;3,"/",""),"")</f>
        <v/>
      </c>
      <c r="V113" s="50"/>
      <c r="W113" s="48"/>
      <c r="X113" s="49" t="str">
        <f>IF(AK93&gt;7,IF(AK92&gt;3,"/",""),"")</f>
        <v/>
      </c>
      <c r="Y113" s="50"/>
      <c r="Z113" s="48"/>
      <c r="AA113" s="49" t="str">
        <f>IF(AK93&gt;8,IF(AK92&gt;3,"/",""),"")</f>
        <v/>
      </c>
      <c r="AB113" s="50"/>
      <c r="AC113" s="48"/>
      <c r="AD113" s="49" t="str">
        <f>IF(AK93&gt;9,IF(AK92&gt;3,"/",""),"")</f>
        <v/>
      </c>
      <c r="AE113" s="50"/>
      <c r="AF113" s="41" t="str">
        <f>IF(AK94&gt;4,"Team 5","")</f>
        <v>Team 5</v>
      </c>
      <c r="AG113" s="51">
        <f>IF(AK94&lt;5,"",IF(AK93&lt;1,"",IF(B109=5,B115-D115,IF(D109=5,D115-B115,""))))</f>
        <v>2</v>
      </c>
      <c r="AH113" s="47" t="str">
        <f>IF(AK94&lt;5,"",IF(AK93&lt;2,"",IF(E109=5,E115-G115,IF(G109=5,G115-E115,""))))</f>
        <v/>
      </c>
      <c r="AI113" s="47">
        <f>IF(AK94&lt;5,"",IF(AK93&lt;3,"",IF(H109=5,H115-J115,IF(J109=5,J115-H115,""))))</f>
        <v>9</v>
      </c>
      <c r="AJ113" s="47" t="str">
        <f>IF(AK94&lt;5,"",IF(AK93&lt;4,"",IF(K109=5,K115-M115,IF(M109=5,M115-K115,""))))</f>
        <v/>
      </c>
      <c r="AK113" s="47" t="str">
        <f>IF(AK94&lt;5,"",IF(AK93&lt;5,"",IF(N109=5,N115-P115,IF(P109=5,P115-N115,""))))</f>
        <v/>
      </c>
      <c r="AL113" s="47">
        <f>IF(AK94&lt;5,"",IF(AK93&lt;6,"",IF(Q109=5,Q115-S115,IF(S109=5,S115-Q115,""))))</f>
        <v>0</v>
      </c>
      <c r="AM113" s="47" t="str">
        <f>IF(AK94&lt;5,"",IF(AK93&lt;7,"",IF(T109=5,T115-V115,IF(V109=5,V115-T115,""))))</f>
        <v/>
      </c>
      <c r="AN113" s="47">
        <f>IF(AK94&lt;5,"",IF(AK93&lt;8,"",IF(W109=5,W115-Y115,IF(Y109=5,Y115-W115,""))))</f>
        <v>3</v>
      </c>
      <c r="AO113" s="47" t="str">
        <f>IF(AK94&lt;5,"",IF(AK93&lt;9,"",IF(Z109=5,Z115-AB115,IF(AB109=5,AB115-Z115,""))))</f>
        <v/>
      </c>
      <c r="AP113" s="47" t="str">
        <f>IF(AK94&lt;5,"",IF(AK93&lt;10,"",IF(AC109=5,AC115-AE115,IF(AE109=5,AE115-AC115,""))))</f>
        <v/>
      </c>
      <c r="AQ113" s="43">
        <f>SUM(AG113:AP113)</f>
        <v>14</v>
      </c>
    </row>
    <row r="114" spans="1:49" ht="15" x14ac:dyDescent="0.2">
      <c r="A114" s="3" t="str">
        <f>IF(AK92&gt;4,"Game 5","")</f>
        <v/>
      </c>
      <c r="B114" s="48"/>
      <c r="C114" s="49" t="s">
        <v>78</v>
      </c>
      <c r="D114" s="50"/>
      <c r="E114" s="48"/>
      <c r="F114" s="49" t="str">
        <f>IF(AK93&gt;1,IF(AK92&gt;4,"/",""),"")</f>
        <v/>
      </c>
      <c r="G114" s="50"/>
      <c r="H114" s="48"/>
      <c r="I114" s="49" t="str">
        <f>IF(AK93&gt;2,IF(AK92&gt;4,"/",""),"")</f>
        <v/>
      </c>
      <c r="J114" s="50"/>
      <c r="K114" s="48"/>
      <c r="L114" s="49" t="str">
        <f>IF(AK93&gt;3,IF(AK92&gt;4,"/",""),"")</f>
        <v/>
      </c>
      <c r="M114" s="50"/>
      <c r="N114" s="48"/>
      <c r="O114" s="49" t="str">
        <f>IF(AK93&gt;4,IF(AK92&gt;4,"/",""),"")</f>
        <v/>
      </c>
      <c r="P114" s="50"/>
      <c r="Q114" s="48"/>
      <c r="R114" s="49" t="str">
        <f>IF(AK93&gt;5,IF(AK92&gt;4,"/",""),"")</f>
        <v/>
      </c>
      <c r="S114" s="50"/>
      <c r="T114" s="48"/>
      <c r="U114" s="49" t="str">
        <f>IF(AK93&gt;6,IF(AK92&gt;4,"/",""),"")</f>
        <v/>
      </c>
      <c r="V114" s="50"/>
      <c r="W114" s="48"/>
      <c r="X114" s="49" t="str">
        <f>IF(AK93&gt;7,IF(AK92&gt;4,"/",""),"")</f>
        <v/>
      </c>
      <c r="Y114" s="50"/>
      <c r="Z114" s="48"/>
      <c r="AA114" s="49" t="str">
        <f>IF(AK93&gt;8,IF(AK92&gt;4,"/",""),"")</f>
        <v/>
      </c>
      <c r="AB114" s="50"/>
      <c r="AC114" s="48"/>
      <c r="AD114" s="49" t="str">
        <f>IF(AK93&gt;9,IF(AK92&gt;4,"/",""),"")</f>
        <v/>
      </c>
      <c r="AE114" s="50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</row>
    <row r="115" spans="1:49" hidden="1" x14ac:dyDescent="0.2">
      <c r="A115" s="52"/>
      <c r="B115" s="52">
        <f>IF($AK92=5,SUM(B110:B114),IF($AK92=4,SUM(B110:B113),IF($AK92=3,SUM(B110:B112),IF($AK92=2,SUM(B110:B111),B110))))</f>
        <v>42</v>
      </c>
      <c r="C115" s="52"/>
      <c r="D115" s="52">
        <f>IF($AK92=5,SUM(D110:D114),IF($AK92=4,SUM(D110:D113),IF($AK92=3,SUM(D110:D112),IF($AK92=2,SUM(D110:D111),D110))))</f>
        <v>44</v>
      </c>
      <c r="E115" s="52">
        <f>IF($AK92=5,SUM(E110:E114),IF($AK92=4,SUM(E110:E113),IF($AK92=3,SUM(E110:E112),IF($AK92=2,SUM(E110:E111),E110))))</f>
        <v>50</v>
      </c>
      <c r="F115" s="52"/>
      <c r="G115" s="52">
        <f>IF($AK92=5,SUM(G110:G114),IF($AK92=4,SUM(G110:G113),IF($AK92=3,SUM(G110:G112),IF($AK92=2,SUM(G110:G111),G110))))</f>
        <v>38</v>
      </c>
      <c r="H115" s="52">
        <f>IF($AK92=5,SUM(H110:H114),IF($AK92=4,SUM(H110:H113),IF($AK92=3,SUM(H110:H112),IF($AK92=2,SUM(H110:H111),H110))))</f>
        <v>41</v>
      </c>
      <c r="I115" s="52"/>
      <c r="J115" s="52">
        <f>IF($AK92=5,SUM(J110:J114),IF($AK92=4,SUM(J110:J113),IF($AK92=3,SUM(J110:J112),IF($AK92=2,SUM(J110:J111),J110))))</f>
        <v>50</v>
      </c>
      <c r="K115" s="52">
        <f>IF($AK92=5,SUM(K110:K114),IF($AK92=4,SUM(K110:K113),IF($AK92=3,SUM(K110:K112),IF($AK92=2,SUM(K110:K111),K110))))</f>
        <v>44</v>
      </c>
      <c r="L115" s="52"/>
      <c r="M115" s="52">
        <f>IF($AK92=5,SUM(M110:M114),IF($AK92=4,SUM(M110:M113),IF($AK92=3,SUM(M110:M112),IF($AK92=2,SUM(M110:M111),M110))))</f>
        <v>41</v>
      </c>
      <c r="N115" s="52">
        <f>IF($AK92=5,SUM(N110:N114),IF($AK92=4,SUM(N110:N113),IF($AK92=3,SUM(N110:N112),IF($AK92=2,SUM(N110:N111),N110))))</f>
        <v>42</v>
      </c>
      <c r="O115" s="52"/>
      <c r="P115" s="52">
        <f>IF($AK92=5,SUM(P110:P114),IF($AK92=4,SUM(P110:P113),IF($AK92=3,SUM(P110:P112),IF($AK92=2,SUM(P110:P111),P110))))</f>
        <v>48</v>
      </c>
      <c r="Q115" s="52">
        <f>IF($AK92=5,SUM(Q110:Q114),IF($AK92=4,SUM(Q110:Q113),IF($AK92=3,SUM(Q110:Q112),IF($AK92=2,SUM(Q110:Q111),Q110))))</f>
        <v>47</v>
      </c>
      <c r="R115" s="52"/>
      <c r="S115" s="52">
        <f>IF($AK92=5,SUM(S110:S114),IF($AK92=4,SUM(S110:S113),IF($AK92=3,SUM(S110:S112),IF($AK92=2,SUM(S110:S111),S110))))</f>
        <v>47</v>
      </c>
      <c r="T115" s="52">
        <f>IF($AK92=5,SUM(T110:T114),IF($AK92=4,SUM(T110:T113),IF($AK92=3,SUM(T110:T112),IF($AK92=2,SUM(T110:T111),T110))))</f>
        <v>50</v>
      </c>
      <c r="U115" s="52"/>
      <c r="V115" s="52">
        <f>IF($AK92=5,SUM(V110:V114),IF($AK92=4,SUM(V110:V113),IF($AK92=3,SUM(V110:V112),IF($AK92=2,SUM(V110:V111),V110))))</f>
        <v>32</v>
      </c>
      <c r="W115" s="52">
        <f>IF($AK92=5,SUM(W110:W114),IF($AK92=4,SUM(W110:W113),IF($AK92=3,SUM(W110:W112),IF($AK92=2,SUM(W110:W111),W110))))</f>
        <v>48</v>
      </c>
      <c r="X115" s="52"/>
      <c r="Y115" s="52">
        <f>IF($AK92=5,SUM(Y110:Y114),IF($AK92=4,SUM(Y110:Y113),IF($AK92=3,SUM(Y110:Y112),IF($AK92=2,SUM(Y110:Y111),Y110))))</f>
        <v>51</v>
      </c>
      <c r="Z115" s="52">
        <f>IF($AK92=5,SUM(Z110:Z114),IF($AK92=4,SUM(Z110:Z113),IF($AK92=3,SUM(Z110:Z112),IF($AK92=2,SUM(Z110:Z111),Z110))))</f>
        <v>37</v>
      </c>
      <c r="AA115" s="52"/>
      <c r="AB115" s="52">
        <f>IF($AK92=5,SUM(AB110:AB114),IF($AK92=4,SUM(AB110:AB113),IF($AK92=3,SUM(AB110:AB112),IF($AK92=2,SUM(AB110:AB111),AB110))))</f>
        <v>44</v>
      </c>
      <c r="AC115" s="52">
        <f>IF($AK92=5,SUM(AC110:AC114),IF($AK92=4,SUM(AC110:AC113),IF($AK92=3,SUM(AC110:AC112),IF($AK92=2,SUM(AC110:AC111),AC110))))</f>
        <v>32</v>
      </c>
      <c r="AD115" s="52"/>
      <c r="AE115" s="52">
        <f>IF($AK92=5,SUM(AE110:AE114),IF($AK92=4,SUM(AE110:AE113),IF($AK92=3,SUM(AE110:AE112),IF($AK92=2,SUM(AE110:AE111),AE110))))</f>
        <v>50</v>
      </c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</row>
    <row r="116" spans="1:49" s="54" customFormat="1" ht="12.75" hidden="1" customHeight="1" x14ac:dyDescent="0.2">
      <c r="A116" s="54" t="s">
        <v>79</v>
      </c>
      <c r="B116" s="55">
        <f>IF(AND(B110&gt;D110,$AK93&gt;0,ISNUMBER(B110),ISNUMBER(D110)),1,0)</f>
        <v>1</v>
      </c>
      <c r="C116" s="55"/>
      <c r="D116" s="56">
        <f>IF(AND(D110&gt;B110,$AK93&gt;0,ISNUMBER(B110),ISNUMBER(D110)),1,0)</f>
        <v>0</v>
      </c>
      <c r="E116" s="55">
        <f>IF(AND(E110&gt;G110,$AK93&gt;1,ISNUMBER(E110),ISNUMBER(G110)),1,0)</f>
        <v>1</v>
      </c>
      <c r="F116" s="55"/>
      <c r="G116" s="56">
        <f>IF(AND(G110&gt;E110,$AK93&gt;1,ISNUMBER(E110),ISNUMBER(G110)),1,0)</f>
        <v>0</v>
      </c>
      <c r="H116" s="55">
        <f>IF(AND(H110&gt;J110,$AK93&gt;2,ISNUMBER(H110),ISNUMBER(J110)),1,0)</f>
        <v>0</v>
      </c>
      <c r="I116" s="55"/>
      <c r="J116" s="56">
        <f>IF(AND(J110&gt;H110,$AK93&gt;2,ISNUMBER(H110),ISNUMBER(J110)),1,0)</f>
        <v>1</v>
      </c>
      <c r="K116" s="55">
        <f>IF(AND(K110&gt;M110,$AK93&gt;3,ISNUMBER(K110),ISNUMBER(M110)),1,0)</f>
        <v>0</v>
      </c>
      <c r="L116" s="55"/>
      <c r="M116" s="56">
        <f>IF(AND(M110&gt;K110,$AK93&gt;3,ISNUMBER(K110),ISNUMBER(M110)),1,0)</f>
        <v>1</v>
      </c>
      <c r="N116" s="55">
        <f>IF(AND(N110&gt;P110,$AK93&gt;4,ISNUMBER(N110),ISNUMBER(P110)),1,0)</f>
        <v>1</v>
      </c>
      <c r="O116" s="55"/>
      <c r="P116" s="56">
        <f>IF(AND(P110&gt;N110,$AK93&gt;4,ISNUMBER(N110),ISNUMBER(P110)),1,0)</f>
        <v>0</v>
      </c>
      <c r="Q116" s="55">
        <f>IF(AND(Q110&gt;S110,$AK93&gt;5,ISNUMBER(Q110),ISNUMBER(S110)),1,0)</f>
        <v>1</v>
      </c>
      <c r="R116" s="55"/>
      <c r="S116" s="56">
        <f>IF(AND(S110&gt;Q110,$AK93&gt;5,ISNUMBER(Q110),ISNUMBER(S110)),1,0)</f>
        <v>0</v>
      </c>
      <c r="T116" s="55">
        <f>IF(AND(T110&gt;V110,$AK93&gt;6,ISNUMBER(T110),ISNUMBER(V110)),1,0)</f>
        <v>1</v>
      </c>
      <c r="U116" s="55"/>
      <c r="V116" s="56">
        <f>IF(AND(V110&gt;T110,$AK93&gt;6,ISNUMBER(T110),ISNUMBER(V110)),1,0)</f>
        <v>0</v>
      </c>
      <c r="W116" s="55">
        <f>IF(AND(W110&gt;Y110,$AK93&gt;7,ISNUMBER(W110),ISNUMBER(Y110)),1,0)</f>
        <v>0</v>
      </c>
      <c r="X116" s="55"/>
      <c r="Y116" s="56">
        <f>IF(AND(Y110&gt;W110,$AK93&gt;7,ISNUMBER(W110),ISNUMBER(Y110)),1,0)</f>
        <v>1</v>
      </c>
      <c r="Z116" s="55">
        <f>IF(AND(Z110&gt;AB110,$AK93&gt;8,ISNUMBER(Z110),ISNUMBER(AB110)),1,0)</f>
        <v>1</v>
      </c>
      <c r="AA116" s="55"/>
      <c r="AB116" s="56">
        <f>IF(AND(AB110&gt;Z110,$AK93&gt;8,ISNUMBER(Z110),ISNUMBER(AB110)),1,0)</f>
        <v>0</v>
      </c>
      <c r="AC116" s="55">
        <f>IF(AND(AC110&gt;AE110,$AK93&gt;9,ISNUMBER(AC110),ISNUMBER(AE110)),1,0)</f>
        <v>0</v>
      </c>
      <c r="AD116" s="55"/>
      <c r="AE116" s="56">
        <f>IF(AND(AE110&gt;AC110,$AK93&gt;9,ISNUMBER(AC110),ISNUMBER(AE110)),1,0)</f>
        <v>1</v>
      </c>
      <c r="AW116" s="57"/>
    </row>
    <row r="117" spans="1:49" s="54" customFormat="1" ht="12.75" hidden="1" customHeight="1" x14ac:dyDescent="0.2">
      <c r="A117" s="54" t="s">
        <v>80</v>
      </c>
      <c r="B117" s="55">
        <f>IF(AND(B111&gt;D111,$AK93&gt;0,$AK92&gt;1,ISNUMBER(B111),ISNUMBER(D111)),1,0)</f>
        <v>0</v>
      </c>
      <c r="C117" s="55"/>
      <c r="D117" s="56">
        <f>IF(AND(D111&gt;B111,$AK93&gt;0,$AK92&gt;1,ISNUMBER(B111),ISNUMBER(D111)),1,0)</f>
        <v>1</v>
      </c>
      <c r="E117" s="55">
        <f>IF(AND(E111&gt;G111,$AK93&gt;1,$AK92&gt;1,ISNUMBER(E111),ISNUMBER(G111)),1,0)</f>
        <v>1</v>
      </c>
      <c r="F117" s="55"/>
      <c r="G117" s="56">
        <f>IF(AND(G111&gt;E111,$AK93&gt;1,$AK92&gt;1,ISNUMBER(E111),ISNUMBER(G111)),1,0)</f>
        <v>0</v>
      </c>
      <c r="H117" s="55">
        <f>IF(AND(H111&gt;J111,$AK93&gt;2,$AK92&gt;1,ISNUMBER(H111),ISNUMBER(J111)),1,0)</f>
        <v>0</v>
      </c>
      <c r="I117" s="55"/>
      <c r="J117" s="56">
        <f>IF(AND(J111&gt;H111,$AK93&gt;2,$AK92&gt;1,ISNUMBER(H111),ISNUMBER(J111)),1,0)</f>
        <v>1</v>
      </c>
      <c r="K117" s="55">
        <f>IF(AND(K111&gt;M111,$AK93&gt;3,$AK92&gt;1,ISNUMBER(K111),ISNUMBER(M111)),1,0)</f>
        <v>1</v>
      </c>
      <c r="L117" s="55"/>
      <c r="M117" s="56">
        <f>IF(AND(M111&gt;K111,$AK93&gt;3,$AK92&gt;1,ISNUMBER(K111),ISNUMBER(M111)),1,0)</f>
        <v>0</v>
      </c>
      <c r="N117" s="55">
        <f>IF(AND(N111&gt;P111,$AK93&gt;4,$AK92&gt;1,ISNUMBER(N111),ISNUMBER(P111)),1,0)</f>
        <v>0</v>
      </c>
      <c r="O117" s="55"/>
      <c r="P117" s="56">
        <f>IF(AND(P111&gt;N111,$AK93&gt;4,$AK92&gt;1,ISNUMBER(N111),ISNUMBER(P111)),1,0)</f>
        <v>1</v>
      </c>
      <c r="Q117" s="55">
        <f>IF(AND(Q111&gt;S111,$AK93&gt;5,$AK92&gt;1,ISNUMBER(Q111),ISNUMBER(S111)),1,0)</f>
        <v>0</v>
      </c>
      <c r="R117" s="55"/>
      <c r="S117" s="56">
        <f>IF(AND(S111&gt;Q111,$AK93&gt;5,$AK92&gt;1,ISNUMBER(Q111),ISNUMBER(S111)),1,0)</f>
        <v>1</v>
      </c>
      <c r="T117" s="55">
        <f>IF(AND(T111&gt;V111,$AK93&gt;6,$AK92&gt;1,ISNUMBER(T111),ISNUMBER(V111)),1,0)</f>
        <v>1</v>
      </c>
      <c r="U117" s="55"/>
      <c r="V117" s="56">
        <f>IF(AND(V111&gt;T111,$AK93&gt;6,$AK92&gt;1,ISNUMBER(T111),ISNUMBER(V111)),1,0)</f>
        <v>0</v>
      </c>
      <c r="W117" s="55">
        <f>IF(AND(W111&gt;Y111,$AK93&gt;7,$AK92&gt;1,ISNUMBER(W111),ISNUMBER(Y111)),1,0)</f>
        <v>1</v>
      </c>
      <c r="X117" s="55"/>
      <c r="Y117" s="56">
        <f>IF(AND(Y111&gt;W111,$AK93&gt;7,$AK92&gt;1,ISNUMBER(W111),ISNUMBER(Y111)),1,0)</f>
        <v>0</v>
      </c>
      <c r="Z117" s="55">
        <f>IF(AND(Z111&gt;AB111,$AK93&gt;8,$AK92&gt;1,ISNUMBER(Z111),ISNUMBER(AB111)),1,0)</f>
        <v>0</v>
      </c>
      <c r="AA117" s="55"/>
      <c r="AB117" s="56">
        <f>IF(AND(AB111&gt;Z111,$AK93&gt;8,$AK92&gt;1,ISNUMBER(Z111),ISNUMBER(AB111)),1,0)</f>
        <v>1</v>
      </c>
      <c r="AC117" s="55">
        <f>IF(AND(AC111&gt;AE111,$AK93&gt;9,$AK92&gt;1,ISNUMBER(AC111),ISNUMBER(AE111)),1,0)</f>
        <v>0</v>
      </c>
      <c r="AD117" s="55"/>
      <c r="AE117" s="56">
        <f>IF(AND(AE111&gt;AC111,$AK93&gt;9,$AK92&gt;1,ISNUMBER(AC111),ISNUMBER(AE111)),1,0)</f>
        <v>1</v>
      </c>
      <c r="AW117" s="57"/>
    </row>
    <row r="118" spans="1:49" s="54" customFormat="1" ht="12.75" hidden="1" customHeight="1" x14ac:dyDescent="0.2">
      <c r="A118" s="54" t="s">
        <v>81</v>
      </c>
      <c r="B118" s="55">
        <f>IF(AND(B112&gt;D112,$AK93&gt;0,$AK92&gt;2,ISNUMBER(B112),ISNUMBER(D112)),1,0)</f>
        <v>0</v>
      </c>
      <c r="C118" s="55"/>
      <c r="D118" s="56">
        <f>IF(AND(D112&gt;B112,$AK93&gt;0,$AK92&gt;2,ISNUMBER(B112),ISNUMBER(D112)),1,0)</f>
        <v>0</v>
      </c>
      <c r="E118" s="55">
        <f>IF(AND(E112&gt;G112,$AK93&gt;1,$AK92&gt;2,ISNUMBER(E112),ISNUMBER(G112)),1,0)</f>
        <v>0</v>
      </c>
      <c r="F118" s="55"/>
      <c r="G118" s="56">
        <f>IF(AND(G112&gt;E112,$AK93&gt;1,$AK92&gt;2,ISNUMBER(E112),ISNUMBER(G112)),1,0)</f>
        <v>0</v>
      </c>
      <c r="H118" s="55">
        <f>IF(AND(H112&gt;J112,$AK93&gt;2,$AK92&gt;2,ISNUMBER(H112),ISNUMBER(J112)),1,0)</f>
        <v>0</v>
      </c>
      <c r="I118" s="55"/>
      <c r="J118" s="56">
        <f>IF(AND(J112&gt;H112,$AK93&gt;2,$AK92&gt;2,ISNUMBER(H112),ISNUMBER(J112)),1,0)</f>
        <v>0</v>
      </c>
      <c r="K118" s="55">
        <f>IF(AND(K112&gt;M112,$AK93&gt;3,$AK92&gt;2,ISNUMBER(K112),ISNUMBER(M112)),1,0)</f>
        <v>0</v>
      </c>
      <c r="L118" s="55"/>
      <c r="M118" s="56">
        <f>IF(AND(M112&gt;K112,$AK93&gt;3,$AK92&gt;2,ISNUMBER(K112),ISNUMBER(M112)),1,0)</f>
        <v>0</v>
      </c>
      <c r="N118" s="55">
        <f>IF(AND(N112&gt;P112,$AK93&gt;4,$AK92&gt;2,ISNUMBER(N112),ISNUMBER(P112)),1,0)</f>
        <v>0</v>
      </c>
      <c r="O118" s="55"/>
      <c r="P118" s="56">
        <f>IF(AND(P112&gt;N112,$AK93&gt;4,$AK92&gt;2,ISNUMBER(N112),ISNUMBER(P112)),1,0)</f>
        <v>0</v>
      </c>
      <c r="Q118" s="55">
        <f>IF(AND(Q112&gt;S112,$AK93&gt;5,$AK92&gt;2,ISNUMBER(Q112),ISNUMBER(S112)),1,0)</f>
        <v>0</v>
      </c>
      <c r="R118" s="55"/>
      <c r="S118" s="56">
        <f>IF(AND(S112&gt;Q112,$AK93&gt;5,$AK92&gt;2,ISNUMBER(Q112),ISNUMBER(S112)),1,0)</f>
        <v>0</v>
      </c>
      <c r="T118" s="55">
        <f>IF(AND(T112&gt;V112,$AK93&gt;6,$AK92&gt;2,ISNUMBER(T112),ISNUMBER(V112)),1,0)</f>
        <v>0</v>
      </c>
      <c r="U118" s="55"/>
      <c r="V118" s="56">
        <f>IF(AND(V112&gt;T112,$AK93&gt;6,$AK92&gt;2,ISNUMBER(T112),ISNUMBER(V112)),1,0)</f>
        <v>0</v>
      </c>
      <c r="W118" s="55">
        <f>IF(AND(W112&gt;Y112,$AK93&gt;7,$AK92&gt;2,ISNUMBER(W112),ISNUMBER(Y112)),1,0)</f>
        <v>0</v>
      </c>
      <c r="X118" s="55"/>
      <c r="Y118" s="56">
        <f>IF(AND(Y112&gt;W112,$AK93&gt;7,$AK92&gt;2,ISNUMBER(W112),ISNUMBER(Y112)),1,0)</f>
        <v>0</v>
      </c>
      <c r="Z118" s="55">
        <f>IF(AND(Z112&gt;AB112,$AK93&gt;8,$AK92&gt;2,ISNUMBER(Z112),ISNUMBER(AB112)),1,0)</f>
        <v>0</v>
      </c>
      <c r="AA118" s="55"/>
      <c r="AB118" s="56">
        <f>IF(AND(AB112&gt;Z112,$AK93&gt;8,$AK92&gt;2,ISNUMBER(Z112),ISNUMBER(AB112)),1,0)</f>
        <v>0</v>
      </c>
      <c r="AC118" s="55">
        <f>IF(AND(AC112&gt;AE112,$AK93&gt;9,$AK92&gt;2,ISNUMBER(AC112),ISNUMBER(AE112)),1,0)</f>
        <v>0</v>
      </c>
      <c r="AD118" s="55"/>
      <c r="AE118" s="56">
        <f>IF(AND(AE112&gt;AC112,$AK93&gt;9,$AK92&gt;2,ISNUMBER(AC112),ISNUMBER(AE112)),1,0)</f>
        <v>0</v>
      </c>
      <c r="AW118" s="57"/>
    </row>
    <row r="119" spans="1:49" s="54" customFormat="1" ht="12.75" hidden="1" customHeight="1" x14ac:dyDescent="0.2">
      <c r="A119" s="54" t="s">
        <v>82</v>
      </c>
      <c r="B119" s="55">
        <f>IF(AND(B113&gt;D113,$AK93&gt;0,$AK92&gt;3,ISNUMBER(B113),ISNUMBER(D113)),1,0)</f>
        <v>0</v>
      </c>
      <c r="C119" s="55"/>
      <c r="D119" s="56">
        <f>IF(AND(D113&gt;B113,$AK93&gt;0,$AK92&gt;3,ISNUMBER(B113),ISNUMBER(D113)),1,0)</f>
        <v>0</v>
      </c>
      <c r="E119" s="55">
        <f>IF(AND(E113&gt;G113,$AK93&gt;1,$AK92&gt;3,ISNUMBER(E113),ISNUMBER(G113)),1,0)</f>
        <v>0</v>
      </c>
      <c r="F119" s="55"/>
      <c r="G119" s="56">
        <f>IF(AND(G113&gt;E113,$AK93&gt;1,$AK92&gt;3,ISNUMBER(E113),ISNUMBER(G113)),1,0)</f>
        <v>0</v>
      </c>
      <c r="H119" s="55">
        <f>IF(AND(H113&gt;J113,$AK93&gt;2,$AK92&gt;3,ISNUMBER(H113),ISNUMBER(J113)),1,0)</f>
        <v>0</v>
      </c>
      <c r="I119" s="55"/>
      <c r="J119" s="56">
        <f>IF(AND(J113&gt;H113,$AK93&gt;2,$AK92&gt;3,ISNUMBER(H113),ISNUMBER(J113)),1,0)</f>
        <v>0</v>
      </c>
      <c r="K119" s="55">
        <f>IF(AND(K113&gt;M113,$AK93&gt;3,$AK92&gt;3,ISNUMBER(K113),ISNUMBER(M113)),1,0)</f>
        <v>0</v>
      </c>
      <c r="L119" s="55"/>
      <c r="M119" s="56">
        <f>IF(AND(M113&gt;K113,$AK93&gt;3,$AK92&gt;3,ISNUMBER(K113),ISNUMBER(M113)),1,0)</f>
        <v>0</v>
      </c>
      <c r="N119" s="55">
        <f>IF(AND(N113&gt;P113,$AK93&gt;4,$AK92&gt;3,ISNUMBER(N113),ISNUMBER(P113)),1,0)</f>
        <v>0</v>
      </c>
      <c r="O119" s="55"/>
      <c r="P119" s="56">
        <f>IF(AND(P113&gt;N113,$AK93&gt;4,$AK92&gt;3,ISNUMBER(N113),ISNUMBER(P113)),1,0)</f>
        <v>0</v>
      </c>
      <c r="Q119" s="55">
        <f>IF(AND(Q113&gt;S113,$AK93&gt;5,$AK92&gt;3,ISNUMBER(Q113),ISNUMBER(S113)),1,0)</f>
        <v>0</v>
      </c>
      <c r="R119" s="55"/>
      <c r="S119" s="56">
        <f>IF(AND(S113&gt;Q113,$AK93&gt;5,$AK92&gt;3,ISNUMBER(Q113),ISNUMBER(S113)),1,0)</f>
        <v>0</v>
      </c>
      <c r="T119" s="55">
        <f>IF(AND(T113&gt;V113,$AK93&gt;6,$AK92&gt;3,ISNUMBER(T113),ISNUMBER(V113)),1,0)</f>
        <v>0</v>
      </c>
      <c r="U119" s="55"/>
      <c r="V119" s="56">
        <f>IF(AND(V113&gt;T113,$AK93&gt;6,$AK92&gt;3,ISNUMBER(T113),ISNUMBER(V113)),1,0)</f>
        <v>0</v>
      </c>
      <c r="W119" s="55">
        <f>IF(AND(W113&gt;Y113,$AK93&gt;7,$AK92&gt;3,ISNUMBER(W113),ISNUMBER(Y113)),1,0)</f>
        <v>0</v>
      </c>
      <c r="X119" s="55"/>
      <c r="Y119" s="56">
        <f>IF(AND(Y113&gt;W113,$AK93&gt;7,$AK92&gt;3,ISNUMBER(W113),ISNUMBER(Y113)),1,0)</f>
        <v>0</v>
      </c>
      <c r="Z119" s="55">
        <f>IF(AND(Z113&gt;AB113,$AK93&gt;8,$AK92&gt;3,ISNUMBER(Z113),ISNUMBER(AB113)),1,0)</f>
        <v>0</v>
      </c>
      <c r="AA119" s="55"/>
      <c r="AB119" s="56">
        <f>IF(AND(AB113&gt;Z113,$AK93&gt;8,$AK92&gt;3,ISNUMBER(Z113),ISNUMBER(AB113)),1,0)</f>
        <v>0</v>
      </c>
      <c r="AC119" s="55">
        <f>IF(AND(AC113&gt;AE113,$AK93&gt;9,$AK92&gt;3,ISNUMBER(AC113),ISNUMBER(AE113)),1,0)</f>
        <v>0</v>
      </c>
      <c r="AD119" s="55"/>
      <c r="AE119" s="56">
        <f>IF(AND(AE113&gt;AC113,$AK93&gt;9,$AK92&gt;3,ISNUMBER(AC113),ISNUMBER(AE113)),1,0)</f>
        <v>0</v>
      </c>
      <c r="AW119" s="57"/>
    </row>
    <row r="120" spans="1:49" s="54" customFormat="1" ht="12.75" hidden="1" customHeight="1" x14ac:dyDescent="0.2">
      <c r="A120" s="54" t="s">
        <v>83</v>
      </c>
      <c r="B120" s="55">
        <f>IF(AND(B114&gt;D114,$AK93&gt;0,$AK92&gt;4,ISNUMBER(B114),ISNUMBER(D114)),1,0)</f>
        <v>0</v>
      </c>
      <c r="C120" s="55"/>
      <c r="D120" s="56">
        <f>IF(AND(D114&gt;B114,$AK93&gt;0,$AK92&gt;4,ISNUMBER(B114),ISNUMBER(D114)),1,0)</f>
        <v>0</v>
      </c>
      <c r="E120" s="55">
        <f>IF(AND(E114&gt;G114,$AK93&gt;1,$AK92&gt;4,ISNUMBER(E114),ISNUMBER(G114)),1,0)</f>
        <v>0</v>
      </c>
      <c r="F120" s="55"/>
      <c r="G120" s="56">
        <f>IF(AND(G114&gt;E114,$AK93&gt;1,$AK92&gt;4,ISNUMBER(E114),ISNUMBER(G114)),1,0)</f>
        <v>0</v>
      </c>
      <c r="H120" s="55">
        <f>IF(AND(H114&gt;J114,$AK93&gt;2,$AK92&gt;4,ISNUMBER(H114),ISNUMBER(J114)),1,0)</f>
        <v>0</v>
      </c>
      <c r="I120" s="55"/>
      <c r="J120" s="56">
        <f>IF(AND(J114&gt;H114,$AK93&gt;2,$AK92&gt;4,ISNUMBER(H114),ISNUMBER(J114)),1,0)</f>
        <v>0</v>
      </c>
      <c r="K120" s="55">
        <f>IF(AND(K114&gt;M114,$AK93&gt;3,$AK92&gt;4,ISNUMBER(K114),ISNUMBER(M114)),1,0)</f>
        <v>0</v>
      </c>
      <c r="L120" s="55"/>
      <c r="M120" s="56">
        <f>IF(AND(M114&gt;K114,$AK93&gt;3,$AK92&gt;4,ISNUMBER(K114),ISNUMBER(M114)),1,0)</f>
        <v>0</v>
      </c>
      <c r="N120" s="55">
        <f>IF(AND(N114&gt;P114,$AK93&gt;4,$AK92&gt;4,ISNUMBER(N114),ISNUMBER(P114)),1,0)</f>
        <v>0</v>
      </c>
      <c r="O120" s="55"/>
      <c r="P120" s="56">
        <f>IF(AND(P114&gt;N114,$AK93&gt;4,$AK92&gt;4,ISNUMBER(N114),ISNUMBER(P114)),1,0)</f>
        <v>0</v>
      </c>
      <c r="Q120" s="55">
        <f>IF(AND(Q114&gt;S114,$AK93&gt;5,$AK92&gt;4,ISNUMBER(Q114),ISNUMBER(S114)),1,0)</f>
        <v>0</v>
      </c>
      <c r="R120" s="55"/>
      <c r="S120" s="56">
        <f>IF(AND(S114&gt;Q114,$AK93&gt;5,$AK92&gt;4,ISNUMBER(Q114),ISNUMBER(S114)),1,0)</f>
        <v>0</v>
      </c>
      <c r="T120" s="55">
        <f>IF(AND(T114&gt;V114,$AK93&gt;6,$AK92&gt;4,ISNUMBER(T114),ISNUMBER(V114)),1,0)</f>
        <v>0</v>
      </c>
      <c r="U120" s="55"/>
      <c r="V120" s="56">
        <f>IF(AND(V114&gt;T114,$AK93&gt;6,$AK92&gt;4,ISNUMBER(T114),ISNUMBER(V114)),1,0)</f>
        <v>0</v>
      </c>
      <c r="W120" s="55">
        <f>IF(AND(W114&gt;Y114,$AK93&gt;7,$AK92&gt;4,ISNUMBER(W114),ISNUMBER(Y114)),1,0)</f>
        <v>0</v>
      </c>
      <c r="X120" s="55"/>
      <c r="Y120" s="56">
        <f>IF(AND(Y114&gt;W114,$AK93&gt;7,$AK92&gt;4,ISNUMBER(W114),ISNUMBER(Y114)),1,0)</f>
        <v>0</v>
      </c>
      <c r="Z120" s="55">
        <f>IF(AND(Z114&gt;AB114,$AK93&gt;8,$AK92&gt;4,ISNUMBER(Z114),ISNUMBER(AB114)),1,0)</f>
        <v>0</v>
      </c>
      <c r="AA120" s="55"/>
      <c r="AB120" s="56">
        <f>IF(AND(AB114&gt;Z114,$AK93&gt;8,$AK92&gt;4,ISNUMBER(Z114),ISNUMBER(AB114)),1,0)</f>
        <v>0</v>
      </c>
      <c r="AC120" s="55">
        <f>IF(AND(AC114&gt;AE114,$AK93&gt;9,$AK92&gt;4,ISNUMBER(AC114),ISNUMBER(AE114)),1,0)</f>
        <v>0</v>
      </c>
      <c r="AD120" s="55"/>
      <c r="AE120" s="56">
        <f>IF(AND(AE114&gt;AC114,$AK93&gt;9,$AK92&gt;4,ISNUMBER(AC114),ISNUMBER(AE114)),1,0)</f>
        <v>0</v>
      </c>
      <c r="AW120" s="57"/>
    </row>
    <row r="121" spans="1:49" s="54" customFormat="1" ht="38.25" hidden="1" customHeight="1" x14ac:dyDescent="0.2">
      <c r="A121" s="58" t="s">
        <v>84</v>
      </c>
      <c r="B121" s="54">
        <f>SUM(B116:B120)</f>
        <v>1</v>
      </c>
      <c r="D121" s="59">
        <f>SUM(D116:D120)</f>
        <v>1</v>
      </c>
      <c r="E121" s="54">
        <f>SUM(E116:E120)</f>
        <v>2</v>
      </c>
      <c r="G121" s="59">
        <f>SUM(G116:G120)</f>
        <v>0</v>
      </c>
      <c r="H121" s="54">
        <f>SUM(H116:H120)</f>
        <v>0</v>
      </c>
      <c r="J121" s="59">
        <f>SUM(J116:J120)</f>
        <v>2</v>
      </c>
      <c r="K121" s="54">
        <f>SUM(K116:K120)</f>
        <v>1</v>
      </c>
      <c r="M121" s="59">
        <f>SUM(M116:M120)</f>
        <v>1</v>
      </c>
      <c r="N121" s="54">
        <f>SUM(N116:N120)</f>
        <v>1</v>
      </c>
      <c r="P121" s="59">
        <f>SUM(P116:P120)</f>
        <v>1</v>
      </c>
      <c r="Q121" s="54">
        <f>SUM(Q116:Q120)</f>
        <v>1</v>
      </c>
      <c r="S121" s="59">
        <f>SUM(S116:S120)</f>
        <v>1</v>
      </c>
      <c r="T121" s="54">
        <f>SUM(T116:T120)</f>
        <v>2</v>
      </c>
      <c r="V121" s="59">
        <f>SUM(V116:V120)</f>
        <v>0</v>
      </c>
      <c r="W121" s="54">
        <f>SUM(W116:W120)</f>
        <v>1</v>
      </c>
      <c r="Y121" s="59">
        <f>SUM(Y116:Y120)</f>
        <v>1</v>
      </c>
      <c r="Z121" s="54">
        <f>SUM(Z116:Z120)</f>
        <v>1</v>
      </c>
      <c r="AB121" s="59">
        <f>SUM(AB116:AB120)</f>
        <v>1</v>
      </c>
      <c r="AC121" s="54">
        <f>SUM(AC116:AC120)</f>
        <v>0</v>
      </c>
      <c r="AE121" s="59">
        <f>SUM(AE116:AE120)</f>
        <v>2</v>
      </c>
      <c r="AW121" s="57"/>
    </row>
    <row r="122" spans="1:49" s="54" customFormat="1" ht="25.5" hidden="1" customHeight="1" x14ac:dyDescent="0.2">
      <c r="A122" s="58" t="s">
        <v>85</v>
      </c>
      <c r="B122" s="54">
        <f>IF(B121&gt;D121,IF(C156=AK92,1,IF(C156=AK92-1,1,0)),0)</f>
        <v>0</v>
      </c>
      <c r="C122" s="54">
        <f>B122+D122</f>
        <v>0</v>
      </c>
      <c r="D122" s="59">
        <f>IF(D121&gt;B121,IF(C156=AK92,1,IF(C156=AK92-1,1,0)),0)</f>
        <v>0</v>
      </c>
      <c r="E122" s="54">
        <f>IF(E121&gt;G121,IF(F156=AK92,1,IF(F156=AK92-1,1,0)),0)</f>
        <v>1</v>
      </c>
      <c r="F122" s="54">
        <f>E122+G122</f>
        <v>1</v>
      </c>
      <c r="G122" s="59">
        <f>IF(G121&gt;E121,IF(F156=AK92,1,IF(F156=AK92-1,1,0)),0)</f>
        <v>0</v>
      </c>
      <c r="H122" s="54">
        <f>IF(H121&gt;J121,IF(I156=AK92,1,IF(I156=AK92-1,1,0)),0)</f>
        <v>0</v>
      </c>
      <c r="I122" s="54">
        <f>H122+J122</f>
        <v>1</v>
      </c>
      <c r="J122" s="59">
        <f>IF(J121&gt;H121,IF(I156=AK92,1,IF(I156=AK92-1,1,0)),0)</f>
        <v>1</v>
      </c>
      <c r="K122" s="54">
        <f>IF(K121&gt;M121,IF(L156=AK92,1,IF(L156=AK92-1,1,0)),0)</f>
        <v>0</v>
      </c>
      <c r="L122" s="54">
        <f>K122+M122</f>
        <v>0</v>
      </c>
      <c r="M122" s="59">
        <f>IF(M121&gt;K121,IF(L156=AK92,1,IF(L156=AK92-1,1,0)),0)</f>
        <v>0</v>
      </c>
      <c r="N122" s="54">
        <f>IF(N121&gt;P121,IF(O156=AK92,1,IF(O156=AK92-1,1,0)),0)</f>
        <v>0</v>
      </c>
      <c r="O122" s="54">
        <f>N122+P122</f>
        <v>0</v>
      </c>
      <c r="P122" s="59">
        <f>IF(P121&gt;N121,IF(O156=AK92,1,IF(O156=AK92-1,1,0)),0)</f>
        <v>0</v>
      </c>
      <c r="Q122" s="54">
        <f>IF(Q121&gt;S121,IF(R156=AK92,1,IF(R156=AK92-1,1,0)),0)</f>
        <v>0</v>
      </c>
      <c r="R122" s="54">
        <f>Q122+S122</f>
        <v>0</v>
      </c>
      <c r="S122" s="59">
        <f>IF(S121&gt;Q121,IF(R156=AK92,1,IF(R156=AK92-1,1,0)),0)</f>
        <v>0</v>
      </c>
      <c r="T122" s="54">
        <f>IF(T121&gt;V121,IF(U156=AK92,1,IF(U156=AK92-1,1,0)),0)</f>
        <v>1</v>
      </c>
      <c r="U122" s="54">
        <f>T122+V122</f>
        <v>1</v>
      </c>
      <c r="V122" s="59">
        <f>IF(V121&gt;T121,IF(U156=AK92,1,IF(U156=AK92-1,1,0)),0)</f>
        <v>0</v>
      </c>
      <c r="W122" s="54">
        <f>IF(W121&gt;Y121,IF(X156=AK92,1,IF(X156=AK92-1,1,0)),0)</f>
        <v>0</v>
      </c>
      <c r="X122" s="54">
        <f>W122+Y122</f>
        <v>0</v>
      </c>
      <c r="Y122" s="59">
        <f>IF(Y121&gt;W121,IF(X156=AK92,1,IF(X156=AK92-1,1,0)),0)</f>
        <v>0</v>
      </c>
      <c r="Z122" s="54">
        <f>IF(Z121&gt;AB121,IF(AA156=AK92,1,IF(AA156=AK92-1,1,0)),0)</f>
        <v>0</v>
      </c>
      <c r="AA122" s="54">
        <f>Z122+AB122</f>
        <v>0</v>
      </c>
      <c r="AB122" s="59">
        <f>IF(AB121&gt;Z121,IF(AA156=AK92,1,IF(AA156=AK92-1,1,0)),0)</f>
        <v>0</v>
      </c>
      <c r="AC122" s="54">
        <f>IF(AC121&gt;AE121,IF(AD156=AK92,1,IF(AD156=AK92-1,1,0)),0)</f>
        <v>0</v>
      </c>
      <c r="AD122" s="54">
        <f>AC122+AE122</f>
        <v>1</v>
      </c>
      <c r="AE122" s="59">
        <f>IF(AE121&gt;AC121,IF(AD156=AK92,1,IF(AD156=AK92-1,1,0)),0)</f>
        <v>1</v>
      </c>
      <c r="AW122" s="57"/>
    </row>
    <row r="123" spans="1:49" s="54" customFormat="1" ht="25.5" hidden="1" customHeight="1" x14ac:dyDescent="0.2">
      <c r="A123" s="58"/>
      <c r="D123" s="59"/>
      <c r="G123" s="59"/>
      <c r="J123" s="59"/>
      <c r="M123" s="59"/>
      <c r="P123" s="59"/>
      <c r="S123" s="59"/>
      <c r="V123" s="59"/>
      <c r="Y123" s="59"/>
      <c r="AB123" s="59"/>
      <c r="AE123" s="59"/>
      <c r="AW123" s="57"/>
    </row>
    <row r="124" spans="1:49" s="54" customFormat="1" ht="12.75" hidden="1" customHeight="1" x14ac:dyDescent="0.2">
      <c r="A124" s="54" t="s">
        <v>86</v>
      </c>
      <c r="B124" s="54">
        <f>IF(B116=1,B110,0)</f>
        <v>25</v>
      </c>
      <c r="D124" s="59">
        <f t="shared" ref="D124:E128" si="11">IF(D116=1,D110,0)</f>
        <v>0</v>
      </c>
      <c r="E124" s="54">
        <f t="shared" si="11"/>
        <v>25</v>
      </c>
      <c r="G124" s="59">
        <f t="shared" ref="G124:H128" si="12">IF(G116=1,G110,0)</f>
        <v>0</v>
      </c>
      <c r="H124" s="54">
        <f t="shared" si="12"/>
        <v>0</v>
      </c>
      <c r="J124" s="59">
        <f t="shared" ref="J124:K128" si="13">IF(J116=1,J110,0)</f>
        <v>25</v>
      </c>
      <c r="K124" s="54">
        <f t="shared" si="13"/>
        <v>0</v>
      </c>
      <c r="M124" s="59">
        <f t="shared" ref="M124:N128" si="14">IF(M116=1,M110,0)</f>
        <v>25</v>
      </c>
      <c r="N124" s="54">
        <f t="shared" si="14"/>
        <v>25</v>
      </c>
      <c r="P124" s="59">
        <f t="shared" ref="P124:Q128" si="15">IF(P116=1,P110,0)</f>
        <v>0</v>
      </c>
      <c r="Q124" s="54">
        <f t="shared" si="15"/>
        <v>25</v>
      </c>
      <c r="S124" s="59">
        <f t="shared" ref="S124:T128" si="16">IF(S116=1,S110,0)</f>
        <v>0</v>
      </c>
      <c r="T124" s="54">
        <f t="shared" si="16"/>
        <v>25</v>
      </c>
      <c r="V124" s="59">
        <f t="shared" ref="V124:W128" si="17">IF(V116=1,V110,0)</f>
        <v>0</v>
      </c>
      <c r="W124" s="54">
        <f t="shared" si="17"/>
        <v>0</v>
      </c>
      <c r="Y124" s="59">
        <f t="shared" ref="Y124:Z128" si="18">IF(Y116=1,Y110,0)</f>
        <v>25</v>
      </c>
      <c r="Z124" s="54">
        <f t="shared" si="18"/>
        <v>25</v>
      </c>
      <c r="AB124" s="59">
        <f t="shared" ref="AB124:AC128" si="19">IF(AB116=1,AB110,0)</f>
        <v>0</v>
      </c>
      <c r="AC124" s="54">
        <f t="shared" si="19"/>
        <v>0</v>
      </c>
      <c r="AE124" s="59">
        <f>IF(AE116=1,AE110,0)</f>
        <v>25</v>
      </c>
      <c r="AW124" s="57"/>
    </row>
    <row r="125" spans="1:49" s="54" customFormat="1" ht="12.75" hidden="1" customHeight="1" x14ac:dyDescent="0.2">
      <c r="A125" s="54" t="s">
        <v>87</v>
      </c>
      <c r="B125" s="54">
        <f>IF(B117=1,B111,0)</f>
        <v>0</v>
      </c>
      <c r="D125" s="59">
        <f t="shared" si="11"/>
        <v>25</v>
      </c>
      <c r="E125" s="54">
        <f t="shared" si="11"/>
        <v>25</v>
      </c>
      <c r="G125" s="59">
        <f t="shared" si="12"/>
        <v>0</v>
      </c>
      <c r="H125" s="54">
        <f t="shared" si="12"/>
        <v>0</v>
      </c>
      <c r="J125" s="59">
        <f t="shared" si="13"/>
        <v>25</v>
      </c>
      <c r="K125" s="54">
        <f t="shared" si="13"/>
        <v>25</v>
      </c>
      <c r="M125" s="59">
        <f t="shared" si="14"/>
        <v>0</v>
      </c>
      <c r="N125" s="54">
        <f t="shared" si="14"/>
        <v>0</v>
      </c>
      <c r="P125" s="59">
        <f t="shared" si="15"/>
        <v>25</v>
      </c>
      <c r="Q125" s="54">
        <f t="shared" si="15"/>
        <v>0</v>
      </c>
      <c r="S125" s="59">
        <f t="shared" si="16"/>
        <v>25</v>
      </c>
      <c r="T125" s="54">
        <f t="shared" si="16"/>
        <v>25</v>
      </c>
      <c r="V125" s="59">
        <f t="shared" si="17"/>
        <v>0</v>
      </c>
      <c r="W125" s="54">
        <f t="shared" si="17"/>
        <v>27</v>
      </c>
      <c r="Y125" s="59">
        <f t="shared" si="18"/>
        <v>0</v>
      </c>
      <c r="Z125" s="54">
        <f t="shared" si="18"/>
        <v>0</v>
      </c>
      <c r="AB125" s="59">
        <f t="shared" si="19"/>
        <v>25</v>
      </c>
      <c r="AC125" s="54">
        <f t="shared" si="19"/>
        <v>0</v>
      </c>
      <c r="AE125" s="59">
        <f>IF(AE117=1,AE111,0)</f>
        <v>25</v>
      </c>
      <c r="AW125" s="57"/>
    </row>
    <row r="126" spans="1:49" s="54" customFormat="1" ht="12.75" hidden="1" customHeight="1" x14ac:dyDescent="0.2">
      <c r="A126" s="54" t="s">
        <v>88</v>
      </c>
      <c r="B126" s="54">
        <f>IF(B118=1,B112,0)</f>
        <v>0</v>
      </c>
      <c r="D126" s="59">
        <f t="shared" si="11"/>
        <v>0</v>
      </c>
      <c r="E126" s="54">
        <f t="shared" si="11"/>
        <v>0</v>
      </c>
      <c r="G126" s="59">
        <f t="shared" si="12"/>
        <v>0</v>
      </c>
      <c r="H126" s="54">
        <f t="shared" si="12"/>
        <v>0</v>
      </c>
      <c r="J126" s="59">
        <f t="shared" si="13"/>
        <v>0</v>
      </c>
      <c r="K126" s="54">
        <f t="shared" si="13"/>
        <v>0</v>
      </c>
      <c r="M126" s="59">
        <f t="shared" si="14"/>
        <v>0</v>
      </c>
      <c r="N126" s="54">
        <f t="shared" si="14"/>
        <v>0</v>
      </c>
      <c r="P126" s="59">
        <f t="shared" si="15"/>
        <v>0</v>
      </c>
      <c r="Q126" s="54">
        <f t="shared" si="15"/>
        <v>0</v>
      </c>
      <c r="S126" s="59">
        <f t="shared" si="16"/>
        <v>0</v>
      </c>
      <c r="T126" s="54">
        <f t="shared" si="16"/>
        <v>0</v>
      </c>
      <c r="V126" s="59">
        <f t="shared" si="17"/>
        <v>0</v>
      </c>
      <c r="W126" s="54">
        <f t="shared" si="17"/>
        <v>0</v>
      </c>
      <c r="Y126" s="59">
        <f t="shared" si="18"/>
        <v>0</v>
      </c>
      <c r="Z126" s="54">
        <f t="shared" si="18"/>
        <v>0</v>
      </c>
      <c r="AB126" s="59">
        <f t="shared" si="19"/>
        <v>0</v>
      </c>
      <c r="AC126" s="54">
        <f t="shared" si="19"/>
        <v>0</v>
      </c>
      <c r="AE126" s="59">
        <f>IF(AE118=1,AE112,0)</f>
        <v>0</v>
      </c>
      <c r="AW126" s="57"/>
    </row>
    <row r="127" spans="1:49" s="54" customFormat="1" ht="12.75" hidden="1" customHeight="1" x14ac:dyDescent="0.2">
      <c r="A127" s="54" t="s">
        <v>89</v>
      </c>
      <c r="B127" s="54">
        <f>IF(B119=1,B113,0)</f>
        <v>0</v>
      </c>
      <c r="D127" s="59">
        <f t="shared" si="11"/>
        <v>0</v>
      </c>
      <c r="E127" s="54">
        <f t="shared" si="11"/>
        <v>0</v>
      </c>
      <c r="G127" s="59">
        <f t="shared" si="12"/>
        <v>0</v>
      </c>
      <c r="H127" s="54">
        <f t="shared" si="12"/>
        <v>0</v>
      </c>
      <c r="J127" s="59">
        <f t="shared" si="13"/>
        <v>0</v>
      </c>
      <c r="K127" s="54">
        <f t="shared" si="13"/>
        <v>0</v>
      </c>
      <c r="M127" s="59">
        <f t="shared" si="14"/>
        <v>0</v>
      </c>
      <c r="N127" s="54">
        <f t="shared" si="14"/>
        <v>0</v>
      </c>
      <c r="P127" s="59">
        <f t="shared" si="15"/>
        <v>0</v>
      </c>
      <c r="Q127" s="54">
        <f t="shared" si="15"/>
        <v>0</v>
      </c>
      <c r="S127" s="59">
        <f t="shared" si="16"/>
        <v>0</v>
      </c>
      <c r="T127" s="54">
        <f t="shared" si="16"/>
        <v>0</v>
      </c>
      <c r="V127" s="59">
        <f t="shared" si="17"/>
        <v>0</v>
      </c>
      <c r="W127" s="54">
        <f t="shared" si="17"/>
        <v>0</v>
      </c>
      <c r="Y127" s="59">
        <f t="shared" si="18"/>
        <v>0</v>
      </c>
      <c r="Z127" s="54">
        <f t="shared" si="18"/>
        <v>0</v>
      </c>
      <c r="AB127" s="59">
        <f t="shared" si="19"/>
        <v>0</v>
      </c>
      <c r="AC127" s="54">
        <f t="shared" si="19"/>
        <v>0</v>
      </c>
      <c r="AE127" s="59">
        <f>IF(AE119=1,AE113,0)</f>
        <v>0</v>
      </c>
      <c r="AW127" s="57"/>
    </row>
    <row r="128" spans="1:49" s="54" customFormat="1" ht="12.75" hidden="1" customHeight="1" x14ac:dyDescent="0.2">
      <c r="A128" s="54" t="s">
        <v>90</v>
      </c>
      <c r="B128" s="54">
        <f>IF(B120=1,B114,0)</f>
        <v>0</v>
      </c>
      <c r="D128" s="59">
        <f t="shared" si="11"/>
        <v>0</v>
      </c>
      <c r="E128" s="54">
        <f t="shared" si="11"/>
        <v>0</v>
      </c>
      <c r="G128" s="59">
        <f t="shared" si="12"/>
        <v>0</v>
      </c>
      <c r="H128" s="54">
        <f t="shared" si="12"/>
        <v>0</v>
      </c>
      <c r="J128" s="59">
        <f t="shared" si="13"/>
        <v>0</v>
      </c>
      <c r="K128" s="54">
        <f t="shared" si="13"/>
        <v>0</v>
      </c>
      <c r="M128" s="59">
        <f t="shared" si="14"/>
        <v>0</v>
      </c>
      <c r="N128" s="54">
        <f t="shared" si="14"/>
        <v>0</v>
      </c>
      <c r="P128" s="59">
        <f t="shared" si="15"/>
        <v>0</v>
      </c>
      <c r="Q128" s="54">
        <f t="shared" si="15"/>
        <v>0</v>
      </c>
      <c r="S128" s="59">
        <f t="shared" si="16"/>
        <v>0</v>
      </c>
      <c r="T128" s="54">
        <f t="shared" si="16"/>
        <v>0</v>
      </c>
      <c r="V128" s="59">
        <f t="shared" si="17"/>
        <v>0</v>
      </c>
      <c r="W128" s="54">
        <f t="shared" si="17"/>
        <v>0</v>
      </c>
      <c r="Y128" s="59">
        <f t="shared" si="18"/>
        <v>0</v>
      </c>
      <c r="Z128" s="54">
        <f t="shared" si="18"/>
        <v>0</v>
      </c>
      <c r="AB128" s="59">
        <f t="shared" si="19"/>
        <v>0</v>
      </c>
      <c r="AC128" s="54">
        <f t="shared" si="19"/>
        <v>0</v>
      </c>
      <c r="AE128" s="59">
        <f>IF(AE120=1,AE114,0)</f>
        <v>0</v>
      </c>
      <c r="AW128" s="57"/>
    </row>
    <row r="129" spans="1:49" s="54" customFormat="1" ht="38.25" hidden="1" customHeight="1" x14ac:dyDescent="0.2">
      <c r="A129" s="58" t="s">
        <v>91</v>
      </c>
      <c r="B129" s="54">
        <f>SUM(B124:D128)</f>
        <v>50</v>
      </c>
      <c r="D129" s="59"/>
      <c r="E129" s="54">
        <f>SUM(E124:G128)</f>
        <v>50</v>
      </c>
      <c r="G129" s="59"/>
      <c r="H129" s="54">
        <f>SUM(H124:J128)</f>
        <v>50</v>
      </c>
      <c r="J129" s="59"/>
      <c r="K129" s="54">
        <f>SUM(K124:M128)</f>
        <v>50</v>
      </c>
      <c r="M129" s="59"/>
      <c r="N129" s="54">
        <f>SUM(N124:P128)</f>
        <v>50</v>
      </c>
      <c r="P129" s="59"/>
      <c r="Q129" s="54">
        <f>SUM(Q124:S128)</f>
        <v>50</v>
      </c>
      <c r="S129" s="59"/>
      <c r="T129" s="54">
        <f>SUM(T124:V128)</f>
        <v>50</v>
      </c>
      <c r="V129" s="59"/>
      <c r="W129" s="54">
        <f>SUM(W124:Y128)</f>
        <v>52</v>
      </c>
      <c r="Y129" s="59"/>
      <c r="Z129" s="54">
        <f>SUM(Z124:AB128)</f>
        <v>50</v>
      </c>
      <c r="AB129" s="59"/>
      <c r="AC129" s="54">
        <f>SUM(AC124:AE128)</f>
        <v>50</v>
      </c>
      <c r="AE129" s="59"/>
      <c r="AW129" s="57"/>
    </row>
    <row r="130" spans="1:49" s="54" customFormat="1" ht="38.25" hidden="1" customHeight="1" x14ac:dyDescent="0.2">
      <c r="A130" s="54" t="s">
        <v>92</v>
      </c>
      <c r="D130" s="59"/>
      <c r="G130" s="59"/>
      <c r="J130" s="59"/>
      <c r="M130" s="59"/>
      <c r="P130" s="59"/>
      <c r="S130" s="59"/>
      <c r="V130" s="59"/>
      <c r="Y130" s="59"/>
      <c r="AB130" s="59"/>
      <c r="AE130" s="59"/>
      <c r="AF130" s="58" t="s">
        <v>93</v>
      </c>
      <c r="AG130" s="54" t="s">
        <v>94</v>
      </c>
      <c r="AW130" s="57"/>
    </row>
    <row r="131" spans="1:49" s="54" customFormat="1" ht="12.75" hidden="1" customHeight="1" x14ac:dyDescent="0.2">
      <c r="A131" s="54" t="s">
        <v>95</v>
      </c>
      <c r="B131" s="54">
        <f>IF(B109=1,IF(B122=1,1,0),0)</f>
        <v>0</v>
      </c>
      <c r="D131" s="59">
        <f>IF(D109=1,IF(D122=1,1,0),0)</f>
        <v>0</v>
      </c>
      <c r="E131" s="54">
        <f>IF(E109=1,IF(E122=1,1,0),0)</f>
        <v>1</v>
      </c>
      <c r="G131" s="59">
        <f>IF(G109=1,IF(G122=1,1,0),0)</f>
        <v>0</v>
      </c>
      <c r="H131" s="54">
        <f>IF(H109=1,IF(H122=1,1,0),0)</f>
        <v>0</v>
      </c>
      <c r="J131" s="59">
        <f>IF(J109=1,IF(J122=1,1,0),0)</f>
        <v>0</v>
      </c>
      <c r="K131" s="54">
        <f>IF(K109=1,IF(K122=1,1,0),0)</f>
        <v>0</v>
      </c>
      <c r="M131" s="59">
        <f>IF(M109=1,IF(M122=1,1,0),0)</f>
        <v>0</v>
      </c>
      <c r="N131" s="54">
        <f>IF(N109=1,IF(N122=1,1,0),0)</f>
        <v>0</v>
      </c>
      <c r="P131" s="59">
        <f>IF(P109=1,IF(P122=1,1,0),0)</f>
        <v>0</v>
      </c>
      <c r="Q131" s="54">
        <f>IF(Q109=1,IF(Q122=1,1,0),0)</f>
        <v>0</v>
      </c>
      <c r="S131" s="59">
        <f>IF(S109=1,IF(S122=1,1,0),0)</f>
        <v>0</v>
      </c>
      <c r="T131" s="54">
        <f>IF(T109=1,IF(T122=1,1,0),0)</f>
        <v>0</v>
      </c>
      <c r="V131" s="59">
        <f>IF(V109=1,IF(V122=1,1,0),0)</f>
        <v>0</v>
      </c>
      <c r="W131" s="54">
        <f>IF(W109=1,IF(W122=1,1,0),0)</f>
        <v>0</v>
      </c>
      <c r="Y131" s="59">
        <f>IF(Y109=1,IF(Y122=1,1,0),0)</f>
        <v>0</v>
      </c>
      <c r="Z131" s="54">
        <f>IF(Z109=1,IF(Z122=1,1,0),0)</f>
        <v>0</v>
      </c>
      <c r="AB131" s="59">
        <f>IF(AB109=1,IF(AB122=1,1,0),0)</f>
        <v>0</v>
      </c>
      <c r="AC131" s="54">
        <f>IF(AC109=1,IF(AC122=1,1,0),0)</f>
        <v>0</v>
      </c>
      <c r="AE131" s="59">
        <f>IF(AE109=1,IF(AE122=1,1,0),0)</f>
        <v>0</v>
      </c>
      <c r="AF131" s="54">
        <f>SUM(B131:AE131)</f>
        <v>1</v>
      </c>
      <c r="AG131" s="54">
        <f>AF137-AF131</f>
        <v>1</v>
      </c>
      <c r="AW131" s="57"/>
    </row>
    <row r="132" spans="1:49" s="54" customFormat="1" ht="12.75" hidden="1" customHeight="1" x14ac:dyDescent="0.2">
      <c r="A132" s="54" t="s">
        <v>96</v>
      </c>
      <c r="B132" s="54">
        <f>IF(B109=2,IF(B122=1,1,0),0)</f>
        <v>0</v>
      </c>
      <c r="D132" s="59">
        <f>IF(D109=2,IF(D122=1,1,0),0)</f>
        <v>0</v>
      </c>
      <c r="E132" s="54">
        <f>IF(E109=2,IF(E122=1,1,0),0)</f>
        <v>0</v>
      </c>
      <c r="G132" s="59">
        <f>IF(G109=2,IF(G122=1,1,0),0)</f>
        <v>0</v>
      </c>
      <c r="H132" s="54">
        <f>IF(H109=2,IF(H122=1,1,0),0)</f>
        <v>0</v>
      </c>
      <c r="J132" s="59">
        <f>IF(J109=2,IF(J122=1,1,0),0)</f>
        <v>0</v>
      </c>
      <c r="K132" s="54">
        <f>IF(K109=2,IF(K122=1,1,0),0)</f>
        <v>0</v>
      </c>
      <c r="M132" s="59">
        <f>IF(M109=2,IF(M122=1,1,0),0)</f>
        <v>0</v>
      </c>
      <c r="N132" s="54">
        <f>IF(N109=2,IF(N122=1,1,0),0)</f>
        <v>0</v>
      </c>
      <c r="P132" s="59">
        <f>IF(P109=2,IF(P122=1,1,0),0)</f>
        <v>0</v>
      </c>
      <c r="Q132" s="54">
        <f>IF(Q109=2,IF(Q122=1,1,0),0)</f>
        <v>0</v>
      </c>
      <c r="S132" s="59">
        <f>IF(S109=2,IF(S122=1,1,0),0)</f>
        <v>0</v>
      </c>
      <c r="T132" s="54">
        <f>IF(T109=2,IF(T122=1,1,0),0)</f>
        <v>1</v>
      </c>
      <c r="V132" s="59">
        <f>IF(V109=2,IF(V122=1,1,0),0)</f>
        <v>0</v>
      </c>
      <c r="W132" s="54">
        <f>IF(W109=2,IF(W122=1,1,0),0)</f>
        <v>0</v>
      </c>
      <c r="Y132" s="59">
        <f>IF(Y109=2,IF(Y122=1,1,0),0)</f>
        <v>0</v>
      </c>
      <c r="Z132" s="54">
        <f>IF(Z109=2,IF(Z122=1,1,0),0)</f>
        <v>0</v>
      </c>
      <c r="AB132" s="59">
        <f>IF(AB109=2,IF(AB122=1,1,0),0)</f>
        <v>0</v>
      </c>
      <c r="AC132" s="54">
        <f>IF(AC109=2,IF(AC122=1,1,0),0)</f>
        <v>0</v>
      </c>
      <c r="AE132" s="59">
        <f>IF(AE109=2,IF(AE122=1,1,0),0)</f>
        <v>1</v>
      </c>
      <c r="AF132" s="54">
        <f>SUM(B132:AE132)</f>
        <v>2</v>
      </c>
      <c r="AG132" s="54">
        <f>AF138-AF132</f>
        <v>0</v>
      </c>
      <c r="AW132" s="57"/>
    </row>
    <row r="133" spans="1:49" s="54" customFormat="1" ht="12.75" hidden="1" customHeight="1" x14ac:dyDescent="0.2">
      <c r="A133" s="54" t="s">
        <v>97</v>
      </c>
      <c r="B133" s="54">
        <f>IF(B109=3,IF(B122=1,1,0),0)</f>
        <v>0</v>
      </c>
      <c r="D133" s="59">
        <f>IF(D109=3,IF(D122=1,1,0),0)</f>
        <v>0</v>
      </c>
      <c r="E133" s="54">
        <f>IF(E109=3,IF(E122=1,1,0),0)</f>
        <v>0</v>
      </c>
      <c r="G133" s="59">
        <f>IF(G109=3,IF(G122=1,1,0),0)</f>
        <v>0</v>
      </c>
      <c r="H133" s="54">
        <f>IF(H109=3,IF(H122=1,1,0),0)</f>
        <v>0</v>
      </c>
      <c r="J133" s="59">
        <f>IF(J109=3,IF(J122=1,1,0),0)</f>
        <v>0</v>
      </c>
      <c r="K133" s="54">
        <f>IF(K109=3,IF(K122=1,1,0),0)</f>
        <v>0</v>
      </c>
      <c r="M133" s="59">
        <f>IF(M109=3,IF(M122=1,1,0),0)</f>
        <v>0</v>
      </c>
      <c r="N133" s="54">
        <f>IF(N109=3,IF(N122=1,1,0),0)</f>
        <v>0</v>
      </c>
      <c r="P133" s="59">
        <f>IF(P109=3,IF(P122=1,1,0),0)</f>
        <v>0</v>
      </c>
      <c r="Q133" s="54">
        <f>IF(Q109=3,IF(Q122=1,1,0),0)</f>
        <v>0</v>
      </c>
      <c r="S133" s="59">
        <f>IF(S109=3,IF(S122=1,1,0),0)</f>
        <v>0</v>
      </c>
      <c r="T133" s="54">
        <f>IF(T109=3,IF(T122=1,1,0),0)</f>
        <v>0</v>
      </c>
      <c r="V133" s="59">
        <f>IF(V109=3,IF(V122=1,1,0),0)</f>
        <v>0</v>
      </c>
      <c r="W133" s="54">
        <f>IF(W109=3,IF(W122=1,1,0),0)</f>
        <v>0</v>
      </c>
      <c r="Y133" s="59">
        <f>IF(Y109=3,IF(Y122=1,1,0),0)</f>
        <v>0</v>
      </c>
      <c r="Z133" s="54">
        <f>IF(Z109=3,IF(Z122=1,1,0),0)</f>
        <v>0</v>
      </c>
      <c r="AB133" s="59">
        <f>IF(AB109=3,IF(AB122=1,1,0),0)</f>
        <v>0</v>
      </c>
      <c r="AC133" s="54">
        <f>IF(AC109=3,IF(AC122=1,1,0),0)</f>
        <v>0</v>
      </c>
      <c r="AE133" s="59">
        <f>IF(AE109=3,IF(AE122=1,1,0),0)</f>
        <v>0</v>
      </c>
      <c r="AF133" s="54">
        <f>SUM(B133:AE133)</f>
        <v>0</v>
      </c>
      <c r="AG133" s="54">
        <f>AF139-AF133</f>
        <v>2</v>
      </c>
      <c r="AW133" s="57"/>
    </row>
    <row r="134" spans="1:49" s="54" customFormat="1" ht="12.75" hidden="1" customHeight="1" x14ac:dyDescent="0.2">
      <c r="A134" s="54" t="s">
        <v>98</v>
      </c>
      <c r="B134" s="54">
        <f>IF(B109=4,IF(B122=1,1,0),0)</f>
        <v>0</v>
      </c>
      <c r="D134" s="59">
        <f>IF(D109=4,IF(D122=1,1,0),0)</f>
        <v>0</v>
      </c>
      <c r="E134" s="54">
        <f>IF(E109=4,IF(E122=1,1,0),0)</f>
        <v>0</v>
      </c>
      <c r="G134" s="59">
        <f>IF(G109=4,IF(G122=1,1,0),0)</f>
        <v>0</v>
      </c>
      <c r="H134" s="54">
        <f>IF(H109=4,IF(H122=1,1,0),0)</f>
        <v>0</v>
      </c>
      <c r="J134" s="59">
        <f>IF(J109=4,IF(J122=1,1,0),0)</f>
        <v>0</v>
      </c>
      <c r="K134" s="54">
        <f>IF(K109=4,IF(K122=1,1,0),0)</f>
        <v>0</v>
      </c>
      <c r="M134" s="59">
        <f>IF(M109=4,IF(M122=1,1,0),0)</f>
        <v>0</v>
      </c>
      <c r="N134" s="54">
        <f>IF(N109=4,IF(N122=1,1,0),0)</f>
        <v>0</v>
      </c>
      <c r="P134" s="59">
        <f>IF(P109=4,IF(P122=1,1,0),0)</f>
        <v>0</v>
      </c>
      <c r="Q134" s="54">
        <f>IF(Q109=4,IF(Q122=1,1,0),0)</f>
        <v>0</v>
      </c>
      <c r="S134" s="59">
        <f>IF(S109=4,IF(S122=1,1,0),0)</f>
        <v>0</v>
      </c>
      <c r="T134" s="54">
        <f>IF(T109=4,IF(T122=1,1,0),0)</f>
        <v>0</v>
      </c>
      <c r="V134" s="59">
        <f>IF(V109=4,IF(V122=1,1,0),0)</f>
        <v>0</v>
      </c>
      <c r="W134" s="54">
        <f>IF(W109=4,IF(W122=1,1,0),0)</f>
        <v>0</v>
      </c>
      <c r="Y134" s="59">
        <f>IF(Y109=4,IF(Y122=1,1,0),0)</f>
        <v>0</v>
      </c>
      <c r="Z134" s="54">
        <f>IF(Z109=4,IF(Z122=1,1,0),0)</f>
        <v>0</v>
      </c>
      <c r="AB134" s="59">
        <f>IF(AB109=4,IF(AB122=1,1,0),0)</f>
        <v>0</v>
      </c>
      <c r="AC134" s="54">
        <f>IF(AC109=4,IF(AC122=1,1,0),0)</f>
        <v>0</v>
      </c>
      <c r="AE134" s="59">
        <f>IF(AE109=4,IF(AE122=1,1,0),0)</f>
        <v>0</v>
      </c>
      <c r="AF134" s="54">
        <f>SUM(B134:AE134)</f>
        <v>0</v>
      </c>
      <c r="AG134" s="54">
        <f>AF140-AF134</f>
        <v>1</v>
      </c>
      <c r="AW134" s="57"/>
    </row>
    <row r="135" spans="1:49" s="54" customFormat="1" ht="12.75" hidden="1" customHeight="1" x14ac:dyDescent="0.2">
      <c r="A135" s="54" t="s">
        <v>99</v>
      </c>
      <c r="B135" s="54">
        <f>IF(B109=5,IF(B122=1,1,0),0)</f>
        <v>0</v>
      </c>
      <c r="D135" s="59">
        <f>IF(D109=5,IF(D122=1,1,0),0)</f>
        <v>0</v>
      </c>
      <c r="E135" s="54">
        <f>IF(E109=5,IF(E122=1,1,0),0)</f>
        <v>0</v>
      </c>
      <c r="G135" s="59">
        <f>IF(G109=5,IF(G122=1,1,0),0)</f>
        <v>0</v>
      </c>
      <c r="H135" s="54">
        <f>IF(H109=5,IF(H122=1,1,0),0)</f>
        <v>0</v>
      </c>
      <c r="J135" s="59">
        <f>IF(J109=5,IF(J122=1,1,0),0)</f>
        <v>1</v>
      </c>
      <c r="K135" s="54">
        <f>IF(K109=5,IF(K122=1,1,0),0)</f>
        <v>0</v>
      </c>
      <c r="M135" s="59">
        <f>IF(M109=5,IF(M122=1,1,0),0)</f>
        <v>0</v>
      </c>
      <c r="N135" s="54">
        <f>IF(N109=5,IF(N122=1,1,0),0)</f>
        <v>0</v>
      </c>
      <c r="P135" s="59">
        <f>IF(P109=5,IF(P122=1,1,0),0)</f>
        <v>0</v>
      </c>
      <c r="Q135" s="54">
        <f>IF(Q109=5,IF(Q122=1,1,0),0)</f>
        <v>0</v>
      </c>
      <c r="S135" s="59">
        <f>IF(S109=5,IF(S122=1,1,0),0)</f>
        <v>0</v>
      </c>
      <c r="T135" s="54">
        <f>IF(T109=5,IF(T122=1,1,0),0)</f>
        <v>0</v>
      </c>
      <c r="V135" s="59">
        <f>IF(V109=5,IF(V122=1,1,0),0)</f>
        <v>0</v>
      </c>
      <c r="W135" s="54">
        <f>IF(W109=5,IF(W122=1,1,0),0)</f>
        <v>0</v>
      </c>
      <c r="Y135" s="59">
        <f>IF(Y109=5,IF(Y122=1,1,0),0)</f>
        <v>0</v>
      </c>
      <c r="Z135" s="54">
        <f>IF(Z109=5,IF(Z122=1,1,0),0)</f>
        <v>0</v>
      </c>
      <c r="AB135" s="59">
        <f>IF(AB109=5,IF(AB122=1,1,0),0)</f>
        <v>0</v>
      </c>
      <c r="AC135" s="54">
        <f>IF(AC109=5,IF(AC122=1,1,0),0)</f>
        <v>0</v>
      </c>
      <c r="AE135" s="59">
        <f>IF(AE109=5,IF(AE122=1,1,0),0)</f>
        <v>0</v>
      </c>
      <c r="AF135" s="54">
        <f>SUM(B135:AE135)</f>
        <v>1</v>
      </c>
      <c r="AG135" s="54">
        <f>AF141-AF135</f>
        <v>0</v>
      </c>
      <c r="AW135" s="57"/>
    </row>
    <row r="136" spans="1:49" s="54" customFormat="1" ht="38.25" hidden="1" customHeight="1" x14ac:dyDescent="0.2">
      <c r="A136" s="58"/>
      <c r="D136" s="59"/>
      <c r="G136" s="59"/>
      <c r="J136" s="59"/>
      <c r="M136" s="59"/>
      <c r="P136" s="59"/>
      <c r="S136" s="59"/>
      <c r="V136" s="59"/>
      <c r="Y136" s="59"/>
      <c r="AB136" s="59"/>
      <c r="AE136" s="59"/>
      <c r="AF136" s="58" t="s">
        <v>100</v>
      </c>
      <c r="AW136" s="57"/>
    </row>
    <row r="137" spans="1:49" s="54" customFormat="1" ht="12.75" hidden="1" customHeight="1" x14ac:dyDescent="0.2">
      <c r="A137" s="54" t="s">
        <v>101</v>
      </c>
      <c r="B137" s="54">
        <f>IF(B109=1,IF(C122=1,1,0),0)</f>
        <v>0</v>
      </c>
      <c r="D137" s="59">
        <f>IF(D109=1,IF(C122=1,1,0),0)</f>
        <v>0</v>
      </c>
      <c r="E137" s="54">
        <f>IF(E109=1,IF(F122=1,1,0),0)</f>
        <v>1</v>
      </c>
      <c r="G137" s="59">
        <f>IF(G109=1,IF(F122=1,1,0),0)</f>
        <v>0</v>
      </c>
      <c r="H137" s="54">
        <f>IF(H109=1,IF(I122=1,1,0),0)</f>
        <v>0</v>
      </c>
      <c r="J137" s="59">
        <f>IF(J109=1,IF(I122=1,1,0),0)</f>
        <v>0</v>
      </c>
      <c r="K137" s="54">
        <f>IF(K109=1,IF(L122=1,1,0),0)</f>
        <v>0</v>
      </c>
      <c r="M137" s="59">
        <f>IF(M109=1,IF(L122=1,1,0),0)</f>
        <v>0</v>
      </c>
      <c r="N137" s="54">
        <f>IF(N109=1,IF(O122=1,1,0),0)</f>
        <v>0</v>
      </c>
      <c r="P137" s="59">
        <f>IF(P109=1,IF(O122=1,1,0),0)</f>
        <v>0</v>
      </c>
      <c r="Q137" s="54">
        <f>IF(Q109=1,IF(R122=1,1,0),0)</f>
        <v>0</v>
      </c>
      <c r="S137" s="59">
        <f>IF(S109=1,IF(R122=1,1,0),0)</f>
        <v>0</v>
      </c>
      <c r="T137" s="54">
        <f>IF(T109=1,IF(U122=1,1,0),0)</f>
        <v>0</v>
      </c>
      <c r="V137" s="59">
        <f>IF(V109=1,IF(U122=1,1,0),0)</f>
        <v>0</v>
      </c>
      <c r="W137" s="54">
        <f>IF(W109=1,IF(X122=1,1,0),0)</f>
        <v>0</v>
      </c>
      <c r="Y137" s="59">
        <f>IF(Y109=1,IF(X122=1,1,0),0)</f>
        <v>0</v>
      </c>
      <c r="Z137" s="54">
        <f>IF(Z109=1,IF(AA122=1,1,0),0)</f>
        <v>0</v>
      </c>
      <c r="AB137" s="59">
        <f>IF(AB109=1,IF(AA122=1,1,0),0)</f>
        <v>0</v>
      </c>
      <c r="AC137" s="54">
        <f>IF(AC109=1,IF(AD122=1,1,0),0)</f>
        <v>1</v>
      </c>
      <c r="AE137" s="59">
        <f>IF(AE109=1,IF(AD122=1,1,0),0)</f>
        <v>0</v>
      </c>
      <c r="AF137" s="54">
        <f>SUM(B137:AE137)</f>
        <v>2</v>
      </c>
      <c r="AW137" s="57"/>
    </row>
    <row r="138" spans="1:49" s="54" customFormat="1" ht="12.75" hidden="1" customHeight="1" x14ac:dyDescent="0.2">
      <c r="A138" s="54" t="s">
        <v>102</v>
      </c>
      <c r="B138" s="54">
        <f>IF(B109=2,IF(C122=1,1,0),0)</f>
        <v>0</v>
      </c>
      <c r="D138" s="59">
        <f>IF(D109=2,IF(C122=1,1,0),0)</f>
        <v>0</v>
      </c>
      <c r="E138" s="54">
        <f>IF(E109=2,IF(F122=1,1,0),0)</f>
        <v>0</v>
      </c>
      <c r="G138" s="59">
        <f>IF(G109=2,IF(F122=1,1,0),0)</f>
        <v>0</v>
      </c>
      <c r="H138" s="54">
        <f>IF(H109=2,IF(I122=1,1,0),0)</f>
        <v>0</v>
      </c>
      <c r="J138" s="59">
        <f>IF(J109=2,IF(I122=1,1,0),0)</f>
        <v>0</v>
      </c>
      <c r="K138" s="54">
        <f>IF(K109=2,IF(L122=1,1,0),0)</f>
        <v>0</v>
      </c>
      <c r="M138" s="59">
        <f>IF(M109=2,IF(L122=1,1,0),0)</f>
        <v>0</v>
      </c>
      <c r="N138" s="54">
        <f>IF(N109=2,IF(O122=1,1,0),0)</f>
        <v>0</v>
      </c>
      <c r="P138" s="59">
        <f>IF(P109=2,IF(O122=1,1,0),0)</f>
        <v>0</v>
      </c>
      <c r="Q138" s="54">
        <f>IF(Q109=2,IF(R122=1,1,0),0)</f>
        <v>0</v>
      </c>
      <c r="S138" s="59">
        <f>IF(S109=2,IF(R122=1,1,0),0)</f>
        <v>0</v>
      </c>
      <c r="T138" s="54">
        <f>IF(T109=2,IF(U122=1,1,0),0)</f>
        <v>1</v>
      </c>
      <c r="V138" s="59">
        <f>IF(V109=2,IF(U122=1,1,0),0)</f>
        <v>0</v>
      </c>
      <c r="W138" s="54">
        <f>IF(W109=2,IF(X122=1,1,0),0)</f>
        <v>0</v>
      </c>
      <c r="Y138" s="59">
        <f>IF(Y109=2,IF(X122=1,1,0),0)</f>
        <v>0</v>
      </c>
      <c r="Z138" s="54">
        <f>IF(Z109=2,IF(AA122=1,1,0),0)</f>
        <v>0</v>
      </c>
      <c r="AB138" s="59">
        <f>IF(AB109=2,IF(AA122=1,1,0),0)</f>
        <v>0</v>
      </c>
      <c r="AC138" s="54">
        <f>IF(AC109=2,IF(AD122=1,1,0),0)</f>
        <v>0</v>
      </c>
      <c r="AE138" s="59">
        <f>IF(AE109=2,IF(AD122=1,1,0),0)</f>
        <v>1</v>
      </c>
      <c r="AF138" s="54">
        <f>SUM(B138:AE138)</f>
        <v>2</v>
      </c>
      <c r="AW138" s="57"/>
    </row>
    <row r="139" spans="1:49" s="54" customFormat="1" ht="12.75" hidden="1" customHeight="1" x14ac:dyDescent="0.2">
      <c r="A139" s="54" t="s">
        <v>103</v>
      </c>
      <c r="B139" s="54">
        <f>IF(B109=3,IF(C122=1,1,0),0)</f>
        <v>0</v>
      </c>
      <c r="D139" s="59">
        <f>IF(D109=3,IF(C122=1,1,0),0)</f>
        <v>0</v>
      </c>
      <c r="E139" s="54">
        <f>IF(E109=3,IF(F122=1,1,0),0)</f>
        <v>0</v>
      </c>
      <c r="G139" s="59">
        <f>IF(G109=3,IF(F122=1,1,0),0)</f>
        <v>0</v>
      </c>
      <c r="H139" s="54">
        <f>IF(H109=3,IF(I122=1,1,0),0)</f>
        <v>1</v>
      </c>
      <c r="J139" s="59">
        <f>IF(J109=3,IF(I122=1,1,0),0)</f>
        <v>0</v>
      </c>
      <c r="K139" s="54">
        <f>IF(K109=3,IF(L122=1,1,0),0)</f>
        <v>0</v>
      </c>
      <c r="M139" s="59">
        <f>IF(M109=3,IF(L122=1,1,0),0)</f>
        <v>0</v>
      </c>
      <c r="N139" s="54">
        <f>IF(N109=3,IF(O122=1,1,0),0)</f>
        <v>0</v>
      </c>
      <c r="P139" s="59">
        <f>IF(P109=3,IF(O122=1,1,0),0)</f>
        <v>0</v>
      </c>
      <c r="Q139" s="54">
        <f>IF(Q109=3,IF(R122=1,1,0),0)</f>
        <v>0</v>
      </c>
      <c r="S139" s="59">
        <f>IF(S109=3,IF(R122=1,1,0),0)</f>
        <v>0</v>
      </c>
      <c r="T139" s="54">
        <f>IF(T109=3,IF(U122=1,1,0),0)</f>
        <v>0</v>
      </c>
      <c r="V139" s="59">
        <f>IF(V109=3,IF(U122=1,1,0),0)</f>
        <v>1</v>
      </c>
      <c r="W139" s="54">
        <f>IF(W109=3,IF(X122=1,1,0),0)</f>
        <v>0</v>
      </c>
      <c r="Y139" s="59">
        <f>IF(Y109=3,IF(X122=1,1,0),0)</f>
        <v>0</v>
      </c>
      <c r="Z139" s="54">
        <f>IF(Z109=3,IF(AA122=1,1,0),0)</f>
        <v>0</v>
      </c>
      <c r="AB139" s="59">
        <f>IF(AB109=3,IF(AA122=1,1,0),0)</f>
        <v>0</v>
      </c>
      <c r="AC139" s="54">
        <f>IF(AC109=3,IF(AD122=1,1,0),0)</f>
        <v>0</v>
      </c>
      <c r="AE139" s="59">
        <f>IF(AE109=3,IF(AD122=1,1,0),0)</f>
        <v>0</v>
      </c>
      <c r="AF139" s="54">
        <f>SUM(B139:AE139)</f>
        <v>2</v>
      </c>
      <c r="AW139" s="57"/>
    </row>
    <row r="140" spans="1:49" s="54" customFormat="1" ht="12.75" hidden="1" customHeight="1" x14ac:dyDescent="0.2">
      <c r="A140" s="54" t="s">
        <v>104</v>
      </c>
      <c r="B140" s="54">
        <f>IF(B109=4,IF(C122=1,1,0),0)</f>
        <v>0</v>
      </c>
      <c r="D140" s="59">
        <f>IF(D109=4,IF(C122=1,1,0),0)</f>
        <v>0</v>
      </c>
      <c r="E140" s="54">
        <f>IF(E109=4,IF(F122=1,1,0),0)</f>
        <v>0</v>
      </c>
      <c r="G140" s="59">
        <f>IF(G109=4,IF(F122=1,1,0),0)</f>
        <v>1</v>
      </c>
      <c r="H140" s="54">
        <f>IF(H109=4,IF(I122=1,1,0),0)</f>
        <v>0</v>
      </c>
      <c r="J140" s="59">
        <f>IF(J109=4,IF(I122=1,1,0),0)</f>
        <v>0</v>
      </c>
      <c r="K140" s="54">
        <f>IF(K109=4,IF(L122=1,1,0),0)</f>
        <v>0</v>
      </c>
      <c r="M140" s="59">
        <f>IF(M109=4,IF(L122=1,1,0),0)</f>
        <v>0</v>
      </c>
      <c r="N140" s="54">
        <f>IF(N109=4,IF(O122=1,1,0),0)</f>
        <v>0</v>
      </c>
      <c r="P140" s="59">
        <f>IF(P109=4,IF(O122=1,1,0),0)</f>
        <v>0</v>
      </c>
      <c r="Q140" s="54">
        <f>IF(Q109=4,IF(R122=1,1,0),0)</f>
        <v>0</v>
      </c>
      <c r="S140" s="59">
        <f>IF(S109=4,IF(R122=1,1,0),0)</f>
        <v>0</v>
      </c>
      <c r="T140" s="54">
        <f>IF(T109=4,IF(U122=1,1,0),0)</f>
        <v>0</v>
      </c>
      <c r="V140" s="59">
        <f>IF(V109=4,IF(U122=1,1,0),0)</f>
        <v>0</v>
      </c>
      <c r="W140" s="54">
        <f>IF(W109=4,IF(X122=1,1,0),0)</f>
        <v>0</v>
      </c>
      <c r="Y140" s="59">
        <f>IF(Y109=4,IF(X122=1,1,0),0)</f>
        <v>0</v>
      </c>
      <c r="Z140" s="54">
        <f>IF(Z109=4,IF(AA122=1,1,0),0)</f>
        <v>0</v>
      </c>
      <c r="AB140" s="59">
        <f>IF(AB109=4,IF(AA122=1,1,0),0)</f>
        <v>0</v>
      </c>
      <c r="AC140" s="54">
        <f>IF(AC109=4,IF(AD122=1,1,0),0)</f>
        <v>0</v>
      </c>
      <c r="AE140" s="59">
        <f>IF(AE109=4,IF(AD122=1,1,0),0)</f>
        <v>0</v>
      </c>
      <c r="AF140" s="54">
        <f>SUM(B140:AE140)</f>
        <v>1</v>
      </c>
      <c r="AW140" s="57"/>
    </row>
    <row r="141" spans="1:49" s="54" customFormat="1" ht="12.75" hidden="1" customHeight="1" x14ac:dyDescent="0.2">
      <c r="A141" s="54" t="s">
        <v>105</v>
      </c>
      <c r="B141" s="54">
        <f>IF(B109=5,IF(C122=1,1,0),0)</f>
        <v>0</v>
      </c>
      <c r="D141" s="59">
        <f>IF(D109=5,IF(C122=1,1,0),0)</f>
        <v>0</v>
      </c>
      <c r="E141" s="54">
        <f>IF(E109=5,IF(F122=1,1,0),0)</f>
        <v>0</v>
      </c>
      <c r="G141" s="59">
        <f>IF(G109=5,IF(F122=1,1,0),0)</f>
        <v>0</v>
      </c>
      <c r="H141" s="54">
        <f>IF(H109=5,IF(I122=1,1,0),0)</f>
        <v>0</v>
      </c>
      <c r="J141" s="59">
        <f>IF(J109=5,IF(I122=1,1,0),0)</f>
        <v>1</v>
      </c>
      <c r="K141" s="54">
        <f>IF(K109=5,IF(L122=1,1,0),0)</f>
        <v>0</v>
      </c>
      <c r="M141" s="59">
        <f>IF(M109=5,IF(L122=1,1,0),0)</f>
        <v>0</v>
      </c>
      <c r="N141" s="54">
        <f>IF(N109=5,IF(O122=1,1,0),0)</f>
        <v>0</v>
      </c>
      <c r="P141" s="59">
        <f>IF(P109=5,IF(O122=1,1,0),0)</f>
        <v>0</v>
      </c>
      <c r="Q141" s="54">
        <f>IF(Q109=5,IF(R122=1,1,0),0)</f>
        <v>0</v>
      </c>
      <c r="S141" s="59">
        <f>IF(S109=5,IF(R122=1,1,0),0)</f>
        <v>0</v>
      </c>
      <c r="T141" s="54">
        <f>IF(T109=5,IF(U122=1,1,0),0)</f>
        <v>0</v>
      </c>
      <c r="V141" s="59">
        <f>IF(V109=5,IF(U122=1,1,0),0)</f>
        <v>0</v>
      </c>
      <c r="W141" s="54">
        <f>IF(W109=5,IF(X122=1,1,0),0)</f>
        <v>0</v>
      </c>
      <c r="Y141" s="59">
        <f>IF(Y109=5,IF(X122=1,1,0),0)</f>
        <v>0</v>
      </c>
      <c r="Z141" s="54">
        <f>IF(Z109=5,IF(AA122=1,1,0),0)</f>
        <v>0</v>
      </c>
      <c r="AB141" s="59">
        <f>IF(AB109=5,IF(AA122=1,1,0),0)</f>
        <v>0</v>
      </c>
      <c r="AC141" s="54">
        <f>IF(AC109=5,IF(AD122=1,1,0),0)</f>
        <v>0</v>
      </c>
      <c r="AE141" s="59">
        <f>IF(AE109=5,IF(AD122=1,1,0),0)</f>
        <v>0</v>
      </c>
      <c r="AF141" s="54">
        <f>SUM(B141:AE141)</f>
        <v>1</v>
      </c>
      <c r="AW141" s="57"/>
    </row>
    <row r="142" spans="1:49" s="54" customFormat="1" ht="38.25" hidden="1" customHeight="1" x14ac:dyDescent="0.2">
      <c r="A142" s="58"/>
      <c r="D142" s="59"/>
      <c r="G142" s="59"/>
      <c r="J142" s="59"/>
      <c r="M142" s="59"/>
      <c r="P142" s="59"/>
      <c r="S142" s="59"/>
      <c r="V142" s="59"/>
      <c r="Y142" s="59"/>
      <c r="AB142" s="59"/>
      <c r="AE142" s="59"/>
      <c r="AF142" s="58" t="s">
        <v>106</v>
      </c>
      <c r="AG142" s="702"/>
      <c r="AH142" s="702"/>
      <c r="AI142" s="702"/>
      <c r="AJ142" s="702"/>
      <c r="AK142" s="702"/>
      <c r="AW142" s="57"/>
    </row>
    <row r="143" spans="1:49" s="54" customFormat="1" ht="12.75" hidden="1" customHeight="1" x14ac:dyDescent="0.2">
      <c r="A143" s="54" t="s">
        <v>101</v>
      </c>
      <c r="B143" s="54">
        <f>IF(B109=1,B129,0)</f>
        <v>0</v>
      </c>
      <c r="D143" s="59">
        <f>IF(D109=1,B129,0)</f>
        <v>0</v>
      </c>
      <c r="E143" s="54">
        <f>IF(E109=1,E129,0)</f>
        <v>50</v>
      </c>
      <c r="G143" s="59">
        <f>IF(G109=1,E129,0)</f>
        <v>0</v>
      </c>
      <c r="H143" s="54">
        <f>IF(H109=1,H129,0)</f>
        <v>0</v>
      </c>
      <c r="J143" s="59">
        <f>IF(J109=1,H129,0)</f>
        <v>0</v>
      </c>
      <c r="K143" s="54">
        <f>IF(K109=1,K129,0)</f>
        <v>0</v>
      </c>
      <c r="M143" s="59">
        <f>IF(M109=1,K129,0)</f>
        <v>0</v>
      </c>
      <c r="N143" s="54">
        <f>IF(N109=1,N129,0)</f>
        <v>50</v>
      </c>
      <c r="P143" s="59">
        <f>IF(P109=1,N129,0)</f>
        <v>0</v>
      </c>
      <c r="Q143" s="54">
        <f>IF(Q109=1,Q129,0)</f>
        <v>0</v>
      </c>
      <c r="S143" s="59">
        <f>IF(S109=1,Q129,0)</f>
        <v>0</v>
      </c>
      <c r="T143" s="54">
        <f>IF(T109=1,T129,0)</f>
        <v>0</v>
      </c>
      <c r="V143" s="59">
        <f>IF(V109=1,T129,0)</f>
        <v>0</v>
      </c>
      <c r="W143" s="54">
        <f>IF(W109=1,W129,0)</f>
        <v>52</v>
      </c>
      <c r="Y143" s="59">
        <f>IF(Y109=1,W129,0)</f>
        <v>0</v>
      </c>
      <c r="Z143" s="54">
        <f>IF(Z109=1,Z129,0)</f>
        <v>0</v>
      </c>
      <c r="AB143" s="59">
        <f>IF(AB109=1,Z129,0)</f>
        <v>0</v>
      </c>
      <c r="AC143" s="54">
        <f>IF(AC109=1,AC129,0)</f>
        <v>50</v>
      </c>
      <c r="AE143" s="59">
        <f>IF(AE109=1,AC129,0)</f>
        <v>0</v>
      </c>
      <c r="AF143" s="54">
        <f>SUM(B143:AE143)</f>
        <v>202</v>
      </c>
      <c r="AW143" s="57"/>
    </row>
    <row r="144" spans="1:49" s="54" customFormat="1" ht="12.75" hidden="1" customHeight="1" x14ac:dyDescent="0.2">
      <c r="A144" s="54" t="s">
        <v>102</v>
      </c>
      <c r="B144" s="54">
        <f>IF(B109=2,B129,0)</f>
        <v>50</v>
      </c>
      <c r="D144" s="59">
        <f>IF(D109=2,B129,0)</f>
        <v>0</v>
      </c>
      <c r="E144" s="54">
        <f>IF(E109=2,E129,0)</f>
        <v>0</v>
      </c>
      <c r="G144" s="59">
        <f>IF(G109=2,E129,0)</f>
        <v>0</v>
      </c>
      <c r="H144" s="54">
        <f>IF(H109=2,H129,0)</f>
        <v>0</v>
      </c>
      <c r="J144" s="59">
        <f>IF(J109=2,H129,0)</f>
        <v>0</v>
      </c>
      <c r="K144" s="54">
        <f>IF(K109=2,K129,0)</f>
        <v>50</v>
      </c>
      <c r="M144" s="59">
        <f>IF(M109=2,K129,0)</f>
        <v>0</v>
      </c>
      <c r="N144" s="54">
        <f>IF(N109=2,N129,0)</f>
        <v>0</v>
      </c>
      <c r="P144" s="59">
        <f>IF(P109=2,N129,0)</f>
        <v>0</v>
      </c>
      <c r="Q144" s="54">
        <f>IF(Q109=2,Q129,0)</f>
        <v>0</v>
      </c>
      <c r="S144" s="59">
        <f>IF(S109=2,Q129,0)</f>
        <v>0</v>
      </c>
      <c r="T144" s="54">
        <f>IF(T109=2,T129,0)</f>
        <v>50</v>
      </c>
      <c r="V144" s="59">
        <f>IF(V109=2,T129,0)</f>
        <v>0</v>
      </c>
      <c r="W144" s="54">
        <f>IF(W109=2,W129,0)</f>
        <v>0</v>
      </c>
      <c r="Y144" s="59">
        <f>IF(Y109=2,W129,0)</f>
        <v>0</v>
      </c>
      <c r="Z144" s="54">
        <f>IF(Z109=2,Z129,0)</f>
        <v>0</v>
      </c>
      <c r="AB144" s="59">
        <f>IF(AB109=2,Z129,0)</f>
        <v>0</v>
      </c>
      <c r="AC144" s="54">
        <f>IF(AC109=2,AC129,0)</f>
        <v>0</v>
      </c>
      <c r="AE144" s="59">
        <f>IF(AE109=2,AC129,0)</f>
        <v>50</v>
      </c>
      <c r="AF144" s="54">
        <f>SUM(B144:AE144)</f>
        <v>200</v>
      </c>
      <c r="AW144" s="57"/>
    </row>
    <row r="145" spans="1:49" s="54" customFormat="1" ht="12.75" hidden="1" customHeight="1" x14ac:dyDescent="0.2">
      <c r="A145" s="54" t="s">
        <v>103</v>
      </c>
      <c r="B145" s="54">
        <f>IF(B109=3,B129,0)</f>
        <v>0</v>
      </c>
      <c r="D145" s="59">
        <f>IF(D109=3,B129,0)</f>
        <v>0</v>
      </c>
      <c r="E145" s="54">
        <f>IF(E109=3,E129,0)</f>
        <v>0</v>
      </c>
      <c r="G145" s="59">
        <f>IF(G109=3,E129,0)</f>
        <v>0</v>
      </c>
      <c r="H145" s="54">
        <f>IF(H109=3,H129,0)</f>
        <v>50</v>
      </c>
      <c r="J145" s="59">
        <f>IF(J109=3,H129,0)</f>
        <v>0</v>
      </c>
      <c r="K145" s="54">
        <f>IF(K109=3,K129,0)</f>
        <v>0</v>
      </c>
      <c r="M145" s="59">
        <f>IF(M109=3,K129,0)</f>
        <v>0</v>
      </c>
      <c r="N145" s="54">
        <f>IF(N109=3,N129,0)</f>
        <v>0</v>
      </c>
      <c r="P145" s="59">
        <f>IF(P109=3,N129,0)</f>
        <v>50</v>
      </c>
      <c r="Q145" s="54">
        <f>IF(Q109=3,Q129,0)</f>
        <v>0</v>
      </c>
      <c r="S145" s="59">
        <f>IF(S109=3,Q129,0)</f>
        <v>0</v>
      </c>
      <c r="T145" s="54">
        <f>IF(T109=3,T129,0)</f>
        <v>0</v>
      </c>
      <c r="V145" s="59">
        <f>IF(V109=3,T129,0)</f>
        <v>50</v>
      </c>
      <c r="W145" s="54">
        <f>IF(W109=3,W129,0)</f>
        <v>0</v>
      </c>
      <c r="Y145" s="59">
        <f>IF(Y109=3,W129,0)</f>
        <v>0</v>
      </c>
      <c r="Z145" s="54">
        <f>IF(Z109=3,Z129,0)</f>
        <v>50</v>
      </c>
      <c r="AB145" s="59">
        <f>IF(AB109=3,Z129,0)</f>
        <v>0</v>
      </c>
      <c r="AC145" s="54">
        <f>IF(AC109=3,AC129,0)</f>
        <v>0</v>
      </c>
      <c r="AE145" s="59">
        <f>IF(AE109=3,AC129,0)</f>
        <v>0</v>
      </c>
      <c r="AF145" s="54">
        <f>SUM(B145:AE145)</f>
        <v>200</v>
      </c>
      <c r="AW145" s="57"/>
    </row>
    <row r="146" spans="1:49" s="54" customFormat="1" ht="12.75" hidden="1" customHeight="1" x14ac:dyDescent="0.2">
      <c r="A146" s="54" t="s">
        <v>104</v>
      </c>
      <c r="B146" s="54">
        <f>IF(B109=4,B129,0)</f>
        <v>0</v>
      </c>
      <c r="D146" s="59">
        <f>IF(D109=4,B129,0)</f>
        <v>0</v>
      </c>
      <c r="E146" s="54">
        <f>IF(E109=4,E129,0)</f>
        <v>0</v>
      </c>
      <c r="G146" s="59">
        <f>IF(G109=4,E129,0)</f>
        <v>50</v>
      </c>
      <c r="H146" s="54">
        <f>IF(H109=4,H129,0)</f>
        <v>0</v>
      </c>
      <c r="J146" s="59">
        <f>IF(J109=4,H129,0)</f>
        <v>0</v>
      </c>
      <c r="K146" s="54">
        <f>IF(K109=4,K129,0)</f>
        <v>0</v>
      </c>
      <c r="M146" s="59">
        <f>IF(M109=4,K129,0)</f>
        <v>50</v>
      </c>
      <c r="N146" s="54">
        <f>IF(N109=4,N129,0)</f>
        <v>0</v>
      </c>
      <c r="P146" s="59">
        <f>IF(P109=4,N129,0)</f>
        <v>0</v>
      </c>
      <c r="Q146" s="54">
        <f>IF(Q109=4,Q129,0)</f>
        <v>50</v>
      </c>
      <c r="S146" s="59">
        <f>IF(S109=4,Q129,0)</f>
        <v>0</v>
      </c>
      <c r="T146" s="54">
        <f>IF(T109=4,T129,0)</f>
        <v>0</v>
      </c>
      <c r="V146" s="59">
        <f>IF(V109=4,T129,0)</f>
        <v>0</v>
      </c>
      <c r="W146" s="54">
        <f>IF(W109=4,W129,0)</f>
        <v>0</v>
      </c>
      <c r="Y146" s="59">
        <f>IF(Y109=4,W129,0)</f>
        <v>0</v>
      </c>
      <c r="Z146" s="54">
        <f>IF(Z109=4,Z129,0)</f>
        <v>0</v>
      </c>
      <c r="AB146" s="59">
        <f>IF(AB109=4,Z129,0)</f>
        <v>50</v>
      </c>
      <c r="AC146" s="54">
        <f>IF(AC109=4,AC129,0)</f>
        <v>0</v>
      </c>
      <c r="AE146" s="59">
        <f>IF(AE109=4,AC129,0)</f>
        <v>0</v>
      </c>
      <c r="AF146" s="54">
        <f>SUM(B146:AE146)</f>
        <v>200</v>
      </c>
      <c r="AW146" s="57"/>
    </row>
    <row r="147" spans="1:49" s="54" customFormat="1" ht="12.75" hidden="1" customHeight="1" x14ac:dyDescent="0.2">
      <c r="A147" s="54" t="s">
        <v>105</v>
      </c>
      <c r="B147" s="54">
        <f>IF(B109=5,B129,0)</f>
        <v>0</v>
      </c>
      <c r="D147" s="59">
        <f>IF(D109=5,B129,0)</f>
        <v>50</v>
      </c>
      <c r="E147" s="54">
        <f>IF(E109=5,E129,0)</f>
        <v>0</v>
      </c>
      <c r="G147" s="59">
        <f>IF(G109=5,E129,0)</f>
        <v>0</v>
      </c>
      <c r="H147" s="54">
        <f>IF(H109=5,H129,0)</f>
        <v>0</v>
      </c>
      <c r="J147" s="59">
        <f>IF(J109=5,H129,0)</f>
        <v>50</v>
      </c>
      <c r="K147" s="54">
        <f>IF(K109=5,K129,0)</f>
        <v>0</v>
      </c>
      <c r="M147" s="59">
        <f>IF(M109=5,K129,0)</f>
        <v>0</v>
      </c>
      <c r="N147" s="54">
        <f>IF(N109=5,N129,0)</f>
        <v>0</v>
      </c>
      <c r="P147" s="59">
        <f>IF(P109=5,N129,0)</f>
        <v>0</v>
      </c>
      <c r="Q147" s="54">
        <f>IF(Q109=5,Q129,0)</f>
        <v>0</v>
      </c>
      <c r="S147" s="59">
        <f>IF(S109=5,Q129,0)</f>
        <v>50</v>
      </c>
      <c r="T147" s="54">
        <f>IF(T109=5,T129,0)</f>
        <v>0</v>
      </c>
      <c r="V147" s="59">
        <f>IF(V109=5,T129,0)</f>
        <v>0</v>
      </c>
      <c r="W147" s="54">
        <f>IF(W109=5,W129,0)</f>
        <v>0</v>
      </c>
      <c r="Y147" s="59">
        <f>IF(Y109=5,W129,0)</f>
        <v>52</v>
      </c>
      <c r="Z147" s="54">
        <f>IF(Z109=5,Z129,0)</f>
        <v>0</v>
      </c>
      <c r="AB147" s="59">
        <f>IF(AB109=5,Z129,0)</f>
        <v>0</v>
      </c>
      <c r="AC147" s="54">
        <f>IF(AC109=5,AC129,0)</f>
        <v>0</v>
      </c>
      <c r="AE147" s="59">
        <f>IF(AE109=5,AC129,0)</f>
        <v>0</v>
      </c>
      <c r="AF147" s="54">
        <f>SUM(B147:AE147)</f>
        <v>202</v>
      </c>
      <c r="AW147" s="57"/>
    </row>
    <row r="148" spans="1:49" s="54" customFormat="1" ht="38.25" hidden="1" customHeight="1" x14ac:dyDescent="0.2">
      <c r="A148" s="54" t="s">
        <v>107</v>
      </c>
      <c r="D148" s="59"/>
      <c r="G148" s="59"/>
      <c r="J148" s="59"/>
      <c r="M148" s="59"/>
      <c r="P148" s="59"/>
      <c r="S148" s="59"/>
      <c r="V148" s="59"/>
      <c r="Y148" s="59"/>
      <c r="AB148" s="59"/>
      <c r="AE148" s="59"/>
      <c r="AF148" s="58" t="s">
        <v>108</v>
      </c>
      <c r="AG148" s="54" t="s">
        <v>109</v>
      </c>
      <c r="AW148" s="57"/>
    </row>
    <row r="149" spans="1:49" s="54" customFormat="1" ht="12.75" hidden="1" customHeight="1" x14ac:dyDescent="0.2">
      <c r="A149" s="54" t="s">
        <v>95</v>
      </c>
      <c r="B149" s="54">
        <f>IF(B109=1,SUMIF(B116:B120,"&gt;0"),0)</f>
        <v>0</v>
      </c>
      <c r="D149" s="59">
        <f>IF(D109=1,SUMIF(D116:D120,"&gt;0"),0)</f>
        <v>0</v>
      </c>
      <c r="E149" s="54">
        <f>IF(E109=1,SUMIF(E116:E120,"&gt;0"),0)</f>
        <v>2</v>
      </c>
      <c r="G149" s="59">
        <f>IF(G109=1,SUMIF(G116:G120,"&gt;0"),0)</f>
        <v>0</v>
      </c>
      <c r="H149" s="54">
        <f>IF(H109=1,SUMIF(H116:H120,"&gt;0"),0)</f>
        <v>0</v>
      </c>
      <c r="J149" s="59">
        <f>IF(J109=1,SUMIF(J116:J120,"&gt;0"),0)</f>
        <v>0</v>
      </c>
      <c r="K149" s="54">
        <f>IF(K109=1,SUMIF(K116:K120,"&gt;0"),0)</f>
        <v>0</v>
      </c>
      <c r="M149" s="59">
        <f>IF(M109=1,SUMIF(M116:M120,"&gt;0"),0)</f>
        <v>0</v>
      </c>
      <c r="N149" s="54">
        <f>IF(N109=1,SUMIF(N116:N120,"&gt;0"),0)</f>
        <v>1</v>
      </c>
      <c r="P149" s="59">
        <f>IF(P109=1,SUMIF(P116:P120,"&gt;0"),0)</f>
        <v>0</v>
      </c>
      <c r="Q149" s="54">
        <f>IF(Q109=1,SUMIF(Q116:Q120,"&gt;0"),0)</f>
        <v>0</v>
      </c>
      <c r="S149" s="59">
        <f>IF(S109=1,SUMIF(S116:S120,"&gt;0"),0)</f>
        <v>0</v>
      </c>
      <c r="T149" s="54">
        <f>IF(T109=1,SUMIF(T116:T120,"&gt;0"),0)</f>
        <v>0</v>
      </c>
      <c r="V149" s="59">
        <f>IF(V109=1,SUMIF(V116:V120,"&gt;0"),0)</f>
        <v>0</v>
      </c>
      <c r="W149" s="54">
        <f>IF(W109=1,SUMIF(W116:W120,"&gt;0"),0)</f>
        <v>1</v>
      </c>
      <c r="Y149" s="59">
        <f>IF(Y109=1,SUMIF(Y116:Y120,"&gt;0"),0)</f>
        <v>0</v>
      </c>
      <c r="Z149" s="54">
        <f>IF(Z109=1,SUMIF(Z116:Z120,"&gt;0"),0)</f>
        <v>0</v>
      </c>
      <c r="AB149" s="59">
        <f>IF(AB109=1,SUMIF(AB116:AB120,"&gt;0"),0)</f>
        <v>0</v>
      </c>
      <c r="AC149" s="54">
        <f>IF(AC109=1,SUMIF(AC116:AC120,"&gt;0"),0)</f>
        <v>0</v>
      </c>
      <c r="AE149" s="59">
        <f>IF(AE109=1,SUMIF(AE116:AE120,"&gt;0"),0)</f>
        <v>0</v>
      </c>
      <c r="AF149" s="54">
        <f>SUM(B149:AE149)</f>
        <v>4</v>
      </c>
      <c r="AG149" s="54">
        <f>AF157-AF149</f>
        <v>4</v>
      </c>
      <c r="AW149" s="57"/>
    </row>
    <row r="150" spans="1:49" s="54" customFormat="1" ht="12.75" hidden="1" customHeight="1" x14ac:dyDescent="0.2">
      <c r="A150" s="54" t="s">
        <v>96</v>
      </c>
      <c r="B150" s="54">
        <f>IF(B109=2,SUMIF(B116:B120,"&gt;0"),0)</f>
        <v>1</v>
      </c>
      <c r="D150" s="59">
        <f>IF(D109=2,SUMIF(D116:D120,"&gt;0"),0)</f>
        <v>0</v>
      </c>
      <c r="E150" s="54">
        <f>IF(E109=2,SUMIF(E116:E120,"&gt;0"),0)</f>
        <v>0</v>
      </c>
      <c r="G150" s="59">
        <f>IF(G109=2,SUMIF(G116:G120,"&gt;0"),0)</f>
        <v>0</v>
      </c>
      <c r="H150" s="54">
        <f>IF(H109=2,SUMIF(H116:H120,"&gt;0"),0)</f>
        <v>0</v>
      </c>
      <c r="J150" s="59">
        <f>IF(J109=2,SUMIF(J116:J120,"&gt;0"),0)</f>
        <v>0</v>
      </c>
      <c r="K150" s="54">
        <f>IF(K109=2,SUMIF(K116:K120,"&gt;0"),0)</f>
        <v>1</v>
      </c>
      <c r="M150" s="59">
        <f>IF(M109=2,SUMIF(M116:M120,"&gt;0"),0)</f>
        <v>0</v>
      </c>
      <c r="N150" s="54">
        <f>IF(N109=2,SUMIF(N116:N120,"&gt;0"),0)</f>
        <v>0</v>
      </c>
      <c r="P150" s="59">
        <f>IF(P109=2,SUMIF(P116:P120,"&gt;0"),0)</f>
        <v>0</v>
      </c>
      <c r="Q150" s="54">
        <f>IF(Q109=2,SUMIF(Q116:Q120,"&gt;0"),0)</f>
        <v>0</v>
      </c>
      <c r="S150" s="59">
        <f>IF(S109=2,SUMIF(S116:S120,"&gt;0"),0)</f>
        <v>0</v>
      </c>
      <c r="T150" s="54">
        <f>IF(T109=2,SUMIF(T116:T120,"&gt;0"),0)</f>
        <v>2</v>
      </c>
      <c r="V150" s="59">
        <f>IF(V109=2,SUMIF(V116:V120,"&gt;0"),0)</f>
        <v>0</v>
      </c>
      <c r="W150" s="54">
        <f>IF(W109=2,SUMIF(W116:W120,"&gt;0"),0)</f>
        <v>0</v>
      </c>
      <c r="Y150" s="59">
        <f>IF(Y109=2,SUMIF(Y116:Y120,"&gt;0"),0)</f>
        <v>0</v>
      </c>
      <c r="Z150" s="54">
        <f>IF(Z109=2,SUMIF(Z116:Z120,"&gt;0"),0)</f>
        <v>0</v>
      </c>
      <c r="AB150" s="59">
        <f>IF(AB109=2,SUMIF(AB116:AB120,"&gt;0"),0)</f>
        <v>0</v>
      </c>
      <c r="AC150" s="54">
        <f>IF(AC109=2,SUMIF(AC116:AC120,"&gt;0"),0)</f>
        <v>0</v>
      </c>
      <c r="AE150" s="59">
        <f>IF(AE109=2,SUMIF(AE116:AE120,"&gt;0"),0)</f>
        <v>2</v>
      </c>
      <c r="AF150" s="54">
        <f>SUM(B150:AE150)</f>
        <v>6</v>
      </c>
      <c r="AG150" s="54">
        <f>AF158-AF150</f>
        <v>2</v>
      </c>
      <c r="AW150" s="57"/>
    </row>
    <row r="151" spans="1:49" s="54" customFormat="1" ht="12.75" hidden="1" customHeight="1" x14ac:dyDescent="0.2">
      <c r="A151" s="54" t="s">
        <v>97</v>
      </c>
      <c r="B151" s="54">
        <f>IF(B109=3,SUMIF(B116:B120,"&gt;0"),0)</f>
        <v>0</v>
      </c>
      <c r="D151" s="59">
        <f>IF(D109=3,SUMIF(D116:D120,"&gt;0"),0)</f>
        <v>0</v>
      </c>
      <c r="E151" s="54">
        <f>IF(E109=3,SUMIF(E116:E120,"&gt;0"),0)</f>
        <v>0</v>
      </c>
      <c r="G151" s="59">
        <f>IF(G109=3,SUMIF(G116:G120,"&gt;0"),0)</f>
        <v>0</v>
      </c>
      <c r="H151" s="54">
        <f>IF(H109=3,SUMIF(H116:H120,"&gt;0"),0)</f>
        <v>0</v>
      </c>
      <c r="J151" s="59">
        <f>IF(J109=3,SUMIF(J116:J120,"&gt;0"),0)</f>
        <v>0</v>
      </c>
      <c r="K151" s="54">
        <f>IF(K109=3,SUMIF(K116:K120,"&gt;0"),0)</f>
        <v>0</v>
      </c>
      <c r="M151" s="59">
        <f>IF(M109=3,SUMIF(M116:M120,"&gt;0"),0)</f>
        <v>0</v>
      </c>
      <c r="N151" s="54">
        <f>IF(N109=3,SUMIF(N116:N120,"&gt;0"),0)</f>
        <v>0</v>
      </c>
      <c r="P151" s="59">
        <f>IF(P109=3,SUMIF(P116:P120,"&gt;0"),0)</f>
        <v>1</v>
      </c>
      <c r="Q151" s="54">
        <f>IF(Q109=3,SUMIF(Q116:Q120,"&gt;0"),0)</f>
        <v>0</v>
      </c>
      <c r="S151" s="59">
        <f>IF(S109=3,SUMIF(S116:S120,"&gt;0"),0)</f>
        <v>0</v>
      </c>
      <c r="T151" s="54">
        <f>IF(T109=3,SUMIF(T116:T120,"&gt;0"),0)</f>
        <v>0</v>
      </c>
      <c r="V151" s="59">
        <f>IF(V109=3,SUMIF(V116:V120,"&gt;0"),0)</f>
        <v>0</v>
      </c>
      <c r="W151" s="54">
        <f>IF(W109=3,SUMIF(W116:W120,"&gt;0"),0)</f>
        <v>0</v>
      </c>
      <c r="Y151" s="59">
        <f>IF(Y109=3,SUMIF(Y116:Y120,"&gt;0"),0)</f>
        <v>0</v>
      </c>
      <c r="Z151" s="54">
        <f>IF(Z109=3,SUMIF(Z116:Z120,"&gt;0"),0)</f>
        <v>1</v>
      </c>
      <c r="AB151" s="59">
        <f>IF(AB109=3,SUMIF(AB116:AB120,"&gt;0"),0)</f>
        <v>0</v>
      </c>
      <c r="AC151" s="54">
        <f>IF(AC109=3,SUMIF(AC116:AC120,"&gt;0"),0)</f>
        <v>0</v>
      </c>
      <c r="AE151" s="59">
        <f>IF(AE109=3,SUMIF(AE116:AE120,"&gt;0"),0)</f>
        <v>0</v>
      </c>
      <c r="AF151" s="54">
        <f>SUM(B151:AE151)</f>
        <v>2</v>
      </c>
      <c r="AG151" s="54">
        <f>AF159-AF151</f>
        <v>6</v>
      </c>
      <c r="AW151" s="57"/>
    </row>
    <row r="152" spans="1:49" s="54" customFormat="1" ht="12.75" hidden="1" customHeight="1" x14ac:dyDescent="0.2">
      <c r="A152" s="54" t="s">
        <v>98</v>
      </c>
      <c r="B152" s="54">
        <f>IF(B109=4,SUMIF(B116:B120,"&gt;0"),0)</f>
        <v>0</v>
      </c>
      <c r="D152" s="59">
        <f>IF(D109=4,SUMIF(D116:D120,"&gt;0"),0)</f>
        <v>0</v>
      </c>
      <c r="E152" s="54">
        <f>IF(E109=4,SUMIF(E116:E120,"&gt;0"),0)</f>
        <v>0</v>
      </c>
      <c r="G152" s="59">
        <f>IF(G109=4,SUMIF(G116:G120,"&gt;0"),0)</f>
        <v>0</v>
      </c>
      <c r="H152" s="54">
        <f>IF(H109=4,SUMIF(H116:H120,"&gt;0"),0)</f>
        <v>0</v>
      </c>
      <c r="J152" s="59">
        <f>IF(J109=4,SUMIF(J116:J120,"&gt;0"),0)</f>
        <v>0</v>
      </c>
      <c r="K152" s="54">
        <f>IF(K109=4,SUMIF(K116:K120,"&gt;0"),0)</f>
        <v>0</v>
      </c>
      <c r="M152" s="59">
        <f>IF(M109=4,SUMIF(M116:M120,"&gt;0"),0)</f>
        <v>1</v>
      </c>
      <c r="N152" s="54">
        <f>IF(N109=4,SUMIF(N116:N120,"&gt;0"),0)</f>
        <v>0</v>
      </c>
      <c r="P152" s="59">
        <f>IF(P109=4,SUMIF(P116:P120,"&gt;0"),0)</f>
        <v>0</v>
      </c>
      <c r="Q152" s="54">
        <f>IF(Q109=4,SUMIF(Q116:Q120,"&gt;0"),0)</f>
        <v>1</v>
      </c>
      <c r="S152" s="59">
        <f>IF(S109=4,SUMIF(S116:S120,"&gt;0"),0)</f>
        <v>0</v>
      </c>
      <c r="T152" s="54">
        <f>IF(T109=4,SUMIF(T116:T120,"&gt;0"),0)</f>
        <v>0</v>
      </c>
      <c r="V152" s="59">
        <f>IF(V109=4,SUMIF(V116:V120,"&gt;0"),0)</f>
        <v>0</v>
      </c>
      <c r="W152" s="54">
        <f>IF(W109=4,SUMIF(W116:W120,"&gt;0"),0)</f>
        <v>0</v>
      </c>
      <c r="Y152" s="59">
        <f>IF(Y109=4,SUMIF(Y116:Y120,"&gt;0"),0)</f>
        <v>0</v>
      </c>
      <c r="Z152" s="54">
        <f>IF(Z109=4,SUMIF(Z116:Z120,"&gt;0"),0)</f>
        <v>0</v>
      </c>
      <c r="AB152" s="59">
        <f>IF(AB109=4,SUMIF(AB116:AB120,"&gt;0"),0)</f>
        <v>1</v>
      </c>
      <c r="AC152" s="54">
        <f>IF(AC109=4,SUMIF(AC116:AC120,"&gt;0"),0)</f>
        <v>0</v>
      </c>
      <c r="AE152" s="59">
        <f>IF(AE109=4,SUMIF(AE116:AE120,"&gt;0"),0)</f>
        <v>0</v>
      </c>
      <c r="AF152" s="54">
        <f>SUM(B152:AE152)</f>
        <v>3</v>
      </c>
      <c r="AG152" s="54">
        <f>AF160-AF152</f>
        <v>5</v>
      </c>
      <c r="AW152" s="57"/>
    </row>
    <row r="153" spans="1:49" s="54" customFormat="1" ht="12.75" hidden="1" customHeight="1" x14ac:dyDescent="0.2">
      <c r="A153" s="54" t="s">
        <v>99</v>
      </c>
      <c r="B153" s="54">
        <f>IF(B109=5,SUMIF(B116:B120,"&gt;0"),0)</f>
        <v>0</v>
      </c>
      <c r="D153" s="59">
        <f>IF(D109=5,SUMIF(D116:D120,"&gt;0"),0)</f>
        <v>1</v>
      </c>
      <c r="E153" s="54">
        <f>IF(E109=5,SUMIF(E116:E120,"&gt;0"),0)</f>
        <v>0</v>
      </c>
      <c r="G153" s="59">
        <f>IF(G109=5,SUMIF(G116:G120,"&gt;0"),0)</f>
        <v>0</v>
      </c>
      <c r="H153" s="54">
        <f>IF(H109=5,SUMIF(H116:H120,"&gt;0"),0)</f>
        <v>0</v>
      </c>
      <c r="J153" s="59">
        <f>IF(J109=5,SUMIF(J116:J120,"&gt;0"),0)</f>
        <v>2</v>
      </c>
      <c r="K153" s="54">
        <f>IF(K109=5,SUMIF(K116:K120,"&gt;0"),0)</f>
        <v>0</v>
      </c>
      <c r="M153" s="59">
        <f>IF(M109=5,SUMIF(M116:M120,"&gt;0"),0)</f>
        <v>0</v>
      </c>
      <c r="N153" s="54">
        <f>IF(N109=5,SUMIF(N116:N120,"&gt;0"),0)</f>
        <v>0</v>
      </c>
      <c r="P153" s="59">
        <f>IF(P109=5,SUMIF(P116:P120,"&gt;0"),0)</f>
        <v>0</v>
      </c>
      <c r="Q153" s="54">
        <f>IF(Q109=5,SUMIF(Q116:Q120,"&gt;0"),0)</f>
        <v>0</v>
      </c>
      <c r="S153" s="59">
        <f>IF(S109=5,SUMIF(S116:S120,"&gt;0"),0)</f>
        <v>1</v>
      </c>
      <c r="T153" s="54">
        <f>IF(T109=5,SUMIF(T116:T120,"&gt;0"),0)</f>
        <v>0</v>
      </c>
      <c r="V153" s="59">
        <f>IF(V109=5,SUMIF(V116:V120,"&gt;0"),0)</f>
        <v>0</v>
      </c>
      <c r="W153" s="54">
        <f>IF(W109=5,SUMIF(W116:W120,"&gt;0"),0)</f>
        <v>0</v>
      </c>
      <c r="Y153" s="59">
        <f>IF(Y109=5,SUMIF(Y116:Y120,"&gt;0"),0)</f>
        <v>1</v>
      </c>
      <c r="Z153" s="54">
        <f>IF(Z109=5,SUMIF(Z116:Z120,"&gt;0"),0)</f>
        <v>0</v>
      </c>
      <c r="AB153" s="59">
        <f>IF(AB109=5,SUMIF(AB116:AB120,"&gt;0"),0)</f>
        <v>0</v>
      </c>
      <c r="AC153" s="54">
        <f>IF(AC109=5,SUMIF(AC116:AC120,"&gt;0"),0)</f>
        <v>0</v>
      </c>
      <c r="AE153" s="59">
        <f>IF(AE109=5,SUMIF(AE116:AE120,"&gt;0"),0)</f>
        <v>0</v>
      </c>
      <c r="AF153" s="54">
        <f>SUM(B153:AE153)</f>
        <v>5</v>
      </c>
      <c r="AG153" s="54">
        <f>AF161-AF153</f>
        <v>3</v>
      </c>
      <c r="AW153" s="57"/>
    </row>
    <row r="154" spans="1:49" s="54" customFormat="1" ht="12.75" hidden="1" customHeight="1" x14ac:dyDescent="0.2">
      <c r="D154" s="59"/>
      <c r="G154" s="59"/>
      <c r="J154" s="59"/>
      <c r="M154" s="59"/>
      <c r="P154" s="59"/>
      <c r="S154" s="59"/>
      <c r="V154" s="59"/>
      <c r="Y154" s="59"/>
      <c r="AB154" s="59"/>
      <c r="AE154" s="59"/>
      <c r="AW154" s="57"/>
    </row>
    <row r="155" spans="1:49" s="54" customFormat="1" ht="12.75" hidden="1" customHeight="1" x14ac:dyDescent="0.2">
      <c r="D155" s="59"/>
      <c r="G155" s="59"/>
      <c r="J155" s="59"/>
      <c r="M155" s="59"/>
      <c r="P155" s="59"/>
      <c r="S155" s="59"/>
      <c r="V155" s="59"/>
      <c r="Y155" s="59"/>
      <c r="AB155" s="59"/>
      <c r="AE155" s="59"/>
      <c r="AW155" s="57"/>
    </row>
    <row r="156" spans="1:49" s="54" customFormat="1" ht="51" hidden="1" customHeight="1" x14ac:dyDescent="0.2">
      <c r="A156" s="58" t="s">
        <v>110</v>
      </c>
      <c r="C156" s="54">
        <f>SUMIF(B149:D153,"&gt;0")</f>
        <v>2</v>
      </c>
      <c r="D156" s="59"/>
      <c r="F156" s="54">
        <f>SUMIF(E149:G153,"&gt;0")</f>
        <v>2</v>
      </c>
      <c r="G156" s="59"/>
      <c r="I156" s="54">
        <f>SUMIF(H149:J153,"&gt;0")</f>
        <v>2</v>
      </c>
      <c r="J156" s="59"/>
      <c r="L156" s="54">
        <f>SUMIF(K149:M153,"&gt;0")</f>
        <v>2</v>
      </c>
      <c r="M156" s="59"/>
      <c r="O156" s="54">
        <f>SUMIF(N149:P153,"&gt;0")</f>
        <v>2</v>
      </c>
      <c r="P156" s="59"/>
      <c r="R156" s="54">
        <f>SUMIF(Q149:S153,"&gt;0")</f>
        <v>2</v>
      </c>
      <c r="S156" s="59"/>
      <c r="U156" s="54">
        <f>SUMIF(T149:V153,"&gt;0")</f>
        <v>2</v>
      </c>
      <c r="V156" s="59"/>
      <c r="X156" s="54">
        <f>SUMIF(W149:Y153,"&gt;0")</f>
        <v>2</v>
      </c>
      <c r="Y156" s="59"/>
      <c r="AA156" s="54">
        <f>SUMIF(Z149:AB153,"&gt;0")</f>
        <v>2</v>
      </c>
      <c r="AB156" s="59"/>
      <c r="AD156" s="54">
        <f>SUMIF(AC149:AE153,"&gt;0")</f>
        <v>2</v>
      </c>
      <c r="AE156" s="59"/>
      <c r="AF156" s="58" t="s">
        <v>111</v>
      </c>
      <c r="AW156" s="57"/>
    </row>
    <row r="157" spans="1:49" s="54" customFormat="1" ht="12.75" hidden="1" customHeight="1" x14ac:dyDescent="0.2">
      <c r="A157" s="54" t="s">
        <v>101</v>
      </c>
      <c r="B157" s="54">
        <f>IF(B109=1,C156,0)</f>
        <v>0</v>
      </c>
      <c r="D157" s="59">
        <f>IF(D109=1,C156,0)</f>
        <v>0</v>
      </c>
      <c r="E157" s="54">
        <f>IF(E109=1,F156,0)</f>
        <v>2</v>
      </c>
      <c r="G157" s="59">
        <f>IF(G109=1,F156,0)</f>
        <v>0</v>
      </c>
      <c r="H157" s="54">
        <f>IF(H109=1,I156,0)</f>
        <v>0</v>
      </c>
      <c r="J157" s="59">
        <f>IF(J109=1,I156,0)</f>
        <v>0</v>
      </c>
      <c r="K157" s="54">
        <f>IF(K109=1,L156,0)</f>
        <v>0</v>
      </c>
      <c r="M157" s="59">
        <f>IF(M109=1,L156,0)</f>
        <v>0</v>
      </c>
      <c r="N157" s="54">
        <f>IF(N109=1,O156,0)</f>
        <v>2</v>
      </c>
      <c r="P157" s="59">
        <f>IF(P109=1,O156,0)</f>
        <v>0</v>
      </c>
      <c r="Q157" s="54">
        <f>IF(Q109=1,R156,0)</f>
        <v>0</v>
      </c>
      <c r="S157" s="59">
        <f>IF(S109=1,R156,0)</f>
        <v>0</v>
      </c>
      <c r="T157" s="54">
        <f>IF(T109=1,U156,0)</f>
        <v>0</v>
      </c>
      <c r="V157" s="59">
        <f>IF(V109=1,U156,0)</f>
        <v>0</v>
      </c>
      <c r="W157" s="54">
        <f>IF(W109=1,X156,0)</f>
        <v>2</v>
      </c>
      <c r="Y157" s="59">
        <f>IF(Y109=1,X156,0)</f>
        <v>0</v>
      </c>
      <c r="Z157" s="54">
        <f>IF(Z109=1,AA156,0)</f>
        <v>0</v>
      </c>
      <c r="AB157" s="59">
        <f>IF(AB109=1,AA156,0)</f>
        <v>0</v>
      </c>
      <c r="AC157" s="54">
        <f>IF(AC109=1,AD156,0)</f>
        <v>2</v>
      </c>
      <c r="AE157" s="59">
        <f>IF(AE109=1,AD156,0)</f>
        <v>0</v>
      </c>
      <c r="AF157" s="54">
        <f>SUM(B157:AE157)</f>
        <v>8</v>
      </c>
      <c r="AW157" s="57"/>
    </row>
    <row r="158" spans="1:49" s="54" customFormat="1" ht="12.75" hidden="1" customHeight="1" x14ac:dyDescent="0.2">
      <c r="A158" s="54" t="s">
        <v>102</v>
      </c>
      <c r="B158" s="54">
        <f>IF(B109=2,C156,0)</f>
        <v>2</v>
      </c>
      <c r="D158" s="59">
        <f>IF(D109=2,C156,0)</f>
        <v>0</v>
      </c>
      <c r="E158" s="54">
        <f>IF(E109=2,F156,0)</f>
        <v>0</v>
      </c>
      <c r="G158" s="59">
        <f>IF(G109=2,F156,0)</f>
        <v>0</v>
      </c>
      <c r="H158" s="54">
        <f>IF(H109=2,I156,0)</f>
        <v>0</v>
      </c>
      <c r="J158" s="59">
        <f>IF(J109=2,I156,0)</f>
        <v>0</v>
      </c>
      <c r="K158" s="54">
        <f>IF(K109=2,L156,0)</f>
        <v>2</v>
      </c>
      <c r="M158" s="59">
        <f>IF(M109=2,L156,0)</f>
        <v>0</v>
      </c>
      <c r="N158" s="54">
        <f>IF(N109=2,O156,0)</f>
        <v>0</v>
      </c>
      <c r="P158" s="59">
        <f>IF(P109=2,O156,0)</f>
        <v>0</v>
      </c>
      <c r="Q158" s="54">
        <f>IF(Q109=2,R156,0)</f>
        <v>0</v>
      </c>
      <c r="S158" s="59">
        <f>IF(S109=2,R156,0)</f>
        <v>0</v>
      </c>
      <c r="T158" s="54">
        <f>IF(T109=2,U156,0)</f>
        <v>2</v>
      </c>
      <c r="V158" s="59">
        <f>IF(V109=2,U156,0)</f>
        <v>0</v>
      </c>
      <c r="W158" s="54">
        <f>IF(W109=2,X156,0)</f>
        <v>0</v>
      </c>
      <c r="Y158" s="59">
        <f>IF(Y109=2,X156,0)</f>
        <v>0</v>
      </c>
      <c r="Z158" s="54">
        <f>IF(Z109=2,AA156,0)</f>
        <v>0</v>
      </c>
      <c r="AB158" s="59">
        <f>IF(AB109=2,AA156,0)</f>
        <v>0</v>
      </c>
      <c r="AC158" s="54">
        <f>IF(AC109=2,AD156,0)</f>
        <v>0</v>
      </c>
      <c r="AE158" s="59">
        <f>IF(AE109=2,AD156,0)</f>
        <v>2</v>
      </c>
      <c r="AF158" s="54">
        <f>SUM(B158:AE158)</f>
        <v>8</v>
      </c>
      <c r="AW158" s="57"/>
    </row>
    <row r="159" spans="1:49" s="54" customFormat="1" ht="12.75" hidden="1" customHeight="1" x14ac:dyDescent="0.2">
      <c r="A159" s="54" t="s">
        <v>103</v>
      </c>
      <c r="B159" s="54">
        <f>IF(B109=3,C156,0)</f>
        <v>0</v>
      </c>
      <c r="D159" s="59">
        <f>IF(D109=3,C156,0)</f>
        <v>0</v>
      </c>
      <c r="E159" s="54">
        <f>IF(E109=3,F156,0)</f>
        <v>0</v>
      </c>
      <c r="G159" s="59">
        <f>IF(G109=3,F156,0)</f>
        <v>0</v>
      </c>
      <c r="H159" s="54">
        <f>IF(H109=3,I156,0)</f>
        <v>2</v>
      </c>
      <c r="J159" s="59">
        <f>IF(J109=3,I156,0)</f>
        <v>0</v>
      </c>
      <c r="K159" s="54">
        <f>IF(K109=3,L156,0)</f>
        <v>0</v>
      </c>
      <c r="M159" s="59">
        <f>IF(M109=3,L156,0)</f>
        <v>0</v>
      </c>
      <c r="N159" s="54">
        <f>IF(N109=3,O156,0)</f>
        <v>0</v>
      </c>
      <c r="P159" s="59">
        <f>IF(P109=3,O156,0)</f>
        <v>2</v>
      </c>
      <c r="Q159" s="54">
        <f>IF(Q109=3,R156,0)</f>
        <v>0</v>
      </c>
      <c r="S159" s="59">
        <f>IF(S109=3,R156,0)</f>
        <v>0</v>
      </c>
      <c r="T159" s="54">
        <f>IF(T109=3,U156,0)</f>
        <v>0</v>
      </c>
      <c r="V159" s="59">
        <f>IF(V109=3,U156,0)</f>
        <v>2</v>
      </c>
      <c r="W159" s="54">
        <f>IF(W109=3,X156,0)</f>
        <v>0</v>
      </c>
      <c r="Y159" s="59">
        <f>IF(Y109=3,X156,0)</f>
        <v>0</v>
      </c>
      <c r="Z159" s="54">
        <f>IF(Z109=3,AA156,0)</f>
        <v>2</v>
      </c>
      <c r="AB159" s="59">
        <f>IF(AB109=3,AA156,0)</f>
        <v>0</v>
      </c>
      <c r="AC159" s="54">
        <f>IF(AC109=3,AD156,0)</f>
        <v>0</v>
      </c>
      <c r="AE159" s="59">
        <f>IF(AE109=3,AD156,0)</f>
        <v>0</v>
      </c>
      <c r="AF159" s="54">
        <f>SUM(B159:AE159)</f>
        <v>8</v>
      </c>
      <c r="AW159" s="57"/>
    </row>
    <row r="160" spans="1:49" s="54" customFormat="1" ht="12.75" hidden="1" customHeight="1" x14ac:dyDescent="0.2">
      <c r="A160" s="54" t="s">
        <v>104</v>
      </c>
      <c r="B160" s="54">
        <f>IF(B109=4,C156,0)</f>
        <v>0</v>
      </c>
      <c r="D160" s="59">
        <f>IF(D109=4,C156,0)</f>
        <v>0</v>
      </c>
      <c r="E160" s="54">
        <f>IF(E109=4,F156,0)</f>
        <v>0</v>
      </c>
      <c r="G160" s="59">
        <f>IF(G109=4,F156,0)</f>
        <v>2</v>
      </c>
      <c r="H160" s="54">
        <f>IF(H109=4,I156,0)</f>
        <v>0</v>
      </c>
      <c r="J160" s="59">
        <f>IF(J109=4,I156,0)</f>
        <v>0</v>
      </c>
      <c r="K160" s="54">
        <f>IF(K109=4,L156,0)</f>
        <v>0</v>
      </c>
      <c r="M160" s="59">
        <f>IF(M109=4,L156,0)</f>
        <v>2</v>
      </c>
      <c r="N160" s="54">
        <f>IF(N109=4,O156,0)</f>
        <v>0</v>
      </c>
      <c r="P160" s="59">
        <f>IF(P109=4,O156,0)</f>
        <v>0</v>
      </c>
      <c r="Q160" s="54">
        <f>IF(Q109=4,R156,0)</f>
        <v>2</v>
      </c>
      <c r="S160" s="59">
        <f>IF(S109=4,R156,0)</f>
        <v>0</v>
      </c>
      <c r="T160" s="54">
        <f>IF(T109=4,U156,0)</f>
        <v>0</v>
      </c>
      <c r="V160" s="59">
        <f>IF(V109=4,U156,0)</f>
        <v>0</v>
      </c>
      <c r="W160" s="54">
        <f>IF(W109=4,X156,0)</f>
        <v>0</v>
      </c>
      <c r="Y160" s="59">
        <f>IF(Y109=4,X156,0)</f>
        <v>0</v>
      </c>
      <c r="Z160" s="54">
        <f>IF(Z109=4,AA156,0)</f>
        <v>0</v>
      </c>
      <c r="AB160" s="59">
        <f>IF(AB109=4,AA156,0)</f>
        <v>2</v>
      </c>
      <c r="AC160" s="54">
        <f>IF(AC109=4,AD156,0)</f>
        <v>0</v>
      </c>
      <c r="AE160" s="59">
        <f>IF(AE109=4,AD156,0)</f>
        <v>0</v>
      </c>
      <c r="AF160" s="54">
        <f>SUM(B160:AE160)</f>
        <v>8</v>
      </c>
      <c r="AW160" s="57"/>
    </row>
    <row r="161" spans="1:54" s="54" customFormat="1" ht="12.75" hidden="1" customHeight="1" x14ac:dyDescent="0.2">
      <c r="A161" s="54" t="s">
        <v>105</v>
      </c>
      <c r="B161" s="54">
        <f>IF(B109=5,C156,0)</f>
        <v>0</v>
      </c>
      <c r="D161" s="59">
        <f>IF(D109=5,C156,0)</f>
        <v>2</v>
      </c>
      <c r="E161" s="54">
        <f>IF(E109=5,F156,0)</f>
        <v>0</v>
      </c>
      <c r="G161" s="59">
        <f>IF(G109=5,F156,0)</f>
        <v>0</v>
      </c>
      <c r="H161" s="54">
        <f>IF(H109=5,I156,0)</f>
        <v>0</v>
      </c>
      <c r="J161" s="59">
        <f>IF(J109=5,I156,0)</f>
        <v>2</v>
      </c>
      <c r="K161" s="54">
        <f>IF(K109=5,L156,0)</f>
        <v>0</v>
      </c>
      <c r="M161" s="59">
        <f>IF(M109=5,L156,0)</f>
        <v>0</v>
      </c>
      <c r="N161" s="54">
        <f>IF(N109=5,O156,0)</f>
        <v>0</v>
      </c>
      <c r="P161" s="59">
        <f>IF(P109=5,O156,0)</f>
        <v>0</v>
      </c>
      <c r="Q161" s="54">
        <f>IF(Q109=5,R156,0)</f>
        <v>0</v>
      </c>
      <c r="S161" s="59">
        <f>IF(S109=5,R156,0)</f>
        <v>2</v>
      </c>
      <c r="T161" s="54">
        <f>IF(T109=5,U156,0)</f>
        <v>0</v>
      </c>
      <c r="V161" s="59">
        <f>IF(V109=5,U156,0)</f>
        <v>0</v>
      </c>
      <c r="W161" s="54">
        <f>IF(W109=5,X156,0)</f>
        <v>0</v>
      </c>
      <c r="Y161" s="59">
        <f>IF(Y109=5,X156,0)</f>
        <v>2</v>
      </c>
      <c r="Z161" s="54">
        <f>IF(Z109=5,AA156,0)</f>
        <v>0</v>
      </c>
      <c r="AB161" s="59">
        <f>IF(AB109=5,AA156,0)</f>
        <v>0</v>
      </c>
      <c r="AC161" s="54">
        <f>IF(AC109=5,AD156,0)</f>
        <v>0</v>
      </c>
      <c r="AE161" s="59">
        <f>IF(AE109=5,AD156,0)</f>
        <v>0</v>
      </c>
      <c r="AF161" s="54">
        <f>SUM(B161:AE161)</f>
        <v>8</v>
      </c>
      <c r="AW161" s="57"/>
    </row>
    <row r="162" spans="1:54" hidden="1" x14ac:dyDescent="0.2">
      <c r="A162" s="60"/>
      <c r="B162" s="60"/>
      <c r="C162" s="60"/>
      <c r="D162" s="60"/>
      <c r="E162" s="60"/>
      <c r="F162" s="60"/>
      <c r="G162" s="60"/>
      <c r="H162" s="60"/>
      <c r="I162" s="60"/>
      <c r="J162" s="60"/>
      <c r="K162" s="60"/>
      <c r="L162" s="60"/>
      <c r="M162" s="60"/>
      <c r="N162" s="60"/>
      <c r="O162" s="60"/>
      <c r="P162" s="60"/>
      <c r="Q162" s="60"/>
      <c r="R162" s="60"/>
      <c r="S162" s="60"/>
      <c r="T162" s="60"/>
      <c r="U162" s="60"/>
      <c r="V162" s="60"/>
      <c r="W162" s="60"/>
      <c r="X162" s="60"/>
      <c r="Y162" s="60"/>
      <c r="Z162" s="60"/>
      <c r="AA162" s="60"/>
      <c r="AB162" s="60"/>
      <c r="AC162" s="60"/>
      <c r="AD162" s="60"/>
      <c r="AE162" s="60"/>
      <c r="AF162" s="60"/>
      <c r="AG162" s="60"/>
      <c r="AH162" s="60"/>
      <c r="AI162" s="60"/>
      <c r="AJ162" s="60"/>
      <c r="AK162" s="60"/>
      <c r="AL162" s="60"/>
      <c r="AM162" s="60"/>
      <c r="AN162" s="61"/>
      <c r="AO162" s="61"/>
      <c r="AP162" s="61"/>
      <c r="AQ162" s="61"/>
      <c r="AR162" s="62"/>
      <c r="AS162" s="62"/>
      <c r="AT162" s="62"/>
      <c r="AU162" s="62"/>
      <c r="AV162" s="62"/>
      <c r="BB162" s="53"/>
    </row>
    <row r="163" spans="1:54" s="62" customFormat="1" hidden="1" x14ac:dyDescent="0.2">
      <c r="A163" s="63"/>
      <c r="B163" s="63"/>
      <c r="C163" s="63" t="s">
        <v>112</v>
      </c>
      <c r="D163" s="63">
        <v>1</v>
      </c>
      <c r="E163" s="63"/>
      <c r="F163" s="63"/>
      <c r="G163" s="63">
        <v>2</v>
      </c>
      <c r="H163" s="63"/>
      <c r="I163" s="63"/>
      <c r="J163" s="63">
        <v>3</v>
      </c>
      <c r="K163" s="63"/>
      <c r="L163" s="63"/>
      <c r="M163" s="63">
        <v>4</v>
      </c>
      <c r="N163" s="63"/>
      <c r="O163" s="63"/>
      <c r="P163" s="63">
        <v>5</v>
      </c>
      <c r="Q163" s="63"/>
      <c r="R163" s="63"/>
      <c r="S163" s="63">
        <v>6</v>
      </c>
      <c r="T163" s="63"/>
      <c r="U163" s="63"/>
      <c r="V163" s="63">
        <v>7</v>
      </c>
      <c r="W163" s="63"/>
      <c r="X163" s="63"/>
      <c r="Y163" s="63">
        <v>8</v>
      </c>
      <c r="Z163" s="63"/>
      <c r="AA163" s="63"/>
      <c r="AB163" s="63">
        <v>9</v>
      </c>
      <c r="AC163" s="63"/>
      <c r="AD163" s="63"/>
      <c r="AE163" s="63">
        <v>10</v>
      </c>
      <c r="AF163" s="4"/>
      <c r="AG163" s="63"/>
      <c r="AI163" s="64"/>
      <c r="AJ163" s="4"/>
      <c r="AK163" s="4"/>
      <c r="AL163" s="4"/>
      <c r="AM163" s="4"/>
      <c r="AN163" s="4"/>
      <c r="AO163" s="4"/>
      <c r="AT163" s="64" t="s">
        <v>113</v>
      </c>
      <c r="AW163" s="65"/>
      <c r="BB163" s="65"/>
    </row>
    <row r="164" spans="1:54" s="62" customFormat="1" hidden="1" x14ac:dyDescent="0.2">
      <c r="A164" s="66">
        <v>1</v>
      </c>
      <c r="B164" s="66" t="str">
        <f>E93</f>
        <v>Coastal 17 Cyclones</v>
      </c>
      <c r="C164" s="66">
        <f>VLOOKUP(B164,AU$3:AY$12,3,FALSE)</f>
        <v>2503.2179928017745</v>
      </c>
      <c r="D164" s="66">
        <f>IF(B157,B172,IF(D157,D172,C164))</f>
        <v>2503.2179928017745</v>
      </c>
      <c r="E164" s="66"/>
      <c r="F164" s="66"/>
      <c r="G164" s="66">
        <f>IF(E157,E172,IF(G157,G172,D164))</f>
        <v>2525.9814177304547</v>
      </c>
      <c r="H164" s="66"/>
      <c r="I164" s="66"/>
      <c r="J164" s="66">
        <f>IF(H157,H172,IF(J157,J172,G164))</f>
        <v>2525.9814177304547</v>
      </c>
      <c r="K164" s="66"/>
      <c r="L164" s="66"/>
      <c r="M164" s="66">
        <f>IF(K157,K172,IF(M157,M172,J164))</f>
        <v>2525.9814177304547</v>
      </c>
      <c r="N164" s="66"/>
      <c r="O164" s="66"/>
      <c r="P164" s="66">
        <f>IF(N157,N172,IF(P157,P172,M164))</f>
        <v>2512.1388612314281</v>
      </c>
      <c r="Q164" s="66"/>
      <c r="R164" s="66"/>
      <c r="S164" s="66">
        <f>IF(Q157,Q172,IF(S157,S172,P164))</f>
        <v>2512.1388612314281</v>
      </c>
      <c r="T164" s="66"/>
      <c r="U164" s="66"/>
      <c r="V164" s="66">
        <f>IF(T157,T172,IF(V157,V172,S164))</f>
        <v>2512.1388612314281</v>
      </c>
      <c r="W164" s="66"/>
      <c r="X164" s="66"/>
      <c r="Y164" s="66">
        <f>IF(W157,W172,IF(Y157,Y172,V164))</f>
        <v>2502.2944626363642</v>
      </c>
      <c r="Z164" s="66"/>
      <c r="AA164" s="66"/>
      <c r="AB164" s="66">
        <f>IF(Z157,Z172,IF(AB157,AB172,Y164))</f>
        <v>2502.2944626363642</v>
      </c>
      <c r="AC164" s="66"/>
      <c r="AD164" s="66"/>
      <c r="AE164" s="66">
        <f>IF(AC157,AC172,IF(AE157,AE172,AB164))</f>
        <v>2469.0199397386018</v>
      </c>
      <c r="AF164" s="4"/>
      <c r="AG164" s="4"/>
      <c r="AJ164" s="4"/>
      <c r="AK164" s="4"/>
      <c r="AL164" s="4"/>
      <c r="AM164" s="4"/>
      <c r="AN164" s="4"/>
      <c r="AO164" s="4"/>
      <c r="AT164" s="62" t="str">
        <f>B164</f>
        <v>Coastal 17 Cyclones</v>
      </c>
      <c r="AU164" s="62">
        <f>AE164</f>
        <v>2469.0199397386018</v>
      </c>
      <c r="AW164" s="65"/>
      <c r="BB164" s="65"/>
    </row>
    <row r="165" spans="1:54" s="62" customFormat="1" hidden="1" x14ac:dyDescent="0.2">
      <c r="A165" s="66">
        <v>2</v>
      </c>
      <c r="B165" s="66" t="str">
        <f>E95</f>
        <v>V-1 Academy SAV 17 Jon</v>
      </c>
      <c r="C165" s="66">
        <f>VLOOKUP(B165,AU$3:AY$12,3,FALSE)</f>
        <v>2483.9011013183376</v>
      </c>
      <c r="D165" s="66">
        <f>IF(B158,B172,IF(D158,D172,C165))</f>
        <v>2472.7228912613914</v>
      </c>
      <c r="E165" s="66"/>
      <c r="F165" s="66"/>
      <c r="G165" s="66">
        <f>IF(E158,E172,IF(G158,G172,D165))</f>
        <v>2472.7228912613914</v>
      </c>
      <c r="H165" s="66"/>
      <c r="I165" s="66"/>
      <c r="J165" s="66">
        <f>IF(H158,H172,IF(J158,J172,G165))</f>
        <v>2472.7228912613914</v>
      </c>
      <c r="K165" s="66"/>
      <c r="L165" s="66"/>
      <c r="M165" s="66">
        <f>IF(K158,K172,IF(M158,M172,J165))</f>
        <v>2464.1432113577148</v>
      </c>
      <c r="N165" s="66"/>
      <c r="O165" s="66"/>
      <c r="P165" s="66">
        <f>IF(N158,N172,IF(P158,P172,M165))</f>
        <v>2464.1432113577148</v>
      </c>
      <c r="Q165" s="66"/>
      <c r="R165" s="66"/>
      <c r="S165" s="66">
        <f>IF(Q158,Q172,IF(S158,S172,P165))</f>
        <v>2464.1432113577148</v>
      </c>
      <c r="T165" s="66"/>
      <c r="U165" s="66"/>
      <c r="V165" s="66">
        <f>IF(T158,T172,IF(V158,V172,S165))</f>
        <v>2488.4491819062846</v>
      </c>
      <c r="W165" s="66"/>
      <c r="X165" s="66"/>
      <c r="Y165" s="66">
        <f>IF(W158,W172,IF(Y158,Y172,V165))</f>
        <v>2488.4491819062846</v>
      </c>
      <c r="Z165" s="66"/>
      <c r="AA165" s="66"/>
      <c r="AB165" s="66">
        <f>IF(Z158,Z172,IF(AB158,AB172,Y165))</f>
        <v>2488.4491819062846</v>
      </c>
      <c r="AC165" s="66"/>
      <c r="AD165" s="66"/>
      <c r="AE165" s="66">
        <f>IF(AC158,AC172,IF(AE158,AE172,AB165))</f>
        <v>2521.723704804047</v>
      </c>
      <c r="AF165" s="4"/>
      <c r="AG165" s="4"/>
      <c r="AJ165" s="4"/>
      <c r="AL165" s="4"/>
      <c r="AM165" s="4"/>
      <c r="AN165" s="4"/>
      <c r="AO165" s="4"/>
      <c r="AT165" s="62" t="str">
        <f>B165</f>
        <v>V-1 Academy SAV 17 Jon</v>
      </c>
      <c r="AU165" s="62">
        <f>AE165</f>
        <v>2521.723704804047</v>
      </c>
      <c r="AW165" s="65"/>
      <c r="BB165" s="65"/>
    </row>
    <row r="166" spans="1:54" s="62" customFormat="1" hidden="1" x14ac:dyDescent="0.2">
      <c r="A166" s="66">
        <v>3</v>
      </c>
      <c r="B166" s="66" t="str">
        <f>E97</f>
        <v>Magnum Aiken 17 Yellow</v>
      </c>
      <c r="C166" s="66">
        <f>VLOOKUP(B166,AU$3:AY$12,3,FALSE)</f>
        <v>2400</v>
      </c>
      <c r="D166" s="66">
        <f>IF(B159,B172,IF(D159,D172,C166))</f>
        <v>2400</v>
      </c>
      <c r="E166" s="66"/>
      <c r="F166" s="66"/>
      <c r="G166" s="66">
        <f>IF(E159,E172,IF(G159,G172,D166))</f>
        <v>2400</v>
      </c>
      <c r="H166" s="66"/>
      <c r="I166" s="66"/>
      <c r="J166" s="66">
        <f>IF(H159,H172,IF(J159,J172,G166))</f>
        <v>2365.0957667579446</v>
      </c>
      <c r="K166" s="66"/>
      <c r="L166" s="66"/>
      <c r="M166" s="66">
        <f>IF(K159,K172,IF(M159,M172,J166))</f>
        <v>2365.0957667579446</v>
      </c>
      <c r="N166" s="66"/>
      <c r="O166" s="66"/>
      <c r="P166" s="66">
        <f>IF(N159,N172,IF(P159,P172,M166))</f>
        <v>2378.9383232569712</v>
      </c>
      <c r="Q166" s="66"/>
      <c r="R166" s="66"/>
      <c r="S166" s="66">
        <f>IF(Q159,Q172,IF(S159,S172,P166))</f>
        <v>2378.9383232569712</v>
      </c>
      <c r="T166" s="66"/>
      <c r="U166" s="66"/>
      <c r="V166" s="66">
        <f>IF(T159,T172,IF(V159,V172,S166))</f>
        <v>2354.6323527084014</v>
      </c>
      <c r="W166" s="66"/>
      <c r="X166" s="66"/>
      <c r="Y166" s="66">
        <f>IF(W159,W172,IF(Y159,Y172,V166))</f>
        <v>2354.6323527084014</v>
      </c>
      <c r="Z166" s="66"/>
      <c r="AA166" s="66"/>
      <c r="AB166" s="66">
        <f>IF(Z159,Z172,IF(AB159,AB172,Y166))</f>
        <v>2357.6436227783074</v>
      </c>
      <c r="AC166" s="66"/>
      <c r="AD166" s="66"/>
      <c r="AE166" s="66">
        <f>IF(AC159,AC172,IF(AE159,AE172,AB166))</f>
        <v>2357.6436227783074</v>
      </c>
      <c r="AF166" s="4"/>
      <c r="AG166" s="4"/>
      <c r="AJ166" s="4"/>
      <c r="AL166" s="4"/>
      <c r="AM166" s="4"/>
      <c r="AN166" s="4"/>
      <c r="AO166" s="4"/>
      <c r="AT166" s="62" t="str">
        <f>B166</f>
        <v>Magnum Aiken 17 Yellow</v>
      </c>
      <c r="AU166" s="62">
        <f>AE166</f>
        <v>2357.6436227783074</v>
      </c>
      <c r="AW166" s="65"/>
      <c r="BB166" s="65"/>
    </row>
    <row r="167" spans="1:54" s="62" customFormat="1" hidden="1" x14ac:dyDescent="0.2">
      <c r="A167" s="66">
        <v>4</v>
      </c>
      <c r="B167" s="66" t="str">
        <f>E99</f>
        <v>Magnum Greenwood 17 Gold</v>
      </c>
      <c r="C167" s="66">
        <f>VLOOKUP(B167,AU$3:AY$12,3,FALSE)</f>
        <v>2400</v>
      </c>
      <c r="D167" s="66">
        <f>IF(B160,B172,IF(D160,D172,C167))</f>
        <v>2400</v>
      </c>
      <c r="E167" s="66"/>
      <c r="F167" s="66"/>
      <c r="G167" s="66">
        <f>IF(E160,E172,IF(G160,G172,D167))</f>
        <v>2377.2365750713197</v>
      </c>
      <c r="H167" s="66"/>
      <c r="I167" s="66"/>
      <c r="J167" s="66">
        <f>IF(H160,H172,IF(J160,J172,G167))</f>
        <v>2377.2365750713197</v>
      </c>
      <c r="K167" s="66"/>
      <c r="L167" s="66"/>
      <c r="M167" s="66">
        <f>IF(K160,K172,IF(M160,M172,J167))</f>
        <v>2385.8162549749959</v>
      </c>
      <c r="N167" s="66"/>
      <c r="O167" s="66"/>
      <c r="P167" s="66">
        <f>IF(N160,N172,IF(P160,P172,M167))</f>
        <v>2385.8162549749959</v>
      </c>
      <c r="Q167" s="66"/>
      <c r="R167" s="66"/>
      <c r="S167" s="66">
        <f>IF(Q160,Q172,IF(S160,S172,P167))</f>
        <v>2387.4238236298143</v>
      </c>
      <c r="T167" s="66"/>
      <c r="U167" s="66"/>
      <c r="V167" s="66">
        <f>IF(T160,T172,IF(V160,V172,S167))</f>
        <v>2387.4238236298143</v>
      </c>
      <c r="W167" s="66"/>
      <c r="X167" s="66"/>
      <c r="Y167" s="66">
        <f>IF(W160,W172,IF(Y160,Y172,V167))</f>
        <v>2387.4238236298143</v>
      </c>
      <c r="Z167" s="66"/>
      <c r="AA167" s="66"/>
      <c r="AB167" s="66">
        <f>IF(Z160,Z172,IF(AB160,AB172,Y167))</f>
        <v>2384.4125535599082</v>
      </c>
      <c r="AC167" s="66"/>
      <c r="AD167" s="66"/>
      <c r="AE167" s="66">
        <f>IF(AC160,AC172,IF(AE160,AE172,AB167))</f>
        <v>2384.4125535599082</v>
      </c>
      <c r="AF167" s="4"/>
      <c r="AG167" s="4"/>
      <c r="AJ167" s="4"/>
      <c r="AL167" s="4"/>
      <c r="AM167" s="4"/>
      <c r="AN167" s="4"/>
      <c r="AO167" s="4"/>
      <c r="AT167" s="62" t="str">
        <f>B167</f>
        <v>Magnum Greenwood 17 Gold</v>
      </c>
      <c r="AU167" s="62">
        <f>AE167</f>
        <v>2384.4125535599082</v>
      </c>
      <c r="AW167" s="65"/>
      <c r="BB167" s="65"/>
    </row>
    <row r="168" spans="1:54" s="62" customFormat="1" hidden="1" x14ac:dyDescent="0.2">
      <c r="A168" s="66">
        <v>5</v>
      </c>
      <c r="B168" s="66" t="str">
        <f>E101</f>
        <v>Sumter VBC 17</v>
      </c>
      <c r="C168" s="66">
        <f>VLOOKUP(B168,AU$3:AY$12,3,FALSE)</f>
        <v>2357.2024717461968</v>
      </c>
      <c r="D168" s="66">
        <f>IF(B161,B172,IF(D161,D172,C168))</f>
        <v>2368.380681803143</v>
      </c>
      <c r="E168" s="66"/>
      <c r="F168" s="66"/>
      <c r="G168" s="66">
        <f>IF(E161,E172,IF(G161,G172,D168))</f>
        <v>2368.380681803143</v>
      </c>
      <c r="H168" s="66"/>
      <c r="I168" s="66"/>
      <c r="J168" s="66">
        <f>IF(H161,H172,IF(J161,J172,G168))</f>
        <v>2403.2849150451984</v>
      </c>
      <c r="K168" s="66"/>
      <c r="L168" s="66"/>
      <c r="M168" s="66">
        <f>IF(K161,K172,IF(M161,M172,J168))</f>
        <v>2403.2849150451984</v>
      </c>
      <c r="N168" s="66"/>
      <c r="O168" s="66"/>
      <c r="P168" s="66">
        <f>IF(N161,N172,IF(P161,P172,M168))</f>
        <v>2403.2849150451984</v>
      </c>
      <c r="Q168" s="66"/>
      <c r="R168" s="66"/>
      <c r="S168" s="66">
        <f>IF(Q161,Q172,IF(S161,S172,P168))</f>
        <v>2401.6773463903801</v>
      </c>
      <c r="T168" s="66"/>
      <c r="U168" s="66"/>
      <c r="V168" s="66">
        <f>IF(T161,T172,IF(V161,V172,S168))</f>
        <v>2401.6773463903801</v>
      </c>
      <c r="W168" s="66"/>
      <c r="X168" s="66"/>
      <c r="Y168" s="66">
        <f>IF(W161,W172,IF(Y161,Y172,V168))</f>
        <v>2411.521744985444</v>
      </c>
      <c r="Z168" s="66"/>
      <c r="AA168" s="66"/>
      <c r="AB168" s="66">
        <f>IF(Z161,Z172,IF(AB161,AB172,Y168))</f>
        <v>2411.521744985444</v>
      </c>
      <c r="AC168" s="66"/>
      <c r="AD168" s="66"/>
      <c r="AE168" s="66">
        <f>IF(AC161,AC172,IF(AE161,AE172,AB168))</f>
        <v>2411.521744985444</v>
      </c>
      <c r="AF168" s="4"/>
      <c r="AG168" s="4"/>
      <c r="AJ168" s="4"/>
      <c r="AL168" s="4"/>
      <c r="AM168" s="4"/>
      <c r="AN168" s="4"/>
      <c r="AO168" s="4"/>
      <c r="AT168" s="62" t="str">
        <f>B168</f>
        <v>Sumter VBC 17</v>
      </c>
      <c r="AU168" s="62">
        <f>AE168</f>
        <v>2411.521744985444</v>
      </c>
      <c r="AW168" s="65"/>
      <c r="BB168" s="65"/>
    </row>
    <row r="169" spans="1:54" s="62" customFormat="1" hidden="1" x14ac:dyDescent="0.2">
      <c r="A169" s="66"/>
      <c r="B169" s="66"/>
      <c r="C169" s="66"/>
      <c r="D169" s="66"/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66"/>
      <c r="AE169" s="66"/>
      <c r="AF169" s="4"/>
      <c r="AG169" s="4"/>
      <c r="AJ169" s="4"/>
      <c r="AL169" s="4"/>
      <c r="AM169" s="4"/>
      <c r="AN169" s="4"/>
      <c r="AO169" s="4"/>
      <c r="AW169" s="65"/>
      <c r="BB169" s="65"/>
    </row>
    <row r="170" spans="1:54" s="62" customFormat="1" hidden="1" x14ac:dyDescent="0.2">
      <c r="A170" s="66" t="s">
        <v>114</v>
      </c>
      <c r="B170" s="66">
        <f>VLOOKUP(B109,$A164:$AE168,3,FALSE)</f>
        <v>2483.9011013183376</v>
      </c>
      <c r="C170" s="66">
        <v>1</v>
      </c>
      <c r="D170" s="66">
        <f>VLOOKUP(D109,$A164:$AE168,3,FALSE)</f>
        <v>2357.2024717461968</v>
      </c>
      <c r="E170" s="66">
        <f>VLOOKUP(E109,$A164:$AE168,4,FALSE)</f>
        <v>2503.2179928017745</v>
      </c>
      <c r="F170" s="66">
        <v>2</v>
      </c>
      <c r="G170" s="66">
        <f>VLOOKUP(G109,$A164:$AE168,4,FALSE)</f>
        <v>2400</v>
      </c>
      <c r="H170" s="66">
        <f>VLOOKUP(H109,$A164:$AE168,7,FALSE)</f>
        <v>2400</v>
      </c>
      <c r="I170" s="66">
        <v>3</v>
      </c>
      <c r="J170" s="66">
        <f>VLOOKUP(J109,$A164:$AE168,7,FALSE)</f>
        <v>2368.380681803143</v>
      </c>
      <c r="K170" s="66">
        <f>VLOOKUP(K109,$A164:$AE168,10,FALSE)</f>
        <v>2472.7228912613914</v>
      </c>
      <c r="L170" s="66">
        <v>4</v>
      </c>
      <c r="M170" s="66">
        <f>VLOOKUP(M109,$A164:$AE168,10,FALSE)</f>
        <v>2377.2365750713197</v>
      </c>
      <c r="N170" s="66">
        <f>VLOOKUP(N109,$A164:$AE168,13,FALSE)</f>
        <v>2525.9814177304547</v>
      </c>
      <c r="O170" s="66">
        <v>5</v>
      </c>
      <c r="P170" s="66">
        <f>VLOOKUP(P109,$A164:$AE168,13,FALSE)</f>
        <v>2365.0957667579446</v>
      </c>
      <c r="Q170" s="66">
        <f>VLOOKUP(Q109,$A164:$AE168,16,FALSE)</f>
        <v>2385.8162549749959</v>
      </c>
      <c r="R170" s="66">
        <v>6</v>
      </c>
      <c r="S170" s="66">
        <f>VLOOKUP(S109,$A164:$AE168,16,FALSE)</f>
        <v>2403.2849150451984</v>
      </c>
      <c r="T170" s="66">
        <f>VLOOKUP(T109,$A164:$AE168,19,FALSE)</f>
        <v>2464.1432113577148</v>
      </c>
      <c r="U170" s="66">
        <v>7</v>
      </c>
      <c r="V170" s="66">
        <f>VLOOKUP(V109,$A164:$AE168,19,FALSE)</f>
        <v>2378.9383232569712</v>
      </c>
      <c r="W170" s="66">
        <f>VLOOKUP(W109,$A164:$AE168,22,FALSE)</f>
        <v>2512.1388612314281</v>
      </c>
      <c r="X170" s="66">
        <v>8</v>
      </c>
      <c r="Y170" s="66">
        <f>VLOOKUP(Y109,$A164:$AE168,22,FALSE)</f>
        <v>2401.6773463903801</v>
      </c>
      <c r="Z170" s="66">
        <f>VLOOKUP(Z109,$A164:$AE168,25,FALSE)</f>
        <v>2354.6323527084014</v>
      </c>
      <c r="AA170" s="66">
        <v>9</v>
      </c>
      <c r="AB170" s="66">
        <f>VLOOKUP(AB109,$A164:$AE168,25,FALSE)</f>
        <v>2387.4238236298143</v>
      </c>
      <c r="AC170" s="66">
        <f>VLOOKUP(AC109,$A164:$AE168,28,FALSE)</f>
        <v>2502.2944626363642</v>
      </c>
      <c r="AD170" s="66">
        <v>10</v>
      </c>
      <c r="AE170" s="66">
        <f>VLOOKUP(AE109,$A164:$AE168,28,FALSE)</f>
        <v>2488.4491819062846</v>
      </c>
      <c r="AF170" s="4"/>
      <c r="AG170" s="60"/>
      <c r="AH170" s="60"/>
      <c r="AI170" s="60"/>
      <c r="AJ170" s="60"/>
      <c r="AK170" s="60"/>
      <c r="AL170" s="60"/>
      <c r="AM170" s="60"/>
      <c r="AN170" s="61"/>
      <c r="AO170" s="61"/>
      <c r="AP170" s="61"/>
      <c r="AQ170" s="61"/>
      <c r="AW170" s="65"/>
      <c r="BB170" s="65"/>
    </row>
    <row r="171" spans="1:54" s="71" customFormat="1" hidden="1" x14ac:dyDescent="0.2">
      <c r="A171" s="67" t="s">
        <v>115</v>
      </c>
      <c r="B171" s="67">
        <f>1/(1+(10^-((B170-D170)/400)))*(B121+D121)</f>
        <v>1.3493190642795632</v>
      </c>
      <c r="C171" s="67"/>
      <c r="D171" s="67">
        <f>1/(1+(10^-((D170-B170)/400)))*(B121+D121)</f>
        <v>0.65068093572043695</v>
      </c>
      <c r="E171" s="67">
        <f>1/(1+(10^-((E170-G170)/400)))*(E121+G121)</f>
        <v>1.2886429709787439</v>
      </c>
      <c r="F171" s="67"/>
      <c r="G171" s="67">
        <f>1/(1+(10^-((G170-E170)/400)))*(E121+G121)</f>
        <v>0.71135702902125586</v>
      </c>
      <c r="H171" s="67">
        <f>1/(1+(10^-((H170-J170)/400)))*(H121+J121)</f>
        <v>1.0907572888142354</v>
      </c>
      <c r="I171" s="67"/>
      <c r="J171" s="67">
        <f>1/(1+(10^-((J170-H170)/400)))*(H121+J121)</f>
        <v>0.90924271118576461</v>
      </c>
      <c r="K171" s="67">
        <f>1/(1+(10^-((K170-M170)/400)))*(K121+M121)</f>
        <v>1.2681149969898868</v>
      </c>
      <c r="L171" s="67"/>
      <c r="M171" s="67">
        <f>1/(1+(10^-((M170-K170)/400)))*(K121+M121)</f>
        <v>0.73188500301011328</v>
      </c>
      <c r="N171" s="67">
        <f>1/(1+(10^-((N170-P170)/400)))*(N121+P121)</f>
        <v>1.4325798905945821</v>
      </c>
      <c r="O171" s="67"/>
      <c r="P171" s="67">
        <f>1/(1+(10^-((P170-N170)/400)))*(N121+P121)</f>
        <v>0.56742010940541787</v>
      </c>
      <c r="Q171" s="67">
        <f>1/(1+(10^-((Q170-S170)/400)))*(Q121+S121)</f>
        <v>0.94976347953693263</v>
      </c>
      <c r="R171" s="67"/>
      <c r="S171" s="67">
        <f>1/(1+(10^-((S170-Q170)/400)))*(Q121+S121)</f>
        <v>1.0502365204630673</v>
      </c>
      <c r="T171" s="67">
        <f>1/(1+(10^-((T170-V170)/400)))*(T121+V121)</f>
        <v>1.2404384203571874</v>
      </c>
      <c r="U171" s="67"/>
      <c r="V171" s="67">
        <f>1/(1+(10^-((V170-T170)/400)))*(T121+V121)</f>
        <v>0.75956157964281257</v>
      </c>
      <c r="W171" s="67">
        <f>1/(1+(10^-((W170-Y170)/400)))*(W121+Y121)</f>
        <v>1.3076374560957507</v>
      </c>
      <c r="X171" s="67"/>
      <c r="Y171" s="67">
        <f>1/(1+(10^-((Y170-W170)/400)))*(W121+Y121)</f>
        <v>0.69236254390424934</v>
      </c>
      <c r="Z171" s="67">
        <f>1/(1+(10^-((Z170-AB170)/400)))*(Z121+AB121)</f>
        <v>0.90589781031543204</v>
      </c>
      <c r="AA171" s="67"/>
      <c r="AB171" s="67">
        <f>1/(1+(10^-((AB170-Z170)/400)))*(Z121+AB121)</f>
        <v>1.0941021896845682</v>
      </c>
      <c r="AC171" s="67">
        <f>1/(1+(10^-((AC170-AE170)/400)))*(AC121+AE121)</f>
        <v>1.0398288405550693</v>
      </c>
      <c r="AD171" s="67"/>
      <c r="AE171" s="67">
        <f>1/(1+(10^-((AE170-AC170)/400)))*(AC121+AE121)</f>
        <v>0.96017115944493092</v>
      </c>
      <c r="AF171" s="68"/>
      <c r="AG171" s="69"/>
      <c r="AH171" s="69"/>
      <c r="AI171" s="69"/>
      <c r="AJ171" s="69"/>
      <c r="AK171" s="69"/>
      <c r="AL171" s="69"/>
      <c r="AM171" s="69"/>
      <c r="AN171" s="70"/>
      <c r="AO171" s="70"/>
      <c r="AP171" s="70"/>
      <c r="AQ171" s="70"/>
      <c r="AW171" s="72"/>
      <c r="BB171" s="72"/>
    </row>
    <row r="172" spans="1:54" s="77" customFormat="1" hidden="1" x14ac:dyDescent="0.2">
      <c r="A172" s="73" t="s">
        <v>116</v>
      </c>
      <c r="B172" s="73">
        <f>B170+(B121-B171)*$BA$1</f>
        <v>2472.7228912613914</v>
      </c>
      <c r="C172" s="73"/>
      <c r="D172" s="73">
        <f>D170+(D121-D171)*$BA$1</f>
        <v>2368.380681803143</v>
      </c>
      <c r="E172" s="73">
        <f>E170+(E121-E171)*$BA$1</f>
        <v>2525.9814177304547</v>
      </c>
      <c r="F172" s="73"/>
      <c r="G172" s="73">
        <f>G170+(G121-G171)*$BA$1</f>
        <v>2377.2365750713197</v>
      </c>
      <c r="H172" s="73">
        <f>H170+(H121-H171)*$BA$1</f>
        <v>2365.0957667579446</v>
      </c>
      <c r="I172" s="73"/>
      <c r="J172" s="73">
        <f>J170+(J121-J171)*$BA$1</f>
        <v>2403.2849150451984</v>
      </c>
      <c r="K172" s="73">
        <f>K170+(K121-K171)*$BA$1</f>
        <v>2464.1432113577148</v>
      </c>
      <c r="L172" s="73"/>
      <c r="M172" s="73">
        <f>M170+(M121-M171)*$BA$1</f>
        <v>2385.8162549749959</v>
      </c>
      <c r="N172" s="73">
        <f>N170+(N121-N171)*$BA$1</f>
        <v>2512.1388612314281</v>
      </c>
      <c r="O172" s="73"/>
      <c r="P172" s="73">
        <f>P170+(P121-P171)*$BA$1</f>
        <v>2378.9383232569712</v>
      </c>
      <c r="Q172" s="73">
        <f>Q170+(Q121-Q171)*$BA$1</f>
        <v>2387.4238236298143</v>
      </c>
      <c r="R172" s="73"/>
      <c r="S172" s="73">
        <f>S170+(S121-S171)*$BA$1</f>
        <v>2401.6773463903801</v>
      </c>
      <c r="T172" s="73">
        <f>T170+(T121-T171)*$BA$1</f>
        <v>2488.4491819062846</v>
      </c>
      <c r="U172" s="73"/>
      <c r="V172" s="73">
        <f>V170+(V121-V171)*$BA$1</f>
        <v>2354.6323527084014</v>
      </c>
      <c r="W172" s="73">
        <f>W170+(W121-W171)*$BA$1</f>
        <v>2502.2944626363642</v>
      </c>
      <c r="X172" s="73"/>
      <c r="Y172" s="73">
        <f>Y170+(Y121-Y171)*$BA$1</f>
        <v>2411.521744985444</v>
      </c>
      <c r="Z172" s="73">
        <f>Z170+(Z121-Z171)*$BA$1</f>
        <v>2357.6436227783074</v>
      </c>
      <c r="AA172" s="73"/>
      <c r="AB172" s="73">
        <f>AB170+(AB121-AB171)*$BA$1</f>
        <v>2384.4125535599082</v>
      </c>
      <c r="AC172" s="73">
        <f>AC170+(AC121-AC171)*$BA$1</f>
        <v>2469.0199397386018</v>
      </c>
      <c r="AD172" s="73"/>
      <c r="AE172" s="73">
        <f>AE170+(AE121-AE171)*$BA$1</f>
        <v>2521.723704804047</v>
      </c>
      <c r="AF172" s="74"/>
      <c r="AG172" s="75"/>
      <c r="AH172" s="75"/>
      <c r="AI172" s="75"/>
      <c r="AJ172" s="75"/>
      <c r="AK172" s="75"/>
      <c r="AL172" s="75"/>
      <c r="AM172" s="75"/>
      <c r="AN172" s="76"/>
      <c r="AO172" s="76"/>
      <c r="AP172" s="76"/>
      <c r="AQ172" s="76"/>
      <c r="AW172" s="78"/>
      <c r="BB172" s="78"/>
    </row>
    <row r="173" spans="1:54" s="77" customFormat="1" hidden="1" x14ac:dyDescent="0.2">
      <c r="A173" s="73"/>
      <c r="B173" s="73"/>
      <c r="C173" s="73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N173" s="73"/>
      <c r="O173" s="73"/>
      <c r="P173" s="73"/>
      <c r="Q173" s="73"/>
      <c r="R173" s="73"/>
      <c r="S173" s="73"/>
      <c r="T173" s="73"/>
      <c r="U173" s="73"/>
      <c r="V173" s="73"/>
      <c r="W173" s="73"/>
      <c r="X173" s="73"/>
      <c r="Y173" s="73"/>
      <c r="Z173" s="73"/>
      <c r="AA173" s="73"/>
      <c r="AB173" s="73"/>
      <c r="AC173" s="73"/>
      <c r="AD173" s="73"/>
      <c r="AE173" s="73"/>
      <c r="AF173" s="74"/>
      <c r="AG173" s="75"/>
      <c r="AH173" s="75"/>
      <c r="AI173" s="75"/>
      <c r="AJ173" s="75"/>
      <c r="AK173" s="75"/>
      <c r="AL173" s="75"/>
      <c r="AM173" s="75"/>
      <c r="AN173" s="76"/>
      <c r="AO173" s="76"/>
      <c r="AP173" s="76"/>
      <c r="AQ173" s="76"/>
      <c r="AW173" s="78"/>
      <c r="BB173" s="78"/>
    </row>
    <row r="174" spans="1:54" s="62" customFormat="1" x14ac:dyDescent="0.2">
      <c r="A174" s="703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174" s="703"/>
      <c r="C174" s="703"/>
      <c r="D174" s="703"/>
      <c r="E174" s="703"/>
      <c r="F174" s="703"/>
      <c r="G174" s="703"/>
      <c r="H174" s="703"/>
      <c r="I174" s="703"/>
      <c r="J174" s="703"/>
      <c r="K174" s="703"/>
      <c r="L174" s="703"/>
      <c r="M174" s="703"/>
      <c r="N174" s="703"/>
      <c r="O174" s="703"/>
      <c r="P174" s="703"/>
      <c r="Q174" s="703"/>
      <c r="R174" s="703"/>
      <c r="S174" s="703"/>
      <c r="T174" s="703"/>
      <c r="U174" s="703"/>
      <c r="V174" s="703"/>
      <c r="W174" s="703"/>
      <c r="X174" s="703"/>
      <c r="Y174" s="703"/>
      <c r="Z174" s="703"/>
      <c r="AA174" s="703"/>
      <c r="AB174" s="703"/>
      <c r="AC174" s="703"/>
      <c r="AD174" s="703"/>
      <c r="AE174" s="703"/>
      <c r="AF174" s="703"/>
      <c r="AG174" s="703"/>
      <c r="AH174" s="703"/>
      <c r="AI174" s="703"/>
      <c r="AJ174" s="703"/>
      <c r="AK174" s="703"/>
      <c r="AL174" s="703"/>
      <c r="AM174" s="703"/>
      <c r="AN174" s="681"/>
      <c r="AO174" s="681"/>
      <c r="AP174" s="681"/>
      <c r="AQ174" s="681"/>
      <c r="AW174" s="65"/>
    </row>
    <row r="175" spans="1:54" s="62" customFormat="1" x14ac:dyDescent="0.2">
      <c r="A175" s="704"/>
      <c r="B175" s="704"/>
      <c r="C175" s="704"/>
      <c r="D175" s="704"/>
      <c r="E175" s="704"/>
      <c r="F175" s="704"/>
      <c r="G175" s="704"/>
      <c r="H175" s="704"/>
      <c r="I175" s="704"/>
      <c r="J175" s="704"/>
      <c r="K175" s="704"/>
      <c r="L175" s="704"/>
      <c r="M175" s="704"/>
      <c r="N175" s="704"/>
      <c r="O175" s="704"/>
      <c r="P175" s="704"/>
      <c r="Q175" s="704"/>
      <c r="R175" s="704"/>
      <c r="S175" s="704"/>
      <c r="T175" s="704"/>
      <c r="U175" s="704"/>
      <c r="V175" s="704"/>
      <c r="W175" s="704"/>
      <c r="X175" s="704"/>
      <c r="Y175" s="704"/>
      <c r="Z175" s="704"/>
      <c r="AA175" s="704"/>
      <c r="AB175" s="704"/>
      <c r="AC175" s="704"/>
      <c r="AD175" s="704"/>
      <c r="AE175" s="704"/>
      <c r="AF175" s="704"/>
      <c r="AG175" s="704"/>
      <c r="AH175" s="704"/>
      <c r="AI175" s="704"/>
      <c r="AJ175" s="704"/>
      <c r="AK175" s="704"/>
      <c r="AL175" s="704"/>
      <c r="AM175" s="704"/>
      <c r="AN175" s="704"/>
      <c r="AO175" s="704"/>
      <c r="AP175" s="704"/>
      <c r="AQ175" s="704"/>
      <c r="AW175" s="65"/>
    </row>
    <row r="176" spans="1:54" ht="21" thickBot="1" x14ac:dyDescent="0.35">
      <c r="A176" s="693" t="s">
        <v>118</v>
      </c>
      <c r="B176" s="693"/>
      <c r="C176" s="693"/>
      <c r="D176" s="693"/>
      <c r="E176" s="693"/>
      <c r="F176" s="693"/>
      <c r="G176" s="693"/>
      <c r="H176" s="693"/>
      <c r="I176" s="693"/>
      <c r="J176" s="693"/>
      <c r="K176" s="693"/>
      <c r="L176" s="693"/>
      <c r="M176" s="693"/>
      <c r="N176" s="693"/>
      <c r="O176" s="693"/>
      <c r="P176" s="693"/>
      <c r="Q176" s="693"/>
      <c r="R176" s="693"/>
      <c r="S176" s="693"/>
      <c r="T176" s="693"/>
      <c r="U176" s="693"/>
      <c r="V176" s="693"/>
      <c r="W176" s="693"/>
      <c r="X176" s="693"/>
      <c r="Y176" s="693"/>
      <c r="Z176" s="693"/>
      <c r="AA176" s="693"/>
      <c r="AB176" s="693"/>
      <c r="AC176" s="693"/>
      <c r="AD176" s="693"/>
      <c r="AE176" s="693"/>
      <c r="AF176" s="693"/>
      <c r="AG176" s="693"/>
      <c r="AH176" s="693"/>
      <c r="AI176" s="693"/>
      <c r="AJ176" s="693"/>
      <c r="AK176" s="693"/>
      <c r="AL176" s="693"/>
      <c r="AM176" s="693"/>
      <c r="AN176" s="693"/>
      <c r="AO176" s="693"/>
      <c r="AP176" s="693"/>
      <c r="AQ176" s="693"/>
    </row>
    <row r="177" spans="1:53" ht="13.5" thickBot="1" x14ac:dyDescent="0.25">
      <c r="A177" s="694" t="s">
        <v>119</v>
      </c>
      <c r="B177" s="696" t="s">
        <v>120</v>
      </c>
      <c r="C177" s="697"/>
      <c r="D177" s="697"/>
      <c r="E177" s="697"/>
      <c r="F177" s="697"/>
      <c r="G177" s="697"/>
      <c r="H177" s="697"/>
      <c r="I177" s="697"/>
      <c r="J177" s="697"/>
      <c r="K177" s="698"/>
      <c r="L177" s="696" t="s">
        <v>121</v>
      </c>
      <c r="M177" s="697"/>
      <c r="N177" s="697"/>
      <c r="O177" s="697"/>
      <c r="P177" s="697"/>
      <c r="Q177" s="697"/>
      <c r="R177" s="697"/>
      <c r="S177" s="697"/>
      <c r="T177" s="697"/>
      <c r="U177" s="698"/>
      <c r="V177" s="696" t="s">
        <v>122</v>
      </c>
      <c r="W177" s="697"/>
      <c r="X177" s="697"/>
      <c r="Y177" s="697"/>
      <c r="Z177" s="697"/>
      <c r="AA177" s="697"/>
      <c r="AB177" s="697"/>
      <c r="AC177" s="697"/>
      <c r="AD177" s="697"/>
      <c r="AE177" s="698"/>
      <c r="AF177" s="696" t="s">
        <v>123</v>
      </c>
      <c r="AG177" s="697"/>
      <c r="AH177" s="697"/>
      <c r="AI177" s="697"/>
      <c r="AJ177" s="697"/>
      <c r="AK177" s="697"/>
      <c r="AL177" s="697"/>
      <c r="AM177" s="697"/>
      <c r="AN177" s="697"/>
      <c r="AO177" s="698"/>
    </row>
    <row r="178" spans="1:53" ht="13.5" thickBot="1" x14ac:dyDescent="0.25">
      <c r="A178" s="695"/>
      <c r="B178" s="690" t="s">
        <v>10</v>
      </c>
      <c r="C178" s="691"/>
      <c r="D178" s="691"/>
      <c r="E178" s="691"/>
      <c r="F178" s="691"/>
      <c r="G178" s="692"/>
      <c r="H178" s="690" t="s">
        <v>124</v>
      </c>
      <c r="I178" s="691"/>
      <c r="J178" s="691"/>
      <c r="K178" s="692"/>
      <c r="L178" s="690" t="s">
        <v>10</v>
      </c>
      <c r="M178" s="691"/>
      <c r="N178" s="691"/>
      <c r="O178" s="691"/>
      <c r="P178" s="691"/>
      <c r="Q178" s="692"/>
      <c r="R178" s="690" t="s">
        <v>124</v>
      </c>
      <c r="S178" s="691"/>
      <c r="T178" s="691"/>
      <c r="U178" s="692"/>
      <c r="V178" s="690" t="s">
        <v>10</v>
      </c>
      <c r="W178" s="691"/>
      <c r="X178" s="691"/>
      <c r="Y178" s="691"/>
      <c r="Z178" s="691"/>
      <c r="AA178" s="692"/>
      <c r="AB178" s="690" t="s">
        <v>124</v>
      </c>
      <c r="AC178" s="691"/>
      <c r="AD178" s="691"/>
      <c r="AE178" s="692"/>
      <c r="AF178" s="690" t="s">
        <v>10</v>
      </c>
      <c r="AG178" s="691"/>
      <c r="AH178" s="691"/>
      <c r="AI178" s="691"/>
      <c r="AJ178" s="691"/>
      <c r="AK178" s="692"/>
      <c r="AL178" s="690" t="s">
        <v>124</v>
      </c>
      <c r="AM178" s="691"/>
      <c r="AN178" s="691"/>
      <c r="AO178" s="692"/>
    </row>
    <row r="179" spans="1:53" x14ac:dyDescent="0.2">
      <c r="A179" s="81" t="s">
        <v>125</v>
      </c>
      <c r="B179" s="682" t="str">
        <f>IF($AF$8=1,$E$8,IF($AF$10=1,$E$10,IF($AF$12=1,$E$12,IF($AF$14=1,$E$14,IF($AF$16=1,$E$16,"1st Place "&amp;$A179)))))</f>
        <v>Vision 17 Regional</v>
      </c>
      <c r="C179" s="683"/>
      <c r="D179" s="683"/>
      <c r="E179" s="683"/>
      <c r="F179" s="683"/>
      <c r="G179" s="683"/>
      <c r="H179" s="684" t="str">
        <f>IF($AF$8=1,$E$9,IF($AF$10=1,$E$11,IF($AF$12=1,$E$13,IF($AF$14=1,$E$15,IF($AF$16=1,$E$17,"1st Place "&amp;$A179)))))</f>
        <v>fj7vison1pm</v>
      </c>
      <c r="I179" s="684"/>
      <c r="J179" s="684"/>
      <c r="K179" s="685"/>
      <c r="L179" s="682" t="str">
        <f>IF($AF$8=2,$E$8,IF($AF$10=2,$E$10,IF($AF$12=2,$E$12,IF($AF$14=2,$E$14,IF($AF$16=2,$E$16,"2nd Place "&amp;$A179)))))</f>
        <v>Foothills 17</v>
      </c>
      <c r="M179" s="683"/>
      <c r="N179" s="683"/>
      <c r="O179" s="683"/>
      <c r="P179" s="683"/>
      <c r="Q179" s="683"/>
      <c r="R179" s="684" t="str">
        <f>IF($AF$8=2,$E$9,IF($AF$10=2,$E$11,IF($AF$12=2,$E$13,IF($AF$14=2,$E$15,IF($AF$16=2,$E$17,"2nd Place "&amp;$A179)))))</f>
        <v>fj7footh7pm</v>
      </c>
      <c r="S179" s="684"/>
      <c r="T179" s="684"/>
      <c r="U179" s="685"/>
      <c r="V179" s="682" t="str">
        <f>IF($AF$8=3,$E$8,IF($AF$10=3,$E$10,IF($AF$12=3,$E$12,IF($AF$14=3,$E$14,IF($AF$16=3,$E$16,"3rd Place "&amp;$A179)))))</f>
        <v>Augusta Elite 17U</v>
      </c>
      <c r="W179" s="683"/>
      <c r="X179" s="683"/>
      <c r="Y179" s="683"/>
      <c r="Z179" s="683"/>
      <c r="AA179" s="683"/>
      <c r="AB179" s="684" t="str">
        <f>IF($AF$8=3,$E$9,IF($AF$10=3,$E$11,IF($AF$12=3,$E$13,IF($AF$14=3,$E$15,IF($AF$16=3,$E$17,"3rd Place "&amp;$A179)))))</f>
        <v>fj7aelit1pm</v>
      </c>
      <c r="AC179" s="684"/>
      <c r="AD179" s="684"/>
      <c r="AE179" s="685"/>
      <c r="AF179" s="682" t="str">
        <f>IF($AF$8=4,$E$8,IF($AF$10=4,$E$10,IF($AF$12=4,$E$12,IF($AF$14=4,$E$14,IF($AF$16=4,$E$16,"4th Place "&amp;$A179)))))</f>
        <v>OLC 17s Purple</v>
      </c>
      <c r="AG179" s="683"/>
      <c r="AH179" s="683"/>
      <c r="AI179" s="683"/>
      <c r="AJ179" s="683"/>
      <c r="AK179" s="683"/>
      <c r="AL179" s="684" t="str">
        <f>IF($AF$8=4,$E$9,IF($AF$10=4,$E$11,IF($AF$12=4,$E$13,IF($AF$14=4,$E$15,IF($AF$16=4,$E$17,"4th Place "&amp;$A179)))))</f>
        <v>fj6ladyc1pm</v>
      </c>
      <c r="AM179" s="684"/>
      <c r="AN179" s="684"/>
      <c r="AO179" s="685"/>
    </row>
    <row r="180" spans="1:53" ht="13.5" thickBot="1" x14ac:dyDescent="0.25">
      <c r="A180" s="82" t="s">
        <v>126</v>
      </c>
      <c r="B180" s="686" t="str">
        <f>IF($AF$93=1,$E$93,IF($AF$95=1,$E$95,IF($AF$97=1,$E$97,IF($AF$99=1,$E$99,IF($AF$101=1,$E$101,"1st Place "&amp;$A180)))))</f>
        <v>V-1 Academy SAV 17 Jon</v>
      </c>
      <c r="C180" s="687"/>
      <c r="D180" s="687"/>
      <c r="E180" s="687"/>
      <c r="F180" s="687"/>
      <c r="G180" s="687"/>
      <c r="H180" s="688" t="str">
        <f>IF($AF$93=1,$E$94,IF($AF$95=1,$E$96,IF($AF$97=1,$E$98,IF($AF$99=1,$E$100,IF($AF$101=1,$E$102,"1st Place "&amp;$A180)))))</f>
        <v>fj7vosav1so</v>
      </c>
      <c r="I180" s="688"/>
      <c r="J180" s="688"/>
      <c r="K180" s="689"/>
      <c r="L180" s="686" t="str">
        <f>IF($AF$93=2,$E$93,IF($AF$95=2,$E$95,IF($AF$97=2,$E$97,IF($AF$99=2,$E$99,IF($AF$101=2,$E$101,"2nd Place "&amp;$A180)))))</f>
        <v>Sumter VBC 17</v>
      </c>
      <c r="M180" s="687"/>
      <c r="N180" s="687"/>
      <c r="O180" s="687"/>
      <c r="P180" s="687"/>
      <c r="Q180" s="687"/>
      <c r="R180" s="688" t="str">
        <f>IF($AF$93=2,$E$94,IF($AF$95=2,$E$96,IF($AF$97=2,$E$98,IF($AF$99=2,$E$100,IF($AF$101=2,$E$102,"2nd Place "&amp;$A180)))))</f>
        <v>fj7sumtr1pm</v>
      </c>
      <c r="S180" s="688"/>
      <c r="T180" s="688"/>
      <c r="U180" s="689"/>
      <c r="V180" s="686" t="str">
        <f>IF($AF$93=3,$E$93,IF($AF$95=3,$E$95,IF($AF$97=3,$E$97,IF($AF$99=3,$E$99,IF($AF$101=3,$E$101,"3rd Place "&amp;$A180)))))</f>
        <v>Coastal 17 Cyclones</v>
      </c>
      <c r="W180" s="687"/>
      <c r="X180" s="687"/>
      <c r="Y180" s="687"/>
      <c r="Z180" s="687"/>
      <c r="AA180" s="687"/>
      <c r="AB180" s="688" t="str">
        <f>IF($AF$93=3,$E$94,IF($AF$95=3,$E$96,IF($AF$97=3,$E$98,IF($AF$99=3,$E$100,IF($AF$101=3,$E$102,"3rd Place "&amp;$A180)))))</f>
        <v>fj7ccoas1pm</v>
      </c>
      <c r="AC180" s="688"/>
      <c r="AD180" s="688"/>
      <c r="AE180" s="689"/>
      <c r="AF180" s="686" t="str">
        <f>IF($AF$93=4,$E$93,IF($AF$95=4,$E$95,IF($AF$97=4,$E$97,IF($AF$99=4,$E$99,IF($AF$101=4,$E$101,"4th Place "&amp;$A180)))))</f>
        <v>Magnum Greenwood 17 Gold</v>
      </c>
      <c r="AG180" s="687"/>
      <c r="AH180" s="687"/>
      <c r="AI180" s="687"/>
      <c r="AJ180" s="687"/>
      <c r="AK180" s="687"/>
      <c r="AL180" s="688" t="str">
        <f>IF($AF$93=4,$E$94,IF($AF$95=4,$E$96,IF($AF$97=4,$E$98,IF($AF$99=4,$E$100,IF($AF$101=4,$E$102,"4th Place "&amp;$A180)))))</f>
        <v>fj7magnm4pm</v>
      </c>
      <c r="AM180" s="688"/>
      <c r="AN180" s="688"/>
      <c r="AO180" s="689"/>
    </row>
    <row r="181" spans="1:53" s="3" customFormat="1" x14ac:dyDescent="0.2">
      <c r="A181" s="83"/>
      <c r="B181" s="84"/>
      <c r="C181" s="84"/>
      <c r="D181" s="84"/>
      <c r="E181" s="84"/>
      <c r="F181" s="84"/>
      <c r="G181" s="84"/>
      <c r="H181" s="84"/>
      <c r="I181" s="84"/>
      <c r="J181" s="84"/>
      <c r="K181" s="84"/>
      <c r="L181" s="84"/>
      <c r="M181" s="84"/>
      <c r="N181" s="84"/>
      <c r="O181" s="84"/>
      <c r="P181" s="84"/>
      <c r="Q181" s="84"/>
      <c r="R181" s="84"/>
      <c r="S181" s="84"/>
      <c r="T181" s="84"/>
      <c r="U181" s="84"/>
      <c r="V181" s="84"/>
      <c r="W181" s="84"/>
      <c r="X181" s="84"/>
      <c r="Y181" s="84"/>
      <c r="Z181" s="84"/>
      <c r="AA181" s="84"/>
      <c r="AB181" s="84"/>
      <c r="AC181" s="84"/>
      <c r="AD181" s="84"/>
      <c r="AE181" s="84"/>
      <c r="AF181" s="84"/>
      <c r="AG181" s="84"/>
      <c r="AH181" s="84"/>
      <c r="AI181" s="84"/>
      <c r="AJ181" s="84"/>
      <c r="AK181" s="84"/>
      <c r="AL181" s="84"/>
      <c r="AM181" s="84"/>
      <c r="AN181" s="84"/>
      <c r="AO181" s="84"/>
      <c r="AW181" s="53"/>
      <c r="AX181" s="4"/>
      <c r="AY181" s="4"/>
      <c r="AZ181" s="4"/>
      <c r="BA181" s="4"/>
    </row>
    <row r="182" spans="1:53" ht="15.75" x14ac:dyDescent="0.25">
      <c r="A182" s="676" t="s">
        <v>127</v>
      </c>
      <c r="B182" s="676"/>
      <c r="C182" s="676"/>
      <c r="D182" s="676"/>
      <c r="E182" s="676"/>
      <c r="F182" s="676"/>
      <c r="G182" s="676"/>
      <c r="H182" s="676"/>
      <c r="I182" s="676"/>
      <c r="J182" s="676"/>
      <c r="K182" s="676"/>
      <c r="L182" s="676"/>
      <c r="M182" s="676"/>
      <c r="N182" s="676"/>
      <c r="O182" s="676"/>
      <c r="P182" s="676"/>
      <c r="Q182" s="676"/>
      <c r="R182" s="676"/>
      <c r="S182" s="676"/>
      <c r="T182" s="676"/>
      <c r="U182" s="676"/>
      <c r="V182" s="676"/>
      <c r="W182" s="676"/>
      <c r="X182" s="676"/>
      <c r="Y182" s="676"/>
      <c r="Z182" s="676"/>
      <c r="AA182" s="676"/>
      <c r="AB182" s="676"/>
      <c r="AC182" s="676"/>
      <c r="AD182" s="676"/>
      <c r="AE182" s="676"/>
      <c r="AF182" s="676"/>
      <c r="AG182" s="676"/>
      <c r="AH182" s="676"/>
      <c r="AI182" s="676"/>
      <c r="AJ182" s="676"/>
      <c r="AK182" s="676"/>
      <c r="AL182" s="676"/>
      <c r="AM182" s="676"/>
      <c r="AN182" s="676"/>
      <c r="AO182" s="676"/>
      <c r="AP182" s="676"/>
      <c r="AQ182" s="676"/>
      <c r="AT182" s="85"/>
      <c r="AU182" s="85"/>
      <c r="AV182" s="85"/>
    </row>
    <row r="183" spans="1:53" ht="33.75" customHeight="1" x14ac:dyDescent="0.25">
      <c r="A183" s="677" t="s">
        <v>128</v>
      </c>
      <c r="B183" s="678"/>
      <c r="C183" s="678"/>
      <c r="D183" s="678"/>
      <c r="E183" s="678"/>
      <c r="F183" s="678"/>
      <c r="G183" s="678"/>
      <c r="H183" s="678"/>
      <c r="I183" s="678"/>
      <c r="J183" s="678"/>
      <c r="K183" s="678"/>
      <c r="L183" s="678"/>
      <c r="M183" s="678"/>
      <c r="N183" s="678"/>
      <c r="O183" s="678"/>
      <c r="P183" s="678"/>
      <c r="Q183" s="678"/>
      <c r="R183" s="678"/>
      <c r="S183" s="678"/>
      <c r="T183" s="678"/>
      <c r="U183" s="678"/>
      <c r="V183" s="678"/>
      <c r="W183" s="678"/>
      <c r="X183" s="678"/>
      <c r="Y183" s="678"/>
      <c r="Z183" s="678"/>
      <c r="AA183" s="678"/>
      <c r="AB183" s="678"/>
      <c r="AC183" s="678"/>
      <c r="AD183" s="678"/>
      <c r="AE183" s="678"/>
      <c r="AF183" s="678"/>
      <c r="AG183" s="678"/>
      <c r="AH183" s="678"/>
      <c r="AI183" s="678"/>
      <c r="AJ183" s="678"/>
      <c r="AK183" s="678"/>
      <c r="AL183" s="678"/>
      <c r="AM183" s="678"/>
      <c r="AN183" s="678"/>
      <c r="AO183" s="678"/>
      <c r="AP183" s="678"/>
      <c r="AQ183" s="678"/>
    </row>
    <row r="184" spans="1:53" x14ac:dyDescent="0.2">
      <c r="A184" s="679" t="s">
        <v>129</v>
      </c>
      <c r="B184" s="679"/>
      <c r="C184" s="679"/>
      <c r="D184" s="679"/>
      <c r="E184" s="679"/>
      <c r="F184" s="679"/>
      <c r="G184" s="679"/>
      <c r="H184" s="679"/>
      <c r="I184" s="679"/>
      <c r="J184" s="679"/>
      <c r="K184" s="679"/>
      <c r="L184" s="679"/>
      <c r="M184" s="679"/>
      <c r="N184" s="679"/>
      <c r="O184" s="679"/>
      <c r="P184" s="679"/>
      <c r="Q184" s="679"/>
      <c r="R184" s="679"/>
      <c r="S184" s="679"/>
      <c r="T184" s="679"/>
      <c r="U184" s="679"/>
      <c r="V184" s="679"/>
      <c r="W184" s="679"/>
      <c r="X184" s="679"/>
      <c r="Y184" s="679"/>
      <c r="Z184" s="679"/>
      <c r="AA184" s="679"/>
      <c r="AB184" s="679"/>
      <c r="AC184" s="679"/>
      <c r="AD184" s="679"/>
      <c r="AE184" s="679"/>
      <c r="AF184" s="679"/>
      <c r="AG184" s="679"/>
      <c r="AH184" s="679"/>
      <c r="AI184" s="679"/>
      <c r="AJ184" s="679"/>
      <c r="AK184" s="679"/>
      <c r="AL184" s="679"/>
      <c r="AM184" s="679"/>
      <c r="AN184" s="679"/>
      <c r="AO184" s="679"/>
      <c r="AP184" s="679"/>
      <c r="AQ184" s="679"/>
    </row>
    <row r="185" spans="1:53" x14ac:dyDescent="0.2">
      <c r="A185" s="679"/>
      <c r="B185" s="679"/>
      <c r="C185" s="679"/>
      <c r="D185" s="679"/>
      <c r="E185" s="679"/>
      <c r="F185" s="679"/>
      <c r="G185" s="679"/>
      <c r="H185" s="679"/>
      <c r="I185" s="679"/>
      <c r="J185" s="679"/>
      <c r="K185" s="679"/>
      <c r="L185" s="679"/>
      <c r="M185" s="679"/>
      <c r="N185" s="679"/>
      <c r="O185" s="679"/>
      <c r="P185" s="679"/>
      <c r="Q185" s="679"/>
      <c r="R185" s="679"/>
      <c r="S185" s="679"/>
      <c r="T185" s="679"/>
      <c r="U185" s="679"/>
      <c r="V185" s="679"/>
      <c r="W185" s="679"/>
      <c r="X185" s="679"/>
      <c r="Y185" s="679"/>
      <c r="Z185" s="679"/>
      <c r="AA185" s="679"/>
      <c r="AB185" s="679"/>
      <c r="AC185" s="679"/>
      <c r="AD185" s="679"/>
      <c r="AE185" s="679"/>
      <c r="AF185" s="679"/>
      <c r="AG185" s="679"/>
      <c r="AH185" s="679"/>
      <c r="AI185" s="679"/>
      <c r="AJ185" s="679"/>
      <c r="AK185" s="679"/>
      <c r="AL185" s="679"/>
      <c r="AM185" s="679"/>
      <c r="AN185" s="679"/>
      <c r="AO185" s="679"/>
      <c r="AP185" s="679"/>
      <c r="AQ185" s="679"/>
    </row>
    <row r="186" spans="1:53" x14ac:dyDescent="0.2">
      <c r="A186" s="680" t="s">
        <v>130</v>
      </c>
      <c r="B186" s="680"/>
      <c r="C186" s="680"/>
      <c r="D186" s="680"/>
      <c r="E186" s="680"/>
      <c r="F186" s="680"/>
      <c r="G186" s="680"/>
      <c r="H186" s="680"/>
      <c r="I186" s="680"/>
      <c r="J186" s="680"/>
      <c r="K186" s="680"/>
      <c r="L186" s="86"/>
    </row>
    <row r="187" spans="1:53" x14ac:dyDescent="0.2">
      <c r="C187" s="3"/>
      <c r="D187" s="3"/>
      <c r="E187" s="3"/>
      <c r="L187" s="86"/>
    </row>
    <row r="188" spans="1:53" x14ac:dyDescent="0.2">
      <c r="A188" s="681" t="s">
        <v>131</v>
      </c>
      <c r="B188" s="681"/>
      <c r="C188" s="681"/>
      <c r="D188" s="681"/>
      <c r="E188" s="681"/>
      <c r="F188" s="681"/>
      <c r="G188" s="681"/>
      <c r="H188" s="681"/>
      <c r="I188" s="681"/>
      <c r="J188" s="681"/>
      <c r="K188" s="681"/>
      <c r="L188" s="681"/>
      <c r="M188" s="681"/>
      <c r="N188" s="681"/>
      <c r="O188" s="681"/>
      <c r="P188" s="53"/>
      <c r="R188" s="681" t="s">
        <v>132</v>
      </c>
      <c r="S188" s="681"/>
      <c r="T188" s="681"/>
      <c r="U188" s="681"/>
      <c r="V188" s="681"/>
      <c r="W188" s="681"/>
      <c r="X188" s="681"/>
      <c r="Y188" s="681"/>
      <c r="Z188" s="681"/>
      <c r="AA188" s="681"/>
      <c r="AB188" s="681"/>
      <c r="AC188" s="681"/>
      <c r="AD188" s="681"/>
      <c r="AE188" s="681"/>
      <c r="AF188" s="681"/>
    </row>
    <row r="190" spans="1:53" ht="13.5" thickBot="1" x14ac:dyDescent="0.25">
      <c r="A190" s="649" t="str">
        <f>IF(B218=1,B210,IF(B218=2,B211,IF(B218=3,B212,IF(B218=4,B213,IF(OR(B218="B",B218="b"),"BYE","invalid")))))</f>
        <v>Vision 17 Regional</v>
      </c>
      <c r="B190" s="649"/>
      <c r="C190" s="649"/>
      <c r="D190" s="649"/>
      <c r="E190" s="649"/>
      <c r="F190" s="87"/>
      <c r="G190" s="87"/>
      <c r="H190" s="87"/>
      <c r="I190" s="87"/>
      <c r="J190" s="87"/>
      <c r="K190" s="87"/>
      <c r="L190" s="87"/>
      <c r="M190" s="87"/>
      <c r="N190" s="87"/>
      <c r="S190" s="88"/>
      <c r="T190" s="88"/>
      <c r="U190" s="649" t="str">
        <f>IF(W218=1,X210,IF(W218=2,X211,IF(W218=3,X212,IF(W218=4,X213,IF(OR(W218="B",W218="b"),"BYE","invalid")))))</f>
        <v>Augusta Elite 17U</v>
      </c>
      <c r="V190" s="649"/>
      <c r="W190" s="649"/>
      <c r="X190" s="649"/>
      <c r="Y190" s="649"/>
      <c r="Z190" s="649"/>
      <c r="AA190" s="649"/>
      <c r="AB190" s="87"/>
      <c r="AC190" s="87"/>
      <c r="AD190" s="87"/>
      <c r="AE190" s="87"/>
    </row>
    <row r="191" spans="1:53" x14ac:dyDescent="0.2">
      <c r="A191" s="651" t="s">
        <v>133</v>
      </c>
      <c r="B191" s="651"/>
      <c r="C191" s="651"/>
      <c r="D191" s="651"/>
      <c r="E191" s="651"/>
      <c r="F191" s="89"/>
      <c r="G191" s="87"/>
      <c r="H191" s="87"/>
      <c r="I191" s="87"/>
      <c r="J191" s="87"/>
      <c r="K191" s="87"/>
      <c r="L191" s="87"/>
      <c r="M191" s="87"/>
      <c r="N191" s="87"/>
      <c r="S191" s="90"/>
      <c r="T191" s="90"/>
      <c r="U191" s="652" t="s">
        <v>134</v>
      </c>
      <c r="V191" s="652"/>
      <c r="W191" s="652"/>
      <c r="X191" s="652"/>
      <c r="Y191" s="652"/>
      <c r="Z191" s="652"/>
      <c r="AA191" s="665"/>
      <c r="AB191" s="87"/>
      <c r="AC191" s="87"/>
      <c r="AD191" s="87"/>
      <c r="AE191" s="87"/>
    </row>
    <row r="192" spans="1:53" x14ac:dyDescent="0.2">
      <c r="A192" s="87"/>
      <c r="B192" s="87"/>
      <c r="C192" s="87"/>
      <c r="D192" s="87"/>
      <c r="E192" s="87"/>
      <c r="F192" s="89"/>
      <c r="G192" s="87"/>
      <c r="H192" s="87"/>
      <c r="I192" s="87"/>
      <c r="J192" s="87"/>
      <c r="K192" s="87"/>
      <c r="L192" s="87"/>
      <c r="M192" s="87"/>
      <c r="N192" s="87"/>
      <c r="R192" s="87"/>
      <c r="S192" s="87"/>
      <c r="T192" s="87"/>
      <c r="U192" s="87"/>
      <c r="V192" s="87"/>
      <c r="W192" s="87"/>
      <c r="X192" s="87"/>
      <c r="Y192" s="87"/>
      <c r="Z192" s="87"/>
      <c r="AA192" s="91"/>
      <c r="AB192" s="87"/>
      <c r="AC192" s="87"/>
      <c r="AD192" s="87"/>
      <c r="AE192" s="87"/>
    </row>
    <row r="193" spans="1:53" ht="13.5" thickBot="1" x14ac:dyDescent="0.25">
      <c r="A193" s="652" t="str">
        <f>B212&amp;" ref"</f>
        <v>Foothills 17 ref</v>
      </c>
      <c r="B193" s="652"/>
      <c r="C193" s="652"/>
      <c r="D193" s="652"/>
      <c r="E193" s="665"/>
      <c r="F193" s="661" t="str">
        <f>IF(H218=1,B210,IF(H218=2,B211,IF(H218=3,B212,IF(H218=4,B213,"Winner Match 1"))))</f>
        <v>Vision 17 Regional</v>
      </c>
      <c r="G193" s="662"/>
      <c r="H193" s="662"/>
      <c r="I193" s="662"/>
      <c r="J193" s="662"/>
      <c r="K193" s="662"/>
      <c r="L193" s="662"/>
      <c r="M193" s="662"/>
      <c r="N193" s="87"/>
      <c r="P193" s="92"/>
      <c r="Q193" s="92"/>
      <c r="R193" s="92"/>
      <c r="S193" s="92"/>
      <c r="T193" s="652" t="str">
        <f>X212&amp;" ref"</f>
        <v>OLC 17s Purple ref</v>
      </c>
      <c r="U193" s="652"/>
      <c r="V193" s="652"/>
      <c r="W193" s="652"/>
      <c r="X193" s="652"/>
      <c r="Y193" s="652"/>
      <c r="Z193" s="652"/>
      <c r="AA193" s="665"/>
      <c r="AB193" s="661" t="str">
        <f>IF(AC218=1,X210,IF(AC218=2,X211,IF(AC218=3,X212,IF(AC218=4,X213,"Winner Match 1"))))</f>
        <v>Magnum Greenwood 17 Gold</v>
      </c>
      <c r="AC193" s="662"/>
      <c r="AD193" s="662"/>
      <c r="AE193" s="662"/>
      <c r="AF193" s="662"/>
      <c r="AG193" s="662"/>
      <c r="AH193" s="662"/>
    </row>
    <row r="194" spans="1:53" x14ac:dyDescent="0.2">
      <c r="A194" s="659" t="s">
        <v>135</v>
      </c>
      <c r="B194" s="659"/>
      <c r="C194" s="659"/>
      <c r="D194" s="659"/>
      <c r="E194" s="659"/>
      <c r="F194" s="672"/>
      <c r="G194" s="673"/>
      <c r="H194" s="673"/>
      <c r="I194" s="674"/>
      <c r="J194" s="657"/>
      <c r="K194" s="658"/>
      <c r="L194" s="658"/>
      <c r="M194" s="658"/>
      <c r="N194" s="87"/>
      <c r="O194" s="87"/>
      <c r="P194" s="93"/>
      <c r="Q194" s="6"/>
      <c r="R194" s="94"/>
      <c r="S194" s="94"/>
      <c r="T194" s="675" t="s">
        <v>136</v>
      </c>
      <c r="U194" s="675"/>
      <c r="V194" s="675"/>
      <c r="W194" s="675"/>
      <c r="X194" s="675"/>
      <c r="Y194" s="675"/>
      <c r="Z194" s="675"/>
      <c r="AA194" s="91"/>
      <c r="AB194" s="672"/>
      <c r="AC194" s="673"/>
      <c r="AD194" s="673"/>
      <c r="AE194" s="674"/>
      <c r="AF194" s="657"/>
      <c r="AG194" s="658"/>
      <c r="AH194" s="658"/>
    </row>
    <row r="195" spans="1:53" ht="13.5" thickBot="1" x14ac:dyDescent="0.25">
      <c r="A195" s="649" t="str">
        <f>IF(D218=1,B210,IF(D218=2,B211,IF(D218=3,B212,IF(D218=4,B213,IF(OR(D218="B",D218="b"),"BYE","invalid")))))</f>
        <v>Sumter VBC 17</v>
      </c>
      <c r="B195" s="649"/>
      <c r="C195" s="649"/>
      <c r="D195" s="649"/>
      <c r="E195" s="650"/>
      <c r="F195" s="89"/>
      <c r="G195" s="87"/>
      <c r="H195" s="87"/>
      <c r="I195" s="87"/>
      <c r="J195" s="89"/>
      <c r="K195" s="87"/>
      <c r="L195" s="87"/>
      <c r="M195" s="87"/>
      <c r="N195" s="87"/>
      <c r="O195" s="87"/>
      <c r="P195" s="87"/>
      <c r="T195" s="87"/>
      <c r="U195" s="649" t="str">
        <f>IF(Y218=1,X210,IF(Y218=2,X211,IF(Y218=3,X212,IF(Y218=4,X213,IF(OR(Y218="B",Y218="b"),"BYE","invalid")))))</f>
        <v>Magnum Greenwood 17 Gold</v>
      </c>
      <c r="V195" s="649"/>
      <c r="W195" s="649"/>
      <c r="X195" s="649"/>
      <c r="Y195" s="649"/>
      <c r="Z195" s="649"/>
      <c r="AA195" s="650"/>
      <c r="AB195" s="87"/>
      <c r="AC195" s="87"/>
      <c r="AD195" s="87"/>
      <c r="AE195" s="91"/>
      <c r="AF195" s="87"/>
      <c r="AG195" s="87"/>
    </row>
    <row r="196" spans="1:53" x14ac:dyDescent="0.2">
      <c r="A196" s="651" t="s">
        <v>137</v>
      </c>
      <c r="B196" s="651"/>
      <c r="C196" s="651"/>
      <c r="D196" s="651"/>
      <c r="E196" s="651"/>
      <c r="F196" s="87"/>
      <c r="G196" s="87"/>
      <c r="H196" s="87"/>
      <c r="I196" s="87"/>
      <c r="J196" s="89"/>
      <c r="K196" s="87"/>
      <c r="L196" s="87"/>
      <c r="M196" s="87"/>
      <c r="N196" s="87"/>
      <c r="O196" s="87"/>
      <c r="P196" s="87"/>
      <c r="U196" s="670" t="s">
        <v>138</v>
      </c>
      <c r="V196" s="670"/>
      <c r="W196" s="670"/>
      <c r="X196" s="670"/>
      <c r="Y196" s="670"/>
      <c r="Z196" s="670"/>
      <c r="AA196" s="670"/>
      <c r="AB196" s="87"/>
      <c r="AC196" s="87"/>
      <c r="AD196" s="87"/>
      <c r="AE196" s="91"/>
      <c r="AF196" s="87"/>
      <c r="AG196" s="87"/>
      <c r="AQ196" s="95"/>
      <c r="AR196" s="95"/>
      <c r="AS196" s="95"/>
    </row>
    <row r="197" spans="1:53" x14ac:dyDescent="0.2">
      <c r="A197" s="87"/>
      <c r="B197" s="87"/>
      <c r="C197" s="87"/>
      <c r="D197" s="87"/>
      <c r="E197" s="87"/>
      <c r="F197" s="664" t="s">
        <v>139</v>
      </c>
      <c r="G197" s="664"/>
      <c r="H197" s="664"/>
      <c r="I197" s="671"/>
      <c r="J197" s="89"/>
      <c r="K197" s="87"/>
      <c r="L197" s="87"/>
      <c r="M197" s="87"/>
      <c r="N197" s="87"/>
      <c r="O197" s="87"/>
      <c r="P197" s="87"/>
      <c r="R197" s="87"/>
      <c r="S197" s="87"/>
      <c r="T197" s="87"/>
      <c r="U197" s="87"/>
      <c r="V197" s="87"/>
      <c r="W197" s="92"/>
      <c r="X197" s="92"/>
      <c r="Y197" s="92"/>
      <c r="AA197" s="92"/>
      <c r="AB197" s="664" t="s">
        <v>139</v>
      </c>
      <c r="AC197" s="664"/>
      <c r="AD197" s="664"/>
      <c r="AE197" s="671"/>
      <c r="AF197" s="87"/>
      <c r="AG197" s="87"/>
    </row>
    <row r="198" spans="1:53" ht="13.5" thickBot="1" x14ac:dyDescent="0.25">
      <c r="A198" s="87"/>
      <c r="B198" s="87"/>
      <c r="C198" s="87"/>
      <c r="D198" s="87"/>
      <c r="E198" s="87"/>
      <c r="F198" s="87"/>
      <c r="G198" s="87"/>
      <c r="H198" s="87"/>
      <c r="I198" s="87"/>
      <c r="J198" s="666" t="str">
        <f>IF(K223=1,B210,IF(K223=2,B211,IF(K223=3,B212,IF(K223=4,B213,"Division Winner"))))</f>
        <v>V-1 Academy SAV 17 Jon</v>
      </c>
      <c r="K198" s="667"/>
      <c r="L198" s="667"/>
      <c r="M198" s="667"/>
      <c r="N198" s="667"/>
      <c r="O198" s="667"/>
      <c r="P198" s="667"/>
      <c r="Q198" s="88"/>
      <c r="R198" s="87"/>
      <c r="S198" s="87"/>
      <c r="T198" s="87"/>
      <c r="U198" s="87"/>
      <c r="V198" s="87"/>
      <c r="W198" s="87"/>
      <c r="X198" s="87"/>
      <c r="Y198" s="87"/>
      <c r="Z198" s="87"/>
      <c r="AA198" s="97"/>
      <c r="AB198" s="97"/>
      <c r="AC198" s="97"/>
      <c r="AD198" s="97"/>
      <c r="AE198" s="98"/>
      <c r="AF198" s="667" t="str">
        <f>IF(AF223=1,X210,IF(AF223=2,X211,IF(AF223=3,X212,IF(AF223=4,X213,"Division Winner"))))</f>
        <v>Magnum Greenwood 17 Gold</v>
      </c>
      <c r="AG198" s="667"/>
      <c r="AH198" s="667"/>
      <c r="AI198" s="667"/>
      <c r="AJ198" s="667"/>
      <c r="AK198" s="97"/>
    </row>
    <row r="199" spans="1:53" ht="13.5" thickBot="1" x14ac:dyDescent="0.25">
      <c r="A199" s="649" t="str">
        <f>IF(E218=1,B210,IF(E218=2,B211,IF(E218=3,B212,IF(E218=4,B213,IF(OR(E218="B",E218="b"),"BYE","invalid")))))</f>
        <v>V-1 Academy SAV 17 Jon</v>
      </c>
      <c r="B199" s="649"/>
      <c r="C199" s="649"/>
      <c r="D199" s="649"/>
      <c r="E199" s="649"/>
      <c r="F199" s="659" t="s">
        <v>140</v>
      </c>
      <c r="G199" s="659"/>
      <c r="H199" s="659"/>
      <c r="I199" s="659"/>
      <c r="J199" s="663" t="s">
        <v>141</v>
      </c>
      <c r="K199" s="664"/>
      <c r="L199" s="664"/>
      <c r="M199" s="664"/>
      <c r="N199" s="664"/>
      <c r="O199" s="664"/>
      <c r="P199" s="664"/>
      <c r="R199" s="97"/>
      <c r="S199" s="97"/>
      <c r="T199" s="97"/>
      <c r="U199" s="649" t="str">
        <f>IF(Z218=1,X210,IF(Z218=2,X211,IF(Z218=3,X212,IF(Z218=4,X213,IF(OR(Z218="B",Z218="b"),"BYE","invalid")))))</f>
        <v>Coastal 17 Cyclones</v>
      </c>
      <c r="V199" s="649"/>
      <c r="W199" s="649"/>
      <c r="X199" s="649"/>
      <c r="Y199" s="649"/>
      <c r="Z199" s="649"/>
      <c r="AA199" s="649"/>
      <c r="AB199" s="659" t="s">
        <v>142</v>
      </c>
      <c r="AC199" s="659"/>
      <c r="AD199" s="659"/>
      <c r="AE199" s="660"/>
      <c r="AF199" s="668" t="s">
        <v>143</v>
      </c>
      <c r="AG199" s="669"/>
      <c r="AH199" s="669"/>
      <c r="AI199" s="669"/>
      <c r="AJ199" s="669"/>
    </row>
    <row r="200" spans="1:53" x14ac:dyDescent="0.2">
      <c r="A200" s="651" t="s">
        <v>144</v>
      </c>
      <c r="B200" s="651"/>
      <c r="C200" s="651"/>
      <c r="D200" s="651"/>
      <c r="E200" s="651"/>
      <c r="F200" s="89"/>
      <c r="G200" s="87"/>
      <c r="H200" s="87"/>
      <c r="I200" s="87"/>
      <c r="J200" s="663"/>
      <c r="K200" s="664"/>
      <c r="L200" s="664"/>
      <c r="M200" s="664"/>
      <c r="N200" s="664"/>
      <c r="O200" s="664"/>
      <c r="P200" s="664"/>
      <c r="Q200" s="87"/>
      <c r="R200" s="95"/>
      <c r="S200" s="95"/>
      <c r="T200" s="95"/>
      <c r="U200" s="652" t="s">
        <v>145</v>
      </c>
      <c r="V200" s="652"/>
      <c r="W200" s="652"/>
      <c r="X200" s="652"/>
      <c r="Y200" s="652"/>
      <c r="Z200" s="652"/>
      <c r="AA200" s="665"/>
      <c r="AB200" s="87"/>
      <c r="AC200" s="87"/>
      <c r="AD200" s="87"/>
      <c r="AE200" s="91"/>
      <c r="AF200" s="87"/>
      <c r="AG200" s="87"/>
    </row>
    <row r="201" spans="1:53" x14ac:dyDescent="0.2">
      <c r="A201" s="87"/>
      <c r="B201" s="87"/>
      <c r="C201" s="87"/>
      <c r="D201" s="87"/>
      <c r="E201" s="87"/>
      <c r="F201" s="89"/>
      <c r="G201" s="87"/>
      <c r="H201" s="87"/>
      <c r="I201" s="87"/>
      <c r="J201" s="89"/>
      <c r="K201" s="87"/>
      <c r="L201" s="87"/>
      <c r="M201" s="87"/>
      <c r="N201" s="87"/>
      <c r="P201" s="87"/>
      <c r="Q201" s="87"/>
      <c r="R201" s="87"/>
      <c r="S201" s="87"/>
      <c r="T201" s="87"/>
      <c r="U201" s="87"/>
      <c r="V201" s="87"/>
      <c r="W201" s="87"/>
      <c r="X201" s="87"/>
      <c r="Y201" s="87"/>
      <c r="Z201" s="87"/>
      <c r="AA201" s="91"/>
      <c r="AB201" s="89"/>
      <c r="AC201" s="87"/>
      <c r="AD201" s="87"/>
      <c r="AE201" s="91"/>
      <c r="AF201" s="87"/>
      <c r="AG201" s="87"/>
      <c r="AW201" s="57"/>
      <c r="AX201" s="54"/>
      <c r="AY201" s="54"/>
      <c r="AZ201" s="54"/>
      <c r="BA201" s="54"/>
    </row>
    <row r="202" spans="1:53" ht="13.5" thickBot="1" x14ac:dyDescent="0.25">
      <c r="A202" s="664" t="s">
        <v>146</v>
      </c>
      <c r="B202" s="664"/>
      <c r="C202" s="664"/>
      <c r="D202" s="664"/>
      <c r="E202" s="93"/>
      <c r="F202" s="654"/>
      <c r="G202" s="655"/>
      <c r="H202" s="655"/>
      <c r="I202" s="656"/>
      <c r="J202" s="657"/>
      <c r="K202" s="658"/>
      <c r="L202" s="658"/>
      <c r="M202" s="658"/>
      <c r="N202" s="87"/>
      <c r="Q202" s="92"/>
      <c r="R202" s="92"/>
      <c r="S202" s="92"/>
      <c r="T202" s="664" t="s">
        <v>146</v>
      </c>
      <c r="U202" s="664"/>
      <c r="V202" s="664"/>
      <c r="W202" s="664"/>
      <c r="X202" s="664"/>
      <c r="Y202" s="664"/>
      <c r="Z202" s="664"/>
      <c r="AA202" s="87"/>
      <c r="AB202" s="654"/>
      <c r="AC202" s="655"/>
      <c r="AD202" s="655"/>
      <c r="AE202" s="656"/>
      <c r="AF202" s="657"/>
      <c r="AG202" s="658"/>
      <c r="AH202" s="658"/>
      <c r="AW202" s="57"/>
      <c r="AX202" s="54"/>
      <c r="AY202" s="54"/>
      <c r="AZ202" s="54"/>
      <c r="BA202" s="54"/>
    </row>
    <row r="203" spans="1:53" x14ac:dyDescent="0.2">
      <c r="A203" s="659" t="s">
        <v>135</v>
      </c>
      <c r="B203" s="659"/>
      <c r="C203" s="659"/>
      <c r="D203" s="659"/>
      <c r="E203" s="660"/>
      <c r="F203" s="661" t="str">
        <f>IF(J218=1,B210,IF(J218=2,B211,IF(J218=3,B212,IF(J218=4,B213,"Winner Match 2"))))</f>
        <v>V-1 Academy SAV 17 Jon</v>
      </c>
      <c r="G203" s="662"/>
      <c r="H203" s="662"/>
      <c r="I203" s="662"/>
      <c r="J203" s="662"/>
      <c r="K203" s="662"/>
      <c r="L203" s="662"/>
      <c r="M203" s="662"/>
      <c r="N203" s="87"/>
      <c r="P203" s="93"/>
      <c r="Q203" s="93"/>
      <c r="S203" s="94"/>
      <c r="T203" s="659" t="s">
        <v>136</v>
      </c>
      <c r="U203" s="659"/>
      <c r="V203" s="659"/>
      <c r="W203" s="659"/>
      <c r="X203" s="659"/>
      <c r="Y203" s="659"/>
      <c r="Z203" s="659"/>
      <c r="AA203" s="91"/>
      <c r="AB203" s="661" t="str">
        <f>IF(AE218=1,X210,IF(AE218=2,X211,IF(AE218=3,X212,IF(AE218=4,X213,"Winner Match 2"))))</f>
        <v>Coastal 17 Cyclones</v>
      </c>
      <c r="AC203" s="662"/>
      <c r="AD203" s="662"/>
      <c r="AE203" s="662"/>
      <c r="AF203" s="662"/>
      <c r="AG203" s="662"/>
      <c r="AH203" s="662"/>
      <c r="AW203" s="57"/>
      <c r="AX203" s="54"/>
      <c r="AY203" s="54"/>
      <c r="AZ203" s="54"/>
      <c r="BA203" s="54"/>
    </row>
    <row r="204" spans="1:53" ht="13.5" thickBot="1" x14ac:dyDescent="0.25">
      <c r="A204" s="649" t="str">
        <f>IF(G218=1,B210,IF(G218=2,B211,IF(G218=3,B212,IF(G218=4,B213,IF(OR(G218="B",G218="b"),"BYE","invalid")))))</f>
        <v>Foothills 17</v>
      </c>
      <c r="B204" s="649"/>
      <c r="C204" s="649"/>
      <c r="D204" s="649"/>
      <c r="E204" s="650"/>
      <c r="F204" s="89"/>
      <c r="G204" s="87"/>
      <c r="H204" s="87"/>
      <c r="I204" s="87"/>
      <c r="J204" s="87"/>
      <c r="K204" s="87"/>
      <c r="L204" s="87"/>
      <c r="M204" s="87"/>
      <c r="N204" s="87"/>
      <c r="P204" s="87"/>
      <c r="Q204" s="87"/>
      <c r="R204" s="87"/>
      <c r="S204" s="97"/>
      <c r="T204" s="97"/>
      <c r="U204" s="649" t="str">
        <f>IF(AB218=1,X210,IF(AB218=2,X211,IF(AB218=3,X212,IF(AB218=4,X213,IF(OR(AB218="B",AB218="b"),"BYE","invalid")))))</f>
        <v>OLC 17s Purple</v>
      </c>
      <c r="V204" s="649"/>
      <c r="W204" s="649"/>
      <c r="X204" s="649"/>
      <c r="Y204" s="649"/>
      <c r="Z204" s="649"/>
      <c r="AA204" s="650"/>
      <c r="AB204" s="87"/>
      <c r="AC204" s="87"/>
      <c r="AD204" s="87"/>
      <c r="AE204" s="87"/>
      <c r="AW204" s="57"/>
      <c r="AX204" s="54"/>
      <c r="AY204" s="54"/>
      <c r="AZ204" s="54"/>
      <c r="BA204" s="54"/>
    </row>
    <row r="205" spans="1:53" x14ac:dyDescent="0.2">
      <c r="A205" s="651" t="s">
        <v>147</v>
      </c>
      <c r="B205" s="651"/>
      <c r="C205" s="651"/>
      <c r="D205" s="651"/>
      <c r="E205" s="651"/>
      <c r="S205" s="95"/>
      <c r="T205" s="95"/>
      <c r="U205" s="652" t="s">
        <v>148</v>
      </c>
      <c r="V205" s="652"/>
      <c r="W205" s="652"/>
      <c r="X205" s="652"/>
      <c r="Y205" s="652"/>
      <c r="Z205" s="652"/>
      <c r="AA205" s="652"/>
      <c r="AW205" s="57"/>
      <c r="AX205" s="54"/>
      <c r="AY205" s="54"/>
      <c r="AZ205" s="54"/>
      <c r="BA205" s="54"/>
    </row>
    <row r="206" spans="1:53" x14ac:dyDescent="0.2">
      <c r="AT206" s="54"/>
      <c r="AU206" s="54"/>
      <c r="AV206" s="54"/>
      <c r="AW206" s="57"/>
      <c r="AX206" s="54"/>
      <c r="AY206" s="54"/>
      <c r="AZ206" s="54"/>
      <c r="BA206" s="54"/>
    </row>
    <row r="207" spans="1:53" x14ac:dyDescent="0.2">
      <c r="AT207" s="54"/>
      <c r="AU207" s="54"/>
      <c r="AV207" s="54"/>
      <c r="AW207" s="57"/>
      <c r="AX207" s="54"/>
      <c r="AY207" s="54"/>
      <c r="AZ207" s="54"/>
      <c r="BA207" s="54"/>
    </row>
    <row r="208" spans="1:53" ht="16.5" thickBot="1" x14ac:dyDescent="0.3">
      <c r="A208" s="653" t="s">
        <v>149</v>
      </c>
      <c r="B208" s="653"/>
      <c r="C208" s="653"/>
      <c r="D208" s="653"/>
      <c r="E208" s="653"/>
      <c r="F208" s="653"/>
      <c r="G208" s="653"/>
      <c r="H208" s="653"/>
      <c r="I208" s="653"/>
      <c r="J208" s="653"/>
      <c r="Q208" s="99"/>
      <c r="R208" s="99"/>
      <c r="S208" s="99"/>
      <c r="U208" s="653" t="s">
        <v>150</v>
      </c>
      <c r="V208" s="653"/>
      <c r="W208" s="653"/>
      <c r="X208" s="653"/>
      <c r="Y208" s="653"/>
      <c r="Z208" s="653"/>
      <c r="AA208" s="653"/>
      <c r="AB208" s="653"/>
      <c r="AC208" s="653"/>
      <c r="AD208" s="653"/>
      <c r="AE208" s="653"/>
      <c r="AF208" s="653"/>
      <c r="AT208" s="54"/>
      <c r="AU208" s="54"/>
      <c r="AV208" s="54"/>
      <c r="AW208" s="57"/>
      <c r="AX208" s="54"/>
      <c r="AY208" s="54"/>
      <c r="AZ208" s="54"/>
      <c r="BA208" s="54"/>
    </row>
    <row r="209" spans="1:53" ht="13.5" thickBot="1" x14ac:dyDescent="0.25">
      <c r="A209" s="100" t="s">
        <v>151</v>
      </c>
      <c r="B209" s="643" t="s">
        <v>152</v>
      </c>
      <c r="C209" s="644"/>
      <c r="D209" s="644"/>
      <c r="E209" s="644"/>
      <c r="F209" s="644"/>
      <c r="G209" s="644"/>
      <c r="H209" s="644"/>
      <c r="I209" s="644"/>
      <c r="J209" s="645"/>
      <c r="K209" s="646" t="s">
        <v>153</v>
      </c>
      <c r="L209" s="647"/>
      <c r="M209" s="647"/>
      <c r="N209" s="647"/>
      <c r="O209" s="647"/>
      <c r="P209" s="647"/>
      <c r="Q209" s="648"/>
      <c r="U209" s="631" t="s">
        <v>151</v>
      </c>
      <c r="V209" s="632"/>
      <c r="W209" s="633"/>
      <c r="X209" s="643" t="s">
        <v>152</v>
      </c>
      <c r="Y209" s="644"/>
      <c r="Z209" s="644"/>
      <c r="AA209" s="644"/>
      <c r="AB209" s="644"/>
      <c r="AC209" s="644"/>
      <c r="AD209" s="644"/>
      <c r="AE209" s="644"/>
      <c r="AF209" s="645"/>
      <c r="AG209" s="646" t="s">
        <v>153</v>
      </c>
      <c r="AH209" s="647"/>
      <c r="AI209" s="647"/>
      <c r="AJ209" s="647"/>
      <c r="AK209" s="647"/>
      <c r="AL209" s="647"/>
      <c r="AM209" s="648"/>
      <c r="AT209" s="54"/>
      <c r="AU209" s="54"/>
      <c r="AV209" s="54"/>
      <c r="AW209" s="57"/>
      <c r="AX209" s="54"/>
      <c r="AY209" s="54"/>
      <c r="AZ209" s="54"/>
      <c r="BA209" s="54"/>
    </row>
    <row r="210" spans="1:53" ht="13.5" thickBot="1" x14ac:dyDescent="0.25">
      <c r="A210" s="100">
        <v>1</v>
      </c>
      <c r="B210" s="625" t="str">
        <f>B179</f>
        <v>Vision 17 Regional</v>
      </c>
      <c r="C210" s="626"/>
      <c r="D210" s="626"/>
      <c r="E210" s="626"/>
      <c r="F210" s="626"/>
      <c r="G210" s="626"/>
      <c r="H210" s="626"/>
      <c r="I210" s="626"/>
      <c r="J210" s="627"/>
      <c r="K210" s="628" t="str">
        <f>H179</f>
        <v>fj7vison1pm</v>
      </c>
      <c r="L210" s="629"/>
      <c r="M210" s="629"/>
      <c r="N210" s="629"/>
      <c r="O210" s="629"/>
      <c r="P210" s="629"/>
      <c r="Q210" s="630"/>
      <c r="U210" s="631">
        <v>1</v>
      </c>
      <c r="V210" s="632"/>
      <c r="W210" s="633"/>
      <c r="X210" s="625" t="str">
        <f>V179</f>
        <v>Augusta Elite 17U</v>
      </c>
      <c r="Y210" s="626"/>
      <c r="Z210" s="626"/>
      <c r="AA210" s="626"/>
      <c r="AB210" s="626"/>
      <c r="AC210" s="626"/>
      <c r="AD210" s="626"/>
      <c r="AE210" s="626"/>
      <c r="AF210" s="627"/>
      <c r="AG210" s="628" t="str">
        <f>AB179</f>
        <v>fj7aelit1pm</v>
      </c>
      <c r="AH210" s="629"/>
      <c r="AI210" s="629"/>
      <c r="AJ210" s="629"/>
      <c r="AK210" s="629"/>
      <c r="AL210" s="629"/>
      <c r="AM210" s="630"/>
      <c r="AT210" s="54"/>
      <c r="AU210" s="54"/>
      <c r="AV210" s="54"/>
      <c r="AW210" s="57"/>
      <c r="AX210" s="54"/>
      <c r="AY210" s="54"/>
      <c r="AZ210" s="54"/>
      <c r="BA210" s="54"/>
    </row>
    <row r="211" spans="1:53" ht="13.5" thickBot="1" x14ac:dyDescent="0.25">
      <c r="A211" s="100">
        <v>2</v>
      </c>
      <c r="B211" s="625" t="str">
        <f>B180</f>
        <v>V-1 Academy SAV 17 Jon</v>
      </c>
      <c r="C211" s="626"/>
      <c r="D211" s="626"/>
      <c r="E211" s="626"/>
      <c r="F211" s="626"/>
      <c r="G211" s="626"/>
      <c r="H211" s="626"/>
      <c r="I211" s="626"/>
      <c r="J211" s="627"/>
      <c r="K211" s="628" t="str">
        <f>H180</f>
        <v>fj7vosav1so</v>
      </c>
      <c r="L211" s="629"/>
      <c r="M211" s="629"/>
      <c r="N211" s="629"/>
      <c r="O211" s="629"/>
      <c r="P211" s="629"/>
      <c r="Q211" s="630"/>
      <c r="U211" s="631">
        <v>2</v>
      </c>
      <c r="V211" s="632"/>
      <c r="W211" s="633"/>
      <c r="X211" s="625" t="str">
        <f>V180</f>
        <v>Coastal 17 Cyclones</v>
      </c>
      <c r="Y211" s="626"/>
      <c r="Z211" s="626"/>
      <c r="AA211" s="626"/>
      <c r="AB211" s="626"/>
      <c r="AC211" s="626"/>
      <c r="AD211" s="626"/>
      <c r="AE211" s="626"/>
      <c r="AF211" s="627"/>
      <c r="AG211" s="628" t="str">
        <f>AB180</f>
        <v>fj7ccoas1pm</v>
      </c>
      <c r="AH211" s="629"/>
      <c r="AI211" s="629"/>
      <c r="AJ211" s="629"/>
      <c r="AK211" s="629"/>
      <c r="AL211" s="629"/>
      <c r="AM211" s="630"/>
      <c r="AT211" s="54"/>
      <c r="AU211" s="54"/>
      <c r="AV211" s="54"/>
      <c r="AW211" s="57"/>
      <c r="AX211" s="54"/>
      <c r="AY211" s="54"/>
      <c r="AZ211" s="54"/>
      <c r="BA211" s="54"/>
    </row>
    <row r="212" spans="1:53" ht="13.5" thickBot="1" x14ac:dyDescent="0.25">
      <c r="A212" s="100">
        <v>3</v>
      </c>
      <c r="B212" s="625" t="str">
        <f>L179</f>
        <v>Foothills 17</v>
      </c>
      <c r="C212" s="626"/>
      <c r="D212" s="626"/>
      <c r="E212" s="626"/>
      <c r="F212" s="626"/>
      <c r="G212" s="626"/>
      <c r="H212" s="626"/>
      <c r="I212" s="626"/>
      <c r="J212" s="627"/>
      <c r="K212" s="628" t="str">
        <f>R179</f>
        <v>fj7footh7pm</v>
      </c>
      <c r="L212" s="629"/>
      <c r="M212" s="629"/>
      <c r="N212" s="629"/>
      <c r="O212" s="629"/>
      <c r="P212" s="629"/>
      <c r="Q212" s="630"/>
      <c r="U212" s="631">
        <v>3</v>
      </c>
      <c r="V212" s="632"/>
      <c r="W212" s="633"/>
      <c r="X212" s="625" t="str">
        <f>AF179</f>
        <v>OLC 17s Purple</v>
      </c>
      <c r="Y212" s="626"/>
      <c r="Z212" s="626"/>
      <c r="AA212" s="626"/>
      <c r="AB212" s="626"/>
      <c r="AC212" s="626"/>
      <c r="AD212" s="626"/>
      <c r="AE212" s="626"/>
      <c r="AF212" s="627"/>
      <c r="AG212" s="628" t="str">
        <f>AL179</f>
        <v>fj6ladyc1pm</v>
      </c>
      <c r="AH212" s="629"/>
      <c r="AI212" s="629"/>
      <c r="AJ212" s="629"/>
      <c r="AK212" s="629"/>
      <c r="AL212" s="629"/>
      <c r="AM212" s="630"/>
      <c r="AT212" s="54"/>
      <c r="AU212" s="54"/>
      <c r="AV212" s="54"/>
      <c r="AW212" s="57"/>
      <c r="AX212" s="54"/>
      <c r="AY212" s="54"/>
      <c r="AZ212" s="54"/>
      <c r="BA212" s="54"/>
    </row>
    <row r="213" spans="1:53" ht="13.5" thickBot="1" x14ac:dyDescent="0.25">
      <c r="A213" s="100">
        <v>4</v>
      </c>
      <c r="B213" s="625" t="str">
        <f>L180</f>
        <v>Sumter VBC 17</v>
      </c>
      <c r="C213" s="626"/>
      <c r="D213" s="626"/>
      <c r="E213" s="626"/>
      <c r="F213" s="626"/>
      <c r="G213" s="626"/>
      <c r="H213" s="626"/>
      <c r="I213" s="626"/>
      <c r="J213" s="627"/>
      <c r="K213" s="628" t="str">
        <f>R180</f>
        <v>fj7sumtr1pm</v>
      </c>
      <c r="L213" s="629"/>
      <c r="M213" s="629"/>
      <c r="N213" s="629"/>
      <c r="O213" s="629"/>
      <c r="P213" s="629"/>
      <c r="Q213" s="630"/>
      <c r="U213" s="631">
        <v>4</v>
      </c>
      <c r="V213" s="632"/>
      <c r="W213" s="633"/>
      <c r="X213" s="625" t="str">
        <f>AF180</f>
        <v>Magnum Greenwood 17 Gold</v>
      </c>
      <c r="Y213" s="626"/>
      <c r="Z213" s="626"/>
      <c r="AA213" s="626"/>
      <c r="AB213" s="626"/>
      <c r="AC213" s="626"/>
      <c r="AD213" s="626"/>
      <c r="AE213" s="626"/>
      <c r="AF213" s="627"/>
      <c r="AG213" s="628" t="str">
        <f>AL180</f>
        <v>fj7magnm4pm</v>
      </c>
      <c r="AH213" s="629"/>
      <c r="AI213" s="629"/>
      <c r="AJ213" s="629"/>
      <c r="AK213" s="629"/>
      <c r="AL213" s="629"/>
      <c r="AM213" s="630"/>
      <c r="AT213" s="54"/>
      <c r="AU213" s="54"/>
      <c r="AV213" s="54"/>
      <c r="AW213" s="57"/>
      <c r="AX213" s="54"/>
      <c r="AY213" s="54"/>
      <c r="AZ213" s="54"/>
      <c r="BA213" s="54"/>
    </row>
    <row r="214" spans="1:53" ht="13.5" thickBot="1" x14ac:dyDescent="0.25">
      <c r="AT214" s="54"/>
      <c r="AU214" s="54"/>
      <c r="AV214" s="54"/>
      <c r="AW214" s="57"/>
      <c r="AX214" s="54"/>
      <c r="AY214" s="54"/>
      <c r="AZ214" s="54"/>
      <c r="BA214" s="54"/>
    </row>
    <row r="215" spans="1:53" x14ac:dyDescent="0.2">
      <c r="B215" s="634" t="s">
        <v>154</v>
      </c>
      <c r="C215" s="606"/>
      <c r="D215" s="607"/>
      <c r="E215" s="605" t="s">
        <v>154</v>
      </c>
      <c r="F215" s="606"/>
      <c r="G215" s="607"/>
      <c r="H215" s="605" t="s">
        <v>14</v>
      </c>
      <c r="I215" s="606"/>
      <c r="J215" s="608"/>
      <c r="K215" s="609" t="s">
        <v>155</v>
      </c>
      <c r="L215" s="635"/>
      <c r="M215" s="635"/>
      <c r="N215" s="635"/>
      <c r="O215" s="635"/>
      <c r="P215" s="635"/>
      <c r="Q215" s="636"/>
      <c r="R215" s="101"/>
      <c r="S215" s="101"/>
      <c r="T215" s="101"/>
      <c r="U215" s="101"/>
      <c r="W215" s="634" t="s">
        <v>154</v>
      </c>
      <c r="X215" s="606"/>
      <c r="Y215" s="607"/>
      <c r="Z215" s="605" t="s">
        <v>154</v>
      </c>
      <c r="AA215" s="606"/>
      <c r="AB215" s="607"/>
      <c r="AC215" s="605" t="s">
        <v>14</v>
      </c>
      <c r="AD215" s="606"/>
      <c r="AE215" s="608"/>
      <c r="AF215" s="609" t="s">
        <v>155</v>
      </c>
      <c r="AG215" s="610"/>
      <c r="AH215" s="610"/>
      <c r="AI215" s="610"/>
      <c r="AJ215" s="611"/>
      <c r="AW215" s="57"/>
      <c r="AX215" s="54"/>
      <c r="AY215" s="54"/>
      <c r="AZ215" s="54"/>
      <c r="BA215" s="54"/>
    </row>
    <row r="216" spans="1:53" x14ac:dyDescent="0.2">
      <c r="A216" s="40" t="s">
        <v>156</v>
      </c>
      <c r="B216" s="618">
        <v>3</v>
      </c>
      <c r="C216" s="619"/>
      <c r="D216" s="620"/>
      <c r="E216" s="621" t="s">
        <v>157</v>
      </c>
      <c r="F216" s="619"/>
      <c r="G216" s="620"/>
      <c r="H216" s="621" t="s">
        <v>158</v>
      </c>
      <c r="I216" s="619"/>
      <c r="J216" s="622"/>
      <c r="K216" s="637"/>
      <c r="L216" s="638"/>
      <c r="M216" s="638"/>
      <c r="N216" s="638"/>
      <c r="O216" s="638"/>
      <c r="P216" s="638"/>
      <c r="Q216" s="639"/>
      <c r="R216" s="101"/>
      <c r="S216" s="101"/>
      <c r="T216" s="623" t="s">
        <v>156</v>
      </c>
      <c r="U216" s="623"/>
      <c r="V216" s="624"/>
      <c r="W216" s="618">
        <v>3</v>
      </c>
      <c r="X216" s="619"/>
      <c r="Y216" s="620"/>
      <c r="Z216" s="621" t="s">
        <v>157</v>
      </c>
      <c r="AA216" s="619"/>
      <c r="AB216" s="620"/>
      <c r="AC216" s="621" t="s">
        <v>158</v>
      </c>
      <c r="AD216" s="619"/>
      <c r="AE216" s="622"/>
      <c r="AF216" s="612"/>
      <c r="AG216" s="613"/>
      <c r="AH216" s="613"/>
      <c r="AI216" s="613"/>
      <c r="AJ216" s="614"/>
      <c r="AW216" s="57"/>
      <c r="AX216" s="54"/>
      <c r="AY216" s="54"/>
      <c r="AZ216" s="54"/>
      <c r="BA216" s="54"/>
    </row>
    <row r="217" spans="1:53" ht="13.5" thickBot="1" x14ac:dyDescent="0.25">
      <c r="A217" s="7"/>
      <c r="B217" s="603" t="s">
        <v>68</v>
      </c>
      <c r="C217" s="598"/>
      <c r="D217" s="604"/>
      <c r="E217" s="597" t="s">
        <v>159</v>
      </c>
      <c r="F217" s="598"/>
      <c r="G217" s="604"/>
      <c r="H217" s="597" t="s">
        <v>160</v>
      </c>
      <c r="I217" s="598"/>
      <c r="J217" s="599"/>
      <c r="K217" s="640"/>
      <c r="L217" s="641"/>
      <c r="M217" s="641"/>
      <c r="N217" s="641"/>
      <c r="O217" s="641"/>
      <c r="P217" s="641"/>
      <c r="Q217" s="642"/>
      <c r="R217" s="101"/>
      <c r="S217" s="101"/>
      <c r="T217" s="584"/>
      <c r="U217" s="584"/>
      <c r="V217" s="585"/>
      <c r="W217" s="603" t="s">
        <v>68</v>
      </c>
      <c r="X217" s="598"/>
      <c r="Y217" s="604"/>
      <c r="Z217" s="597" t="s">
        <v>159</v>
      </c>
      <c r="AA217" s="598"/>
      <c r="AB217" s="604"/>
      <c r="AC217" s="597" t="s">
        <v>160</v>
      </c>
      <c r="AD217" s="598"/>
      <c r="AE217" s="599"/>
      <c r="AF217" s="615"/>
      <c r="AG217" s="616"/>
      <c r="AH217" s="616"/>
      <c r="AI217" s="616"/>
      <c r="AJ217" s="617"/>
      <c r="AW217" s="57"/>
      <c r="AX217" s="54"/>
      <c r="AY217" s="54"/>
      <c r="AZ217" s="54"/>
      <c r="BA217" s="54"/>
    </row>
    <row r="218" spans="1:53" ht="13.5" thickBot="1" x14ac:dyDescent="0.25">
      <c r="A218" s="7"/>
      <c r="B218" s="102">
        <v>1</v>
      </c>
      <c r="C218" s="103" t="s">
        <v>76</v>
      </c>
      <c r="D218" s="104">
        <v>4</v>
      </c>
      <c r="E218" s="105">
        <v>2</v>
      </c>
      <c r="F218" s="103" t="s">
        <v>76</v>
      </c>
      <c r="G218" s="104">
        <v>3</v>
      </c>
      <c r="H218" s="106">
        <f>IF(OR(AND(OR(B222&gt;0,D222&gt;0),B222&gt;D222),OR(D218="b",D218="B")),B218,IF(OR(AND(OR(B222&gt;0,D222&gt;0),D222&gt;B222),OR(B218="b",B218="B")),D218,"W1"))</f>
        <v>1</v>
      </c>
      <c r="I218" s="107" t="s">
        <v>76</v>
      </c>
      <c r="J218" s="108">
        <f>IF(OR(AND(OR(E222&gt;0,G222&gt;0),E222&gt;G222),OR(G218="b",G218="B")),E218,IF(OR(AND(OR(E222&gt;0,G222&gt;0),G222&gt;E222),OR(E218="b",E218="B")),G218,"W2"))</f>
        <v>2</v>
      </c>
      <c r="K218" s="600" t="s">
        <v>161</v>
      </c>
      <c r="L218" s="601"/>
      <c r="M218" s="601"/>
      <c r="N218" s="602"/>
      <c r="R218" s="101"/>
      <c r="S218" s="101"/>
      <c r="T218" s="584"/>
      <c r="U218" s="584"/>
      <c r="V218" s="585"/>
      <c r="W218" s="102">
        <v>1</v>
      </c>
      <c r="X218" s="103" t="s">
        <v>76</v>
      </c>
      <c r="Y218" s="104">
        <v>4</v>
      </c>
      <c r="Z218" s="105">
        <v>2</v>
      </c>
      <c r="AA218" s="103" t="s">
        <v>76</v>
      </c>
      <c r="AB218" s="104">
        <v>3</v>
      </c>
      <c r="AC218" s="106">
        <f>IF(OR(AND(OR(W222&gt;0,Y222&gt;0),W222&gt;Y222),OR(Y218="b",Y218="B")),W218,IF(OR(AND(OR(W222&gt;0,Y222&gt;0),Y222&gt;W222),OR(W218="b",W218="B")),Y218,"W1"))</f>
        <v>4</v>
      </c>
      <c r="AD218" s="107" t="s">
        <v>76</v>
      </c>
      <c r="AE218" s="108">
        <f>IF(OR(AND(OR(Z222&gt;0,AB222&gt;0),Z222&gt;AB222),OR(AB222="b",AB222="B")),Z218,IF(OR(AND(OR(Z222&gt;0,AB222&gt;0),AB222&gt;Z222),OR(Z222="b",Z222="B")),AB218,"W2"))</f>
        <v>2</v>
      </c>
      <c r="AF218" s="600" t="s">
        <v>161</v>
      </c>
      <c r="AG218" s="602"/>
      <c r="AH218" s="101"/>
      <c r="AI218" s="101"/>
      <c r="AJ218" s="101"/>
      <c r="AW218" s="57"/>
      <c r="AX218" s="54"/>
      <c r="AY218" s="54"/>
      <c r="AZ218" s="54"/>
      <c r="BA218" s="54"/>
    </row>
    <row r="219" spans="1:53" ht="13.5" hidden="1" customHeight="1" x14ac:dyDescent="0.2">
      <c r="A219" s="7"/>
      <c r="B219" s="109">
        <f>IF(B223&gt;D223,1,0)</f>
        <v>1</v>
      </c>
      <c r="C219" s="110"/>
      <c r="D219" s="111">
        <f>IF(D223&gt;B223,1,0)</f>
        <v>0</v>
      </c>
      <c r="E219" s="109">
        <f>IF(E223&gt;G223,1,0)</f>
        <v>1</v>
      </c>
      <c r="F219" s="110"/>
      <c r="G219" s="111">
        <f>IF(G223&gt;E223,1,0)</f>
        <v>0</v>
      </c>
      <c r="H219" s="109">
        <f>IF(H223&gt;J223,1,0)</f>
        <v>1</v>
      </c>
      <c r="I219" s="110"/>
      <c r="J219" s="111">
        <f>IF(J223&gt;H223,1,0)</f>
        <v>0</v>
      </c>
      <c r="K219" s="112"/>
      <c r="L219" s="113"/>
      <c r="M219" s="113"/>
      <c r="N219" s="114"/>
      <c r="R219" s="101"/>
      <c r="S219" s="101"/>
      <c r="T219" s="584"/>
      <c r="U219" s="584"/>
      <c r="V219" s="585"/>
      <c r="W219" s="109">
        <f>IF(W223&gt;Y223,1,0)</f>
        <v>0</v>
      </c>
      <c r="X219" s="110"/>
      <c r="Y219" s="111">
        <f>IF(Y223&gt;W223,1,0)</f>
        <v>1</v>
      </c>
      <c r="Z219" s="109">
        <f>IF(Z223&gt;AB223,1,0)</f>
        <v>1</v>
      </c>
      <c r="AA219" s="110"/>
      <c r="AB219" s="111">
        <f>IF(AB223&gt;Z223,1,0)</f>
        <v>0</v>
      </c>
      <c r="AC219" s="109">
        <f>IF(AC223&gt;AE223,1,0)</f>
        <v>1</v>
      </c>
      <c r="AD219" s="110"/>
      <c r="AE219" s="111">
        <f>IF(AE223&gt;AC223,1,0)</f>
        <v>0</v>
      </c>
      <c r="AF219" s="115"/>
      <c r="AG219" s="116"/>
      <c r="AH219" s="101"/>
      <c r="AI219" s="101"/>
      <c r="AJ219" s="101"/>
      <c r="AW219" s="57"/>
      <c r="AX219" s="54"/>
      <c r="AY219" s="54"/>
      <c r="AZ219" s="54"/>
      <c r="BA219" s="54"/>
    </row>
    <row r="220" spans="1:53" ht="13.5" hidden="1" customHeight="1" x14ac:dyDescent="0.2">
      <c r="A220" s="7"/>
      <c r="B220" s="109">
        <f>IF(B224&gt;D224,1,0)</f>
        <v>0</v>
      </c>
      <c r="C220" s="110"/>
      <c r="D220" s="111">
        <f>IF(D224&gt;B224,1,0)</f>
        <v>0</v>
      </c>
      <c r="E220" s="109">
        <f>IF(E224&gt;G224,1,0)</f>
        <v>0</v>
      </c>
      <c r="F220" s="110"/>
      <c r="G220" s="111">
        <f>IF(G224&gt;E224,1,0)</f>
        <v>0</v>
      </c>
      <c r="H220" s="109">
        <f>IF(H224&gt;J224,1,0)</f>
        <v>0</v>
      </c>
      <c r="I220" s="110"/>
      <c r="J220" s="111">
        <f>IF(J224&gt;H224,1,0)</f>
        <v>1</v>
      </c>
      <c r="K220" s="112"/>
      <c r="L220" s="113"/>
      <c r="M220" s="113"/>
      <c r="N220" s="114"/>
      <c r="R220" s="101"/>
      <c r="S220" s="101"/>
      <c r="T220" s="584"/>
      <c r="U220" s="584"/>
      <c r="V220" s="585"/>
      <c r="W220" s="109">
        <f>IF(W224&gt;Y224,1,0)</f>
        <v>0</v>
      </c>
      <c r="X220" s="110"/>
      <c r="Y220" s="111">
        <f>IF(Y224&gt;W224,1,0)</f>
        <v>0</v>
      </c>
      <c r="Z220" s="109">
        <f>IF(Z224&gt;AB224,1,0)</f>
        <v>0</v>
      </c>
      <c r="AA220" s="110"/>
      <c r="AB220" s="111">
        <f>IF(AB224&gt;Z224,1,0)</f>
        <v>0</v>
      </c>
      <c r="AC220" s="109">
        <f>IF(AC224&gt;AE224,1,0)</f>
        <v>0</v>
      </c>
      <c r="AD220" s="110"/>
      <c r="AE220" s="111">
        <f>IF(AE224&gt;AC224,1,0)</f>
        <v>1</v>
      </c>
      <c r="AF220" s="115"/>
      <c r="AG220" s="116"/>
      <c r="AH220" s="101"/>
      <c r="AI220" s="101"/>
      <c r="AJ220" s="101"/>
      <c r="AW220" s="57"/>
      <c r="AX220" s="54"/>
      <c r="AY220" s="54"/>
      <c r="AZ220" s="54"/>
      <c r="BA220" s="54"/>
    </row>
    <row r="221" spans="1:53" ht="13.5" hidden="1" customHeight="1" thickBot="1" x14ac:dyDescent="0.25">
      <c r="A221" s="7"/>
      <c r="B221" s="109">
        <f>IF(B225&gt;D225,1,0)</f>
        <v>0</v>
      </c>
      <c r="C221" s="110"/>
      <c r="D221" s="111">
        <f>IF(D225&gt;B225,1,0)</f>
        <v>0</v>
      </c>
      <c r="E221" s="109">
        <f>IF(E225&gt;G225,1,0)</f>
        <v>0</v>
      </c>
      <c r="F221" s="110"/>
      <c r="G221" s="111">
        <f>IF(G225&gt;E225,1,0)</f>
        <v>0</v>
      </c>
      <c r="H221" s="109">
        <f>IF(H225&gt;J225,1,0)</f>
        <v>0</v>
      </c>
      <c r="I221" s="110"/>
      <c r="J221" s="111">
        <f>IF(J225&gt;H225,1,0)</f>
        <v>1</v>
      </c>
      <c r="K221" s="112"/>
      <c r="L221" s="113"/>
      <c r="M221" s="113"/>
      <c r="N221" s="114"/>
      <c r="R221" s="101"/>
      <c r="S221" s="101"/>
      <c r="T221" s="584"/>
      <c r="U221" s="584"/>
      <c r="V221" s="585"/>
      <c r="W221" s="109">
        <f>IF(W225&gt;Y225,1,0)</f>
        <v>0</v>
      </c>
      <c r="X221" s="110"/>
      <c r="Y221" s="111">
        <f>IF(Y225&gt;W225,1,0)</f>
        <v>0</v>
      </c>
      <c r="Z221" s="109">
        <f>IF(Z225&gt;AB225,1,0)</f>
        <v>0</v>
      </c>
      <c r="AA221" s="110"/>
      <c r="AB221" s="111">
        <f>IF(AB225&gt;Z225,1,0)</f>
        <v>0</v>
      </c>
      <c r="AC221" s="109">
        <f>IF(AC225&gt;AE225,1,0)</f>
        <v>1</v>
      </c>
      <c r="AD221" s="110"/>
      <c r="AE221" s="111">
        <f>IF(AE225&gt;AC225,1,0)</f>
        <v>0</v>
      </c>
      <c r="AF221" s="115"/>
      <c r="AG221" s="116"/>
      <c r="AH221" s="101"/>
      <c r="AI221" s="101"/>
      <c r="AJ221" s="101"/>
      <c r="AW221" s="57"/>
      <c r="AX221" s="54"/>
      <c r="AY221" s="54"/>
      <c r="AZ221" s="54"/>
      <c r="BA221" s="54"/>
    </row>
    <row r="222" spans="1:53" ht="13.5" hidden="1" customHeight="1" x14ac:dyDescent="0.2">
      <c r="A222" s="7"/>
      <c r="B222" s="109">
        <f>SUM(B219:B221)</f>
        <v>1</v>
      </c>
      <c r="C222" s="110"/>
      <c r="D222" s="109">
        <f>SUM(D219:D221)</f>
        <v>0</v>
      </c>
      <c r="E222" s="109">
        <f>SUM(E219:E221)</f>
        <v>1</v>
      </c>
      <c r="F222" s="110"/>
      <c r="G222" s="109">
        <f>SUM(G219:G221)</f>
        <v>0</v>
      </c>
      <c r="H222" s="109">
        <f>SUM(H219:H221)</f>
        <v>1</v>
      </c>
      <c r="I222" s="110"/>
      <c r="J222" s="109">
        <f>SUM(J219:J221)</f>
        <v>2</v>
      </c>
      <c r="K222" s="112"/>
      <c r="L222" s="113"/>
      <c r="M222" s="113"/>
      <c r="N222" s="114"/>
      <c r="R222" s="101"/>
      <c r="S222" s="101"/>
      <c r="T222" s="584"/>
      <c r="U222" s="584"/>
      <c r="V222" s="585"/>
      <c r="W222" s="109">
        <f>SUM(W219:W221)</f>
        <v>0</v>
      </c>
      <c r="X222" s="110"/>
      <c r="Y222" s="109">
        <f>SUM(Y219:Y221)</f>
        <v>1</v>
      </c>
      <c r="Z222" s="109">
        <f>SUM(Z219:Z221)</f>
        <v>1</v>
      </c>
      <c r="AA222" s="110"/>
      <c r="AB222" s="109">
        <f>SUM(AB219:AB221)</f>
        <v>0</v>
      </c>
      <c r="AC222" s="109">
        <f>SUM(AC219:AC221)</f>
        <v>2</v>
      </c>
      <c r="AD222" s="110"/>
      <c r="AE222" s="109">
        <f>SUM(AE219:AE221)</f>
        <v>1</v>
      </c>
      <c r="AF222" s="115"/>
      <c r="AG222" s="116"/>
      <c r="AH222" s="101"/>
      <c r="AI222" s="101"/>
      <c r="AJ222" s="101"/>
      <c r="AW222" s="57"/>
      <c r="AX222" s="54"/>
      <c r="AY222" s="54"/>
      <c r="AZ222" s="54"/>
      <c r="BA222" s="54"/>
    </row>
    <row r="223" spans="1:53" ht="12.75" customHeight="1" x14ac:dyDescent="0.2">
      <c r="A223" s="5" t="s">
        <v>77</v>
      </c>
      <c r="B223" s="117">
        <v>25</v>
      </c>
      <c r="C223" s="49" t="s">
        <v>78</v>
      </c>
      <c r="D223" s="118">
        <v>13</v>
      </c>
      <c r="E223" s="119">
        <v>28</v>
      </c>
      <c r="F223" s="49" t="s">
        <v>78</v>
      </c>
      <c r="G223" s="118">
        <v>26</v>
      </c>
      <c r="H223" s="119">
        <v>27</v>
      </c>
      <c r="I223" s="49" t="s">
        <v>78</v>
      </c>
      <c r="J223" s="120">
        <v>25</v>
      </c>
      <c r="K223" s="586">
        <f>IF(AND(OR(H222&gt;0,J222&gt;0),AND(1&lt;=H218,H218&lt;=4),AND(1&lt;=J218,J218&lt;=4)),IF(H222&gt;J222,H218,IF(J222&gt;H222,J218,"")),"")</f>
        <v>2</v>
      </c>
      <c r="L223" s="587"/>
      <c r="M223" s="587"/>
      <c r="N223" s="588"/>
      <c r="R223" s="101"/>
      <c r="S223" s="101"/>
      <c r="T223" s="121"/>
      <c r="U223" s="121"/>
      <c r="V223" s="5" t="s">
        <v>77</v>
      </c>
      <c r="W223" s="117">
        <v>20</v>
      </c>
      <c r="X223" s="49" t="s">
        <v>78</v>
      </c>
      <c r="Y223" s="118">
        <v>25</v>
      </c>
      <c r="Z223" s="119">
        <v>25</v>
      </c>
      <c r="AA223" s="49" t="s">
        <v>78</v>
      </c>
      <c r="AB223" s="118">
        <v>21</v>
      </c>
      <c r="AC223" s="119">
        <v>25</v>
      </c>
      <c r="AD223" s="49" t="s">
        <v>78</v>
      </c>
      <c r="AE223" s="120">
        <v>21</v>
      </c>
      <c r="AF223" s="586">
        <f>IF(AND(OR(AC222&gt;0,AE222&gt;0),AND(1&lt;=AC218,AC218&lt;=4),AND(1&lt;=AE218,AE218&lt;=4)),IF(AC222&gt;AE222,AC218,IF(AE222&gt;AC222,AE218,"")),"")</f>
        <v>4</v>
      </c>
      <c r="AG223" s="588"/>
      <c r="AH223" s="101"/>
      <c r="AI223" s="101"/>
      <c r="AJ223" s="101"/>
      <c r="AW223" s="57"/>
      <c r="AX223" s="54"/>
      <c r="AY223" s="54"/>
      <c r="AZ223" s="54"/>
      <c r="BA223" s="54"/>
    </row>
    <row r="224" spans="1:53" ht="12.75" customHeight="1" x14ac:dyDescent="0.2">
      <c r="A224" s="5" t="s">
        <v>162</v>
      </c>
      <c r="B224" s="117"/>
      <c r="C224" s="49" t="s">
        <v>78</v>
      </c>
      <c r="D224" s="118"/>
      <c r="E224" s="119"/>
      <c r="F224" s="49" t="s">
        <v>78</v>
      </c>
      <c r="G224" s="118"/>
      <c r="H224" s="119">
        <v>19</v>
      </c>
      <c r="I224" s="49" t="s">
        <v>78</v>
      </c>
      <c r="J224" s="120">
        <v>25</v>
      </c>
      <c r="K224" s="589"/>
      <c r="L224" s="590"/>
      <c r="M224" s="590"/>
      <c r="N224" s="591"/>
      <c r="R224" s="101"/>
      <c r="S224" s="101"/>
      <c r="T224" s="121"/>
      <c r="U224" s="121"/>
      <c r="V224" s="5" t="s">
        <v>162</v>
      </c>
      <c r="W224" s="117"/>
      <c r="X224" s="49" t="s">
        <v>78</v>
      </c>
      <c r="Y224" s="118"/>
      <c r="Z224" s="119"/>
      <c r="AA224" s="49" t="s">
        <v>78</v>
      </c>
      <c r="AB224" s="118"/>
      <c r="AC224" s="119">
        <v>18</v>
      </c>
      <c r="AD224" s="49" t="s">
        <v>78</v>
      </c>
      <c r="AE224" s="120">
        <v>25</v>
      </c>
      <c r="AF224" s="589"/>
      <c r="AG224" s="591"/>
      <c r="AH224" s="101"/>
      <c r="AI224" s="101"/>
      <c r="AJ224" s="101"/>
      <c r="AW224" s="57"/>
      <c r="AX224" s="54"/>
      <c r="AY224" s="54"/>
      <c r="AZ224" s="54"/>
      <c r="BA224" s="54"/>
    </row>
    <row r="225" spans="1:77" ht="13.5" customHeight="1" thickBot="1" x14ac:dyDescent="0.25">
      <c r="A225" s="5" t="s">
        <v>163</v>
      </c>
      <c r="B225" s="122"/>
      <c r="C225" s="123" t="s">
        <v>78</v>
      </c>
      <c r="D225" s="124"/>
      <c r="E225" s="125"/>
      <c r="F225" s="123" t="s">
        <v>78</v>
      </c>
      <c r="G225" s="124"/>
      <c r="H225" s="125">
        <v>13</v>
      </c>
      <c r="I225" s="123" t="s">
        <v>78</v>
      </c>
      <c r="J225" s="126">
        <v>15</v>
      </c>
      <c r="K225" s="592"/>
      <c r="L225" s="593"/>
      <c r="M225" s="593"/>
      <c r="N225" s="594"/>
      <c r="R225" s="101"/>
      <c r="S225" s="101"/>
      <c r="T225" s="121"/>
      <c r="U225" s="121"/>
      <c r="V225" s="5" t="s">
        <v>163</v>
      </c>
      <c r="W225" s="122"/>
      <c r="X225" s="123" t="s">
        <v>78</v>
      </c>
      <c r="Y225" s="124"/>
      <c r="Z225" s="125"/>
      <c r="AA225" s="123" t="s">
        <v>78</v>
      </c>
      <c r="AB225" s="124"/>
      <c r="AC225" s="125">
        <v>15</v>
      </c>
      <c r="AD225" s="123" t="s">
        <v>78</v>
      </c>
      <c r="AE225" s="126">
        <v>7</v>
      </c>
      <c r="AF225" s="592"/>
      <c r="AG225" s="594"/>
      <c r="AH225" s="101"/>
      <c r="AI225" s="101"/>
      <c r="AJ225" s="101"/>
      <c r="AW225" s="57"/>
      <c r="AX225" s="54"/>
      <c r="AY225" s="54"/>
      <c r="AZ225" s="54"/>
      <c r="BA225" s="54"/>
    </row>
    <row r="226" spans="1:77" hidden="1" x14ac:dyDescent="0.2">
      <c r="B226" s="3"/>
      <c r="C226" s="127" t="s">
        <v>112</v>
      </c>
      <c r="D226" s="3" t="s">
        <v>164</v>
      </c>
      <c r="E226" s="3"/>
      <c r="F226" s="127"/>
      <c r="G226" s="4" t="s">
        <v>165</v>
      </c>
      <c r="J226" s="4" t="s">
        <v>166</v>
      </c>
      <c r="W226" s="3"/>
      <c r="X226" s="127" t="s">
        <v>112</v>
      </c>
      <c r="Y226" s="3" t="s">
        <v>164</v>
      </c>
      <c r="Z226" s="3"/>
      <c r="AA226" s="127"/>
      <c r="AB226" s="4" t="s">
        <v>165</v>
      </c>
      <c r="AE226" s="4" t="s">
        <v>166</v>
      </c>
      <c r="AT226" s="4" t="str">
        <f>B227</f>
        <v>Vision 17 Regional</v>
      </c>
      <c r="AU226" s="4">
        <f>J227</f>
        <v>2486.9719356907308</v>
      </c>
      <c r="AW226" s="57"/>
      <c r="AX226" s="54"/>
      <c r="AY226" s="54"/>
      <c r="AZ226" s="54"/>
      <c r="BA226" s="54"/>
      <c r="BB226" s="57"/>
      <c r="BC226" s="54"/>
      <c r="BD226" s="54"/>
      <c r="BE226" s="57"/>
      <c r="BF226" s="54"/>
      <c r="BG226" s="54"/>
      <c r="BH226" s="57"/>
      <c r="BI226" s="54"/>
      <c r="BJ226" s="54"/>
      <c r="BK226" s="57"/>
      <c r="BL226" s="54"/>
      <c r="BM226" s="54"/>
      <c r="BN226" s="57"/>
      <c r="BO226" s="54"/>
      <c r="BP226" s="54"/>
      <c r="BQ226" s="57"/>
      <c r="BR226" s="54"/>
      <c r="BS226" s="54"/>
      <c r="BT226" s="57"/>
      <c r="BU226" s="54"/>
      <c r="BV226" s="54"/>
      <c r="BW226" s="57"/>
      <c r="BX226" s="54"/>
      <c r="BY226" s="54"/>
    </row>
    <row r="227" spans="1:77" hidden="1" x14ac:dyDescent="0.2">
      <c r="A227" s="4">
        <v>1</v>
      </c>
      <c r="B227" s="4" t="str">
        <f>B210</f>
        <v>Vision 17 Regional</v>
      </c>
      <c r="C227" s="4">
        <f>VLOOKUP(B227,AU$2:AY$22,4,FALSE)</f>
        <v>2486.1708786393397</v>
      </c>
      <c r="D227" s="4">
        <f>IF(A227=B218,B233,IF(A227=D218,D233,C227))</f>
        <v>2492.4779890317113</v>
      </c>
      <c r="G227" s="4">
        <f>IF(A227=E218,E233,IF(A227=G218,G233,D227))</f>
        <v>2492.4779890317113</v>
      </c>
      <c r="J227" s="4">
        <f>IF(A227=H218,H233,IF(A227=J218,J233,G227))</f>
        <v>2486.9719356907308</v>
      </c>
      <c r="U227" s="128"/>
      <c r="V227" s="128">
        <v>1</v>
      </c>
      <c r="W227" s="4" t="str">
        <f>X210</f>
        <v>Augusta Elite 17U</v>
      </c>
      <c r="X227" s="4">
        <f>VLOOKUP(W227,AU$2:AY$22,4,FALSE)</f>
        <v>2501.3499753223941</v>
      </c>
      <c r="Y227" s="4">
        <f>IF(V227=W218,W233,IF(V227=Y218,Y233,X227))</f>
        <v>2490.7546597563824</v>
      </c>
      <c r="AB227" s="4">
        <f>IF(V227=Z218,Z233,IF(V227=AB218,AB233,Y227))</f>
        <v>2490.7546597563824</v>
      </c>
      <c r="AE227" s="4">
        <f>IF(V227=AC218,AC233,IF(V227=AE218,AE233,AB227))</f>
        <v>2490.7546597563824</v>
      </c>
      <c r="AT227" s="4" t="str">
        <f>B228</f>
        <v>V-1 Academy SAV 17 Jon</v>
      </c>
      <c r="AU227" s="4">
        <f>J228</f>
        <v>2534.2184179573715</v>
      </c>
      <c r="AW227" s="57"/>
      <c r="AX227" s="54"/>
      <c r="AY227" s="54"/>
      <c r="AZ227" s="54"/>
      <c r="BA227" s="54"/>
      <c r="BB227" s="57"/>
      <c r="BC227" s="54"/>
      <c r="BD227" s="54"/>
      <c r="BE227" s="57"/>
      <c r="BF227" s="54"/>
      <c r="BG227" s="54"/>
      <c r="BH227" s="57"/>
      <c r="BI227" s="54"/>
      <c r="BJ227" s="54"/>
      <c r="BK227" s="57"/>
      <c r="BL227" s="54"/>
      <c r="BM227" s="54"/>
      <c r="BN227" s="57"/>
      <c r="BO227" s="54"/>
      <c r="BP227" s="54"/>
      <c r="BQ227" s="57"/>
      <c r="BR227" s="54"/>
      <c r="BS227" s="54"/>
      <c r="BT227" s="57"/>
      <c r="BU227" s="54"/>
      <c r="BV227" s="54"/>
      <c r="BW227" s="57"/>
      <c r="BX227" s="54"/>
      <c r="BY227" s="54"/>
    </row>
    <row r="228" spans="1:77" hidden="1" x14ac:dyDescent="0.2">
      <c r="A228" s="4">
        <v>2</v>
      </c>
      <c r="B228" s="4" t="str">
        <f>B211</f>
        <v>V-1 Academy SAV 17 Jon</v>
      </c>
      <c r="C228" s="4">
        <f>VLOOKUP(B228,AU$2:AY$22,4,FALSE)</f>
        <v>2521.723704804047</v>
      </c>
      <c r="D228" s="4">
        <f>IF(A228=B218,B233,IF(A228=D218,D233,C228))</f>
        <v>2521.723704804047</v>
      </c>
      <c r="G228" s="4">
        <f>IF(A228=E218,E233,IF(A228=G218,G233,D228))</f>
        <v>2528.7123646163909</v>
      </c>
      <c r="J228" s="4">
        <f>IF(A228=H218,H233,IF(A228=J218,J233,G228))</f>
        <v>2534.2184179573715</v>
      </c>
      <c r="U228" s="128"/>
      <c r="V228" s="128">
        <v>2</v>
      </c>
      <c r="W228" s="4" t="str">
        <f>X211</f>
        <v>Coastal 17 Cyclones</v>
      </c>
      <c r="X228" s="4">
        <f>VLOOKUP(W228,AU$2:AY$22,4,FALSE)</f>
        <v>2469.0199397386018</v>
      </c>
      <c r="Y228" s="4">
        <f>IF(V228=W218,W233,IF(V228=Y218,Y233,X228))</f>
        <v>2469.0199397386018</v>
      </c>
      <c r="AB228" s="4">
        <f>IF(V228=Z218,Z233,IF(V228=AB218,AB233,Y228))</f>
        <v>2474.5700703138523</v>
      </c>
      <c r="AE228" s="4">
        <f>IF(V228=AC218,AC233,IF(V228=AE218,AE233,AB228))</f>
        <v>2461.1682047986947</v>
      </c>
      <c r="AT228" s="4" t="str">
        <f>B229</f>
        <v>Foothills 17</v>
      </c>
      <c r="AU228" s="4">
        <f>J229</f>
        <v>2470.5768512788477</v>
      </c>
      <c r="AW228" s="57"/>
      <c r="AX228" s="54"/>
      <c r="AY228" s="54"/>
      <c r="AZ228" s="54"/>
      <c r="BA228" s="54"/>
      <c r="BB228" s="57"/>
      <c r="BC228" s="54"/>
      <c r="BD228" s="54"/>
      <c r="BE228" s="57"/>
      <c r="BF228" s="54"/>
      <c r="BG228" s="54"/>
      <c r="BH228" s="57"/>
      <c r="BI228" s="54"/>
      <c r="BJ228" s="54"/>
      <c r="BK228" s="57"/>
      <c r="BL228" s="54"/>
      <c r="BM228" s="54"/>
      <c r="BN228" s="57"/>
      <c r="BO228" s="54"/>
      <c r="BP228" s="54"/>
      <c r="BQ228" s="57"/>
      <c r="BR228" s="54"/>
      <c r="BS228" s="54"/>
      <c r="BT228" s="57"/>
      <c r="BU228" s="54"/>
      <c r="BV228" s="54"/>
      <c r="BW228" s="57"/>
      <c r="BX228" s="54"/>
      <c r="BY228" s="54"/>
    </row>
    <row r="229" spans="1:77" hidden="1" x14ac:dyDescent="0.2">
      <c r="A229" s="4">
        <v>3</v>
      </c>
      <c r="B229" s="4" t="str">
        <f>B212</f>
        <v>Foothills 17</v>
      </c>
      <c r="C229" s="4">
        <f>VLOOKUP(B229,AU$2:AY$22,4,FALSE)</f>
        <v>2477.5655110911916</v>
      </c>
      <c r="D229" s="4">
        <f>IF(A229=B218,B233,IF(A229=D218,D233,C229))</f>
        <v>2477.5655110911916</v>
      </c>
      <c r="G229" s="4">
        <f>IF(A229=E218,E233,IF(A229=G218,G233,D229))</f>
        <v>2470.5768512788477</v>
      </c>
      <c r="J229" s="4">
        <f>IF(A229=H218,H233,IF(A229=J218,J233,G229))</f>
        <v>2470.5768512788477</v>
      </c>
      <c r="U229" s="128"/>
      <c r="V229" s="128">
        <v>3</v>
      </c>
      <c r="W229" s="4" t="str">
        <f>X212</f>
        <v>OLC 17s Purple</v>
      </c>
      <c r="X229" s="4">
        <f>VLOOKUP(W229,AU$2:AY$22,4,FALSE)</f>
        <v>2359.0968744907545</v>
      </c>
      <c r="Y229" s="4">
        <f>IF(V229=W218,W233,IF(V229=Y218,Y233,X229))</f>
        <v>2359.0968744907545</v>
      </c>
      <c r="AB229" s="4">
        <f>IF(V229=Z218,Z233,IF(V229=AB218,AB233,Y229))</f>
        <v>2353.5467439155041</v>
      </c>
      <c r="AE229" s="4">
        <f>IF(V229=AC218,AC233,IF(V229=AE218,AE233,AB229))</f>
        <v>2353.5467439155041</v>
      </c>
      <c r="AT229" s="4" t="str">
        <f>B230</f>
        <v>Sumter VBC 17</v>
      </c>
      <c r="AU229" s="4">
        <f>J230</f>
        <v>2405.2146345930723</v>
      </c>
      <c r="AW229" s="57"/>
      <c r="AX229" s="54"/>
      <c r="AY229" s="54"/>
      <c r="AZ229" s="54"/>
      <c r="BA229" s="54"/>
      <c r="BB229" s="57"/>
      <c r="BC229" s="54"/>
      <c r="BD229" s="54"/>
      <c r="BE229" s="57"/>
      <c r="BF229" s="54"/>
      <c r="BG229" s="54"/>
      <c r="BH229" s="57"/>
      <c r="BI229" s="54"/>
      <c r="BJ229" s="54"/>
      <c r="BK229" s="57"/>
      <c r="BL229" s="54"/>
      <c r="BM229" s="54"/>
      <c r="BN229" s="57"/>
      <c r="BO229" s="54"/>
      <c r="BP229" s="54"/>
      <c r="BQ229" s="57"/>
      <c r="BR229" s="54"/>
      <c r="BS229" s="54"/>
      <c r="BT229" s="57"/>
      <c r="BU229" s="54"/>
      <c r="BV229" s="54"/>
      <c r="BW229" s="57"/>
      <c r="BX229" s="54"/>
      <c r="BY229" s="54"/>
    </row>
    <row r="230" spans="1:77" hidden="1" x14ac:dyDescent="0.2">
      <c r="A230" s="4">
        <v>4</v>
      </c>
      <c r="B230" s="4" t="str">
        <f>B213</f>
        <v>Sumter VBC 17</v>
      </c>
      <c r="C230" s="4">
        <f>VLOOKUP(B230,AU$2:AY$22,4,FALSE)</f>
        <v>2411.521744985444</v>
      </c>
      <c r="D230" s="4">
        <f>IF(A230=B218,B233,IF(A230=D218,D233,C230))</f>
        <v>2405.2146345930723</v>
      </c>
      <c r="G230" s="4">
        <f>IF(A230=E218,E233,IF(A230=G218,G233,D230))</f>
        <v>2405.2146345930723</v>
      </c>
      <c r="J230" s="4">
        <f>IF(A230=H218,H233,IF(A230=J218,J233,G230))</f>
        <v>2405.2146345930723</v>
      </c>
      <c r="U230" s="128"/>
      <c r="V230" s="128">
        <v>4</v>
      </c>
      <c r="W230" s="4" t="str">
        <f>X213</f>
        <v>Magnum Greenwood 17 Gold</v>
      </c>
      <c r="X230" s="4">
        <f>VLOOKUP(W230,AU$2:AY$22,4,FALSE)</f>
        <v>2384.4125535599082</v>
      </c>
      <c r="Y230" s="4">
        <f>IF(V230=W218,W233,IF(V230=Y218,Y233,X230))</f>
        <v>2395.00786912592</v>
      </c>
      <c r="AB230" s="4">
        <f>IF(V230=Z218,Z233,IF(V230=AB218,AB233,Y230))</f>
        <v>2395.00786912592</v>
      </c>
      <c r="AE230" s="4">
        <f>IF(V230=AC218,AC233,IF(V230=AE218,AE233,AB230))</f>
        <v>2408.4097346410776</v>
      </c>
      <c r="AT230" s="4" t="str">
        <f>W227</f>
        <v>Augusta Elite 17U</v>
      </c>
      <c r="AU230" s="4">
        <f>AE227</f>
        <v>2490.7546597563824</v>
      </c>
      <c r="AW230" s="57"/>
      <c r="AX230" s="54"/>
      <c r="AY230" s="54"/>
      <c r="AZ230" s="54"/>
      <c r="BA230" s="54"/>
      <c r="BB230" s="57"/>
      <c r="BC230" s="54"/>
      <c r="BD230" s="54"/>
      <c r="BE230" s="57"/>
      <c r="BF230" s="54"/>
      <c r="BG230" s="54"/>
      <c r="BH230" s="57"/>
      <c r="BI230" s="54"/>
      <c r="BJ230" s="54"/>
      <c r="BK230" s="57"/>
      <c r="BL230" s="54"/>
      <c r="BM230" s="54"/>
      <c r="BN230" s="57"/>
      <c r="BO230" s="54"/>
      <c r="BP230" s="54"/>
      <c r="BQ230" s="57"/>
      <c r="BR230" s="54"/>
      <c r="BS230" s="54"/>
      <c r="BT230" s="57"/>
      <c r="BU230" s="54"/>
      <c r="BV230" s="54"/>
      <c r="BW230" s="57"/>
      <c r="BX230" s="54"/>
      <c r="BY230" s="54"/>
    </row>
    <row r="231" spans="1:77" hidden="1" x14ac:dyDescent="0.2">
      <c r="A231" s="4" t="s">
        <v>114</v>
      </c>
      <c r="B231" s="4">
        <f>VLOOKUP(B218,$A227:$J230,3,FALSE)</f>
        <v>2486.1708786393397</v>
      </c>
      <c r="D231" s="4">
        <f>VLOOKUP(D218,$A227:$J230,3,FALSE)</f>
        <v>2411.521744985444</v>
      </c>
      <c r="E231" s="4">
        <f>VLOOKUP(E218,$A227:$J230,4,FALSE)</f>
        <v>2521.723704804047</v>
      </c>
      <c r="G231" s="4">
        <f>VLOOKUP(G218,$A227:$J230,4,FALSE)</f>
        <v>2477.5655110911916</v>
      </c>
      <c r="H231" s="4">
        <f>VLOOKUP(H218,$A227:$J230,7,FALSE)</f>
        <v>2492.4779890317113</v>
      </c>
      <c r="J231" s="4">
        <f>VLOOKUP(J218,$A227:$J230,7,FALSE)</f>
        <v>2528.7123646163909</v>
      </c>
      <c r="T231" s="595" t="s">
        <v>114</v>
      </c>
      <c r="U231" s="595"/>
      <c r="V231" s="595"/>
      <c r="W231" s="4">
        <f>VLOOKUP(W218,$V227:$AE230,3,FALSE)</f>
        <v>2501.3499753223941</v>
      </c>
      <c r="Y231" s="4">
        <f>VLOOKUP(Y218,$V227:$AE230,3,FALSE)</f>
        <v>2384.4125535599082</v>
      </c>
      <c r="Z231" s="4">
        <f>VLOOKUP(Z218,$V227:$AE230,4,FALSE)</f>
        <v>2469.0199397386018</v>
      </c>
      <c r="AB231" s="4">
        <f>VLOOKUP(AB218,$V227:$AE230,4,FALSE)</f>
        <v>2359.0968744907545</v>
      </c>
      <c r="AC231" s="4">
        <f>VLOOKUP(AC218,$V227:$AE230,7,FALSE)</f>
        <v>2395.00786912592</v>
      </c>
      <c r="AE231" s="4">
        <f>VLOOKUP(AE218,$V227:$AE230,7,FALSE)</f>
        <v>2474.5700703138523</v>
      </c>
      <c r="AT231" s="4" t="str">
        <f>W228</f>
        <v>Coastal 17 Cyclones</v>
      </c>
      <c r="AU231" s="4">
        <f>AE228</f>
        <v>2461.1682047986947</v>
      </c>
      <c r="AW231" s="57"/>
      <c r="AX231" s="54"/>
      <c r="AY231" s="54"/>
      <c r="AZ231" s="54"/>
      <c r="BA231" s="54"/>
      <c r="BB231" s="57"/>
      <c r="BC231" s="54"/>
      <c r="BD231" s="54"/>
      <c r="BE231" s="57"/>
      <c r="BF231" s="54"/>
      <c r="BG231" s="54"/>
      <c r="BH231" s="57"/>
      <c r="BI231" s="54"/>
      <c r="BJ231" s="54"/>
      <c r="BK231" s="57"/>
      <c r="BL231" s="54"/>
      <c r="BM231" s="54"/>
      <c r="BN231" s="57"/>
      <c r="BO231" s="54"/>
      <c r="BP231" s="54"/>
      <c r="BQ231" s="57"/>
      <c r="BR231" s="54"/>
      <c r="BS231" s="54"/>
      <c r="BT231" s="57"/>
      <c r="BU231" s="54"/>
      <c r="BV231" s="54"/>
      <c r="BW231" s="57"/>
      <c r="BX231" s="54"/>
      <c r="BY231" s="54"/>
    </row>
    <row r="232" spans="1:77" hidden="1" x14ac:dyDescent="0.2">
      <c r="A232" s="68" t="s">
        <v>115</v>
      </c>
      <c r="B232" s="68">
        <f>1/(1+(10^-((B231-D231)/400)))*(B222+D222)</f>
        <v>0.60580560047678289</v>
      </c>
      <c r="C232" s="68"/>
      <c r="D232" s="68">
        <f>1/(1+(10^-((D231-B231)/400)))*(B222+D222)</f>
        <v>0.39419439952321711</v>
      </c>
      <c r="E232" s="68">
        <f>1/(1+(10^-((E231-G231)/400)))*(E222+G222)</f>
        <v>0.56320876172850343</v>
      </c>
      <c r="G232" s="68">
        <f>1/(1+(10^-((G231-E231)/400)))*(E222+G222)</f>
        <v>0.43679123827149657</v>
      </c>
      <c r="H232" s="68">
        <f>1/(1+(10^-((H231-J231)/400)))*(H222+J222)</f>
        <v>1.3441283338112866</v>
      </c>
      <c r="J232" s="68">
        <f>1/(1+(10^-((J231-H231)/400)))*(H222+J222)</f>
        <v>1.6558716661887134</v>
      </c>
      <c r="T232" s="596" t="s">
        <v>115</v>
      </c>
      <c r="U232" s="596"/>
      <c r="V232" s="596"/>
      <c r="W232" s="68">
        <f>1/(1+(10^-((W231-Y231)/400)))*(W222+Y222)</f>
        <v>0.66220722287572931</v>
      </c>
      <c r="X232" s="68"/>
      <c r="Y232" s="68">
        <f>1/(1+(10^-((Y231-W231)/400)))*(W222+Y222)</f>
        <v>0.33779277712427075</v>
      </c>
      <c r="Z232" s="68">
        <f>1/(1+(10^-((Z231-AB231)/400)))*(Z222+AB222)</f>
        <v>0.65311683904685258</v>
      </c>
      <c r="AB232" s="68">
        <f>1/(1+(10^-((AB231-Z231)/400)))*(Z222+AB222)</f>
        <v>0.34688316095314742</v>
      </c>
      <c r="AC232" s="68">
        <f>1/(1+(10^-((AC231-AE231)/400)))*(AC222+AE222)</f>
        <v>1.1623834053026596</v>
      </c>
      <c r="AE232" s="68">
        <f>1/(1+(10^-((AE231-AC231)/400)))*(AC222+AE222)</f>
        <v>1.83761659469734</v>
      </c>
      <c r="AT232" s="4" t="str">
        <f>W229</f>
        <v>OLC 17s Purple</v>
      </c>
      <c r="AU232" s="4">
        <f>AE229</f>
        <v>2353.5467439155041</v>
      </c>
      <c r="AW232" s="57"/>
      <c r="AX232" s="54"/>
      <c r="AY232" s="54"/>
      <c r="AZ232" s="54"/>
      <c r="BA232" s="54"/>
      <c r="BB232" s="57"/>
      <c r="BC232" s="54"/>
      <c r="BD232" s="54"/>
      <c r="BE232" s="57"/>
      <c r="BF232" s="54"/>
      <c r="BG232" s="54"/>
      <c r="BH232" s="57"/>
      <c r="BI232" s="54"/>
      <c r="BJ232" s="54"/>
      <c r="BK232" s="57"/>
      <c r="BL232" s="54"/>
      <c r="BM232" s="54"/>
      <c r="BN232" s="57"/>
      <c r="BO232" s="54"/>
      <c r="BP232" s="54"/>
      <c r="BQ232" s="57"/>
      <c r="BR232" s="54"/>
      <c r="BS232" s="54"/>
      <c r="BT232" s="57"/>
      <c r="BU232" s="54"/>
      <c r="BV232" s="54"/>
      <c r="BW232" s="57"/>
      <c r="BX232" s="54"/>
      <c r="BY232" s="54"/>
    </row>
    <row r="233" spans="1:77" hidden="1" x14ac:dyDescent="0.2">
      <c r="A233" s="74" t="s">
        <v>116</v>
      </c>
      <c r="B233" s="74">
        <f>B231+(B222-B232)*$BA$2</f>
        <v>2492.4779890317113</v>
      </c>
      <c r="C233" s="74"/>
      <c r="D233" s="74">
        <f>D231+(D222-D232)*$BA$2</f>
        <v>2405.2146345930723</v>
      </c>
      <c r="E233" s="74">
        <f>E231+(E222-E232)*$BA$2</f>
        <v>2528.7123646163909</v>
      </c>
      <c r="G233" s="74">
        <f>G231+(G222-G232)*$BA$2</f>
        <v>2470.5768512788477</v>
      </c>
      <c r="H233" s="74">
        <f>H231+(H222-H232)*$BA$2</f>
        <v>2486.9719356907308</v>
      </c>
      <c r="J233" s="74">
        <f>J231+(J222-J232)*$BA$2</f>
        <v>2534.2184179573715</v>
      </c>
      <c r="T233" s="582" t="s">
        <v>116</v>
      </c>
      <c r="U233" s="582"/>
      <c r="V233" s="582"/>
      <c r="W233" s="74">
        <f>W231+(W222-W232)*$BA$2</f>
        <v>2490.7546597563824</v>
      </c>
      <c r="X233" s="74"/>
      <c r="Y233" s="74">
        <f>Y231+(Y222-Y232)*$BA$2</f>
        <v>2395.00786912592</v>
      </c>
      <c r="Z233" s="74">
        <f>Z231+(Z222-Z232)*$BA$2</f>
        <v>2474.5700703138523</v>
      </c>
      <c r="AB233" s="74">
        <f>AB231+(AB222-AB232)*$BA$2</f>
        <v>2353.5467439155041</v>
      </c>
      <c r="AC233" s="74">
        <f>AC231+(AC222-AC232)*$BA$2</f>
        <v>2408.4097346410776</v>
      </c>
      <c r="AE233" s="74">
        <f>AE231+(AE222-AE232)*$BA$2</f>
        <v>2461.1682047986947</v>
      </c>
      <c r="AT233" s="4" t="str">
        <f>W230</f>
        <v>Magnum Greenwood 17 Gold</v>
      </c>
      <c r="AU233" s="4">
        <f>AE230</f>
        <v>2408.4097346410776</v>
      </c>
      <c r="AW233" s="57"/>
      <c r="AX233" s="54"/>
      <c r="AY233" s="54"/>
      <c r="AZ233" s="54"/>
      <c r="BA233" s="54"/>
      <c r="BB233" s="57"/>
      <c r="BC233" s="54"/>
      <c r="BD233" s="54"/>
      <c r="BE233" s="57"/>
      <c r="BF233" s="54"/>
      <c r="BG233" s="54"/>
      <c r="BH233" s="57"/>
      <c r="BI233" s="54"/>
      <c r="BJ233" s="54"/>
      <c r="BK233" s="57"/>
      <c r="BL233" s="54"/>
      <c r="BM233" s="54"/>
      <c r="BN233" s="57"/>
      <c r="BO233" s="54"/>
      <c r="BP233" s="54"/>
      <c r="BQ233" s="57"/>
      <c r="BR233" s="54"/>
      <c r="BS233" s="54"/>
      <c r="BT233" s="57"/>
      <c r="BU233" s="54"/>
      <c r="BV233" s="54"/>
      <c r="BW233" s="57"/>
      <c r="BX233" s="54"/>
      <c r="BY233" s="54"/>
    </row>
    <row r="234" spans="1:77" x14ac:dyDescent="0.2">
      <c r="A234" s="583" t="s">
        <v>167</v>
      </c>
      <c r="B234" s="583"/>
      <c r="C234" s="583"/>
      <c r="D234" s="583"/>
      <c r="E234" s="583"/>
      <c r="F234" s="583"/>
      <c r="G234" s="583"/>
      <c r="H234" s="583"/>
      <c r="I234" s="583"/>
      <c r="J234" s="583"/>
      <c r="K234" s="583"/>
      <c r="L234" s="583"/>
      <c r="M234" s="583"/>
      <c r="R234" s="101"/>
      <c r="S234" s="101"/>
      <c r="T234" s="121"/>
      <c r="U234" s="121"/>
      <c r="V234" s="583" t="s">
        <v>167</v>
      </c>
      <c r="W234" s="583"/>
      <c r="X234" s="583"/>
      <c r="Y234" s="583"/>
      <c r="Z234" s="583"/>
      <c r="AA234" s="583"/>
      <c r="AB234" s="583"/>
      <c r="AC234" s="583"/>
      <c r="AD234" s="583"/>
      <c r="AE234" s="583"/>
      <c r="AF234" s="583"/>
      <c r="AG234" s="583"/>
      <c r="AH234" s="101"/>
      <c r="AI234" s="101"/>
      <c r="AJ234" s="101"/>
      <c r="AW234" s="57"/>
      <c r="AX234" s="54"/>
      <c r="AY234" s="54"/>
      <c r="AZ234" s="54"/>
      <c r="BA234" s="54"/>
    </row>
    <row r="235" spans="1:77" x14ac:dyDescent="0.2">
      <c r="AT235" s="54"/>
      <c r="AU235" s="54"/>
      <c r="AV235" s="54"/>
      <c r="AW235" s="57"/>
      <c r="AX235" s="54"/>
      <c r="AY235" s="54"/>
      <c r="AZ235" s="54"/>
      <c r="BA235" s="54"/>
    </row>
    <row r="236" spans="1:77" x14ac:dyDescent="0.2">
      <c r="AT236" s="54"/>
      <c r="AU236" s="54"/>
      <c r="AV236" s="54"/>
      <c r="AW236" s="57"/>
      <c r="AX236" s="54"/>
      <c r="AY236" s="54"/>
      <c r="AZ236" s="54"/>
      <c r="BA236" s="54"/>
    </row>
    <row r="237" spans="1:77" x14ac:dyDescent="0.2">
      <c r="AT237" s="54"/>
      <c r="AU237" s="54"/>
      <c r="AV237" s="54"/>
      <c r="AW237" s="57"/>
      <c r="AX237" s="54"/>
      <c r="AY237" s="54"/>
      <c r="AZ237" s="54"/>
      <c r="BA237" s="54"/>
    </row>
    <row r="238" spans="1:77" x14ac:dyDescent="0.2">
      <c r="AT238" s="54"/>
      <c r="AU238" s="54"/>
      <c r="AV238" s="54"/>
      <c r="AW238" s="57"/>
      <c r="AX238" s="54"/>
      <c r="AY238" s="54"/>
      <c r="AZ238" s="54"/>
      <c r="BA238" s="54"/>
    </row>
    <row r="239" spans="1:77" x14ac:dyDescent="0.2">
      <c r="AT239" s="54"/>
      <c r="AU239" s="54"/>
      <c r="AV239" s="54"/>
      <c r="AW239" s="57"/>
      <c r="AX239" s="54"/>
      <c r="AY239" s="54"/>
      <c r="AZ239" s="54"/>
      <c r="BA239" s="54"/>
    </row>
    <row r="240" spans="1:77" x14ac:dyDescent="0.2">
      <c r="AT240" s="54"/>
      <c r="AU240" s="54"/>
      <c r="AV240" s="54"/>
      <c r="AW240" s="57"/>
      <c r="AX240" s="54"/>
      <c r="AY240" s="54"/>
      <c r="AZ240" s="54"/>
      <c r="BA240" s="54"/>
    </row>
    <row r="241" spans="46:53" x14ac:dyDescent="0.2">
      <c r="AT241" s="54"/>
      <c r="AU241" s="54"/>
      <c r="AV241" s="54"/>
      <c r="AW241" s="57"/>
      <c r="AX241" s="54"/>
      <c r="AY241" s="54"/>
      <c r="AZ241" s="54"/>
      <c r="BA241" s="54"/>
    </row>
    <row r="242" spans="46:53" x14ac:dyDescent="0.2">
      <c r="AT242" s="54"/>
      <c r="AU242" s="54"/>
      <c r="AV242" s="54"/>
      <c r="AW242" s="57"/>
      <c r="AX242" s="54"/>
      <c r="AY242" s="54"/>
      <c r="AZ242" s="54"/>
      <c r="BA242" s="54"/>
    </row>
    <row r="243" spans="46:53" x14ac:dyDescent="0.2">
      <c r="AT243" s="54"/>
      <c r="AU243" s="54"/>
      <c r="AV243" s="54"/>
      <c r="AW243" s="57"/>
      <c r="AX243" s="54"/>
      <c r="AY243" s="54"/>
      <c r="AZ243" s="54"/>
      <c r="BA243" s="54"/>
    </row>
    <row r="244" spans="46:53" x14ac:dyDescent="0.2">
      <c r="AT244" s="54"/>
      <c r="AU244" s="54"/>
      <c r="AV244" s="54"/>
      <c r="AW244" s="57"/>
      <c r="AX244" s="54"/>
      <c r="AY244" s="54"/>
      <c r="AZ244" s="54"/>
      <c r="BA244" s="54"/>
    </row>
    <row r="245" spans="46:53" x14ac:dyDescent="0.2">
      <c r="AT245" s="54"/>
      <c r="AU245" s="54"/>
      <c r="AV245" s="54"/>
      <c r="AW245" s="57"/>
      <c r="AX245" s="54"/>
      <c r="AY245" s="54"/>
      <c r="AZ245" s="54"/>
      <c r="BA245" s="54"/>
    </row>
    <row r="246" spans="46:53" x14ac:dyDescent="0.2">
      <c r="AT246" s="54"/>
      <c r="AU246" s="54"/>
      <c r="AV246" s="54"/>
      <c r="AW246" s="57"/>
      <c r="AX246" s="54"/>
      <c r="AY246" s="54"/>
      <c r="AZ246" s="54"/>
      <c r="BA246" s="54"/>
    </row>
    <row r="247" spans="46:53" x14ac:dyDescent="0.2">
      <c r="AT247" s="54"/>
      <c r="AU247" s="54"/>
      <c r="AV247" s="54"/>
    </row>
    <row r="248" spans="46:53" x14ac:dyDescent="0.2">
      <c r="AT248" s="54"/>
      <c r="AU248" s="54"/>
      <c r="AV248" s="54"/>
      <c r="AW248" s="65"/>
      <c r="AX248" s="62"/>
      <c r="AY248" s="62"/>
      <c r="AZ248" s="62"/>
      <c r="BA248" s="62"/>
    </row>
    <row r="249" spans="46:53" x14ac:dyDescent="0.2">
      <c r="AT249" s="54"/>
      <c r="AU249" s="54"/>
      <c r="AV249" s="54"/>
      <c r="AW249" s="65"/>
      <c r="AX249" s="62"/>
      <c r="AY249" s="62"/>
      <c r="AZ249" s="62"/>
      <c r="BA249" s="62"/>
    </row>
    <row r="250" spans="46:53" x14ac:dyDescent="0.2">
      <c r="AT250" s="54"/>
      <c r="AU250" s="54"/>
      <c r="AV250" s="54"/>
      <c r="AW250" s="65"/>
      <c r="AX250" s="62"/>
      <c r="AY250" s="62"/>
      <c r="AZ250" s="62"/>
      <c r="BA250" s="62"/>
    </row>
    <row r="251" spans="46:53" x14ac:dyDescent="0.2">
      <c r="AT251" s="54"/>
      <c r="AU251" s="54"/>
      <c r="AV251" s="54"/>
      <c r="AW251" s="65"/>
      <c r="AX251" s="62"/>
      <c r="AY251" s="62"/>
      <c r="AZ251" s="62"/>
      <c r="BA251" s="62"/>
    </row>
    <row r="252" spans="46:53" x14ac:dyDescent="0.2">
      <c r="AT252" s="54"/>
      <c r="AU252" s="54"/>
      <c r="AV252" s="54"/>
      <c r="AW252" s="65"/>
      <c r="AX252" s="62"/>
      <c r="AY252" s="62"/>
      <c r="AZ252" s="62"/>
      <c r="BA252" s="62"/>
    </row>
    <row r="253" spans="46:53" x14ac:dyDescent="0.2">
      <c r="AT253" s="54"/>
      <c r="AU253" s="54"/>
      <c r="AV253" s="54"/>
      <c r="AW253" s="65"/>
      <c r="AX253" s="62"/>
      <c r="AY253" s="62"/>
      <c r="AZ253" s="62"/>
      <c r="BA253" s="62"/>
    </row>
    <row r="254" spans="46:53" x14ac:dyDescent="0.2">
      <c r="AT254" s="54"/>
      <c r="AU254" s="54"/>
      <c r="AV254" s="54"/>
      <c r="AW254" s="65"/>
      <c r="AX254" s="62"/>
      <c r="AY254" s="62"/>
      <c r="AZ254" s="62"/>
      <c r="BA254" s="62"/>
    </row>
    <row r="255" spans="46:53" x14ac:dyDescent="0.2">
      <c r="AT255" s="54"/>
      <c r="AU255" s="54"/>
      <c r="AV255" s="54"/>
      <c r="AW255" s="65"/>
      <c r="AX255" s="62"/>
      <c r="AY255" s="62"/>
      <c r="AZ255" s="62"/>
      <c r="BA255" s="62"/>
    </row>
    <row r="256" spans="46:53" x14ac:dyDescent="0.2">
      <c r="AT256" s="54"/>
      <c r="AU256" s="54"/>
      <c r="AV256" s="54"/>
      <c r="AW256" s="72"/>
      <c r="AX256" s="71"/>
      <c r="AY256" s="71"/>
      <c r="AZ256" s="71"/>
      <c r="BA256" s="71"/>
    </row>
    <row r="257" spans="46:53" x14ac:dyDescent="0.2">
      <c r="AT257" s="54"/>
      <c r="AU257" s="54"/>
      <c r="AV257" s="54"/>
      <c r="AW257" s="78"/>
      <c r="AX257" s="77"/>
      <c r="AY257" s="77"/>
      <c r="AZ257" s="77"/>
      <c r="BA257" s="77"/>
    </row>
    <row r="258" spans="46:53" x14ac:dyDescent="0.2">
      <c r="AT258" s="54"/>
      <c r="AU258" s="54"/>
      <c r="AV258" s="54"/>
      <c r="AW258" s="78"/>
      <c r="AX258" s="77"/>
      <c r="AY258" s="77"/>
      <c r="AZ258" s="77"/>
      <c r="BA258" s="77"/>
    </row>
    <row r="259" spans="46:53" x14ac:dyDescent="0.2">
      <c r="AT259" s="54"/>
      <c r="AU259" s="54"/>
      <c r="AV259" s="54"/>
      <c r="AW259" s="65"/>
      <c r="AX259" s="62"/>
      <c r="AY259" s="62"/>
      <c r="AZ259" s="62"/>
      <c r="BA259" s="62"/>
    </row>
    <row r="260" spans="46:53" x14ac:dyDescent="0.2">
      <c r="AT260" s="62"/>
      <c r="AU260" s="62"/>
      <c r="AV260" s="62"/>
      <c r="AW260" s="65"/>
      <c r="AX260" s="62"/>
      <c r="AY260" s="62"/>
      <c r="AZ260" s="62"/>
      <c r="BA260" s="62"/>
    </row>
    <row r="261" spans="46:53" x14ac:dyDescent="0.2">
      <c r="AT261" s="62"/>
      <c r="AU261" s="62"/>
      <c r="AV261" s="62"/>
    </row>
    <row r="286" spans="46:53" x14ac:dyDescent="0.2">
      <c r="AT286" s="54"/>
      <c r="AU286" s="54"/>
      <c r="AV286" s="54"/>
      <c r="AW286" s="57"/>
      <c r="AX286" s="54"/>
      <c r="AY286" s="54"/>
      <c r="AZ286" s="54"/>
      <c r="BA286" s="54"/>
    </row>
    <row r="287" spans="46:53" x14ac:dyDescent="0.2">
      <c r="AT287" s="54"/>
      <c r="AU287" s="54"/>
      <c r="AV287" s="54"/>
      <c r="AW287" s="57"/>
      <c r="AX287" s="54"/>
      <c r="AY287" s="54"/>
      <c r="AZ287" s="54"/>
      <c r="BA287" s="54"/>
    </row>
    <row r="288" spans="46:53" x14ac:dyDescent="0.2">
      <c r="AT288" s="54"/>
      <c r="AU288" s="54"/>
      <c r="AV288" s="54"/>
      <c r="AW288" s="57"/>
      <c r="AX288" s="54"/>
      <c r="AY288" s="54"/>
      <c r="AZ288" s="54"/>
      <c r="BA288" s="54"/>
    </row>
    <row r="289" spans="46:53" x14ac:dyDescent="0.2">
      <c r="AT289" s="54"/>
      <c r="AU289" s="54"/>
      <c r="AV289" s="54"/>
      <c r="AW289" s="57"/>
      <c r="AX289" s="54"/>
      <c r="AY289" s="54"/>
      <c r="AZ289" s="54"/>
      <c r="BA289" s="54"/>
    </row>
    <row r="290" spans="46:53" x14ac:dyDescent="0.2">
      <c r="AT290" s="54"/>
      <c r="AU290" s="54"/>
      <c r="AV290" s="54"/>
      <c r="AW290" s="57"/>
      <c r="AX290" s="54"/>
      <c r="AY290" s="54"/>
      <c r="AZ290" s="54"/>
      <c r="BA290" s="54"/>
    </row>
    <row r="291" spans="46:53" x14ac:dyDescent="0.2">
      <c r="AT291" s="54"/>
      <c r="AU291" s="54"/>
      <c r="AV291" s="54"/>
      <c r="AW291" s="57"/>
      <c r="AX291" s="54"/>
      <c r="AY291" s="54"/>
      <c r="AZ291" s="54"/>
      <c r="BA291" s="54"/>
    </row>
    <row r="292" spans="46:53" x14ac:dyDescent="0.2">
      <c r="AT292" s="54"/>
      <c r="AU292" s="54"/>
      <c r="AV292" s="54"/>
      <c r="AW292" s="57"/>
      <c r="AX292" s="54"/>
      <c r="AY292" s="54"/>
      <c r="AZ292" s="54"/>
      <c r="BA292" s="54"/>
    </row>
    <row r="293" spans="46:53" x14ac:dyDescent="0.2">
      <c r="AT293" s="54"/>
      <c r="AU293" s="54"/>
      <c r="AV293" s="54"/>
      <c r="AW293" s="57"/>
      <c r="AX293" s="54"/>
      <c r="AY293" s="54"/>
      <c r="AZ293" s="54"/>
      <c r="BA293" s="54"/>
    </row>
    <row r="294" spans="46:53" x14ac:dyDescent="0.2">
      <c r="AT294" s="54"/>
      <c r="AU294" s="54"/>
      <c r="AV294" s="54"/>
      <c r="AW294" s="57"/>
      <c r="AX294" s="54"/>
      <c r="AY294" s="54"/>
      <c r="AZ294" s="54"/>
      <c r="BA294" s="54"/>
    </row>
    <row r="295" spans="46:53" x14ac:dyDescent="0.2">
      <c r="AT295" s="54"/>
      <c r="AU295" s="54"/>
      <c r="AV295" s="54"/>
      <c r="AW295" s="57"/>
      <c r="AX295" s="54"/>
      <c r="AY295" s="54"/>
      <c r="AZ295" s="54"/>
      <c r="BA295" s="54"/>
    </row>
    <row r="296" spans="46:53" x14ac:dyDescent="0.2">
      <c r="AT296" s="54"/>
      <c r="AU296" s="54"/>
      <c r="AV296" s="54"/>
      <c r="AW296" s="57"/>
      <c r="AX296" s="54"/>
      <c r="AY296" s="54"/>
      <c r="AZ296" s="54"/>
      <c r="BA296" s="54"/>
    </row>
    <row r="297" spans="46:53" x14ac:dyDescent="0.2">
      <c r="AT297" s="54"/>
      <c r="AU297" s="54"/>
      <c r="AV297" s="54"/>
      <c r="AW297" s="57"/>
      <c r="AX297" s="54"/>
      <c r="AY297" s="54"/>
      <c r="AZ297" s="54"/>
      <c r="BA297" s="54"/>
    </row>
    <row r="298" spans="46:53" x14ac:dyDescent="0.2">
      <c r="AT298" s="54"/>
      <c r="AU298" s="54"/>
      <c r="AV298" s="54"/>
      <c r="AW298" s="57"/>
      <c r="AX298" s="54"/>
      <c r="AY298" s="54"/>
      <c r="AZ298" s="54"/>
      <c r="BA298" s="54"/>
    </row>
    <row r="299" spans="46:53" x14ac:dyDescent="0.2">
      <c r="AT299" s="54"/>
      <c r="AU299" s="54"/>
      <c r="AV299" s="54"/>
      <c r="AW299" s="57"/>
      <c r="AX299" s="54"/>
      <c r="AY299" s="54"/>
      <c r="AZ299" s="54"/>
      <c r="BA299" s="54"/>
    </row>
    <row r="300" spans="46:53" x14ac:dyDescent="0.2">
      <c r="AT300" s="54"/>
      <c r="AU300" s="54"/>
      <c r="AV300" s="54"/>
      <c r="AW300" s="57"/>
      <c r="AX300" s="54"/>
      <c r="AY300" s="54"/>
      <c r="AZ300" s="54"/>
      <c r="BA300" s="54"/>
    </row>
    <row r="301" spans="46:53" x14ac:dyDescent="0.2">
      <c r="AT301" s="54"/>
      <c r="AU301" s="54"/>
      <c r="AV301" s="54"/>
      <c r="AW301" s="57"/>
      <c r="AX301" s="54"/>
      <c r="AY301" s="54"/>
      <c r="AZ301" s="54"/>
      <c r="BA301" s="54"/>
    </row>
    <row r="302" spans="46:53" x14ac:dyDescent="0.2">
      <c r="AT302" s="54"/>
      <c r="AU302" s="54"/>
      <c r="AV302" s="54"/>
      <c r="AW302" s="57"/>
      <c r="AX302" s="54"/>
      <c r="AY302" s="54"/>
      <c r="AZ302" s="54"/>
      <c r="BA302" s="54"/>
    </row>
    <row r="303" spans="46:53" x14ac:dyDescent="0.2">
      <c r="AT303" s="54"/>
      <c r="AU303" s="54"/>
      <c r="AV303" s="54"/>
      <c r="AW303" s="57"/>
      <c r="AX303" s="54"/>
      <c r="AY303" s="54"/>
      <c r="AZ303" s="54"/>
      <c r="BA303" s="54"/>
    </row>
    <row r="304" spans="46:53" x14ac:dyDescent="0.2">
      <c r="AT304" s="54"/>
      <c r="AU304" s="54"/>
      <c r="AV304" s="54"/>
      <c r="AW304" s="57"/>
      <c r="AX304" s="54"/>
      <c r="AY304" s="54"/>
      <c r="AZ304" s="54"/>
      <c r="BA304" s="54"/>
    </row>
    <row r="305" spans="46:53" x14ac:dyDescent="0.2">
      <c r="AT305" s="54"/>
      <c r="AU305" s="54"/>
      <c r="AV305" s="54"/>
      <c r="AW305" s="57"/>
      <c r="AX305" s="54"/>
      <c r="AY305" s="54"/>
      <c r="AZ305" s="54"/>
      <c r="BA305" s="54"/>
    </row>
    <row r="306" spans="46:53" x14ac:dyDescent="0.2">
      <c r="AT306" s="54"/>
      <c r="AU306" s="54"/>
      <c r="AV306" s="54"/>
      <c r="AW306" s="57"/>
      <c r="AX306" s="54"/>
      <c r="AY306" s="54"/>
      <c r="AZ306" s="54"/>
      <c r="BA306" s="54"/>
    </row>
    <row r="307" spans="46:53" x14ac:dyDescent="0.2">
      <c r="AT307" s="54"/>
      <c r="AU307" s="54"/>
      <c r="AV307" s="54"/>
      <c r="AW307" s="57"/>
      <c r="AX307" s="54"/>
      <c r="AY307" s="54"/>
      <c r="AZ307" s="54"/>
      <c r="BA307" s="54"/>
    </row>
    <row r="308" spans="46:53" x14ac:dyDescent="0.2">
      <c r="AT308" s="54"/>
      <c r="AU308" s="54"/>
      <c r="AV308" s="54"/>
      <c r="AW308" s="57"/>
      <c r="AX308" s="54"/>
      <c r="AY308" s="54"/>
      <c r="AZ308" s="54"/>
      <c r="BA308" s="54"/>
    </row>
    <row r="309" spans="46:53" x14ac:dyDescent="0.2">
      <c r="AT309" s="54"/>
      <c r="AU309" s="54"/>
      <c r="AV309" s="54"/>
      <c r="AW309" s="57"/>
      <c r="AX309" s="54"/>
      <c r="AY309" s="54"/>
      <c r="AZ309" s="54"/>
      <c r="BA309" s="54"/>
    </row>
    <row r="310" spans="46:53" x14ac:dyDescent="0.2">
      <c r="AT310" s="54"/>
      <c r="AU310" s="54"/>
      <c r="AV310" s="54"/>
      <c r="AW310" s="57"/>
      <c r="AX310" s="54"/>
      <c r="AY310" s="54"/>
      <c r="AZ310" s="54"/>
      <c r="BA310" s="54"/>
    </row>
    <row r="311" spans="46:53" x14ac:dyDescent="0.2">
      <c r="AT311" s="54"/>
      <c r="AU311" s="54"/>
      <c r="AV311" s="54"/>
      <c r="AW311" s="57"/>
      <c r="AX311" s="54"/>
      <c r="AY311" s="54"/>
      <c r="AZ311" s="54"/>
      <c r="BA311" s="54"/>
    </row>
    <row r="312" spans="46:53" x14ac:dyDescent="0.2">
      <c r="AT312" s="54"/>
      <c r="AU312" s="54"/>
      <c r="AV312" s="54"/>
      <c r="AW312" s="57"/>
      <c r="AX312" s="54"/>
      <c r="AY312" s="54"/>
      <c r="AZ312" s="54"/>
      <c r="BA312" s="54"/>
    </row>
    <row r="313" spans="46:53" x14ac:dyDescent="0.2">
      <c r="AT313" s="54"/>
      <c r="AU313" s="54"/>
      <c r="AV313" s="54"/>
      <c r="AW313" s="57"/>
      <c r="AX313" s="54"/>
      <c r="AY313" s="54"/>
      <c r="AZ313" s="54"/>
      <c r="BA313" s="54"/>
    </row>
    <row r="314" spans="46:53" x14ac:dyDescent="0.2">
      <c r="AT314" s="54"/>
      <c r="AU314" s="54"/>
      <c r="AV314" s="54"/>
      <c r="AW314" s="57"/>
      <c r="AX314" s="54"/>
      <c r="AY314" s="54"/>
      <c r="AZ314" s="54"/>
      <c r="BA314" s="54"/>
    </row>
    <row r="315" spans="46:53" x14ac:dyDescent="0.2">
      <c r="AT315" s="54"/>
      <c r="AU315" s="54"/>
      <c r="AV315" s="54"/>
      <c r="AW315" s="57"/>
      <c r="AX315" s="54"/>
      <c r="AY315" s="54"/>
      <c r="AZ315" s="54"/>
      <c r="BA315" s="54"/>
    </row>
    <row r="316" spans="46:53" x14ac:dyDescent="0.2">
      <c r="AT316" s="54"/>
      <c r="AU316" s="54"/>
      <c r="AV316" s="54"/>
      <c r="AW316" s="57"/>
      <c r="AX316" s="54"/>
      <c r="AY316" s="54"/>
      <c r="AZ316" s="54"/>
      <c r="BA316" s="54"/>
    </row>
    <row r="317" spans="46:53" x14ac:dyDescent="0.2">
      <c r="AT317" s="54"/>
      <c r="AU317" s="54"/>
      <c r="AV317" s="54"/>
      <c r="AW317" s="57"/>
      <c r="AX317" s="54"/>
      <c r="AY317" s="54"/>
      <c r="AZ317" s="54"/>
      <c r="BA317" s="54"/>
    </row>
    <row r="318" spans="46:53" x14ac:dyDescent="0.2">
      <c r="AT318" s="54"/>
      <c r="AU318" s="54"/>
      <c r="AV318" s="54"/>
      <c r="AW318" s="57"/>
      <c r="AX318" s="54"/>
      <c r="AY318" s="54"/>
      <c r="AZ318" s="54"/>
      <c r="BA318" s="54"/>
    </row>
    <row r="319" spans="46:53" x14ac:dyDescent="0.2">
      <c r="AT319" s="54"/>
      <c r="AU319" s="54"/>
      <c r="AV319" s="54"/>
      <c r="AW319" s="57"/>
      <c r="AX319" s="54"/>
      <c r="AY319" s="54"/>
      <c r="AZ319" s="54"/>
      <c r="BA319" s="54"/>
    </row>
    <row r="320" spans="46:53" x14ac:dyDescent="0.2">
      <c r="AT320" s="54"/>
      <c r="AU320" s="54"/>
      <c r="AV320" s="54"/>
      <c r="AW320" s="57"/>
      <c r="AX320" s="54"/>
      <c r="AY320" s="54"/>
      <c r="AZ320" s="54"/>
      <c r="BA320" s="54"/>
    </row>
    <row r="321" spans="46:53" x14ac:dyDescent="0.2">
      <c r="AT321" s="54"/>
      <c r="AU321" s="54"/>
      <c r="AV321" s="54"/>
      <c r="AW321" s="57"/>
      <c r="AX321" s="54"/>
      <c r="AY321" s="54"/>
      <c r="AZ321" s="54"/>
      <c r="BA321" s="54"/>
    </row>
    <row r="322" spans="46:53" x14ac:dyDescent="0.2">
      <c r="AT322" s="54"/>
      <c r="AU322" s="54"/>
      <c r="AV322" s="54"/>
      <c r="AW322" s="57"/>
      <c r="AX322" s="54"/>
      <c r="AY322" s="54"/>
      <c r="AZ322" s="54"/>
      <c r="BA322" s="54"/>
    </row>
    <row r="323" spans="46:53" x14ac:dyDescent="0.2">
      <c r="AT323" s="54"/>
      <c r="AU323" s="54"/>
      <c r="AV323" s="54"/>
      <c r="AW323" s="57"/>
      <c r="AX323" s="54"/>
      <c r="AY323" s="54"/>
      <c r="AZ323" s="54"/>
      <c r="BA323" s="54"/>
    </row>
    <row r="324" spans="46:53" x14ac:dyDescent="0.2">
      <c r="AT324" s="54"/>
      <c r="AU324" s="54"/>
      <c r="AV324" s="54"/>
      <c r="AW324" s="57"/>
      <c r="AX324" s="54"/>
      <c r="AY324" s="54"/>
      <c r="AZ324" s="54"/>
      <c r="BA324" s="54"/>
    </row>
    <row r="325" spans="46:53" x14ac:dyDescent="0.2">
      <c r="AT325" s="54"/>
      <c r="AU325" s="54"/>
      <c r="AV325" s="54"/>
      <c r="AW325" s="57"/>
      <c r="AX325" s="54"/>
      <c r="AY325" s="54"/>
      <c r="AZ325" s="54"/>
      <c r="BA325" s="54"/>
    </row>
    <row r="326" spans="46:53" x14ac:dyDescent="0.2">
      <c r="AT326" s="54"/>
      <c r="AU326" s="54"/>
      <c r="AV326" s="54"/>
      <c r="AW326" s="57"/>
      <c r="AX326" s="54"/>
      <c r="AY326" s="54"/>
      <c r="AZ326" s="54"/>
      <c r="BA326" s="54"/>
    </row>
    <row r="327" spans="46:53" x14ac:dyDescent="0.2">
      <c r="AT327" s="54"/>
      <c r="AU327" s="54"/>
      <c r="AV327" s="54"/>
      <c r="AW327" s="57"/>
      <c r="AX327" s="54"/>
      <c r="AY327" s="54"/>
      <c r="AZ327" s="54"/>
      <c r="BA327" s="54"/>
    </row>
    <row r="328" spans="46:53" x14ac:dyDescent="0.2">
      <c r="AT328" s="54"/>
      <c r="AU328" s="54"/>
      <c r="AV328" s="54"/>
      <c r="AW328" s="57"/>
      <c r="AX328" s="54"/>
      <c r="AY328" s="54"/>
      <c r="AZ328" s="54"/>
      <c r="BA328" s="54"/>
    </row>
    <row r="329" spans="46:53" x14ac:dyDescent="0.2">
      <c r="AT329" s="54"/>
      <c r="AU329" s="54"/>
      <c r="AV329" s="54"/>
      <c r="AW329" s="57"/>
      <c r="AX329" s="54"/>
      <c r="AY329" s="54"/>
      <c r="AZ329" s="54"/>
      <c r="BA329" s="54"/>
    </row>
    <row r="330" spans="46:53" x14ac:dyDescent="0.2">
      <c r="AT330" s="54"/>
      <c r="AU330" s="54"/>
      <c r="AV330" s="54"/>
      <c r="AW330" s="57"/>
      <c r="AX330" s="54"/>
      <c r="AY330" s="54"/>
      <c r="AZ330" s="54"/>
      <c r="BA330" s="54"/>
    </row>
    <row r="331" spans="46:53" x14ac:dyDescent="0.2">
      <c r="AT331" s="54"/>
      <c r="AU331" s="54"/>
      <c r="AV331" s="54"/>
      <c r="AW331" s="57"/>
      <c r="AX331" s="54"/>
      <c r="AY331" s="54"/>
      <c r="AZ331" s="54"/>
      <c r="BA331" s="54"/>
    </row>
    <row r="332" spans="46:53" x14ac:dyDescent="0.2">
      <c r="AT332" s="62"/>
      <c r="AU332" s="62"/>
      <c r="AV332" s="62"/>
    </row>
    <row r="333" spans="46:53" x14ac:dyDescent="0.2">
      <c r="AT333" s="62"/>
      <c r="AU333" s="62"/>
      <c r="AV333" s="62"/>
      <c r="AW333" s="65"/>
      <c r="AX333" s="62"/>
      <c r="AY333" s="62"/>
      <c r="AZ333" s="62"/>
      <c r="BA333" s="62"/>
    </row>
    <row r="334" spans="46:53" x14ac:dyDescent="0.2">
      <c r="AW334" s="65"/>
      <c r="AX334" s="62"/>
      <c r="AY334" s="62"/>
      <c r="AZ334" s="62"/>
      <c r="BA334" s="62"/>
    </row>
    <row r="335" spans="46:53" x14ac:dyDescent="0.2">
      <c r="AW335" s="65"/>
      <c r="AX335" s="62"/>
      <c r="AY335" s="62"/>
      <c r="AZ335" s="62"/>
      <c r="BA335" s="62"/>
    </row>
    <row r="336" spans="46:53" x14ac:dyDescent="0.2">
      <c r="AW336" s="65"/>
      <c r="AX336" s="62"/>
      <c r="AY336" s="62"/>
      <c r="AZ336" s="62"/>
      <c r="BA336" s="62"/>
    </row>
    <row r="337" spans="46:53" x14ac:dyDescent="0.2">
      <c r="AW337" s="65"/>
      <c r="AX337" s="62"/>
      <c r="AY337" s="62"/>
      <c r="AZ337" s="62"/>
      <c r="BA337" s="62"/>
    </row>
    <row r="338" spans="46:53" x14ac:dyDescent="0.2">
      <c r="AW338" s="65"/>
      <c r="AX338" s="62"/>
      <c r="AY338" s="62"/>
      <c r="AZ338" s="62"/>
      <c r="BA338" s="62"/>
    </row>
    <row r="339" spans="46:53" x14ac:dyDescent="0.2">
      <c r="AW339" s="65"/>
      <c r="AX339" s="62"/>
      <c r="AY339" s="62"/>
      <c r="AZ339" s="62"/>
      <c r="BA339" s="62"/>
    </row>
    <row r="340" spans="46:53" x14ac:dyDescent="0.2">
      <c r="AW340" s="65"/>
      <c r="AX340" s="62"/>
      <c r="AY340" s="62"/>
      <c r="AZ340" s="62"/>
      <c r="BA340" s="62"/>
    </row>
    <row r="341" spans="46:53" x14ac:dyDescent="0.2">
      <c r="AW341" s="72"/>
      <c r="AX341" s="71"/>
      <c r="AY341" s="71"/>
      <c r="AZ341" s="71"/>
      <c r="BA341" s="71"/>
    </row>
    <row r="342" spans="46:53" x14ac:dyDescent="0.2">
      <c r="AW342" s="78"/>
      <c r="AX342" s="77"/>
      <c r="AY342" s="77"/>
      <c r="AZ342" s="77"/>
      <c r="BA342" s="77"/>
    </row>
    <row r="343" spans="46:53" x14ac:dyDescent="0.2">
      <c r="AW343" s="78"/>
      <c r="AX343" s="77"/>
      <c r="AY343" s="77"/>
      <c r="AZ343" s="77"/>
      <c r="BA343" s="77"/>
    </row>
    <row r="344" spans="46:53" x14ac:dyDescent="0.2">
      <c r="AW344" s="65"/>
      <c r="AX344" s="62"/>
      <c r="AY344" s="62"/>
      <c r="AZ344" s="62"/>
      <c r="BA344" s="62"/>
    </row>
    <row r="345" spans="46:53" x14ac:dyDescent="0.2">
      <c r="AW345" s="65"/>
      <c r="AX345" s="62"/>
      <c r="AY345" s="62"/>
      <c r="AZ345" s="62"/>
      <c r="BA345" s="62"/>
    </row>
    <row r="348" spans="46:53" x14ac:dyDescent="0.2">
      <c r="AT348" s="95"/>
      <c r="AU348" s="95"/>
    </row>
    <row r="371" spans="46:53" x14ac:dyDescent="0.2">
      <c r="AW371" s="57"/>
      <c r="AX371" s="54"/>
      <c r="AY371" s="54"/>
      <c r="AZ371" s="54"/>
      <c r="BA371" s="54"/>
    </row>
    <row r="372" spans="46:53" x14ac:dyDescent="0.2">
      <c r="AW372" s="57"/>
      <c r="AX372" s="54"/>
      <c r="AY372" s="54"/>
      <c r="AZ372" s="54"/>
      <c r="BA372" s="54"/>
    </row>
    <row r="373" spans="46:53" x14ac:dyDescent="0.2">
      <c r="AW373" s="57"/>
      <c r="AX373" s="54"/>
      <c r="AY373" s="54"/>
      <c r="AZ373" s="54"/>
      <c r="BA373" s="54"/>
    </row>
    <row r="374" spans="46:53" x14ac:dyDescent="0.2">
      <c r="AW374" s="57"/>
      <c r="AX374" s="54"/>
      <c r="AY374" s="54"/>
      <c r="AZ374" s="54"/>
      <c r="BA374" s="54"/>
    </row>
    <row r="375" spans="46:53" x14ac:dyDescent="0.2">
      <c r="AW375" s="57"/>
      <c r="AX375" s="54"/>
      <c r="AY375" s="54"/>
      <c r="AZ375" s="54"/>
      <c r="BA375" s="54"/>
    </row>
    <row r="376" spans="46:53" x14ac:dyDescent="0.2">
      <c r="AW376" s="57"/>
      <c r="AX376" s="54"/>
      <c r="AY376" s="54"/>
      <c r="AZ376" s="54"/>
      <c r="BA376" s="54"/>
    </row>
    <row r="377" spans="46:53" x14ac:dyDescent="0.2">
      <c r="AW377" s="57"/>
      <c r="AX377" s="54"/>
      <c r="AY377" s="54"/>
      <c r="AZ377" s="54"/>
      <c r="BA377" s="54"/>
    </row>
    <row r="378" spans="46:53" x14ac:dyDescent="0.2">
      <c r="AW378" s="57"/>
      <c r="AX378" s="54"/>
      <c r="AY378" s="54"/>
      <c r="AZ378" s="54"/>
      <c r="BA378" s="54"/>
    </row>
    <row r="379" spans="46:53" x14ac:dyDescent="0.2">
      <c r="AW379" s="57"/>
      <c r="AX379" s="54"/>
      <c r="AY379" s="54"/>
      <c r="AZ379" s="54"/>
      <c r="BA379" s="54"/>
    </row>
    <row r="380" spans="46:53" x14ac:dyDescent="0.2">
      <c r="AW380" s="57"/>
      <c r="AX380" s="54"/>
      <c r="AY380" s="54"/>
      <c r="AZ380" s="54"/>
      <c r="BA380" s="54"/>
    </row>
    <row r="381" spans="46:53" x14ac:dyDescent="0.2">
      <c r="AW381" s="57"/>
      <c r="AX381" s="54"/>
      <c r="AY381" s="54"/>
      <c r="AZ381" s="54"/>
      <c r="BA381" s="54"/>
    </row>
    <row r="382" spans="46:53" x14ac:dyDescent="0.2">
      <c r="AW382" s="57"/>
      <c r="AX382" s="54"/>
      <c r="AY382" s="54"/>
      <c r="AZ382" s="54"/>
      <c r="BA382" s="54"/>
    </row>
    <row r="383" spans="46:53" x14ac:dyDescent="0.2">
      <c r="AW383" s="57"/>
      <c r="AX383" s="54"/>
      <c r="AY383" s="54"/>
      <c r="AZ383" s="54"/>
      <c r="BA383" s="54"/>
    </row>
    <row r="384" spans="46:53" x14ac:dyDescent="0.2">
      <c r="AT384" s="95"/>
      <c r="AU384" s="95"/>
      <c r="AW384" s="57"/>
      <c r="AX384" s="54"/>
      <c r="AY384" s="54"/>
      <c r="AZ384" s="54"/>
      <c r="BA384" s="54"/>
    </row>
    <row r="385" spans="49:53" x14ac:dyDescent="0.2">
      <c r="AW385" s="57"/>
      <c r="AX385" s="54"/>
      <c r="AY385" s="54"/>
      <c r="AZ385" s="54"/>
      <c r="BA385" s="54"/>
    </row>
    <row r="386" spans="49:53" x14ac:dyDescent="0.2">
      <c r="AW386" s="57"/>
      <c r="AX386" s="54"/>
      <c r="AY386" s="54"/>
      <c r="AZ386" s="54"/>
      <c r="BA386" s="54"/>
    </row>
    <row r="387" spans="49:53" x14ac:dyDescent="0.2">
      <c r="AW387" s="57"/>
      <c r="AX387" s="54"/>
      <c r="AY387" s="54"/>
      <c r="AZ387" s="54"/>
      <c r="BA387" s="54"/>
    </row>
    <row r="388" spans="49:53" x14ac:dyDescent="0.2">
      <c r="AW388" s="57"/>
      <c r="AX388" s="54"/>
      <c r="AY388" s="54"/>
      <c r="AZ388" s="54"/>
      <c r="BA388" s="54"/>
    </row>
    <row r="389" spans="49:53" x14ac:dyDescent="0.2">
      <c r="AW389" s="57"/>
      <c r="AX389" s="54"/>
      <c r="AY389" s="54"/>
      <c r="AZ389" s="54"/>
      <c r="BA389" s="54"/>
    </row>
    <row r="390" spans="49:53" x14ac:dyDescent="0.2">
      <c r="AW390" s="57"/>
      <c r="AX390" s="54"/>
      <c r="AY390" s="54"/>
      <c r="AZ390" s="54"/>
      <c r="BA390" s="54"/>
    </row>
    <row r="391" spans="49:53" x14ac:dyDescent="0.2">
      <c r="AW391" s="57"/>
      <c r="AX391" s="54"/>
      <c r="AY391" s="54"/>
      <c r="AZ391" s="54"/>
      <c r="BA391" s="54"/>
    </row>
    <row r="392" spans="49:53" x14ac:dyDescent="0.2">
      <c r="AW392" s="57"/>
      <c r="AX392" s="54"/>
      <c r="AY392" s="54"/>
      <c r="AZ392" s="54"/>
      <c r="BA392" s="54"/>
    </row>
    <row r="393" spans="49:53" x14ac:dyDescent="0.2">
      <c r="AW393" s="57"/>
      <c r="AX393" s="54"/>
      <c r="AY393" s="54"/>
      <c r="AZ393" s="54"/>
      <c r="BA393" s="54"/>
    </row>
    <row r="394" spans="49:53" x14ac:dyDescent="0.2">
      <c r="AW394" s="57"/>
      <c r="AX394" s="54"/>
      <c r="AY394" s="54"/>
      <c r="AZ394" s="54"/>
      <c r="BA394" s="54"/>
    </row>
    <row r="395" spans="49:53" x14ac:dyDescent="0.2">
      <c r="AW395" s="57"/>
      <c r="AX395" s="54"/>
      <c r="AY395" s="54"/>
      <c r="AZ395" s="54"/>
      <c r="BA395" s="54"/>
    </row>
    <row r="396" spans="49:53" x14ac:dyDescent="0.2">
      <c r="AW396" s="57"/>
      <c r="AX396" s="54"/>
      <c r="AY396" s="54"/>
      <c r="AZ396" s="54"/>
      <c r="BA396" s="54"/>
    </row>
    <row r="397" spans="49:53" x14ac:dyDescent="0.2">
      <c r="AW397" s="57"/>
      <c r="AX397" s="54"/>
      <c r="AY397" s="54"/>
      <c r="AZ397" s="54"/>
      <c r="BA397" s="54"/>
    </row>
    <row r="398" spans="49:53" x14ac:dyDescent="0.2">
      <c r="AW398" s="57"/>
      <c r="AX398" s="54"/>
      <c r="AY398" s="54"/>
      <c r="AZ398" s="54"/>
      <c r="BA398" s="54"/>
    </row>
    <row r="399" spans="49:53" x14ac:dyDescent="0.2">
      <c r="AW399" s="57"/>
      <c r="AX399" s="54"/>
      <c r="AY399" s="54"/>
      <c r="AZ399" s="54"/>
      <c r="BA399" s="54"/>
    </row>
    <row r="400" spans="49:53" x14ac:dyDescent="0.2">
      <c r="AW400" s="57"/>
      <c r="AX400" s="54"/>
      <c r="AY400" s="54"/>
      <c r="AZ400" s="54"/>
      <c r="BA400" s="54"/>
    </row>
    <row r="401" spans="49:53" x14ac:dyDescent="0.2">
      <c r="AW401" s="57"/>
      <c r="AX401" s="54"/>
      <c r="AY401" s="54"/>
      <c r="AZ401" s="54"/>
      <c r="BA401" s="54"/>
    </row>
    <row r="402" spans="49:53" x14ac:dyDescent="0.2">
      <c r="AW402" s="57"/>
      <c r="AX402" s="54"/>
      <c r="AY402" s="54"/>
      <c r="AZ402" s="54"/>
      <c r="BA402" s="54"/>
    </row>
    <row r="403" spans="49:53" x14ac:dyDescent="0.2">
      <c r="AW403" s="57"/>
      <c r="AX403" s="54"/>
      <c r="AY403" s="54"/>
      <c r="AZ403" s="54"/>
      <c r="BA403" s="54"/>
    </row>
    <row r="404" spans="49:53" x14ac:dyDescent="0.2">
      <c r="AW404" s="57"/>
      <c r="AX404" s="54"/>
      <c r="AY404" s="54"/>
      <c r="AZ404" s="54"/>
      <c r="BA404" s="54"/>
    </row>
    <row r="405" spans="49:53" x14ac:dyDescent="0.2">
      <c r="AW405" s="57"/>
      <c r="AX405" s="54"/>
      <c r="AY405" s="54"/>
      <c r="AZ405" s="54"/>
      <c r="BA405" s="54"/>
    </row>
    <row r="406" spans="49:53" x14ac:dyDescent="0.2">
      <c r="AW406" s="57"/>
      <c r="AX406" s="54"/>
      <c r="AY406" s="54"/>
      <c r="AZ406" s="54"/>
      <c r="BA406" s="54"/>
    </row>
    <row r="407" spans="49:53" x14ac:dyDescent="0.2">
      <c r="AW407" s="57"/>
      <c r="AX407" s="54"/>
      <c r="AY407" s="54"/>
      <c r="AZ407" s="54"/>
      <c r="BA407" s="54"/>
    </row>
    <row r="408" spans="49:53" x14ac:dyDescent="0.2">
      <c r="AW408" s="57"/>
      <c r="AX408" s="54"/>
      <c r="AY408" s="54"/>
      <c r="AZ408" s="54"/>
      <c r="BA408" s="54"/>
    </row>
    <row r="409" spans="49:53" x14ac:dyDescent="0.2">
      <c r="AW409" s="57"/>
      <c r="AX409" s="54"/>
      <c r="AY409" s="54"/>
      <c r="AZ409" s="54"/>
      <c r="BA409" s="54"/>
    </row>
    <row r="410" spans="49:53" x14ac:dyDescent="0.2">
      <c r="AW410" s="57"/>
      <c r="AX410" s="54"/>
      <c r="AY410" s="54"/>
      <c r="AZ410" s="54"/>
      <c r="BA410" s="54"/>
    </row>
    <row r="411" spans="49:53" x14ac:dyDescent="0.2">
      <c r="AW411" s="57"/>
      <c r="AX411" s="54"/>
      <c r="AY411" s="54"/>
      <c r="AZ411" s="54"/>
      <c r="BA411" s="54"/>
    </row>
    <row r="412" spans="49:53" x14ac:dyDescent="0.2">
      <c r="AW412" s="57"/>
      <c r="AX412" s="54"/>
      <c r="AY412" s="54"/>
      <c r="AZ412" s="54"/>
      <c r="BA412" s="54"/>
    </row>
    <row r="413" spans="49:53" x14ac:dyDescent="0.2">
      <c r="AW413" s="57"/>
      <c r="AX413" s="54"/>
      <c r="AY413" s="54"/>
      <c r="AZ413" s="54"/>
      <c r="BA413" s="54"/>
    </row>
    <row r="414" spans="49:53" x14ac:dyDescent="0.2">
      <c r="AW414" s="57"/>
      <c r="AX414" s="54"/>
      <c r="AY414" s="54"/>
      <c r="AZ414" s="54"/>
      <c r="BA414" s="54"/>
    </row>
    <row r="415" spans="49:53" x14ac:dyDescent="0.2">
      <c r="AW415" s="57"/>
      <c r="AX415" s="54"/>
      <c r="AY415" s="54"/>
      <c r="AZ415" s="54"/>
      <c r="BA415" s="54"/>
    </row>
    <row r="416" spans="49:53" x14ac:dyDescent="0.2">
      <c r="AW416" s="57"/>
      <c r="AX416" s="54"/>
      <c r="AY416" s="54"/>
      <c r="AZ416" s="54"/>
      <c r="BA416" s="54"/>
    </row>
    <row r="418" spans="49:53" x14ac:dyDescent="0.2">
      <c r="AW418" s="65"/>
      <c r="AX418" s="62"/>
      <c r="AY418" s="62"/>
      <c r="AZ418" s="62"/>
      <c r="BA418" s="62"/>
    </row>
    <row r="419" spans="49:53" x14ac:dyDescent="0.2">
      <c r="AW419" s="65"/>
      <c r="AX419" s="62"/>
      <c r="AY419" s="62"/>
      <c r="AZ419" s="62"/>
      <c r="BA419" s="62"/>
    </row>
    <row r="420" spans="49:53" x14ac:dyDescent="0.2">
      <c r="AW420" s="65"/>
      <c r="AX420" s="62"/>
      <c r="AY420" s="62"/>
      <c r="AZ420" s="62"/>
      <c r="BA420" s="62"/>
    </row>
    <row r="421" spans="49:53" x14ac:dyDescent="0.2">
      <c r="AW421" s="65"/>
      <c r="AX421" s="62"/>
      <c r="AY421" s="62"/>
      <c r="AZ421" s="62"/>
      <c r="BA421" s="62"/>
    </row>
    <row r="422" spans="49:53" x14ac:dyDescent="0.2">
      <c r="AW422" s="65"/>
      <c r="AX422" s="62"/>
      <c r="AY422" s="62"/>
      <c r="AZ422" s="62"/>
      <c r="BA422" s="62"/>
    </row>
    <row r="423" spans="49:53" x14ac:dyDescent="0.2">
      <c r="AW423" s="65"/>
      <c r="AX423" s="62"/>
      <c r="AY423" s="62"/>
      <c r="AZ423" s="62"/>
      <c r="BA423" s="62"/>
    </row>
    <row r="424" spans="49:53" x14ac:dyDescent="0.2">
      <c r="AW424" s="65"/>
      <c r="AX424" s="62"/>
      <c r="AY424" s="62"/>
      <c r="AZ424" s="62"/>
      <c r="BA424" s="62"/>
    </row>
    <row r="425" spans="49:53" x14ac:dyDescent="0.2">
      <c r="AW425" s="65"/>
      <c r="AX425" s="62"/>
      <c r="AY425" s="62"/>
      <c r="AZ425" s="62"/>
      <c r="BA425" s="62"/>
    </row>
    <row r="426" spans="49:53" x14ac:dyDescent="0.2">
      <c r="AW426" s="72"/>
      <c r="AX426" s="71"/>
      <c r="AY426" s="71"/>
      <c r="AZ426" s="71"/>
      <c r="BA426" s="71"/>
    </row>
    <row r="427" spans="49:53" x14ac:dyDescent="0.2">
      <c r="AW427" s="78"/>
      <c r="AX427" s="77"/>
      <c r="AY427" s="77"/>
      <c r="AZ427" s="77"/>
      <c r="BA427" s="77"/>
    </row>
    <row r="428" spans="49:53" x14ac:dyDescent="0.2">
      <c r="AW428" s="78"/>
      <c r="AX428" s="77"/>
      <c r="AY428" s="77"/>
      <c r="AZ428" s="77"/>
      <c r="BA428" s="77"/>
    </row>
    <row r="429" spans="49:53" x14ac:dyDescent="0.2">
      <c r="AW429" s="65"/>
      <c r="AX429" s="62"/>
      <c r="AY429" s="62"/>
      <c r="AZ429" s="62"/>
      <c r="BA429" s="62"/>
    </row>
    <row r="430" spans="49:53" x14ac:dyDescent="0.2">
      <c r="AW430" s="65"/>
      <c r="AX430" s="62"/>
      <c r="AY430" s="62"/>
      <c r="AZ430" s="62"/>
      <c r="BA430" s="62"/>
    </row>
    <row r="488" spans="49:49" x14ac:dyDescent="0.2">
      <c r="AW488" s="4"/>
    </row>
    <row r="489" spans="49:49" x14ac:dyDescent="0.2">
      <c r="AW489" s="4"/>
    </row>
    <row r="490" spans="49:49" x14ac:dyDescent="0.2">
      <c r="AW490" s="4"/>
    </row>
    <row r="491" spans="49:49" x14ac:dyDescent="0.2">
      <c r="AW491" s="4"/>
    </row>
    <row r="492" spans="49:49" x14ac:dyDescent="0.2">
      <c r="AW492" s="4"/>
    </row>
    <row r="493" spans="49:49" x14ac:dyDescent="0.2">
      <c r="AW493" s="4"/>
    </row>
    <row r="494" spans="49:49" x14ac:dyDescent="0.2">
      <c r="AW494" s="4"/>
    </row>
    <row r="495" spans="49:49" x14ac:dyDescent="0.2">
      <c r="AW495" s="4"/>
    </row>
    <row r="496" spans="49:49" x14ac:dyDescent="0.2">
      <c r="AW496" s="4"/>
    </row>
    <row r="542" spans="49:49" x14ac:dyDescent="0.2">
      <c r="AW542" s="4"/>
    </row>
    <row r="543" spans="49:49" x14ac:dyDescent="0.2">
      <c r="AW543" s="4"/>
    </row>
    <row r="544" spans="49:49" x14ac:dyDescent="0.2">
      <c r="AW544" s="4"/>
    </row>
    <row r="545" spans="49:49" x14ac:dyDescent="0.2">
      <c r="AW545" s="4"/>
    </row>
    <row r="546" spans="49:49" x14ac:dyDescent="0.2">
      <c r="AW546" s="4"/>
    </row>
    <row r="547" spans="49:49" x14ac:dyDescent="0.2">
      <c r="AW547" s="4"/>
    </row>
    <row r="548" spans="49:49" x14ac:dyDescent="0.2">
      <c r="AW548" s="4"/>
    </row>
    <row r="549" spans="49:49" x14ac:dyDescent="0.2">
      <c r="AW549" s="4"/>
    </row>
    <row r="550" spans="49:49" x14ac:dyDescent="0.2">
      <c r="AW550" s="4"/>
    </row>
    <row r="596" spans="49:49" x14ac:dyDescent="0.2">
      <c r="AW596" s="4"/>
    </row>
    <row r="597" spans="49:49" x14ac:dyDescent="0.2">
      <c r="AW597" s="4"/>
    </row>
    <row r="598" spans="49:49" x14ac:dyDescent="0.2">
      <c r="AW598" s="4"/>
    </row>
    <row r="599" spans="49:49" x14ac:dyDescent="0.2">
      <c r="AW599" s="4"/>
    </row>
    <row r="600" spans="49:49" x14ac:dyDescent="0.2">
      <c r="AW600" s="4"/>
    </row>
    <row r="601" spans="49:49" x14ac:dyDescent="0.2">
      <c r="AW601" s="4"/>
    </row>
    <row r="602" spans="49:49" x14ac:dyDescent="0.2">
      <c r="AW602" s="4"/>
    </row>
    <row r="603" spans="49:49" x14ac:dyDescent="0.2">
      <c r="AW603" s="4"/>
    </row>
    <row r="604" spans="49:49" x14ac:dyDescent="0.2">
      <c r="AW604" s="4"/>
    </row>
    <row r="650" spans="49:49" x14ac:dyDescent="0.2">
      <c r="AW650" s="4"/>
    </row>
    <row r="651" spans="49:49" x14ac:dyDescent="0.2">
      <c r="AW651" s="4"/>
    </row>
    <row r="652" spans="49:49" x14ac:dyDescent="0.2">
      <c r="AW652" s="4"/>
    </row>
    <row r="653" spans="49:49" x14ac:dyDescent="0.2">
      <c r="AW653" s="4"/>
    </row>
    <row r="654" spans="49:49" x14ac:dyDescent="0.2">
      <c r="AW654" s="4"/>
    </row>
    <row r="655" spans="49:49" x14ac:dyDescent="0.2">
      <c r="AW655" s="4"/>
    </row>
    <row r="656" spans="49:49" x14ac:dyDescent="0.2">
      <c r="AW656" s="4"/>
    </row>
    <row r="657" spans="49:49" x14ac:dyDescent="0.2">
      <c r="AW657" s="4"/>
    </row>
    <row r="658" spans="49:49" x14ac:dyDescent="0.2">
      <c r="AW658" s="4"/>
    </row>
  </sheetData>
  <sheetProtection sheet="1" objects="1" scenarios="1" formatCells="0" selectLockedCells="1"/>
  <mergeCells count="431">
    <mergeCell ref="A1:AI1"/>
    <mergeCell ref="AT1:AW1"/>
    <mergeCell ref="AX1:AY1"/>
    <mergeCell ref="A2:I2"/>
    <mergeCell ref="J2:X2"/>
    <mergeCell ref="Y2:AC2"/>
    <mergeCell ref="AD2:AI2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  <mergeCell ref="A8:A9"/>
    <mergeCell ref="B8:D8"/>
    <mergeCell ref="E8:K8"/>
    <mergeCell ref="L8:P9"/>
    <mergeCell ref="R8:V9"/>
    <mergeCell ref="W8:Y9"/>
    <mergeCell ref="Z8:AB9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AC8:AE9"/>
    <mergeCell ref="AF8:AF9"/>
    <mergeCell ref="AG8:AG9"/>
    <mergeCell ref="AH8:AI9"/>
    <mergeCell ref="B9:D9"/>
    <mergeCell ref="E9:K9"/>
    <mergeCell ref="Z7:AB7"/>
    <mergeCell ref="AC7:AE7"/>
    <mergeCell ref="AH7:AI7"/>
    <mergeCell ref="AH10:AI11"/>
    <mergeCell ref="B11:D11"/>
    <mergeCell ref="E11:K11"/>
    <mergeCell ref="A10:A11"/>
    <mergeCell ref="B10:D10"/>
    <mergeCell ref="E10:K10"/>
    <mergeCell ref="L10:P11"/>
    <mergeCell ref="R10:V11"/>
    <mergeCell ref="W10:Y11"/>
    <mergeCell ref="B12:D12"/>
    <mergeCell ref="E12:K12"/>
    <mergeCell ref="L12:P13"/>
    <mergeCell ref="R12:V13"/>
    <mergeCell ref="W12:Y13"/>
    <mergeCell ref="Z10:AB11"/>
    <mergeCell ref="AC10:AE11"/>
    <mergeCell ref="AF10:AF11"/>
    <mergeCell ref="AG10:AG11"/>
    <mergeCell ref="A16:A17"/>
    <mergeCell ref="B16:D16"/>
    <mergeCell ref="E16:K16"/>
    <mergeCell ref="L16:P17"/>
    <mergeCell ref="R16:V17"/>
    <mergeCell ref="W16:Y17"/>
    <mergeCell ref="AT13:AY14"/>
    <mergeCell ref="A14:A15"/>
    <mergeCell ref="B14:D14"/>
    <mergeCell ref="E14:K14"/>
    <mergeCell ref="L14:P15"/>
    <mergeCell ref="R14:V15"/>
    <mergeCell ref="W14:Y15"/>
    <mergeCell ref="Z14:AB15"/>
    <mergeCell ref="AC14:AE15"/>
    <mergeCell ref="AF14:AF15"/>
    <mergeCell ref="Z12:AB13"/>
    <mergeCell ref="AC12:AE13"/>
    <mergeCell ref="AF12:AF13"/>
    <mergeCell ref="AG12:AG13"/>
    <mergeCell ref="AH12:AI13"/>
    <mergeCell ref="B13:D13"/>
    <mergeCell ref="E13:K13"/>
    <mergeCell ref="A12:A13"/>
    <mergeCell ref="Z16:AB17"/>
    <mergeCell ref="AC16:AE17"/>
    <mergeCell ref="AF16:AF17"/>
    <mergeCell ref="AG16:AG17"/>
    <mergeCell ref="AH16:AI17"/>
    <mergeCell ref="B17:D17"/>
    <mergeCell ref="E17:K17"/>
    <mergeCell ref="AG14:AG15"/>
    <mergeCell ref="AH14:AI15"/>
    <mergeCell ref="B15:D15"/>
    <mergeCell ref="E15:K15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Z23:AB23"/>
    <mergeCell ref="AC23:AE23"/>
    <mergeCell ref="AG57:AK57"/>
    <mergeCell ref="A89:AM89"/>
    <mergeCell ref="AN89:AQ89"/>
    <mergeCell ref="A90:AQ90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C91:H91"/>
    <mergeCell ref="I91:J91"/>
    <mergeCell ref="K91:AI91"/>
    <mergeCell ref="B92:K92"/>
    <mergeCell ref="L92:P92"/>
    <mergeCell ref="Q92:Q102"/>
    <mergeCell ref="R92:V92"/>
    <mergeCell ref="W92:Y92"/>
    <mergeCell ref="Z92:AB92"/>
    <mergeCell ref="AC92:AE92"/>
    <mergeCell ref="A95:A96"/>
    <mergeCell ref="B95:D95"/>
    <mergeCell ref="E95:K95"/>
    <mergeCell ref="L95:P96"/>
    <mergeCell ref="R95:V96"/>
    <mergeCell ref="W95:Y96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F93:AF94"/>
    <mergeCell ref="Z95:AB96"/>
    <mergeCell ref="AC95:AE96"/>
    <mergeCell ref="AF95:AF96"/>
    <mergeCell ref="AG95:AG96"/>
    <mergeCell ref="AH95:AI96"/>
    <mergeCell ref="B96:D96"/>
    <mergeCell ref="E96:K96"/>
    <mergeCell ref="AG93:AG94"/>
    <mergeCell ref="AH93:AI94"/>
    <mergeCell ref="B94:D94"/>
    <mergeCell ref="E94:K94"/>
    <mergeCell ref="Z97:AB98"/>
    <mergeCell ref="AC97:AE98"/>
    <mergeCell ref="AF97:AF98"/>
    <mergeCell ref="AG97:AG98"/>
    <mergeCell ref="AH97:AI98"/>
    <mergeCell ref="B98:D98"/>
    <mergeCell ref="E98:K98"/>
    <mergeCell ref="A97:A98"/>
    <mergeCell ref="B97:D97"/>
    <mergeCell ref="E97:K97"/>
    <mergeCell ref="L97:P98"/>
    <mergeCell ref="R97:V98"/>
    <mergeCell ref="W97:Y98"/>
    <mergeCell ref="Z99:AB100"/>
    <mergeCell ref="AC99:AE100"/>
    <mergeCell ref="AF99:AF100"/>
    <mergeCell ref="AG99:AG100"/>
    <mergeCell ref="AH99:AI100"/>
    <mergeCell ref="B100:D100"/>
    <mergeCell ref="E100:K100"/>
    <mergeCell ref="A99:A100"/>
    <mergeCell ref="B99:D99"/>
    <mergeCell ref="E99:K99"/>
    <mergeCell ref="L99:P100"/>
    <mergeCell ref="R99:V100"/>
    <mergeCell ref="W99:Y100"/>
    <mergeCell ref="Z101:AB102"/>
    <mergeCell ref="AC101:AE102"/>
    <mergeCell ref="AF101:AF102"/>
    <mergeCell ref="AG101:AG102"/>
    <mergeCell ref="AH101:AI102"/>
    <mergeCell ref="B102:D102"/>
    <mergeCell ref="E102:K102"/>
    <mergeCell ref="A101:A102"/>
    <mergeCell ref="B101:D101"/>
    <mergeCell ref="E101:K101"/>
    <mergeCell ref="L101:P102"/>
    <mergeCell ref="R101:V102"/>
    <mergeCell ref="W101:Y102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W104:Y104"/>
    <mergeCell ref="Z104:AB104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Z105:AB105"/>
    <mergeCell ref="AC105:AE105"/>
    <mergeCell ref="B106:D106"/>
    <mergeCell ref="E106:G106"/>
    <mergeCell ref="H106:J106"/>
    <mergeCell ref="K106:M106"/>
    <mergeCell ref="N106:P106"/>
    <mergeCell ref="Q106:S106"/>
    <mergeCell ref="T106:V106"/>
    <mergeCell ref="W106:Y106"/>
    <mergeCell ref="Z106:AB106"/>
    <mergeCell ref="AC106:AE106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Z108:AB108"/>
    <mergeCell ref="AC108:AE108"/>
    <mergeCell ref="AG142:AK142"/>
    <mergeCell ref="A174:AM174"/>
    <mergeCell ref="AN174:AQ174"/>
    <mergeCell ref="A175:AQ175"/>
    <mergeCell ref="Z107:AB107"/>
    <mergeCell ref="AC107:AE107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A176:AQ176"/>
    <mergeCell ref="A177:A178"/>
    <mergeCell ref="B177:K177"/>
    <mergeCell ref="L177:U177"/>
    <mergeCell ref="V177:AE177"/>
    <mergeCell ref="AF177:AO177"/>
    <mergeCell ref="B178:G178"/>
    <mergeCell ref="H178:K178"/>
    <mergeCell ref="L178:Q178"/>
    <mergeCell ref="R178:U178"/>
    <mergeCell ref="V178:AA178"/>
    <mergeCell ref="AB178:AE178"/>
    <mergeCell ref="AF178:AK178"/>
    <mergeCell ref="AL178:AO178"/>
    <mergeCell ref="B179:G179"/>
    <mergeCell ref="H179:K179"/>
    <mergeCell ref="L179:Q179"/>
    <mergeCell ref="R179:U179"/>
    <mergeCell ref="V179:AA179"/>
    <mergeCell ref="AB179:AE179"/>
    <mergeCell ref="AF179:AK179"/>
    <mergeCell ref="AL179:AO179"/>
    <mergeCell ref="B180:G180"/>
    <mergeCell ref="H180:K180"/>
    <mergeCell ref="L180:Q180"/>
    <mergeCell ref="R180:U180"/>
    <mergeCell ref="V180:AA180"/>
    <mergeCell ref="AB180:AE180"/>
    <mergeCell ref="AF180:AK180"/>
    <mergeCell ref="AL180:AO180"/>
    <mergeCell ref="A190:E190"/>
    <mergeCell ref="U190:AA190"/>
    <mergeCell ref="A191:E191"/>
    <mergeCell ref="U191:AA191"/>
    <mergeCell ref="A193:E193"/>
    <mergeCell ref="F193:M193"/>
    <mergeCell ref="T193:AA193"/>
    <mergeCell ref="A182:AQ182"/>
    <mergeCell ref="A183:AQ183"/>
    <mergeCell ref="A184:AQ184"/>
    <mergeCell ref="A185:AQ185"/>
    <mergeCell ref="A186:K186"/>
    <mergeCell ref="A188:O188"/>
    <mergeCell ref="R188:AF188"/>
    <mergeCell ref="A195:E195"/>
    <mergeCell ref="U195:AA195"/>
    <mergeCell ref="A196:E196"/>
    <mergeCell ref="U196:AA196"/>
    <mergeCell ref="F197:I197"/>
    <mergeCell ref="AB197:AE197"/>
    <mergeCell ref="AB193:AH193"/>
    <mergeCell ref="A194:E194"/>
    <mergeCell ref="F194:I194"/>
    <mergeCell ref="J194:M194"/>
    <mergeCell ref="T194:Z194"/>
    <mergeCell ref="AB194:AE194"/>
    <mergeCell ref="AF194:AH194"/>
    <mergeCell ref="A200:E200"/>
    <mergeCell ref="J200:P200"/>
    <mergeCell ref="U200:AA200"/>
    <mergeCell ref="A202:D202"/>
    <mergeCell ref="F202:I202"/>
    <mergeCell ref="J202:M202"/>
    <mergeCell ref="T202:Z202"/>
    <mergeCell ref="J198:P198"/>
    <mergeCell ref="AF198:AJ198"/>
    <mergeCell ref="A199:E199"/>
    <mergeCell ref="F199:I199"/>
    <mergeCell ref="J199:P199"/>
    <mergeCell ref="U199:AA199"/>
    <mergeCell ref="AB199:AE199"/>
    <mergeCell ref="AF199:AJ199"/>
    <mergeCell ref="A204:E204"/>
    <mergeCell ref="U204:AA204"/>
    <mergeCell ref="A205:E205"/>
    <mergeCell ref="U205:AA205"/>
    <mergeCell ref="A208:J208"/>
    <mergeCell ref="U208:AF208"/>
    <mergeCell ref="AB202:AE202"/>
    <mergeCell ref="AF202:AH202"/>
    <mergeCell ref="A203:E203"/>
    <mergeCell ref="F203:M203"/>
    <mergeCell ref="T203:Z203"/>
    <mergeCell ref="AB203:AH203"/>
    <mergeCell ref="B209:J209"/>
    <mergeCell ref="K209:Q209"/>
    <mergeCell ref="U209:W209"/>
    <mergeCell ref="X209:AF209"/>
    <mergeCell ref="AG209:AM209"/>
    <mergeCell ref="B210:J210"/>
    <mergeCell ref="K210:Q210"/>
    <mergeCell ref="U210:W210"/>
    <mergeCell ref="X210:AF210"/>
    <mergeCell ref="AG210:AM210"/>
    <mergeCell ref="B211:J211"/>
    <mergeCell ref="K211:Q211"/>
    <mergeCell ref="U211:W211"/>
    <mergeCell ref="X211:AF211"/>
    <mergeCell ref="AG211:AM211"/>
    <mergeCell ref="B212:J212"/>
    <mergeCell ref="K212:Q212"/>
    <mergeCell ref="U212:W212"/>
    <mergeCell ref="X212:AF212"/>
    <mergeCell ref="AG212:AM212"/>
    <mergeCell ref="B213:J213"/>
    <mergeCell ref="K213:Q213"/>
    <mergeCell ref="U213:W213"/>
    <mergeCell ref="X213:AF213"/>
    <mergeCell ref="AG213:AM213"/>
    <mergeCell ref="B215:D215"/>
    <mergeCell ref="E215:G215"/>
    <mergeCell ref="H215:J215"/>
    <mergeCell ref="K215:Q217"/>
    <mergeCell ref="W215:Y215"/>
    <mergeCell ref="Z215:AB215"/>
    <mergeCell ref="AC215:AE215"/>
    <mergeCell ref="AF215:AJ217"/>
    <mergeCell ref="B216:D216"/>
    <mergeCell ref="E216:G216"/>
    <mergeCell ref="H216:J216"/>
    <mergeCell ref="T216:V216"/>
    <mergeCell ref="W216:Y216"/>
    <mergeCell ref="Z216:AB216"/>
    <mergeCell ref="AC216:AE216"/>
    <mergeCell ref="AC217:AE217"/>
    <mergeCell ref="K218:N218"/>
    <mergeCell ref="T218:V218"/>
    <mergeCell ref="AF218:AG218"/>
    <mergeCell ref="T219:V219"/>
    <mergeCell ref="T220:V220"/>
    <mergeCell ref="B217:D217"/>
    <mergeCell ref="E217:G217"/>
    <mergeCell ref="H217:J217"/>
    <mergeCell ref="T217:V217"/>
    <mergeCell ref="W217:Y217"/>
    <mergeCell ref="Z217:AB217"/>
    <mergeCell ref="T233:V233"/>
    <mergeCell ref="A234:M234"/>
    <mergeCell ref="V234:AG234"/>
    <mergeCell ref="T221:V221"/>
    <mergeCell ref="T222:V222"/>
    <mergeCell ref="K223:N225"/>
    <mergeCell ref="AF223:AG225"/>
    <mergeCell ref="T231:V231"/>
    <mergeCell ref="T232:V232"/>
  </mergeCells>
  <conditionalFormatting sqref="A8 A93">
    <cfRule type="expression" dxfId="1096" priority="16" stopIfTrue="1">
      <formula>IF(AK9&gt;0,0,1)</formula>
    </cfRule>
  </conditionalFormatting>
  <conditionalFormatting sqref="A10:A11 A95:A96">
    <cfRule type="expression" dxfId="1095" priority="17" stopIfTrue="1">
      <formula>IF(#REF!&gt;1,0,1)</formula>
    </cfRule>
  </conditionalFormatting>
  <conditionalFormatting sqref="A12:A13 A97:A98">
    <cfRule type="expression" dxfId="1094" priority="18" stopIfTrue="1">
      <formula>IF(#REF!&gt;2,0,1)</formula>
    </cfRule>
  </conditionalFormatting>
  <conditionalFormatting sqref="A14:A15 A99:A100">
    <cfRule type="expression" dxfId="1093" priority="19" stopIfTrue="1">
      <formula>IF(#REF!&gt;3,0,1)</formula>
    </cfRule>
  </conditionalFormatting>
  <conditionalFormatting sqref="A16:A17 A101:A102">
    <cfRule type="expression" dxfId="1092" priority="20" stopIfTrue="1">
      <formula>IF(#REF!&gt;4,0,1)</formula>
    </cfRule>
  </conditionalFormatting>
  <conditionalFormatting sqref="B8 B93">
    <cfRule type="expression" dxfId="1091" priority="21" stopIfTrue="1">
      <formula>IF(AK9&gt;0,0,1)</formula>
    </cfRule>
  </conditionalFormatting>
  <conditionalFormatting sqref="B9 B94">
    <cfRule type="expression" dxfId="1090" priority="22" stopIfTrue="1">
      <formula>IF(AK9&gt;0,0,1)</formula>
    </cfRule>
  </conditionalFormatting>
  <conditionalFormatting sqref="B10 B95">
    <cfRule type="expression" dxfId="1089" priority="23" stopIfTrue="1">
      <formula>IF(#REF!&gt;1,0,1)</formula>
    </cfRule>
  </conditionalFormatting>
  <conditionalFormatting sqref="B11:D11 B96:D96">
    <cfRule type="expression" dxfId="1088" priority="24" stopIfTrue="1">
      <formula>IF(#REF!&gt;1,0,1)</formula>
    </cfRule>
  </conditionalFormatting>
  <conditionalFormatting sqref="B12:D12 B97:D97">
    <cfRule type="expression" dxfId="1087" priority="25" stopIfTrue="1">
      <formula>IF(#REF!&gt;2,0,1)</formula>
    </cfRule>
  </conditionalFormatting>
  <conditionalFormatting sqref="B13:D13 B98:D98">
    <cfRule type="expression" dxfId="1086" priority="26" stopIfTrue="1">
      <formula>IF(#REF!&gt;2,0,1)</formula>
    </cfRule>
  </conditionalFormatting>
  <conditionalFormatting sqref="B14:D14 B99:D99">
    <cfRule type="expression" dxfId="1085" priority="27" stopIfTrue="1">
      <formula>IF(#REF!&gt;3,0,1)</formula>
    </cfRule>
  </conditionalFormatting>
  <conditionalFormatting sqref="B15:D15 B100:D100">
    <cfRule type="expression" dxfId="1084" priority="28" stopIfTrue="1">
      <formula>IF(#REF!&gt;3,0,1)</formula>
    </cfRule>
  </conditionalFormatting>
  <conditionalFormatting sqref="B16:D16 B101:D101">
    <cfRule type="expression" dxfId="1083" priority="29" stopIfTrue="1">
      <formula>IF(#REF!&gt;4,0,1)</formula>
    </cfRule>
  </conditionalFormatting>
  <conditionalFormatting sqref="B17:D17 B102:D102">
    <cfRule type="expression" dxfId="1082" priority="30" stopIfTrue="1">
      <formula>IF(#REF!&gt;4,0,1)</formula>
    </cfRule>
  </conditionalFormatting>
  <conditionalFormatting sqref="E8 E93">
    <cfRule type="expression" dxfId="1081" priority="31" stopIfTrue="1">
      <formula>IF(AK9&gt;0,0,1)</formula>
    </cfRule>
  </conditionalFormatting>
  <conditionalFormatting sqref="E9 E94">
    <cfRule type="expression" dxfId="1080" priority="32" stopIfTrue="1">
      <formula>IF(AK9&gt;0,0,1)</formula>
    </cfRule>
  </conditionalFormatting>
  <conditionalFormatting sqref="E10 E95">
    <cfRule type="expression" dxfId="1079" priority="33" stopIfTrue="1">
      <formula>IF(#REF!&gt;1,0,1)</formula>
    </cfRule>
  </conditionalFormatting>
  <conditionalFormatting sqref="E11 E96">
    <cfRule type="expression" dxfId="1078" priority="34" stopIfTrue="1">
      <formula>IF(#REF!&gt;1,0,1)</formula>
    </cfRule>
  </conditionalFormatting>
  <conditionalFormatting sqref="E12 E97">
    <cfRule type="expression" dxfId="1077" priority="35" stopIfTrue="1">
      <formula>IF(#REF!&gt;2,0,1)</formula>
    </cfRule>
  </conditionalFormatting>
  <conditionalFormatting sqref="E13 E98">
    <cfRule type="expression" dxfId="1076" priority="36" stopIfTrue="1">
      <formula>IF(#REF!&gt;2,0,1)</formula>
    </cfRule>
  </conditionalFormatting>
  <conditionalFormatting sqref="E14 E99">
    <cfRule type="expression" dxfId="1075" priority="37" stopIfTrue="1">
      <formula>IF(#REF!&gt;3,0,1)</formula>
    </cfRule>
  </conditionalFormatting>
  <conditionalFormatting sqref="E15 E100">
    <cfRule type="expression" dxfId="1074" priority="38" stopIfTrue="1">
      <formula>IF(#REF!&gt;3,0,1)</formula>
    </cfRule>
  </conditionalFormatting>
  <conditionalFormatting sqref="E16 E101">
    <cfRule type="expression" dxfId="1073" priority="39" stopIfTrue="1">
      <formula>IF(#REF!&gt;4,0,1)</formula>
    </cfRule>
  </conditionalFormatting>
  <conditionalFormatting sqref="E17 E102">
    <cfRule type="expression" dxfId="1072" priority="40" stopIfTrue="1">
      <formula>IF(#REF!&gt;4,0,1)</formula>
    </cfRule>
  </conditionalFormatting>
  <conditionalFormatting sqref="AC8 AC93">
    <cfRule type="expression" dxfId="1071" priority="41" stopIfTrue="1">
      <formula>IF(AK11=1,IF(AK9&gt;0,0,1),1)</formula>
    </cfRule>
  </conditionalFormatting>
  <conditionalFormatting sqref="AC10:AE11 AC95:AE96">
    <cfRule type="expression" dxfId="1070" priority="42" stopIfTrue="1">
      <formula>IF(AK11=1,IF(#REF!&gt;1,0,1),1)</formula>
    </cfRule>
  </conditionalFormatting>
  <conditionalFormatting sqref="AC12:AE13 AC97:AE98">
    <cfRule type="expression" dxfId="1069" priority="43" stopIfTrue="1">
      <formula>IF(#REF!=1,IF(#REF!&gt;2,0,1),1)</formula>
    </cfRule>
  </conditionalFormatting>
  <conditionalFormatting sqref="AC14:AE15 AC99:AE100">
    <cfRule type="expression" dxfId="1068" priority="44" stopIfTrue="1">
      <formula>IF(#REF!=1,IF(#REF!&gt;3,0,1),1)</formula>
    </cfRule>
  </conditionalFormatting>
  <conditionalFormatting sqref="AC16:AE17 AC101:AE102">
    <cfRule type="expression" dxfId="1067" priority="45" stopIfTrue="1">
      <formula>IF(#REF!=1,IF(#REF!&gt;4,0,1),1)</formula>
    </cfRule>
  </conditionalFormatting>
  <conditionalFormatting sqref="AH8 AH93">
    <cfRule type="expression" dxfId="1066" priority="46" stopIfTrue="1">
      <formula>IF(AK9&gt;0,0,1)</formula>
    </cfRule>
  </conditionalFormatting>
  <conditionalFormatting sqref="AH10:AI11 AH95:AI96">
    <cfRule type="expression" dxfId="1065" priority="47" stopIfTrue="1">
      <formula>IF(#REF!&gt;1,0,1)</formula>
    </cfRule>
  </conditionalFormatting>
  <conditionalFormatting sqref="AH12:AI13 AH97:AI98">
    <cfRule type="expression" dxfId="1064" priority="48" stopIfTrue="1">
      <formula>IF(#REF!&gt;2,0,1)</formula>
    </cfRule>
  </conditionalFormatting>
  <conditionalFormatting sqref="AH14:AI15 AH99:AI100">
    <cfRule type="expression" dxfId="1063" priority="49" stopIfTrue="1">
      <formula>IF(#REF!&gt;3,0,1)</formula>
    </cfRule>
  </conditionalFormatting>
  <conditionalFormatting sqref="AH16:AI17 AH101:AI102">
    <cfRule type="expression" dxfId="1062" priority="50" stopIfTrue="1">
      <formula>IF(#REF!&gt;4,0,1)</formula>
    </cfRule>
  </conditionalFormatting>
  <conditionalFormatting sqref="B19:D19">
    <cfRule type="expression" dxfId="1061" priority="51" stopIfTrue="1">
      <formula>IF(#REF!&gt;0,0,1)</formula>
    </cfRule>
  </conditionalFormatting>
  <conditionalFormatting sqref="E19:G19">
    <cfRule type="expression" dxfId="1060" priority="52" stopIfTrue="1">
      <formula>IF(#REF!&gt;1,0,1)</formula>
    </cfRule>
  </conditionalFormatting>
  <conditionalFormatting sqref="H19:J19">
    <cfRule type="expression" dxfId="1059" priority="53" stopIfTrue="1">
      <formula>IF(#REF!&gt;2,0,1)</formula>
    </cfRule>
  </conditionalFormatting>
  <conditionalFormatting sqref="K19:M19">
    <cfRule type="expression" dxfId="1058" priority="54" stopIfTrue="1">
      <formula>IF(#REF!&gt;3,0,1)</formula>
    </cfRule>
  </conditionalFormatting>
  <conditionalFormatting sqref="N19:P19">
    <cfRule type="expression" dxfId="1057" priority="55" stopIfTrue="1">
      <formula>IF(#REF!&gt;4,0,1)</formula>
    </cfRule>
  </conditionalFormatting>
  <conditionalFormatting sqref="Q19:S19">
    <cfRule type="expression" dxfId="1056" priority="56" stopIfTrue="1">
      <formula>IF(#REF!&gt;5,0,1)</formula>
    </cfRule>
  </conditionalFormatting>
  <conditionalFormatting sqref="T19:V19">
    <cfRule type="expression" dxfId="1055" priority="57" stopIfTrue="1">
      <formula>IF(#REF!&gt;6,0,1)</formula>
    </cfRule>
  </conditionalFormatting>
  <conditionalFormatting sqref="W19:Y19">
    <cfRule type="expression" dxfId="1054" priority="58" stopIfTrue="1">
      <formula>IF(#REF!&gt;7,0,1)</formula>
    </cfRule>
  </conditionalFormatting>
  <conditionalFormatting sqref="Z19:AB19">
    <cfRule type="expression" dxfId="1053" priority="59" stopIfTrue="1">
      <formula>IF(#REF!&gt;8,0,1)</formula>
    </cfRule>
  </conditionalFormatting>
  <conditionalFormatting sqref="AC19:AE19">
    <cfRule type="expression" dxfId="1052" priority="60" stopIfTrue="1">
      <formula>IF(#REF!&gt;9,0,1)</formula>
    </cfRule>
  </conditionalFormatting>
  <conditionalFormatting sqref="B20:D20 B105:D105">
    <cfRule type="expression" dxfId="1051" priority="61" stopIfTrue="1">
      <formula>IF(#REF!&gt;0,0,1)</formula>
    </cfRule>
  </conditionalFormatting>
  <conditionalFormatting sqref="E20:G20 E105:G105">
    <cfRule type="expression" dxfId="1050" priority="62" stopIfTrue="1">
      <formula>IF(#REF!&gt;1,0,1)</formula>
    </cfRule>
  </conditionalFormatting>
  <conditionalFormatting sqref="H20:J20 H105:J105">
    <cfRule type="expression" dxfId="1049" priority="63" stopIfTrue="1">
      <formula>IF(#REF!&gt;2,0,1)</formula>
    </cfRule>
  </conditionalFormatting>
  <conditionalFormatting sqref="K20:M20 K105:M105">
    <cfRule type="expression" dxfId="1048" priority="64" stopIfTrue="1">
      <formula>IF(#REF!&gt;3,0,1)</formula>
    </cfRule>
  </conditionalFormatting>
  <conditionalFormatting sqref="N20:P20 N105:P105">
    <cfRule type="expression" dxfId="1047" priority="65" stopIfTrue="1">
      <formula>IF(#REF!&gt;4,0,1)</formula>
    </cfRule>
  </conditionalFormatting>
  <conditionalFormatting sqref="Q20:S20 Q105:S105">
    <cfRule type="expression" dxfId="1046" priority="66" stopIfTrue="1">
      <formula>IF(#REF!&gt;5,0,1)</formula>
    </cfRule>
  </conditionalFormatting>
  <conditionalFormatting sqref="T20:V20 T105:V105">
    <cfRule type="expression" dxfId="1045" priority="67" stopIfTrue="1">
      <formula>IF(#REF!&gt;6,0,1)</formula>
    </cfRule>
  </conditionalFormatting>
  <conditionalFormatting sqref="W20:Y20 W105:Y105">
    <cfRule type="expression" dxfId="1044" priority="68" stopIfTrue="1">
      <formula>IF(#REF!&gt;7,0,1)</formula>
    </cfRule>
  </conditionalFormatting>
  <conditionalFormatting sqref="Z20:AB20 Z105:AB105">
    <cfRule type="expression" dxfId="1043" priority="69" stopIfTrue="1">
      <formula>IF(#REF!&gt;8,0,1)</formula>
    </cfRule>
  </conditionalFormatting>
  <conditionalFormatting sqref="AC20:AE20 AC105:AE105">
    <cfRule type="expression" dxfId="1042" priority="70" stopIfTrue="1">
      <formula>IF(#REF!&gt;9,0,1)</formula>
    </cfRule>
  </conditionalFormatting>
  <conditionalFormatting sqref="E22:G22 E107:G107">
    <cfRule type="expression" dxfId="1041" priority="71" stopIfTrue="1">
      <formula>IF(#REF!&gt;1,0,1)</formula>
    </cfRule>
  </conditionalFormatting>
  <conditionalFormatting sqref="H22:J22 H107:J107">
    <cfRule type="expression" dxfId="1040" priority="72" stopIfTrue="1">
      <formula>IF(#REF!&gt;2,0,1)</formula>
    </cfRule>
  </conditionalFormatting>
  <conditionalFormatting sqref="K22:M22 K107:M107">
    <cfRule type="expression" dxfId="1039" priority="73" stopIfTrue="1">
      <formula>IF(#REF!&gt;3,0,1)</formula>
    </cfRule>
  </conditionalFormatting>
  <conditionalFormatting sqref="N22:P22 N107:P107">
    <cfRule type="expression" dxfId="1038" priority="74" stopIfTrue="1">
      <formula>IF(#REF!&gt;4,0,1)</formula>
    </cfRule>
  </conditionalFormatting>
  <conditionalFormatting sqref="Q22:S22 Q107:S107">
    <cfRule type="expression" dxfId="1037" priority="75" stopIfTrue="1">
      <formula>IF(#REF!&gt;5,0,1)</formula>
    </cfRule>
  </conditionalFormatting>
  <conditionalFormatting sqref="T22:V22 T107:V107">
    <cfRule type="expression" dxfId="1036" priority="76" stopIfTrue="1">
      <formula>IF(#REF!&gt;6,0,1)</formula>
    </cfRule>
  </conditionalFormatting>
  <conditionalFormatting sqref="W22:Y22 W107:Y107">
    <cfRule type="expression" dxfId="1035" priority="77" stopIfTrue="1">
      <formula>IF(#REF!&gt;7,0,1)</formula>
    </cfRule>
  </conditionalFormatting>
  <conditionalFormatting sqref="Z22:AB22 Z107:AB107">
    <cfRule type="expression" dxfId="1034" priority="78" stopIfTrue="1">
      <formula>IF(#REF!&gt;8,0,1)</formula>
    </cfRule>
  </conditionalFormatting>
  <conditionalFormatting sqref="AC22:AE22 AC107:AE107">
    <cfRule type="expression" dxfId="1033" priority="79" stopIfTrue="1">
      <formula>IF(#REF!&gt;9,0,1)</formula>
    </cfRule>
  </conditionalFormatting>
  <conditionalFormatting sqref="B24 B109">
    <cfRule type="expression" dxfId="1032" priority="80" stopIfTrue="1">
      <formula>IF(#REF!&gt;0,0,1)</formula>
    </cfRule>
  </conditionalFormatting>
  <conditionalFormatting sqref="C24 C109">
    <cfRule type="expression" dxfId="1031" priority="81" stopIfTrue="1">
      <formula>IF(#REF!&gt;0,0,1)</formula>
    </cfRule>
  </conditionalFormatting>
  <conditionalFormatting sqref="D24 D109">
    <cfRule type="expression" dxfId="1030" priority="82" stopIfTrue="1">
      <formula>IF(#REF!&gt;0,0,1)</formula>
    </cfRule>
  </conditionalFormatting>
  <conditionalFormatting sqref="E23:G23 E108:G108">
    <cfRule type="expression" dxfId="1029" priority="83" stopIfTrue="1">
      <formula>IF(#REF!&gt;1,0,1)</formula>
    </cfRule>
  </conditionalFormatting>
  <conditionalFormatting sqref="F24 F109">
    <cfRule type="expression" dxfId="1028" priority="84" stopIfTrue="1">
      <formula>IF(#REF!&gt;1,0,1)</formula>
    </cfRule>
  </conditionalFormatting>
  <conditionalFormatting sqref="G24 G109">
    <cfRule type="expression" dxfId="1027" priority="85" stopIfTrue="1">
      <formula>IF(#REF!&gt;1,0,1)</formula>
    </cfRule>
  </conditionalFormatting>
  <conditionalFormatting sqref="H23:J23 H108:J108">
    <cfRule type="expression" dxfId="1026" priority="86" stopIfTrue="1">
      <formula>IF(#REF!&gt;2,0,1)</formula>
    </cfRule>
  </conditionalFormatting>
  <conditionalFormatting sqref="I24 I109">
    <cfRule type="expression" dxfId="1025" priority="87" stopIfTrue="1">
      <formula>IF(#REF!&gt;2,0,1)</formula>
    </cfRule>
  </conditionalFormatting>
  <conditionalFormatting sqref="J24 J109">
    <cfRule type="expression" dxfId="1024" priority="88" stopIfTrue="1">
      <formula>IF(#REF!&gt;2,0,1)</formula>
    </cfRule>
  </conditionalFormatting>
  <conditionalFormatting sqref="K23:M23 K108:M108">
    <cfRule type="expression" dxfId="1023" priority="89" stopIfTrue="1">
      <formula>IF(#REF!&gt;3,0,1)</formula>
    </cfRule>
  </conditionalFormatting>
  <conditionalFormatting sqref="L24 L109">
    <cfRule type="expression" dxfId="1022" priority="90" stopIfTrue="1">
      <formula>IF(#REF!&gt;3,0,1)</formula>
    </cfRule>
  </conditionalFormatting>
  <conditionalFormatting sqref="M24 M109">
    <cfRule type="expression" dxfId="1021" priority="91" stopIfTrue="1">
      <formula>IF(#REF!&gt;3,0,1)</formula>
    </cfRule>
  </conditionalFormatting>
  <conditionalFormatting sqref="N23:P23 N108:P108">
    <cfRule type="expression" dxfId="1020" priority="92" stopIfTrue="1">
      <formula>IF(#REF!&gt;4,0,1)</formula>
    </cfRule>
  </conditionalFormatting>
  <conditionalFormatting sqref="O24 O109">
    <cfRule type="expression" dxfId="1019" priority="93" stopIfTrue="1">
      <formula>IF(#REF!&gt;4,0,1)</formula>
    </cfRule>
  </conditionalFormatting>
  <conditionalFormatting sqref="P24 P109">
    <cfRule type="expression" dxfId="1018" priority="94" stopIfTrue="1">
      <formula>IF(#REF!&gt;4,0,1)</formula>
    </cfRule>
  </conditionalFormatting>
  <conditionalFormatting sqref="Q23:S23 Q108:S108">
    <cfRule type="expression" dxfId="1017" priority="95" stopIfTrue="1">
      <formula>IF(#REF!&gt;5,0,1)</formula>
    </cfRule>
  </conditionalFormatting>
  <conditionalFormatting sqref="R24 R109">
    <cfRule type="expression" dxfId="1016" priority="96" stopIfTrue="1">
      <formula>IF(#REF!&gt;5,0,1)</formula>
    </cfRule>
  </conditionalFormatting>
  <conditionalFormatting sqref="S24 S109">
    <cfRule type="expression" dxfId="1015" priority="97" stopIfTrue="1">
      <formula>IF(#REF!&gt;5,0,1)</formula>
    </cfRule>
  </conditionalFormatting>
  <conditionalFormatting sqref="T23:V23 T108:V108">
    <cfRule type="expression" dxfId="1014" priority="98" stopIfTrue="1">
      <formula>IF(#REF!&gt;6,0,1)</formula>
    </cfRule>
  </conditionalFormatting>
  <conditionalFormatting sqref="U24 U109">
    <cfRule type="expression" dxfId="1013" priority="99" stopIfTrue="1">
      <formula>IF(#REF!&gt;6,0,1)</formula>
    </cfRule>
  </conditionalFormatting>
  <conditionalFormatting sqref="V24 V109">
    <cfRule type="expression" dxfId="1012" priority="100" stopIfTrue="1">
      <formula>IF(#REF!&gt;6,0,1)</formula>
    </cfRule>
  </conditionalFormatting>
  <conditionalFormatting sqref="W23:Y23 W108:Y108">
    <cfRule type="expression" dxfId="1011" priority="101" stopIfTrue="1">
      <formula>IF(#REF!&gt;7,0,1)</formula>
    </cfRule>
  </conditionalFormatting>
  <conditionalFormatting sqref="X24 X109">
    <cfRule type="expression" dxfId="1010" priority="102" stopIfTrue="1">
      <formula>IF(#REF!&gt;7,0,1)</formula>
    </cfRule>
  </conditionalFormatting>
  <conditionalFormatting sqref="Y24 Y109">
    <cfRule type="expression" dxfId="1009" priority="103" stopIfTrue="1">
      <formula>IF(#REF!&gt;7,0,1)</formula>
    </cfRule>
  </conditionalFormatting>
  <conditionalFormatting sqref="Z23:AB23 Z108:AB108">
    <cfRule type="expression" dxfId="1008" priority="104" stopIfTrue="1">
      <formula>IF(#REF!&gt;8,0,1)</formula>
    </cfRule>
  </conditionalFormatting>
  <conditionalFormatting sqref="AA24 AA109">
    <cfRule type="expression" dxfId="1007" priority="105" stopIfTrue="1">
      <formula>IF(#REF!&gt;8,0,1)</formula>
    </cfRule>
  </conditionalFormatting>
  <conditionalFormatting sqref="AB24 AB109">
    <cfRule type="expression" dxfId="1006" priority="106" stopIfTrue="1">
      <formula>IF(#REF!&gt;8,0,1)</formula>
    </cfRule>
  </conditionalFormatting>
  <conditionalFormatting sqref="AC23:AE23 AC108:AE108">
    <cfRule type="expression" dxfId="1005" priority="107" stopIfTrue="1">
      <formula>IF(#REF!&gt;9,0,1)</formula>
    </cfRule>
  </conditionalFormatting>
  <conditionalFormatting sqref="AD24 AD109">
    <cfRule type="expression" dxfId="1004" priority="108" stopIfTrue="1">
      <formula>IF(#REF!&gt;9,0,1)</formula>
    </cfRule>
  </conditionalFormatting>
  <conditionalFormatting sqref="AE24 AE109">
    <cfRule type="expression" dxfId="1003" priority="109" stopIfTrue="1">
      <formula>IF(#REF!&gt;9,0,1)</formula>
    </cfRule>
  </conditionalFormatting>
  <conditionalFormatting sqref="A26 A111">
    <cfRule type="expression" dxfId="1002" priority="110" stopIfTrue="1">
      <formula>IF(#REF!&gt;1,0,1)</formula>
    </cfRule>
  </conditionalFormatting>
  <conditionalFormatting sqref="A27 A112">
    <cfRule type="expression" dxfId="1001" priority="111" stopIfTrue="1">
      <formula>IF(#REF!&gt;2,0,1)</formula>
    </cfRule>
  </conditionalFormatting>
  <conditionalFormatting sqref="A28 A113">
    <cfRule type="expression" dxfId="1000" priority="112" stopIfTrue="1">
      <formula>IF(#REF!&gt;3,0,1)</formula>
    </cfRule>
  </conditionalFormatting>
  <conditionalFormatting sqref="A29 A114">
    <cfRule type="expression" dxfId="999" priority="113" stopIfTrue="1">
      <formula>IF(#REF!&gt;4,0,1)</formula>
    </cfRule>
  </conditionalFormatting>
  <conditionalFormatting sqref="B25:D25 B110:D110">
    <cfRule type="expression" dxfId="998" priority="114" stopIfTrue="1">
      <formula>IF(#REF!&gt;0,0,1)</formula>
    </cfRule>
  </conditionalFormatting>
  <conditionalFormatting sqref="B26:D26 B111:D111">
    <cfRule type="expression" dxfId="997" priority="115" stopIfTrue="1">
      <formula>IF(#REF!&lt;1,1,IF(#REF!&lt;2,1,0))</formula>
    </cfRule>
  </conditionalFormatting>
  <conditionalFormatting sqref="B27:D27 B112:D112">
    <cfRule type="expression" dxfId="996" priority="116" stopIfTrue="1">
      <formula>IF(#REF!&lt;1,1,IF(#REF!&lt;3,1,0))</formula>
    </cfRule>
  </conditionalFormatting>
  <conditionalFormatting sqref="B28:D28 B113:D113">
    <cfRule type="expression" dxfId="995" priority="117" stopIfTrue="1">
      <formula>IF(#REF!&lt;1,1,IF(#REF!&lt;4,1,0))</formula>
    </cfRule>
  </conditionalFormatting>
  <conditionalFormatting sqref="B29:D29 B114:D114">
    <cfRule type="expression" dxfId="994" priority="118" stopIfTrue="1">
      <formula>IF(#REF!&lt;1,1,IF(#REF!&lt;5,1,0))</formula>
    </cfRule>
  </conditionalFormatting>
  <conditionalFormatting sqref="AF26 AF111">
    <cfRule type="expression" dxfId="993" priority="119" stopIfTrue="1">
      <formula>IF(#REF!&gt;2,0,1)</formula>
    </cfRule>
  </conditionalFormatting>
  <conditionalFormatting sqref="AF25 AF110">
    <cfRule type="expression" dxfId="992" priority="120" stopIfTrue="1">
      <formula>IF(#REF!&gt;1,0,1)</formula>
    </cfRule>
  </conditionalFormatting>
  <conditionalFormatting sqref="AF24 AF109">
    <cfRule type="expression" dxfId="991" priority="121" stopIfTrue="1">
      <formula>IF(#REF!&gt;0,0,1)</formula>
    </cfRule>
  </conditionalFormatting>
  <conditionalFormatting sqref="AF27 AF112">
    <cfRule type="expression" dxfId="990" priority="122" stopIfTrue="1">
      <formula>IF(#REF!&gt;3,0,1)</formula>
    </cfRule>
  </conditionalFormatting>
  <conditionalFormatting sqref="AF28 AF113">
    <cfRule type="expression" dxfId="989" priority="123" stopIfTrue="1">
      <formula>IF(#REF!&gt;4,0,1)</formula>
    </cfRule>
  </conditionalFormatting>
  <conditionalFormatting sqref="AG23 AG108">
    <cfRule type="expression" dxfId="988" priority="124" stopIfTrue="1">
      <formula>IF(#REF!&lt;1,1,0)</formula>
    </cfRule>
  </conditionalFormatting>
  <conditionalFormatting sqref="AH23 AH108">
    <cfRule type="expression" dxfId="987" priority="125" stopIfTrue="1">
      <formula>IF(#REF!&lt;2,1,0)</formula>
    </cfRule>
  </conditionalFormatting>
  <conditionalFormatting sqref="AI23 AI108">
    <cfRule type="expression" dxfId="986" priority="126" stopIfTrue="1">
      <formula>IF(#REF!&lt;3,1,0)</formula>
    </cfRule>
  </conditionalFormatting>
  <conditionalFormatting sqref="AJ23 AJ108">
    <cfRule type="expression" dxfId="985" priority="127" stopIfTrue="1">
      <formula>IF(#REF!&lt;4,1,0)</formula>
    </cfRule>
  </conditionalFormatting>
  <conditionalFormatting sqref="AK23 AK108">
    <cfRule type="expression" dxfId="984" priority="128" stopIfTrue="1">
      <formula>IF(#REF!&lt;5,1,0)</formula>
    </cfRule>
  </conditionalFormatting>
  <conditionalFormatting sqref="AL23 AL108">
    <cfRule type="expression" dxfId="983" priority="129" stopIfTrue="1">
      <formula>IF(#REF!&lt;6,1,0)</formula>
    </cfRule>
  </conditionalFormatting>
  <conditionalFormatting sqref="AM23 AM108">
    <cfRule type="expression" dxfId="982" priority="130" stopIfTrue="1">
      <formula>IF(#REF!&lt;7,1,0)</formula>
    </cfRule>
  </conditionalFormatting>
  <conditionalFormatting sqref="AN23 AN108">
    <cfRule type="expression" dxfId="981" priority="131" stopIfTrue="1">
      <formula>IF(#REF!&lt;8,1,0)</formula>
    </cfRule>
  </conditionalFormatting>
  <conditionalFormatting sqref="AO23 AO108">
    <cfRule type="expression" dxfId="980" priority="132" stopIfTrue="1">
      <formula>IF(#REF!&lt;9,1,0)</formula>
    </cfRule>
  </conditionalFormatting>
  <conditionalFormatting sqref="AP23 AP108">
    <cfRule type="expression" dxfId="979" priority="133" stopIfTrue="1">
      <formula>IF(#REF!&lt;10,1,0)</formula>
    </cfRule>
  </conditionalFormatting>
  <conditionalFormatting sqref="AQ24 AQ109">
    <cfRule type="expression" dxfId="978" priority="134" stopIfTrue="1">
      <formula>IF(#REF!&gt;0,0,1)</formula>
    </cfRule>
  </conditionalFormatting>
  <conditionalFormatting sqref="AQ25 AQ110">
    <cfRule type="expression" dxfId="977" priority="135" stopIfTrue="1">
      <formula>IF(#REF!&gt;1,0,1)</formula>
    </cfRule>
  </conditionalFormatting>
  <conditionalFormatting sqref="AQ26 H25:J25 AQ111 H110:J110">
    <cfRule type="expression" dxfId="976" priority="136" stopIfTrue="1">
      <formula>IF(#REF!&gt;2,0,1)</formula>
    </cfRule>
  </conditionalFormatting>
  <conditionalFormatting sqref="K25:M25 K110:M110">
    <cfRule type="expression" dxfId="975" priority="137" stopIfTrue="1">
      <formula>IF(#REF!&gt;3,0,1)</formula>
    </cfRule>
  </conditionalFormatting>
  <conditionalFormatting sqref="AQ28 AQ113">
    <cfRule type="expression" dxfId="974" priority="138" stopIfTrue="1">
      <formula>IF(#REF!&gt;4,0,1)</formula>
    </cfRule>
  </conditionalFormatting>
  <conditionalFormatting sqref="E26:G26 E111:G111">
    <cfRule type="expression" dxfId="973" priority="139" stopIfTrue="1">
      <formula>IF(#REF!&lt;2,1,IF(#REF!&lt;2,1,0))</formula>
    </cfRule>
  </conditionalFormatting>
  <conditionalFormatting sqref="E27:G27 E112:G112">
    <cfRule type="expression" dxfId="972" priority="140" stopIfTrue="1">
      <formula>IF(#REF!&lt;2,1,IF(#REF!&lt;3,1,0))</formula>
    </cfRule>
  </conditionalFormatting>
  <conditionalFormatting sqref="E28:G28 E113:G113">
    <cfRule type="expression" dxfId="971" priority="141" stopIfTrue="1">
      <formula>IF(#REF!&lt;2,1,IF(#REF!&lt;4,1,0))</formula>
    </cfRule>
  </conditionalFormatting>
  <conditionalFormatting sqref="E29:G29 E114:G114">
    <cfRule type="expression" dxfId="970" priority="142" stopIfTrue="1">
      <formula>IF(#REF!&lt;2,1,IF(#REF!&lt;5,1,0))</formula>
    </cfRule>
  </conditionalFormatting>
  <conditionalFormatting sqref="N25:P25 N110:P110">
    <cfRule type="expression" dxfId="969" priority="143" stopIfTrue="1">
      <formula>IF(#REF!&gt;4,0,1)</formula>
    </cfRule>
  </conditionalFormatting>
  <conditionalFormatting sqref="Q25:S25 Q110:S110">
    <cfRule type="expression" dxfId="968" priority="144" stopIfTrue="1">
      <formula>IF(#REF!&gt;5,0,1)</formula>
    </cfRule>
  </conditionalFormatting>
  <conditionalFormatting sqref="T25:V25 T110:V110">
    <cfRule type="expression" dxfId="967" priority="145" stopIfTrue="1">
      <formula>IF(#REF!&gt;6,0,1)</formula>
    </cfRule>
  </conditionalFormatting>
  <conditionalFormatting sqref="W25:Y25 W110:Y110">
    <cfRule type="expression" dxfId="966" priority="146" stopIfTrue="1">
      <formula>IF(#REF!&gt;7,0,1)</formula>
    </cfRule>
  </conditionalFormatting>
  <conditionalFormatting sqref="Z25:AB25 Z110:AB110">
    <cfRule type="expression" dxfId="965" priority="147" stopIfTrue="1">
      <formula>IF(#REF!&gt;8,0,1)</formula>
    </cfRule>
  </conditionalFormatting>
  <conditionalFormatting sqref="AC25:AE25 AC110:AE110">
    <cfRule type="expression" dxfId="964" priority="148" stopIfTrue="1">
      <formula>IF(#REF!&gt;9,0,1)</formula>
    </cfRule>
  </conditionalFormatting>
  <conditionalFormatting sqref="H26:J26 H111:J111">
    <cfRule type="expression" dxfId="963" priority="149" stopIfTrue="1">
      <formula>IF(#REF!&lt;3,1,IF(#REF!&lt;2,1,0))</formula>
    </cfRule>
  </conditionalFormatting>
  <conditionalFormatting sqref="K26:M26 K111:M111">
    <cfRule type="expression" dxfId="962" priority="150" stopIfTrue="1">
      <formula>IF(#REF!&lt;4,1,IF(#REF!&lt;2,1,0))</formula>
    </cfRule>
  </conditionalFormatting>
  <conditionalFormatting sqref="N26:P26 N111:P111">
    <cfRule type="expression" dxfId="961" priority="151" stopIfTrue="1">
      <formula>IF(#REF!&lt;5,1,IF(#REF!&lt;2,1,0))</formula>
    </cfRule>
  </conditionalFormatting>
  <conditionalFormatting sqref="Q26:S26 Q111:S111">
    <cfRule type="expression" dxfId="960" priority="152" stopIfTrue="1">
      <formula>IF(#REF!&lt;6,1,IF(#REF!&lt;2,1,0))</formula>
    </cfRule>
  </conditionalFormatting>
  <conditionalFormatting sqref="T26:V26 T111:V111">
    <cfRule type="expression" dxfId="959" priority="153" stopIfTrue="1">
      <formula>IF(#REF!&lt;7,1,IF(#REF!&lt;2,1,0))</formula>
    </cfRule>
  </conditionalFormatting>
  <conditionalFormatting sqref="W26:Y26 W111:Y111">
    <cfRule type="expression" dxfId="958" priority="154" stopIfTrue="1">
      <formula>IF(#REF!&lt;8,1,IF(#REF!&lt;2,1,0))</formula>
    </cfRule>
  </conditionalFormatting>
  <conditionalFormatting sqref="Z26:AB26 Z111:AB111">
    <cfRule type="expression" dxfId="957" priority="155" stopIfTrue="1">
      <formula>IF(#REF!&lt;9,1,IF(#REF!&lt;2,1,0))</formula>
    </cfRule>
  </conditionalFormatting>
  <conditionalFormatting sqref="AC26:AE26 AC111:AE111">
    <cfRule type="expression" dxfId="956" priority="156" stopIfTrue="1">
      <formula>IF(#REF!&lt;10,1,IF(#REF!&lt;2,1,0))</formula>
    </cfRule>
  </conditionalFormatting>
  <conditionalFormatting sqref="H27:J27 H112:J112">
    <cfRule type="expression" dxfId="955" priority="157" stopIfTrue="1">
      <formula>IF(#REF!&lt;3,1,IF(#REF!&lt;3,1,0))</formula>
    </cfRule>
  </conditionalFormatting>
  <conditionalFormatting sqref="K27:M27 K112:M112">
    <cfRule type="expression" dxfId="954" priority="158" stopIfTrue="1">
      <formula>IF(#REF!&lt;4,1,IF(#REF!&lt;3,1,0))</formula>
    </cfRule>
  </conditionalFormatting>
  <conditionalFormatting sqref="N27:P27 N112:P112">
    <cfRule type="expression" dxfId="953" priority="159" stopIfTrue="1">
      <formula>IF(#REF!&lt;5,1,IF(#REF!&lt;3,1,0))</formula>
    </cfRule>
  </conditionalFormatting>
  <conditionalFormatting sqref="Q27:S27 Q112:S112">
    <cfRule type="expression" dxfId="952" priority="160" stopIfTrue="1">
      <formula>IF(#REF!&lt;6,1,IF(#REF!&lt;3,1,0))</formula>
    </cfRule>
  </conditionalFormatting>
  <conditionalFormatting sqref="T27:V27 T112:V112">
    <cfRule type="expression" dxfId="951" priority="161" stopIfTrue="1">
      <formula>IF(#REF!&lt;7,1,IF(#REF!&lt;3,1,0))</formula>
    </cfRule>
  </conditionalFormatting>
  <conditionalFormatting sqref="W27:Y27 W112:Y112">
    <cfRule type="expression" dxfId="950" priority="162" stopIfTrue="1">
      <formula>IF(#REF!&lt;8,1,IF(#REF!&lt;3,1,0))</formula>
    </cfRule>
  </conditionalFormatting>
  <conditionalFormatting sqref="Z27:AB27 Z112:AB112">
    <cfRule type="expression" dxfId="949" priority="163" stopIfTrue="1">
      <formula>IF(#REF!&lt;9,1,IF(#REF!&lt;3,1,0))</formula>
    </cfRule>
  </conditionalFormatting>
  <conditionalFormatting sqref="AC27:AE27 AC112:AE112">
    <cfRule type="expression" dxfId="948" priority="164" stopIfTrue="1">
      <formula>IF(#REF!&lt;10,1,IF(#REF!&lt;3,1,0))</formula>
    </cfRule>
  </conditionalFormatting>
  <conditionalFormatting sqref="H28:J28 H113:J113">
    <cfRule type="expression" dxfId="947" priority="165" stopIfTrue="1">
      <formula>IF(#REF!&lt;3,1,IF(#REF!&lt;4,1,0))</formula>
    </cfRule>
  </conditionalFormatting>
  <conditionalFormatting sqref="K28:M28 K113:M113">
    <cfRule type="expression" dxfId="946" priority="166" stopIfTrue="1">
      <formula>IF(#REF!&lt;4,1,IF(#REF!&lt;4,1,0))</formula>
    </cfRule>
  </conditionalFormatting>
  <conditionalFormatting sqref="N28:P28 N113:P113">
    <cfRule type="expression" dxfId="945" priority="167" stopIfTrue="1">
      <formula>IF(#REF!&lt;5,1,IF(#REF!&lt;4,1,0))</formula>
    </cfRule>
  </conditionalFormatting>
  <conditionalFormatting sqref="Q28:S28 Q113:S113">
    <cfRule type="expression" dxfId="944" priority="168" stopIfTrue="1">
      <formula>IF(#REF!&lt;6,1,IF(#REF!&lt;4,1,0))</formula>
    </cfRule>
  </conditionalFormatting>
  <conditionalFormatting sqref="T28:V28 T113:V113">
    <cfRule type="expression" dxfId="943" priority="169" stopIfTrue="1">
      <formula>IF(#REF!&lt;7,1,IF(#REF!&lt;4,1,0))</formula>
    </cfRule>
  </conditionalFormatting>
  <conditionalFormatting sqref="W28:Y28 W113:Y113">
    <cfRule type="expression" dxfId="942" priority="170" stopIfTrue="1">
      <formula>IF(#REF!&lt;8,1,IF(#REF!&lt;4,1,0))</formula>
    </cfRule>
  </conditionalFormatting>
  <conditionalFormatting sqref="Z28:AB28 Z113:AB113">
    <cfRule type="expression" dxfId="941" priority="171" stopIfTrue="1">
      <formula>IF(#REF!&lt;9,1,IF(#REF!&lt;4,1,0))</formula>
    </cfRule>
  </conditionalFormatting>
  <conditionalFormatting sqref="AC28:AE28 AC113:AE113">
    <cfRule type="expression" dxfId="940" priority="172" stopIfTrue="1">
      <formula>IF(#REF!&lt;10,1,IF(#REF!&lt;4,1,0))</formula>
    </cfRule>
  </conditionalFormatting>
  <conditionalFormatting sqref="H29:J29 H114:J114">
    <cfRule type="expression" dxfId="939" priority="173" stopIfTrue="1">
      <formula>IF(#REF!&lt;3,1,IF(#REF!&lt;5,1,0))</formula>
    </cfRule>
  </conditionalFormatting>
  <conditionalFormatting sqref="K29:M29 K114:M114">
    <cfRule type="expression" dxfId="938" priority="174" stopIfTrue="1">
      <formula>IF(#REF!&lt;4,1,IF(#REF!&lt;5,1,0))</formula>
    </cfRule>
  </conditionalFormatting>
  <conditionalFormatting sqref="N29:P29 N114:P114">
    <cfRule type="expression" dxfId="937" priority="175" stopIfTrue="1">
      <formula>IF(#REF!&lt;5,1,IF(#REF!&lt;5,1,0))</formula>
    </cfRule>
  </conditionalFormatting>
  <conditionalFormatting sqref="Q29:S29 Q114:S114">
    <cfRule type="expression" dxfId="936" priority="176" stopIfTrue="1">
      <formula>IF(#REF!&lt;6,1,IF(#REF!&lt;5,1,0))</formula>
    </cfRule>
  </conditionalFormatting>
  <conditionalFormatting sqref="T29:V29 T114:V114">
    <cfRule type="expression" dxfId="935" priority="177" stopIfTrue="1">
      <formula>IF(#REF!&lt;7,1,IF(#REF!&lt;5,1,0))</formula>
    </cfRule>
  </conditionalFormatting>
  <conditionalFormatting sqref="W29:Y29 W114:Y114">
    <cfRule type="expression" dxfId="934" priority="178" stopIfTrue="1">
      <formula>IF(#REF!&lt;8,1,IF(#REF!&lt;5,1,0))</formula>
    </cfRule>
  </conditionalFormatting>
  <conditionalFormatting sqref="Z29:AB29 Z114:AB114">
    <cfRule type="expression" dxfId="933" priority="179" stopIfTrue="1">
      <formula>IF(#REF!&lt;9,1,IF(#REF!&lt;5,1,0))</formula>
    </cfRule>
  </conditionalFormatting>
  <conditionalFormatting sqref="AC29:AE29 AC114:AE114">
    <cfRule type="expression" dxfId="932" priority="180" stopIfTrue="1">
      <formula>IF(#REF!&lt;10,1,IF(#REF!&lt;5,1,0))</formula>
    </cfRule>
  </conditionalFormatting>
  <conditionalFormatting sqref="R14:AB15 AF14:AF15 L14:P15 R99:AB100 AF99:AF100 L99:P100 AG14 AG99">
    <cfRule type="expression" dxfId="931" priority="181" stopIfTrue="1">
      <formula>IF(#REF!&gt;3,0,1)</formula>
    </cfRule>
  </conditionalFormatting>
  <conditionalFormatting sqref="R16:AB17 AF16:AF17 L16:P17 R101:AB102 AF101:AF102 L101:P102 AG16 AG101">
    <cfRule type="expression" dxfId="930" priority="182" stopIfTrue="1">
      <formula>IF(#REF!&gt;4,0,1)</formula>
    </cfRule>
  </conditionalFormatting>
  <conditionalFormatting sqref="R8:AB9 AF8:AF9 L8:P9 R93:AB94 AF93:AF94 L93:P94 AG8 AG93">
    <cfRule type="expression" dxfId="929" priority="183" stopIfTrue="1">
      <formula>IF($AK9&gt;0,0,1)</formula>
    </cfRule>
  </conditionalFormatting>
  <conditionalFormatting sqref="R10:AB11 AF10:AF11 L10:P11 R95:AB96 AF95:AF96 L95:P96 AG10 AG95">
    <cfRule type="expression" dxfId="928" priority="184" stopIfTrue="1">
      <formula>IF(#REF!&gt;1,0,1)</formula>
    </cfRule>
  </conditionalFormatting>
  <conditionalFormatting sqref="R12:AB13 AF12:AF13 L12:P13 R97:AB98 AF97:AF98 L97:P98 AG12 AG97">
    <cfRule type="expression" dxfId="927" priority="185" stopIfTrue="1">
      <formula>IF(#REF!&gt;2,0,1)</formula>
    </cfRule>
  </conditionalFormatting>
  <conditionalFormatting sqref="E24 E109">
    <cfRule type="expression" dxfId="926" priority="186" stopIfTrue="1">
      <formula>IF(#REF!&gt;1,0,1)</formula>
    </cfRule>
  </conditionalFormatting>
  <conditionalFormatting sqref="H24 H109">
    <cfRule type="expression" dxfId="925" priority="187" stopIfTrue="1">
      <formula>IF(#REF!&gt;2,0,1)</formula>
    </cfRule>
  </conditionalFormatting>
  <conditionalFormatting sqref="K24 K109">
    <cfRule type="expression" dxfId="924" priority="188" stopIfTrue="1">
      <formula>IF(#REF!&gt;3,0,1)</formula>
    </cfRule>
  </conditionalFormatting>
  <conditionalFormatting sqref="N24 N109">
    <cfRule type="expression" dxfId="923" priority="189" stopIfTrue="1">
      <formula>IF(#REF!&gt;4,0,1)</formula>
    </cfRule>
  </conditionalFormatting>
  <conditionalFormatting sqref="Q24 Q109">
    <cfRule type="expression" dxfId="922" priority="190" stopIfTrue="1">
      <formula>IF(#REF!&gt;5,0,1)</formula>
    </cfRule>
  </conditionalFormatting>
  <conditionalFormatting sqref="T24 T109">
    <cfRule type="expression" dxfId="921" priority="191" stopIfTrue="1">
      <formula>IF(#REF!&gt;6,0,1)</formula>
    </cfRule>
  </conditionalFormatting>
  <conditionalFormatting sqref="W24 W109">
    <cfRule type="expression" dxfId="920" priority="192" stopIfTrue="1">
      <formula>IF(#REF!&gt;7,0,1)</formula>
    </cfRule>
  </conditionalFormatting>
  <conditionalFormatting sqref="Z24 Z109">
    <cfRule type="expression" dxfId="919" priority="193" stopIfTrue="1">
      <formula>IF(#REF!&gt;8,0,1)</formula>
    </cfRule>
  </conditionalFormatting>
  <conditionalFormatting sqref="AC24 AC109">
    <cfRule type="expression" dxfId="918" priority="194" stopIfTrue="1">
      <formula>IF(#REF!&gt;9,0,1)</formula>
    </cfRule>
  </conditionalFormatting>
  <conditionalFormatting sqref="AQ27 AQ112">
    <cfRule type="expression" dxfId="917" priority="195" stopIfTrue="1">
      <formula>IF(#REF!&gt;3,0,1)</formula>
    </cfRule>
  </conditionalFormatting>
  <conditionalFormatting sqref="E25:G25 E110:G110">
    <cfRule type="expression" dxfId="916" priority="196" stopIfTrue="1">
      <formula>IF(#REF!&gt;1,0,1)</formula>
    </cfRule>
  </conditionalFormatting>
  <conditionalFormatting sqref="B21:D21 B106:D106">
    <cfRule type="expression" dxfId="915" priority="197" stopIfTrue="1">
      <formula>IF(#REF!&gt;0,0,1)</formula>
    </cfRule>
  </conditionalFormatting>
  <conditionalFormatting sqref="E21:G21 E106:G106">
    <cfRule type="expression" dxfId="914" priority="198" stopIfTrue="1">
      <formula>IF(#REF!&gt;1,0,1)</formula>
    </cfRule>
  </conditionalFormatting>
  <conditionalFormatting sqref="H21:J21 H106:J106">
    <cfRule type="expression" dxfId="913" priority="199" stopIfTrue="1">
      <formula>IF(#REF!&gt;2,0,1)</formula>
    </cfRule>
  </conditionalFormatting>
  <conditionalFormatting sqref="K21:M21 K106:M106">
    <cfRule type="expression" dxfId="912" priority="200" stopIfTrue="1">
      <formula>IF(#REF!&gt;3,0,1)</formula>
    </cfRule>
  </conditionalFormatting>
  <conditionalFormatting sqref="N21:P21 N106:P106">
    <cfRule type="expression" dxfId="911" priority="201" stopIfTrue="1">
      <formula>IF(#REF!&gt;4,0,1)</formula>
    </cfRule>
  </conditionalFormatting>
  <conditionalFormatting sqref="Q21:S21 Q106:S106">
    <cfRule type="expression" dxfId="910" priority="202" stopIfTrue="1">
      <formula>IF(#REF!&gt;5,0,1)</formula>
    </cfRule>
  </conditionalFormatting>
  <conditionalFormatting sqref="T21:V21 T106:V106">
    <cfRule type="expression" dxfId="909" priority="203" stopIfTrue="1">
      <formula>IF(#REF!&gt;6,0,1)</formula>
    </cfRule>
  </conditionalFormatting>
  <conditionalFormatting sqref="W21:Y21 W106:Y106">
    <cfRule type="expression" dxfId="908" priority="204" stopIfTrue="1">
      <formula>IF(#REF!&gt;7,0,1)</formula>
    </cfRule>
  </conditionalFormatting>
  <conditionalFormatting sqref="Z21:AB21 Z106:AB106">
    <cfRule type="expression" dxfId="907" priority="205" stopIfTrue="1">
      <formula>IF(#REF!&gt;8,0,1)</formula>
    </cfRule>
  </conditionalFormatting>
  <conditionalFormatting sqref="AC21:AE21 AC106:AE106">
    <cfRule type="expression" dxfId="906" priority="206" stopIfTrue="1">
      <formula>IF(#REF!&gt;9,0,1)</formula>
    </cfRule>
  </conditionalFormatting>
  <conditionalFormatting sqref="X224:X225 W215:W216 X215:Y215 W218:Y223 Z219:AE222 AA223:AA225 I223:I225 C224:C225 B215:B216 C215:D215 B218:D223 E219:J222 F223:F225 AD223:AD225">
    <cfRule type="expression" dxfId="905" priority="207" stopIfTrue="1">
      <formula>IF(#REF!&gt;0,0,1)</formula>
    </cfRule>
  </conditionalFormatting>
  <conditionalFormatting sqref="AA215:AB215 AB223 AA218:AB218 Z223 Z215:Z218 F215:G215 G223 F218:G218 E223 E215:E218">
    <cfRule type="expression" dxfId="904" priority="208" stopIfTrue="1">
      <formula>IF(#REF!&gt;1,0,1)</formula>
    </cfRule>
  </conditionalFormatting>
  <conditionalFormatting sqref="AC215:AC218 AD215:AE215 AE223 AD218:AE218 AC223 H223 H215:H218 I215:J215 J223 I218:J218">
    <cfRule type="expression" dxfId="903" priority="209" stopIfTrue="1">
      <formula>IF(#REF!&gt;2,0,1)</formula>
    </cfRule>
  </conditionalFormatting>
  <conditionalFormatting sqref="W224 Y224 B224 D224">
    <cfRule type="expression" dxfId="902" priority="210" stopIfTrue="1">
      <formula>IF(#REF!&lt;1,1,IF(#REF!&lt;2,1,0))</formula>
    </cfRule>
  </conditionalFormatting>
  <conditionalFormatting sqref="Z224 AB224 E224 G224">
    <cfRule type="expression" dxfId="901" priority="211" stopIfTrue="1">
      <formula>IF(#REF!&lt;2,1,IF(#REF!&lt;2,1,0))</formula>
    </cfRule>
  </conditionalFormatting>
  <conditionalFormatting sqref="AC224 AE224 H224 J224">
    <cfRule type="expression" dxfId="900" priority="212" stopIfTrue="1">
      <formula>IF(#REF!&lt;3,1,IF(#REF!&lt;2,1,0))</formula>
    </cfRule>
  </conditionalFormatting>
  <conditionalFormatting sqref="Y225 B225 D225 W225">
    <cfRule type="expression" dxfId="899" priority="213" stopIfTrue="1">
      <formula>IF(#REF!&lt;1,1,IF(#REF!&lt;3,1,0))</formula>
    </cfRule>
  </conditionalFormatting>
  <conditionalFormatting sqref="AB225 E225 G225 Z225">
    <cfRule type="expression" dxfId="898" priority="214" stopIfTrue="1">
      <formula>IF(#REF!&lt;2,1,IF(#REF!&lt;3,1,0))</formula>
    </cfRule>
  </conditionalFormatting>
  <conditionalFormatting sqref="AE225 H225 J225 AC225">
    <cfRule type="expression" dxfId="897" priority="215" stopIfTrue="1">
      <formula>IF(#REF!&lt;3,1,IF(#REF!&lt;3,1,0))</formula>
    </cfRule>
  </conditionalFormatting>
  <conditionalFormatting sqref="AG24:AP28 AG109:AP113">
    <cfRule type="cellIs" dxfId="896" priority="216" stopIfTrue="1" operator="notBetween">
      <formula>-9999</formula>
      <formula>9999</formula>
    </cfRule>
  </conditionalFormatting>
  <conditionalFormatting sqref="AC7 AC92">
    <cfRule type="expression" dxfId="895" priority="217" stopIfTrue="1">
      <formula>IF($AK$11=0,1,0)</formula>
    </cfRule>
  </conditionalFormatting>
  <conditionalFormatting sqref="B22:D23 B107:D108">
    <cfRule type="cellIs" dxfId="894" priority="218" stopIfTrue="1" operator="equal">
      <formula>99</formula>
    </cfRule>
  </conditionalFormatting>
  <conditionalFormatting sqref="X226 AA226 C226 F226">
    <cfRule type="expression" dxfId="893" priority="219" stopIfTrue="1">
      <formula>IF(#REF!&gt;0,0,1)</formula>
    </cfRule>
  </conditionalFormatting>
  <conditionalFormatting sqref="K215">
    <cfRule type="expression" dxfId="892" priority="15" stopIfTrue="1">
      <formula>IF(#REF!&gt;2,0,1)</formula>
    </cfRule>
  </conditionalFormatting>
  <conditionalFormatting sqref="K215">
    <cfRule type="expression" dxfId="891" priority="14" stopIfTrue="1">
      <formula>IF(ISNUMBER(K223),0,1)</formula>
    </cfRule>
  </conditionalFormatting>
  <conditionalFormatting sqref="AF215">
    <cfRule type="expression" dxfId="890" priority="13" stopIfTrue="1">
      <formula>IF(ISNUMBER(AF223),0,1)</formula>
    </cfRule>
  </conditionalFormatting>
  <conditionalFormatting sqref="B103">
    <cfRule type="expression" dxfId="889" priority="12" stopIfTrue="1">
      <formula>IF($AK$9&gt;0,0,1)</formula>
    </cfRule>
  </conditionalFormatting>
  <conditionalFormatting sqref="B18">
    <cfRule type="expression" dxfId="888" priority="11" stopIfTrue="1">
      <formula>IF($AK$9&gt;0,0,1)</formula>
    </cfRule>
  </conditionalFormatting>
  <conditionalFormatting sqref="B104:D104">
    <cfRule type="expression" dxfId="887" priority="1" stopIfTrue="1">
      <formula>IF(#REF!&gt;0,0,1)</formula>
    </cfRule>
  </conditionalFormatting>
  <conditionalFormatting sqref="E104:G104">
    <cfRule type="expression" dxfId="886" priority="2" stopIfTrue="1">
      <formula>IF(#REF!&gt;1,0,1)</formula>
    </cfRule>
  </conditionalFormatting>
  <conditionalFormatting sqref="H104:J104">
    <cfRule type="expression" dxfId="885" priority="3" stopIfTrue="1">
      <formula>IF(#REF!&gt;2,0,1)</formula>
    </cfRule>
  </conditionalFormatting>
  <conditionalFormatting sqref="K104:M104">
    <cfRule type="expression" dxfId="884" priority="4" stopIfTrue="1">
      <formula>IF(#REF!&gt;3,0,1)</formula>
    </cfRule>
  </conditionalFormatting>
  <conditionalFormatting sqref="N104:P104">
    <cfRule type="expression" dxfId="883" priority="5" stopIfTrue="1">
      <formula>IF(#REF!&gt;4,0,1)</formula>
    </cfRule>
  </conditionalFormatting>
  <conditionalFormatting sqref="Q104:S104">
    <cfRule type="expression" dxfId="882" priority="6" stopIfTrue="1">
      <formula>IF(#REF!&gt;5,0,1)</formula>
    </cfRule>
  </conditionalFormatting>
  <conditionalFormatting sqref="T104:V104">
    <cfRule type="expression" dxfId="881" priority="7" stopIfTrue="1">
      <formula>IF(#REF!&gt;6,0,1)</formula>
    </cfRule>
  </conditionalFormatting>
  <conditionalFormatting sqref="W104:Y104">
    <cfRule type="expression" dxfId="880" priority="8" stopIfTrue="1">
      <formula>IF(#REF!&gt;7,0,1)</formula>
    </cfRule>
  </conditionalFormatting>
  <conditionalFormatting sqref="Z104:AB104">
    <cfRule type="expression" dxfId="879" priority="9" stopIfTrue="1">
      <formula>IF(#REF!&gt;8,0,1)</formula>
    </cfRule>
  </conditionalFormatting>
  <conditionalFormatting sqref="AC104:AE104">
    <cfRule type="expression" dxfId="878" priority="10" stopIfTrue="1">
      <formula>IF(#REF!&gt;9,0,1)</formula>
    </cfRule>
  </conditionalFormatting>
  <pageMargins left="0.25" right="0.25" top="0.25" bottom="0.25" header="0" footer="0"/>
  <pageSetup scale="80" fitToHeight="5" orientation="landscape"/>
  <headerFooter alignWithMargins="0"/>
  <rowBreaks count="2" manualBreakCount="2">
    <brk id="90" max="42" man="1"/>
    <brk id="181" max="42" man="1"/>
  </rowBreaks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>
    <tabColor indexed="11"/>
  </sheetPr>
  <dimension ref="A1:BY430"/>
  <sheetViews>
    <sheetView zoomScale="85" zoomScaleNormal="85" workbookViewId="0">
      <selection activeCell="AW3" sqref="AW3:AW7"/>
    </sheetView>
  </sheetViews>
  <sheetFormatPr defaultColWidth="8.7109375" defaultRowHeight="12.75" x14ac:dyDescent="0.2"/>
  <cols>
    <col min="1" max="1" width="8.7109375" style="134"/>
    <col min="2" max="2" width="3.7109375" style="134" customWidth="1"/>
    <col min="3" max="3" width="2.28515625" style="134" customWidth="1"/>
    <col min="4" max="5" width="3.7109375" style="134" customWidth="1"/>
    <col min="6" max="6" width="2.28515625" style="134" customWidth="1"/>
    <col min="7" max="8" width="3.7109375" style="134" customWidth="1"/>
    <col min="9" max="9" width="2.28515625" style="134" customWidth="1"/>
    <col min="10" max="11" width="3.7109375" style="134" customWidth="1"/>
    <col min="12" max="12" width="2.28515625" style="134" customWidth="1"/>
    <col min="13" max="14" width="3.7109375" style="134" customWidth="1"/>
    <col min="15" max="15" width="2.28515625" style="134" customWidth="1"/>
    <col min="16" max="17" width="3.7109375" style="134" customWidth="1"/>
    <col min="18" max="18" width="2.28515625" style="134" customWidth="1"/>
    <col min="19" max="20" width="3.7109375" style="134" customWidth="1"/>
    <col min="21" max="21" width="2.28515625" style="134" customWidth="1"/>
    <col min="22" max="23" width="3.7109375" style="134" customWidth="1"/>
    <col min="24" max="24" width="2.28515625" style="134" customWidth="1"/>
    <col min="25" max="26" width="3.7109375" style="134" customWidth="1"/>
    <col min="27" max="27" width="2.28515625" style="134" customWidth="1"/>
    <col min="28" max="29" width="3.7109375" style="134" customWidth="1"/>
    <col min="30" max="30" width="2.28515625" style="134" customWidth="1"/>
    <col min="31" max="31" width="3.7109375" style="134" customWidth="1"/>
    <col min="32" max="32" width="9.7109375" style="134" customWidth="1"/>
    <col min="33" max="42" width="3.7109375" style="134" customWidth="1"/>
    <col min="43" max="43" width="11" style="134" customWidth="1"/>
    <col min="44" max="46" width="8.7109375" style="134"/>
    <col min="47" max="47" width="21" style="134" customWidth="1"/>
    <col min="48" max="48" width="24.42578125" style="134" customWidth="1"/>
    <col min="49" max="49" width="14.28515625" style="134" bestFit="1" customWidth="1"/>
    <col min="50" max="50" width="10" style="134" customWidth="1"/>
    <col min="51" max="51" width="10.42578125" style="134" customWidth="1"/>
    <col min="52" max="52" width="25" style="134" customWidth="1"/>
    <col min="53" max="53" width="6" style="134" customWidth="1"/>
    <col min="54" max="16384" width="8.7109375" style="134"/>
  </cols>
  <sheetData>
    <row r="1" spans="1:53" ht="13.5" thickBot="1" x14ac:dyDescent="0.25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131"/>
      <c r="AK1" s="131"/>
      <c r="AL1" s="131"/>
      <c r="AM1" s="131"/>
      <c r="AN1" s="131"/>
      <c r="AO1" s="131"/>
      <c r="AP1" s="131"/>
      <c r="AQ1" s="132" t="s">
        <v>1</v>
      </c>
      <c r="AR1" s="133"/>
      <c r="AT1" s="579" t="s">
        <v>2</v>
      </c>
      <c r="AU1" s="580"/>
      <c r="AV1" s="581"/>
      <c r="AW1" s="135"/>
      <c r="AX1" s="312" t="s">
        <v>3</v>
      </c>
      <c r="AY1" s="313"/>
      <c r="AZ1" s="136" t="s">
        <v>4</v>
      </c>
      <c r="BA1" s="137">
        <v>32</v>
      </c>
    </row>
    <row r="2" spans="1:53" ht="18.75" customHeight="1" thickBot="1" x14ac:dyDescent="0.3">
      <c r="A2" s="314" t="s">
        <v>5</v>
      </c>
      <c r="B2" s="315"/>
      <c r="C2" s="315"/>
      <c r="D2" s="315"/>
      <c r="E2" s="315"/>
      <c r="F2" s="315"/>
      <c r="G2" s="315"/>
      <c r="H2" s="315"/>
      <c r="I2" s="316"/>
      <c r="J2" s="317" t="s">
        <v>6</v>
      </c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9"/>
      <c r="Y2" s="320" t="s">
        <v>7</v>
      </c>
      <c r="Z2" s="321"/>
      <c r="AA2" s="321"/>
      <c r="AB2" s="321"/>
      <c r="AC2" s="322"/>
      <c r="AD2" s="323" t="s">
        <v>168</v>
      </c>
      <c r="AE2" s="323"/>
      <c r="AF2" s="323"/>
      <c r="AG2" s="323"/>
      <c r="AH2" s="323"/>
      <c r="AI2" s="324"/>
      <c r="AJ2" s="138"/>
      <c r="AK2" s="138"/>
      <c r="AL2" s="138"/>
      <c r="AM2" s="138"/>
      <c r="AN2" s="138"/>
      <c r="AO2" s="138"/>
      <c r="AP2" s="138"/>
      <c r="AQ2" s="138"/>
      <c r="AR2" s="133"/>
      <c r="AT2" s="139" t="s">
        <v>9</v>
      </c>
      <c r="AU2" s="140" t="s">
        <v>10</v>
      </c>
      <c r="AV2" s="141" t="s">
        <v>11</v>
      </c>
      <c r="AW2" s="142" t="s">
        <v>12</v>
      </c>
      <c r="AX2" s="143" t="s">
        <v>13</v>
      </c>
      <c r="AY2" s="142" t="s">
        <v>14</v>
      </c>
      <c r="AZ2" s="136" t="s">
        <v>15</v>
      </c>
      <c r="BA2" s="137">
        <v>16</v>
      </c>
    </row>
    <row r="3" spans="1:53" ht="18.75" customHeight="1" thickBot="1" x14ac:dyDescent="0.3">
      <c r="A3" s="144" t="s">
        <v>16</v>
      </c>
      <c r="B3" s="325" t="s">
        <v>169</v>
      </c>
      <c r="C3" s="326"/>
      <c r="D3" s="326"/>
      <c r="E3" s="326"/>
      <c r="F3" s="326"/>
      <c r="G3" s="326"/>
      <c r="H3" s="326"/>
      <c r="I3" s="326"/>
      <c r="J3" s="326"/>
      <c r="K3" s="326"/>
      <c r="L3" s="326"/>
      <c r="M3" s="326"/>
      <c r="N3" s="326"/>
      <c r="O3" s="327"/>
      <c r="P3" s="328" t="s">
        <v>18</v>
      </c>
      <c r="Q3" s="329"/>
      <c r="R3" s="329"/>
      <c r="S3" s="330">
        <v>18</v>
      </c>
      <c r="T3" s="331"/>
      <c r="U3" s="331"/>
      <c r="V3" s="331"/>
      <c r="W3" s="331"/>
      <c r="X3" s="332"/>
      <c r="Y3" s="333" t="s">
        <v>19</v>
      </c>
      <c r="Z3" s="334"/>
      <c r="AA3" s="334"/>
      <c r="AB3" s="334"/>
      <c r="AC3" s="334"/>
      <c r="AD3" s="335"/>
      <c r="AE3" s="336" t="s">
        <v>20</v>
      </c>
      <c r="AF3" s="337"/>
      <c r="AG3" s="338" t="s">
        <v>21</v>
      </c>
      <c r="AH3" s="338"/>
      <c r="AI3" s="339"/>
      <c r="AJ3" s="138"/>
      <c r="AK3" s="138"/>
      <c r="AL3" s="138"/>
      <c r="AM3" s="138"/>
      <c r="AN3" s="138"/>
      <c r="AO3" s="138"/>
      <c r="AP3" s="138"/>
      <c r="AQ3" s="138"/>
      <c r="AR3" s="133"/>
      <c r="AT3" s="145">
        <v>1</v>
      </c>
      <c r="AU3" s="146" t="s">
        <v>170</v>
      </c>
      <c r="AV3" s="146" t="s">
        <v>171</v>
      </c>
      <c r="AW3" s="147">
        <f>VLOOKUP(AV3,Initial!G:K,5,FALSE)</f>
        <v>2695.8819375084886</v>
      </c>
      <c r="AX3" s="148">
        <f>VLOOKUP(AU3,AT$79:AU$83,2,FALSE)</f>
        <v>2746.3357508323948</v>
      </c>
      <c r="AY3" s="149">
        <f>IF(ISNA(VLOOKUP(AU3,AT$96:AU$148,2,FALSE)),AX3,VLOOKUP(AU3,AT$96:AU$148,2,FALSE))</f>
        <v>2729.9711784317674</v>
      </c>
    </row>
    <row r="4" spans="1:53" ht="24" customHeight="1" thickBot="1" x14ac:dyDescent="0.25">
      <c r="A4" s="340" t="s">
        <v>24</v>
      </c>
      <c r="B4" s="341"/>
      <c r="C4" s="341"/>
      <c r="D4" s="342"/>
      <c r="E4" s="343" t="s">
        <v>25</v>
      </c>
      <c r="F4" s="344"/>
      <c r="G4" s="344"/>
      <c r="H4" s="344"/>
      <c r="I4" s="344"/>
      <c r="J4" s="344"/>
      <c r="K4" s="344"/>
      <c r="L4" s="344"/>
      <c r="M4" s="345"/>
      <c r="N4" s="340" t="s">
        <v>26</v>
      </c>
      <c r="O4" s="341"/>
      <c r="P4" s="341"/>
      <c r="Q4" s="342"/>
      <c r="R4" s="346"/>
      <c r="S4" s="323"/>
      <c r="T4" s="323"/>
      <c r="U4" s="323"/>
      <c r="V4" s="323"/>
      <c r="W4" s="323"/>
      <c r="X4" s="323"/>
      <c r="Y4" s="323"/>
      <c r="Z4" s="323"/>
      <c r="AA4" s="324"/>
      <c r="AB4" s="340" t="s">
        <v>27</v>
      </c>
      <c r="AC4" s="341"/>
      <c r="AD4" s="341"/>
      <c r="AE4" s="342"/>
      <c r="AF4" s="346"/>
      <c r="AG4" s="323"/>
      <c r="AH4" s="323"/>
      <c r="AI4" s="324"/>
      <c r="AJ4" s="138"/>
      <c r="AK4" s="138"/>
      <c r="AL4" s="138"/>
      <c r="AM4" s="138"/>
      <c r="AN4" s="138"/>
      <c r="AO4" s="138"/>
      <c r="AP4" s="138"/>
      <c r="AQ4" s="138"/>
      <c r="AR4" s="133"/>
      <c r="AT4" s="150">
        <v>2</v>
      </c>
      <c r="AU4" s="146" t="s">
        <v>172</v>
      </c>
      <c r="AV4" s="146" t="s">
        <v>173</v>
      </c>
      <c r="AW4" s="147">
        <f>VLOOKUP(AV4,Initial!G:K,5,FALSE)</f>
        <v>2607.9641530366357</v>
      </c>
      <c r="AX4" s="151">
        <f>VLOOKUP(AU4,AT$79:AU$83,2,FALSE)</f>
        <v>2664.0563656298405</v>
      </c>
      <c r="AY4" s="152">
        <f>IF(ISNA(VLOOKUP(AU4,AT$96:AU$148,2,FALSE)),AX4,VLOOKUP(AU4,AT$96:AU$148,2,FALSE))</f>
        <v>2679.7684181029094</v>
      </c>
    </row>
    <row r="5" spans="1:53" ht="15.75" thickBot="1" x14ac:dyDescent="0.25">
      <c r="A5" s="131" t="s">
        <v>30</v>
      </c>
      <c r="B5" s="347" t="s">
        <v>30</v>
      </c>
      <c r="C5" s="348"/>
      <c r="D5" s="348"/>
      <c r="E5" s="348"/>
      <c r="F5" s="348"/>
      <c r="G5" s="348"/>
      <c r="H5" s="348"/>
      <c r="I5" s="348"/>
      <c r="J5" s="348"/>
      <c r="K5" s="349" t="s">
        <v>30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49"/>
      <c r="AD5" s="349"/>
      <c r="AE5" s="349"/>
      <c r="AF5" s="131"/>
      <c r="AG5" s="131"/>
      <c r="AH5" s="131"/>
      <c r="AI5" s="131"/>
      <c r="AJ5" s="131"/>
      <c r="AK5" s="131"/>
      <c r="AL5" s="131"/>
      <c r="AM5" s="131"/>
      <c r="AN5" s="131"/>
      <c r="AO5" s="131"/>
      <c r="AP5" s="131"/>
      <c r="AQ5" s="131"/>
      <c r="AR5" s="133"/>
      <c r="AT5" s="150">
        <v>3</v>
      </c>
      <c r="AU5" s="146" t="s">
        <v>174</v>
      </c>
      <c r="AV5" s="146" t="s">
        <v>175</v>
      </c>
      <c r="AW5" s="147">
        <f>VLOOKUP(AV5,Initial!G:K,5,FALSE)</f>
        <v>2604.5313523756722</v>
      </c>
      <c r="AX5" s="151">
        <f>VLOOKUP(AU5,AT$79:AU$83,2,FALSE)</f>
        <v>2571.4156432282916</v>
      </c>
      <c r="AY5" s="152">
        <f>IF(ISNA(VLOOKUP(AU5,AT$96:AU$148,2,FALSE)),AX5,VLOOKUP(AU5,AT$96:AU$148,2,FALSE))</f>
        <v>2574.5716672740141</v>
      </c>
    </row>
    <row r="6" spans="1:53" ht="24" customHeight="1" thickBot="1" x14ac:dyDescent="0.25">
      <c r="A6" s="153" t="s">
        <v>33</v>
      </c>
      <c r="B6" s="154" t="s">
        <v>34</v>
      </c>
      <c r="C6" s="350" t="s">
        <v>35</v>
      </c>
      <c r="D6" s="351"/>
      <c r="E6" s="351"/>
      <c r="F6" s="351"/>
      <c r="G6" s="351"/>
      <c r="H6" s="352"/>
      <c r="I6" s="353">
        <v>1</v>
      </c>
      <c r="J6" s="354"/>
      <c r="K6" s="355" t="str">
        <f>"Pool "&amp;B6&amp;" - Round 1 - Court "&amp;I6</f>
        <v>Pool A - Round 1 - Court 1</v>
      </c>
      <c r="L6" s="356"/>
      <c r="M6" s="356"/>
      <c r="N6" s="356"/>
      <c r="O6" s="356"/>
      <c r="P6" s="356"/>
      <c r="Q6" s="356"/>
      <c r="R6" s="356"/>
      <c r="S6" s="356"/>
      <c r="T6" s="356"/>
      <c r="U6" s="356"/>
      <c r="V6" s="356"/>
      <c r="W6" s="356"/>
      <c r="X6" s="356"/>
      <c r="Y6" s="356"/>
      <c r="Z6" s="356"/>
      <c r="AA6" s="356"/>
      <c r="AB6" s="356"/>
      <c r="AC6" s="356"/>
      <c r="AD6" s="356"/>
      <c r="AE6" s="356"/>
      <c r="AF6" s="356"/>
      <c r="AG6" s="356"/>
      <c r="AH6" s="356"/>
      <c r="AI6" s="357"/>
      <c r="AJ6" s="138"/>
      <c r="AK6" s="138"/>
      <c r="AL6" s="138"/>
      <c r="AM6" s="138"/>
      <c r="AN6" s="138"/>
      <c r="AO6" s="138"/>
      <c r="AP6" s="138"/>
      <c r="AQ6" s="138"/>
      <c r="AT6" s="150">
        <v>4</v>
      </c>
      <c r="AU6" s="146" t="s">
        <v>176</v>
      </c>
      <c r="AV6" s="146" t="s">
        <v>177</v>
      </c>
      <c r="AW6" s="147">
        <f>VLOOKUP(AV6,Initial!G:K,5,FALSE)</f>
        <v>2601.7693263635874</v>
      </c>
      <c r="AX6" s="151">
        <f>VLOOKUP(AU6,AT$79:AU$83,2,FALSE)</f>
        <v>2583.049787744505</v>
      </c>
      <c r="AY6" s="152">
        <f>IF(ISNA(VLOOKUP(AU6,AT$96:AU$148,2,FALSE)),AX6,VLOOKUP(AU6,AT$96:AU$148,2,FALSE))</f>
        <v>2580.5462836263409</v>
      </c>
    </row>
    <row r="7" spans="1:53" ht="27" customHeight="1" thickBot="1" x14ac:dyDescent="0.25">
      <c r="A7" s="155" t="s">
        <v>38</v>
      </c>
      <c r="B7" s="358" t="s">
        <v>10</v>
      </c>
      <c r="C7" s="359"/>
      <c r="D7" s="359"/>
      <c r="E7" s="359"/>
      <c r="F7" s="359"/>
      <c r="G7" s="359"/>
      <c r="H7" s="359"/>
      <c r="I7" s="359"/>
      <c r="J7" s="359"/>
      <c r="K7" s="359"/>
      <c r="L7" s="358" t="str">
        <f>IF($AK10=0,"Games Won","Matches Won")</f>
        <v>Games Won</v>
      </c>
      <c r="M7" s="359"/>
      <c r="N7" s="359"/>
      <c r="O7" s="359"/>
      <c r="P7" s="359"/>
      <c r="Q7" s="360"/>
      <c r="R7" s="358" t="str">
        <f>IF($AK10=0,"Games Lost","Matches Lost")</f>
        <v>Games Lost</v>
      </c>
      <c r="S7" s="361"/>
      <c r="T7" s="361"/>
      <c r="U7" s="361"/>
      <c r="V7" s="362"/>
      <c r="W7" s="363" t="s">
        <v>39</v>
      </c>
      <c r="X7" s="364"/>
      <c r="Y7" s="365"/>
      <c r="Z7" s="363" t="s">
        <v>40</v>
      </c>
      <c r="AA7" s="364"/>
      <c r="AB7" s="365"/>
      <c r="AC7" s="366" t="s">
        <v>41</v>
      </c>
      <c r="AD7" s="367"/>
      <c r="AE7" s="368"/>
      <c r="AF7" s="156" t="s">
        <v>42</v>
      </c>
      <c r="AG7" s="157" t="s">
        <v>9</v>
      </c>
      <c r="AH7" s="369" t="s">
        <v>43</v>
      </c>
      <c r="AI7" s="370"/>
      <c r="AJ7" s="158"/>
      <c r="AK7" s="159">
        <v>2</v>
      </c>
      <c r="AL7" s="160" t="s">
        <v>44</v>
      </c>
      <c r="AM7" s="160"/>
      <c r="AN7" s="160"/>
      <c r="AO7" s="160"/>
      <c r="AP7" s="160"/>
      <c r="AQ7" s="160"/>
      <c r="AR7" s="161"/>
      <c r="AT7" s="162">
        <v>5</v>
      </c>
      <c r="AU7" s="146" t="s">
        <v>178</v>
      </c>
      <c r="AV7" s="146" t="s">
        <v>179</v>
      </c>
      <c r="AW7" s="147">
        <f>VLOOKUP(AV7,Initial!G:K,5,FALSE)</f>
        <v>2533.5380243836562</v>
      </c>
      <c r="AX7" s="163">
        <f>VLOOKUP(AU7,AT$79:AU$83,2,FALSE)</f>
        <v>2478.8272462330083</v>
      </c>
      <c r="AY7" s="164">
        <f>IF(ISNA(VLOOKUP(AU7,AT$96:AU$148,2,FALSE)),AX7,VLOOKUP(AU7,AT$96:AU$148,2,FALSE))</f>
        <v>2478.8272462330083</v>
      </c>
    </row>
    <row r="8" spans="1:53" ht="18.75" customHeight="1" x14ac:dyDescent="0.2">
      <c r="A8" s="371" t="str">
        <f>IF($AK9&gt;0,"1","")</f>
        <v>1</v>
      </c>
      <c r="B8" s="373" t="s">
        <v>10</v>
      </c>
      <c r="C8" s="374"/>
      <c r="D8" s="375"/>
      <c r="E8" s="376" t="str">
        <f>AU3</f>
        <v>KVC 17</v>
      </c>
      <c r="F8" s="377"/>
      <c r="G8" s="377"/>
      <c r="H8" s="377"/>
      <c r="I8" s="377"/>
      <c r="J8" s="377"/>
      <c r="K8" s="378"/>
      <c r="L8" s="379">
        <f>IF($AK10=0,AF64,AF46)</f>
        <v>7</v>
      </c>
      <c r="M8" s="380"/>
      <c r="N8" s="380"/>
      <c r="O8" s="380"/>
      <c r="P8" s="380"/>
      <c r="Q8" s="360"/>
      <c r="R8" s="379">
        <f>IF($AK10=0,AG64,AG46)</f>
        <v>1</v>
      </c>
      <c r="S8" s="380"/>
      <c r="T8" s="380"/>
      <c r="U8" s="380"/>
      <c r="V8" s="380"/>
      <c r="W8" s="379">
        <f>AQ24</f>
        <v>40</v>
      </c>
      <c r="X8" s="380"/>
      <c r="Y8" s="380"/>
      <c r="Z8" s="383">
        <f>IF(AF58&gt;0,(AQ24/AF58),0)</f>
        <v>0.19704433497536947</v>
      </c>
      <c r="AA8" s="384"/>
      <c r="AB8" s="384"/>
      <c r="AC8" s="387">
        <f>IF(AF72=0,0,(AF64/AF72))</f>
        <v>0.875</v>
      </c>
      <c r="AD8" s="388"/>
      <c r="AE8" s="389"/>
      <c r="AF8" s="393">
        <v>1</v>
      </c>
      <c r="AG8" s="393">
        <v>1</v>
      </c>
      <c r="AH8" s="395">
        <v>2</v>
      </c>
      <c r="AI8" s="396"/>
      <c r="AJ8" s="158"/>
      <c r="AK8" s="159">
        <v>10</v>
      </c>
      <c r="AL8" s="160" t="s">
        <v>47</v>
      </c>
      <c r="AM8" s="160"/>
      <c r="AN8" s="160"/>
      <c r="AO8" s="160"/>
      <c r="AP8" s="160"/>
      <c r="AQ8" s="160"/>
      <c r="AR8" s="161"/>
      <c r="AT8" s="408" t="s">
        <v>62</v>
      </c>
      <c r="AU8" s="409"/>
      <c r="AV8" s="409"/>
      <c r="AW8" s="409"/>
      <c r="AX8" s="409"/>
      <c r="AY8" s="410"/>
    </row>
    <row r="9" spans="1:53" ht="18.75" customHeight="1" thickBot="1" x14ac:dyDescent="0.25">
      <c r="A9" s="372"/>
      <c r="B9" s="399" t="s">
        <v>11</v>
      </c>
      <c r="C9" s="400"/>
      <c r="D9" s="401"/>
      <c r="E9" s="402" t="str">
        <f>AV3</f>
        <v>fj7kvcjr1pm</v>
      </c>
      <c r="F9" s="403"/>
      <c r="G9" s="403"/>
      <c r="H9" s="403"/>
      <c r="I9" s="403"/>
      <c r="J9" s="403"/>
      <c r="K9" s="403"/>
      <c r="L9" s="381"/>
      <c r="M9" s="382"/>
      <c r="N9" s="382"/>
      <c r="O9" s="382"/>
      <c r="P9" s="382"/>
      <c r="Q9" s="360"/>
      <c r="R9" s="381"/>
      <c r="S9" s="382"/>
      <c r="T9" s="382"/>
      <c r="U9" s="382"/>
      <c r="V9" s="382"/>
      <c r="W9" s="381"/>
      <c r="X9" s="382"/>
      <c r="Y9" s="382"/>
      <c r="Z9" s="385"/>
      <c r="AA9" s="386"/>
      <c r="AB9" s="386"/>
      <c r="AC9" s="390"/>
      <c r="AD9" s="391"/>
      <c r="AE9" s="392"/>
      <c r="AF9" s="394"/>
      <c r="AG9" s="394"/>
      <c r="AH9" s="397"/>
      <c r="AI9" s="398"/>
      <c r="AJ9" s="158"/>
      <c r="AK9" s="159">
        <v>5</v>
      </c>
      <c r="AL9" s="160" t="s">
        <v>50</v>
      </c>
      <c r="AM9" s="158"/>
      <c r="AN9" s="158"/>
      <c r="AO9" s="158"/>
      <c r="AP9" s="158"/>
      <c r="AQ9" s="158"/>
      <c r="AR9" s="133"/>
      <c r="AT9" s="411"/>
      <c r="AU9" s="412"/>
      <c r="AV9" s="412"/>
      <c r="AW9" s="412"/>
      <c r="AX9" s="412"/>
      <c r="AY9" s="413"/>
    </row>
    <row r="10" spans="1:53" ht="18.75" customHeight="1" x14ac:dyDescent="0.2">
      <c r="A10" s="371" t="str">
        <f>IF($AK9&gt;1,"2","")</f>
        <v>2</v>
      </c>
      <c r="B10" s="373" t="s">
        <v>10</v>
      </c>
      <c r="C10" s="374"/>
      <c r="D10" s="375"/>
      <c r="E10" s="376" t="str">
        <f>AU4</f>
        <v>SVBC Blazers 18</v>
      </c>
      <c r="F10" s="377"/>
      <c r="G10" s="377"/>
      <c r="H10" s="377"/>
      <c r="I10" s="377"/>
      <c r="J10" s="377"/>
      <c r="K10" s="378"/>
      <c r="L10" s="379">
        <f>IF($AK10=0,AF65,AF47)</f>
        <v>6</v>
      </c>
      <c r="M10" s="380"/>
      <c r="N10" s="380"/>
      <c r="O10" s="380"/>
      <c r="P10" s="380"/>
      <c r="Q10" s="360"/>
      <c r="R10" s="379">
        <f>IF($AK10=0,AG65,AG47)</f>
        <v>2</v>
      </c>
      <c r="S10" s="380"/>
      <c r="T10" s="380"/>
      <c r="U10" s="380"/>
      <c r="V10" s="380"/>
      <c r="W10" s="379">
        <f>AQ25</f>
        <v>43</v>
      </c>
      <c r="X10" s="380"/>
      <c r="Y10" s="380"/>
      <c r="Z10" s="383">
        <f>IF(AF59&gt;0,(AQ25/AF59),0)</f>
        <v>0.21287128712871287</v>
      </c>
      <c r="AA10" s="384"/>
      <c r="AB10" s="384"/>
      <c r="AC10" s="387">
        <f>IF(AF73=0,0,(AF65/AF73))</f>
        <v>0.75</v>
      </c>
      <c r="AD10" s="388"/>
      <c r="AE10" s="389"/>
      <c r="AF10" s="393">
        <v>2</v>
      </c>
      <c r="AG10" s="393">
        <v>1</v>
      </c>
      <c r="AH10" s="395">
        <v>1</v>
      </c>
      <c r="AI10" s="396"/>
      <c r="AJ10" s="158"/>
      <c r="AK10" s="159">
        <v>0</v>
      </c>
      <c r="AL10" s="160" t="s">
        <v>53</v>
      </c>
      <c r="AM10" s="160"/>
      <c r="AN10" s="160"/>
      <c r="AO10" s="160"/>
      <c r="AP10" s="160"/>
      <c r="AQ10" s="160"/>
      <c r="AR10" s="161"/>
    </row>
    <row r="11" spans="1:53" ht="18.75" customHeight="1" thickBot="1" x14ac:dyDescent="0.25">
      <c r="A11" s="372"/>
      <c r="B11" s="404" t="s">
        <v>11</v>
      </c>
      <c r="C11" s="405"/>
      <c r="D11" s="405"/>
      <c r="E11" s="402" t="str">
        <f>AV4</f>
        <v>fj8sandh1pm</v>
      </c>
      <c r="F11" s="403"/>
      <c r="G11" s="403"/>
      <c r="H11" s="403"/>
      <c r="I11" s="403"/>
      <c r="J11" s="403"/>
      <c r="K11" s="403"/>
      <c r="L11" s="381"/>
      <c r="M11" s="382"/>
      <c r="N11" s="382"/>
      <c r="O11" s="382"/>
      <c r="P11" s="382"/>
      <c r="Q11" s="360"/>
      <c r="R11" s="381"/>
      <c r="S11" s="382"/>
      <c r="T11" s="382"/>
      <c r="U11" s="382"/>
      <c r="V11" s="382"/>
      <c r="W11" s="381"/>
      <c r="X11" s="382"/>
      <c r="Y11" s="382"/>
      <c r="Z11" s="385"/>
      <c r="AA11" s="386"/>
      <c r="AB11" s="386"/>
      <c r="AC11" s="390"/>
      <c r="AD11" s="391"/>
      <c r="AE11" s="392"/>
      <c r="AF11" s="394"/>
      <c r="AG11" s="394"/>
      <c r="AH11" s="397"/>
      <c r="AI11" s="398"/>
      <c r="AJ11" s="158"/>
      <c r="AK11" s="159">
        <v>1</v>
      </c>
      <c r="AL11" s="160" t="s">
        <v>56</v>
      </c>
      <c r="AM11" s="158"/>
      <c r="AN11" s="158"/>
      <c r="AO11" s="158"/>
      <c r="AP11" s="158"/>
      <c r="AQ11" s="158"/>
      <c r="AR11" s="133"/>
      <c r="AT11" s="165"/>
      <c r="AU11" s="166"/>
      <c r="AV11" s="166"/>
    </row>
    <row r="12" spans="1:53" ht="18.75" customHeight="1" x14ac:dyDescent="0.2">
      <c r="A12" s="371" t="str">
        <f>IF($AK9&gt;2,"3","")</f>
        <v>3</v>
      </c>
      <c r="B12" s="406" t="s">
        <v>10</v>
      </c>
      <c r="C12" s="407"/>
      <c r="D12" s="407"/>
      <c r="E12" s="376" t="str">
        <f>AU5</f>
        <v>Branchville Juniors 18U</v>
      </c>
      <c r="F12" s="377"/>
      <c r="G12" s="377"/>
      <c r="H12" s="377"/>
      <c r="I12" s="377"/>
      <c r="J12" s="377"/>
      <c r="K12" s="378"/>
      <c r="L12" s="379">
        <f>IF($AK10=0,AF66,AF48)</f>
        <v>3</v>
      </c>
      <c r="M12" s="380"/>
      <c r="N12" s="380"/>
      <c r="O12" s="380"/>
      <c r="P12" s="380"/>
      <c r="Q12" s="360"/>
      <c r="R12" s="379">
        <f>IF($AK10=0,AG66,AG48)</f>
        <v>5</v>
      </c>
      <c r="S12" s="380"/>
      <c r="T12" s="380"/>
      <c r="U12" s="380"/>
      <c r="V12" s="380"/>
      <c r="W12" s="379">
        <f>AQ26</f>
        <v>-30</v>
      </c>
      <c r="X12" s="380"/>
      <c r="Y12" s="380"/>
      <c r="Z12" s="383">
        <f>IF(AF60&gt;0,(AQ26/AF60),0)</f>
        <v>-0.15</v>
      </c>
      <c r="AA12" s="384"/>
      <c r="AB12" s="384"/>
      <c r="AC12" s="387">
        <f>IF(AF74=0,0,(AF66/AF74))</f>
        <v>0.375</v>
      </c>
      <c r="AD12" s="388"/>
      <c r="AE12" s="389"/>
      <c r="AF12" s="393">
        <v>4</v>
      </c>
      <c r="AG12" s="393">
        <v>2</v>
      </c>
      <c r="AH12" s="395"/>
      <c r="AI12" s="396"/>
      <c r="AJ12" s="167"/>
      <c r="AK12" s="159">
        <v>8</v>
      </c>
      <c r="AL12" s="168" t="s">
        <v>59</v>
      </c>
      <c r="AM12" s="160"/>
      <c r="AN12" s="160"/>
      <c r="AO12" s="160"/>
      <c r="AP12" s="160"/>
      <c r="AQ12" s="160"/>
      <c r="AR12" s="161"/>
      <c r="AT12" s="165"/>
      <c r="AU12" s="166"/>
      <c r="AV12" s="166"/>
    </row>
    <row r="13" spans="1:53" ht="18.75" customHeight="1" thickBot="1" x14ac:dyDescent="0.25">
      <c r="A13" s="372"/>
      <c r="B13" s="404" t="s">
        <v>11</v>
      </c>
      <c r="C13" s="405"/>
      <c r="D13" s="405"/>
      <c r="E13" s="402" t="str">
        <f>AV5</f>
        <v>fj8branc3pm</v>
      </c>
      <c r="F13" s="403"/>
      <c r="G13" s="403"/>
      <c r="H13" s="403"/>
      <c r="I13" s="403"/>
      <c r="J13" s="403"/>
      <c r="K13" s="403"/>
      <c r="L13" s="381"/>
      <c r="M13" s="382"/>
      <c r="N13" s="382"/>
      <c r="O13" s="382"/>
      <c r="P13" s="382"/>
      <c r="Q13" s="360"/>
      <c r="R13" s="381"/>
      <c r="S13" s="382"/>
      <c r="T13" s="382"/>
      <c r="U13" s="382"/>
      <c r="V13" s="382"/>
      <c r="W13" s="381"/>
      <c r="X13" s="382"/>
      <c r="Y13" s="382"/>
      <c r="Z13" s="385"/>
      <c r="AA13" s="386"/>
      <c r="AB13" s="386"/>
      <c r="AC13" s="390"/>
      <c r="AD13" s="391"/>
      <c r="AE13" s="392"/>
      <c r="AF13" s="394"/>
      <c r="AG13" s="394"/>
      <c r="AH13" s="397"/>
      <c r="AI13" s="398"/>
      <c r="AJ13" s="167"/>
      <c r="AK13" s="169"/>
      <c r="AL13" s="170"/>
      <c r="AM13" s="170"/>
      <c r="AN13" s="170"/>
      <c r="AO13" s="170"/>
      <c r="AP13" s="170"/>
      <c r="AQ13" s="158"/>
      <c r="AR13" s="133"/>
      <c r="AT13" s="165"/>
      <c r="AU13" s="166"/>
      <c r="AV13" s="166"/>
    </row>
    <row r="14" spans="1:53" ht="18.75" customHeight="1" x14ac:dyDescent="0.2">
      <c r="A14" s="371" t="str">
        <f>IF($AK9&gt;3,"4","")</f>
        <v>4</v>
      </c>
      <c r="B14" s="406" t="s">
        <v>10</v>
      </c>
      <c r="C14" s="407"/>
      <c r="D14" s="407"/>
      <c r="E14" s="376" t="str">
        <f>AU6</f>
        <v>Sumter VBC 18</v>
      </c>
      <c r="F14" s="377"/>
      <c r="G14" s="377"/>
      <c r="H14" s="377"/>
      <c r="I14" s="377"/>
      <c r="J14" s="377"/>
      <c r="K14" s="378"/>
      <c r="L14" s="379">
        <f>IF($AK10=0,AF67,AF49)</f>
        <v>3</v>
      </c>
      <c r="M14" s="380"/>
      <c r="N14" s="380"/>
      <c r="O14" s="380"/>
      <c r="P14" s="380"/>
      <c r="Q14" s="360"/>
      <c r="R14" s="379">
        <f>IF($AK10=0,AG67,AG49)</f>
        <v>5</v>
      </c>
      <c r="S14" s="380"/>
      <c r="T14" s="380"/>
      <c r="U14" s="380"/>
      <c r="V14" s="380"/>
      <c r="W14" s="379">
        <f>AQ27</f>
        <v>3</v>
      </c>
      <c r="X14" s="380"/>
      <c r="Y14" s="380"/>
      <c r="Z14" s="383">
        <f>IF(AF61&gt;0,(AQ27/AF61),0)</f>
        <v>1.4778325123152709E-2</v>
      </c>
      <c r="AA14" s="384"/>
      <c r="AB14" s="384"/>
      <c r="AC14" s="387">
        <f>IF(AF75=0,0,(AF67/AF75))</f>
        <v>0.375</v>
      </c>
      <c r="AD14" s="388"/>
      <c r="AE14" s="389"/>
      <c r="AF14" s="393">
        <v>3</v>
      </c>
      <c r="AG14" s="393">
        <v>2</v>
      </c>
      <c r="AH14" s="395"/>
      <c r="AI14" s="396"/>
      <c r="AJ14" s="138"/>
      <c r="AK14" s="170"/>
      <c r="AL14" s="170"/>
      <c r="AM14" s="170"/>
      <c r="AN14" s="170"/>
      <c r="AO14" s="170"/>
      <c r="AP14" s="170"/>
      <c r="AQ14" s="160"/>
      <c r="AR14" s="161"/>
      <c r="AT14" s="165"/>
      <c r="AU14" s="166"/>
      <c r="AV14" s="166"/>
    </row>
    <row r="15" spans="1:53" ht="18.75" customHeight="1" thickBot="1" x14ac:dyDescent="0.25">
      <c r="A15" s="372"/>
      <c r="B15" s="404" t="s">
        <v>11</v>
      </c>
      <c r="C15" s="405"/>
      <c r="D15" s="405"/>
      <c r="E15" s="402" t="str">
        <f>AV6</f>
        <v>fj8sumtr1pm</v>
      </c>
      <c r="F15" s="403"/>
      <c r="G15" s="403"/>
      <c r="H15" s="403"/>
      <c r="I15" s="403"/>
      <c r="J15" s="403"/>
      <c r="K15" s="403"/>
      <c r="L15" s="381"/>
      <c r="M15" s="382"/>
      <c r="N15" s="382"/>
      <c r="O15" s="382"/>
      <c r="P15" s="382"/>
      <c r="Q15" s="360"/>
      <c r="R15" s="381"/>
      <c r="S15" s="382"/>
      <c r="T15" s="382"/>
      <c r="U15" s="382"/>
      <c r="V15" s="382"/>
      <c r="W15" s="381"/>
      <c r="X15" s="382"/>
      <c r="Y15" s="382"/>
      <c r="Z15" s="385"/>
      <c r="AA15" s="386"/>
      <c r="AB15" s="386"/>
      <c r="AC15" s="390"/>
      <c r="AD15" s="391"/>
      <c r="AE15" s="392"/>
      <c r="AF15" s="394"/>
      <c r="AG15" s="394"/>
      <c r="AH15" s="397"/>
      <c r="AI15" s="398"/>
      <c r="AJ15" s="138"/>
      <c r="AK15" s="170"/>
      <c r="AL15" s="170"/>
      <c r="AM15" s="170"/>
      <c r="AN15" s="170"/>
      <c r="AO15" s="170"/>
      <c r="AP15" s="170"/>
      <c r="AQ15" s="138"/>
      <c r="AR15" s="133"/>
      <c r="AT15" s="165"/>
      <c r="AU15" s="166"/>
      <c r="AV15" s="166"/>
    </row>
    <row r="16" spans="1:53" ht="18.75" customHeight="1" x14ac:dyDescent="0.2">
      <c r="A16" s="371" t="str">
        <f>IF($AK9&gt;4,"5","")</f>
        <v>5</v>
      </c>
      <c r="B16" s="406" t="s">
        <v>10</v>
      </c>
      <c r="C16" s="407"/>
      <c r="D16" s="407"/>
      <c r="E16" s="376" t="str">
        <f>AU7</f>
        <v>Beaufort 18 Club</v>
      </c>
      <c r="F16" s="377"/>
      <c r="G16" s="377"/>
      <c r="H16" s="377"/>
      <c r="I16" s="377"/>
      <c r="J16" s="377"/>
      <c r="K16" s="378"/>
      <c r="L16" s="379">
        <f>IF($AK10=0,AF68,AF50)</f>
        <v>1</v>
      </c>
      <c r="M16" s="380"/>
      <c r="N16" s="380"/>
      <c r="O16" s="380"/>
      <c r="P16" s="380"/>
      <c r="Q16" s="360"/>
      <c r="R16" s="379">
        <f>IF($AK10=0,AG68,AG50)</f>
        <v>7</v>
      </c>
      <c r="S16" s="380"/>
      <c r="T16" s="380"/>
      <c r="U16" s="380"/>
      <c r="V16" s="380"/>
      <c r="W16" s="379">
        <f>AQ28</f>
        <v>-56</v>
      </c>
      <c r="X16" s="380"/>
      <c r="Y16" s="380"/>
      <c r="Z16" s="383">
        <f>IF(AF62&gt;0,(AQ28/AF62),0)</f>
        <v>-0.28000000000000003</v>
      </c>
      <c r="AA16" s="384"/>
      <c r="AB16" s="384"/>
      <c r="AC16" s="387">
        <f>IF(AF76=0,0,(AF68/AF76))</f>
        <v>0.125</v>
      </c>
      <c r="AD16" s="388"/>
      <c r="AE16" s="389"/>
      <c r="AF16" s="393">
        <v>5</v>
      </c>
      <c r="AG16" s="393">
        <v>1</v>
      </c>
      <c r="AH16" s="395"/>
      <c r="AI16" s="396"/>
      <c r="AJ16" s="138"/>
      <c r="AK16" s="170"/>
      <c r="AL16" s="170"/>
      <c r="AM16" s="170"/>
      <c r="AN16" s="170"/>
      <c r="AO16" s="170"/>
      <c r="AP16" s="170"/>
      <c r="AQ16" s="138"/>
      <c r="AR16" s="133"/>
      <c r="AT16" s="165"/>
      <c r="AU16" s="166"/>
      <c r="AV16" s="166"/>
    </row>
    <row r="17" spans="1:48" ht="18.75" customHeight="1" thickBot="1" x14ac:dyDescent="0.25">
      <c r="A17" s="372"/>
      <c r="B17" s="424" t="s">
        <v>11</v>
      </c>
      <c r="C17" s="425"/>
      <c r="D17" s="425"/>
      <c r="E17" s="426" t="str">
        <f>AV7</f>
        <v>fj8beauf1pm</v>
      </c>
      <c r="F17" s="427"/>
      <c r="G17" s="427"/>
      <c r="H17" s="427"/>
      <c r="I17" s="427"/>
      <c r="J17" s="427"/>
      <c r="K17" s="427"/>
      <c r="L17" s="414"/>
      <c r="M17" s="415"/>
      <c r="N17" s="415"/>
      <c r="O17" s="415"/>
      <c r="P17" s="415"/>
      <c r="Q17" s="360"/>
      <c r="R17" s="414"/>
      <c r="S17" s="415"/>
      <c r="T17" s="415"/>
      <c r="U17" s="415"/>
      <c r="V17" s="415"/>
      <c r="W17" s="414"/>
      <c r="X17" s="415"/>
      <c r="Y17" s="415"/>
      <c r="Z17" s="416"/>
      <c r="AA17" s="417"/>
      <c r="AB17" s="417"/>
      <c r="AC17" s="418"/>
      <c r="AD17" s="419"/>
      <c r="AE17" s="420"/>
      <c r="AF17" s="421"/>
      <c r="AG17" s="421"/>
      <c r="AH17" s="422"/>
      <c r="AI17" s="423"/>
      <c r="AJ17" s="138"/>
      <c r="AK17" s="170"/>
      <c r="AL17" s="170"/>
      <c r="AM17" s="170"/>
      <c r="AN17" s="170"/>
      <c r="AO17" s="170"/>
      <c r="AP17" s="170"/>
      <c r="AQ17" s="138"/>
      <c r="AR17" s="133"/>
      <c r="AT17" s="171"/>
      <c r="AU17" s="166"/>
      <c r="AV17" s="166"/>
    </row>
    <row r="18" spans="1:48" ht="21" customHeight="1" thickTop="1" thickBot="1" x14ac:dyDescent="0.25">
      <c r="A18" s="172"/>
      <c r="B18" s="428" t="s">
        <v>63</v>
      </c>
      <c r="C18" s="429"/>
      <c r="D18" s="429"/>
      <c r="E18" s="429"/>
      <c r="F18" s="429"/>
      <c r="G18" s="429"/>
      <c r="H18" s="429"/>
      <c r="I18" s="429"/>
      <c r="J18" s="429"/>
      <c r="K18" s="429"/>
      <c r="L18" s="429"/>
      <c r="M18" s="429"/>
      <c r="N18" s="429"/>
      <c r="O18" s="429"/>
      <c r="P18" s="429"/>
      <c r="Q18" s="429"/>
      <c r="R18" s="429"/>
      <c r="S18" s="429"/>
      <c r="T18" s="429"/>
      <c r="U18" s="429"/>
      <c r="V18" s="429"/>
      <c r="W18" s="429"/>
      <c r="X18" s="429"/>
      <c r="Y18" s="429"/>
      <c r="Z18" s="429"/>
      <c r="AA18" s="429"/>
      <c r="AB18" s="429"/>
      <c r="AC18" s="429"/>
      <c r="AD18" s="429"/>
      <c r="AE18" s="429"/>
      <c r="AF18" s="429"/>
      <c r="AG18" s="429"/>
      <c r="AH18" s="429"/>
      <c r="AI18" s="430"/>
      <c r="AJ18" s="138"/>
      <c r="AK18" s="170"/>
      <c r="AL18" s="170"/>
      <c r="AM18" s="170"/>
      <c r="AN18" s="170"/>
      <c r="AO18" s="170"/>
      <c r="AP18" s="170"/>
      <c r="AQ18" s="138"/>
      <c r="AR18" s="133"/>
      <c r="AT18" s="171"/>
      <c r="AU18" s="166"/>
      <c r="AV18" s="166"/>
    </row>
    <row r="19" spans="1:48" ht="13.5" thickTop="1" x14ac:dyDescent="0.2">
      <c r="A19" s="134" t="s">
        <v>64</v>
      </c>
      <c r="B19" s="431">
        <v>0.35416666666666669</v>
      </c>
      <c r="C19" s="432"/>
      <c r="D19" s="433"/>
      <c r="E19" s="431">
        <v>0.38541666666666669</v>
      </c>
      <c r="F19" s="432"/>
      <c r="G19" s="433"/>
      <c r="H19" s="431">
        <v>0.41666666666666669</v>
      </c>
      <c r="I19" s="432"/>
      <c r="J19" s="433"/>
      <c r="K19" s="431">
        <v>0.44791666666666669</v>
      </c>
      <c r="L19" s="432"/>
      <c r="M19" s="433"/>
      <c r="N19" s="431">
        <v>0.47916666666666669</v>
      </c>
      <c r="O19" s="432"/>
      <c r="P19" s="433"/>
      <c r="Q19" s="431">
        <v>0.51041666666666663</v>
      </c>
      <c r="R19" s="432"/>
      <c r="S19" s="433"/>
      <c r="T19" s="431">
        <v>4.1666666666666664E-2</v>
      </c>
      <c r="U19" s="432"/>
      <c r="V19" s="433"/>
      <c r="W19" s="431">
        <v>7.2916666666666671E-2</v>
      </c>
      <c r="X19" s="432"/>
      <c r="Y19" s="433"/>
      <c r="Z19" s="431">
        <v>0.10416666666666667</v>
      </c>
      <c r="AA19" s="432"/>
      <c r="AB19" s="433"/>
      <c r="AC19" s="431">
        <v>0.13541666666666666</v>
      </c>
      <c r="AD19" s="432"/>
      <c r="AE19" s="433"/>
      <c r="AF19" s="434" t="s">
        <v>65</v>
      </c>
      <c r="AG19" s="435"/>
      <c r="AH19" s="435"/>
      <c r="AI19" s="435"/>
      <c r="AJ19" s="436"/>
      <c r="AK19" s="436"/>
      <c r="AL19" s="436"/>
      <c r="AM19" s="436"/>
      <c r="AN19" s="436"/>
      <c r="AO19" s="436"/>
      <c r="AP19" s="436"/>
      <c r="AQ19" s="437"/>
      <c r="AT19" s="171"/>
      <c r="AU19" s="166"/>
      <c r="AV19" s="166"/>
    </row>
    <row r="20" spans="1:48" x14ac:dyDescent="0.2">
      <c r="A20" s="173" t="s">
        <v>66</v>
      </c>
      <c r="B20" s="442">
        <v>0.35416666666666669</v>
      </c>
      <c r="C20" s="443"/>
      <c r="D20" s="444"/>
      <c r="E20" s="442">
        <v>0.37847222222222227</v>
      </c>
      <c r="F20" s="443"/>
      <c r="G20" s="444"/>
      <c r="H20" s="442">
        <v>0.40972222222222227</v>
      </c>
      <c r="I20" s="443"/>
      <c r="J20" s="444"/>
      <c r="K20" s="442">
        <v>0.44166666666666665</v>
      </c>
      <c r="L20" s="443"/>
      <c r="M20" s="444"/>
      <c r="N20" s="442">
        <v>0.47569444444444442</v>
      </c>
      <c r="O20" s="443"/>
      <c r="P20" s="444"/>
      <c r="Q20" s="442">
        <v>0.5</v>
      </c>
      <c r="R20" s="443"/>
      <c r="S20" s="444"/>
      <c r="T20" s="442"/>
      <c r="U20" s="443"/>
      <c r="V20" s="444"/>
      <c r="W20" s="442">
        <v>5.5555555555555552E-2</v>
      </c>
      <c r="X20" s="443"/>
      <c r="Y20" s="444"/>
      <c r="Z20" s="442">
        <v>8.3333333333333329E-2</v>
      </c>
      <c r="AA20" s="443"/>
      <c r="AB20" s="444"/>
      <c r="AC20" s="442"/>
      <c r="AD20" s="443"/>
      <c r="AE20" s="444"/>
      <c r="AF20" s="434"/>
      <c r="AG20" s="435"/>
      <c r="AH20" s="435"/>
      <c r="AI20" s="435"/>
      <c r="AJ20" s="435"/>
      <c r="AK20" s="435"/>
      <c r="AL20" s="435"/>
      <c r="AM20" s="435"/>
      <c r="AN20" s="435"/>
      <c r="AO20" s="435"/>
      <c r="AP20" s="435"/>
      <c r="AQ20" s="438"/>
      <c r="AT20" s="171"/>
      <c r="AU20" s="166"/>
      <c r="AV20" s="166"/>
    </row>
    <row r="21" spans="1:48" x14ac:dyDescent="0.2">
      <c r="A21" s="173" t="s">
        <v>67</v>
      </c>
      <c r="B21" s="442">
        <v>0.375</v>
      </c>
      <c r="C21" s="443"/>
      <c r="D21" s="444"/>
      <c r="E21" s="442">
        <v>0.41666666666666669</v>
      </c>
      <c r="F21" s="443"/>
      <c r="G21" s="444"/>
      <c r="H21" s="442">
        <v>0.43402777777777773</v>
      </c>
      <c r="I21" s="443"/>
      <c r="J21" s="444"/>
      <c r="K21" s="442">
        <v>0.4680555555555555</v>
      </c>
      <c r="L21" s="443"/>
      <c r="M21" s="444"/>
      <c r="N21" s="442">
        <v>0.49305555555555558</v>
      </c>
      <c r="O21" s="443"/>
      <c r="P21" s="444"/>
      <c r="Q21" s="442">
        <v>4.1666666666666664E-2</v>
      </c>
      <c r="R21" s="443"/>
      <c r="S21" s="444"/>
      <c r="T21" s="442"/>
      <c r="U21" s="443"/>
      <c r="V21" s="444"/>
      <c r="W21" s="442">
        <v>7.4999999999999997E-2</v>
      </c>
      <c r="X21" s="443"/>
      <c r="Y21" s="444"/>
      <c r="Z21" s="442">
        <v>0.10416666666666667</v>
      </c>
      <c r="AA21" s="443"/>
      <c r="AB21" s="444"/>
      <c r="AC21" s="442"/>
      <c r="AD21" s="443"/>
      <c r="AE21" s="444"/>
      <c r="AF21" s="434"/>
      <c r="AG21" s="435"/>
      <c r="AH21" s="435"/>
      <c r="AI21" s="435"/>
      <c r="AJ21" s="435"/>
      <c r="AK21" s="435"/>
      <c r="AL21" s="435"/>
      <c r="AM21" s="435"/>
      <c r="AN21" s="435"/>
      <c r="AO21" s="435"/>
      <c r="AP21" s="435"/>
      <c r="AQ21" s="438"/>
    </row>
    <row r="22" spans="1:48" ht="13.5" thickBot="1" x14ac:dyDescent="0.25">
      <c r="A22" s="138"/>
      <c r="B22" s="445" t="s">
        <v>68</v>
      </c>
      <c r="C22" s="446"/>
      <c r="D22" s="447"/>
      <c r="E22" s="445" t="str">
        <f>IF(AK8&gt;1,"Match 2","")</f>
        <v>Match 2</v>
      </c>
      <c r="F22" s="446"/>
      <c r="G22" s="447"/>
      <c r="H22" s="445" t="str">
        <f>IF(AK8&gt;2,"Match 3","")</f>
        <v>Match 3</v>
      </c>
      <c r="I22" s="446"/>
      <c r="J22" s="447"/>
      <c r="K22" s="445" t="str">
        <f>IF(AK8&gt;3,"Match 4","")</f>
        <v>Match 4</v>
      </c>
      <c r="L22" s="446"/>
      <c r="M22" s="447"/>
      <c r="N22" s="445" t="str">
        <f>IF(AK8&gt;4,"Match 5","")</f>
        <v>Match 5</v>
      </c>
      <c r="O22" s="446"/>
      <c r="P22" s="447"/>
      <c r="Q22" s="445" t="str">
        <f>IF(AK8&gt;5,"Match 6","")</f>
        <v>Match 6</v>
      </c>
      <c r="R22" s="446"/>
      <c r="S22" s="447"/>
      <c r="T22" s="445" t="str">
        <f>IF(AK8&gt;6,"Match 7","")</f>
        <v>Match 7</v>
      </c>
      <c r="U22" s="446"/>
      <c r="V22" s="447"/>
      <c r="W22" s="445" t="str">
        <f>IF(AK8&gt;7,"Match 8","")</f>
        <v>Match 8</v>
      </c>
      <c r="X22" s="446"/>
      <c r="Y22" s="447"/>
      <c r="Z22" s="445" t="str">
        <f>IF(AK8&gt;8,"Match 9","")</f>
        <v>Match 9</v>
      </c>
      <c r="AA22" s="446"/>
      <c r="AB22" s="447"/>
      <c r="AC22" s="445" t="str">
        <f>IF(AK8&gt;9,"Match 10","")</f>
        <v>Match 10</v>
      </c>
      <c r="AD22" s="446"/>
      <c r="AE22" s="447"/>
      <c r="AF22" s="439"/>
      <c r="AG22" s="440"/>
      <c r="AH22" s="440"/>
      <c r="AI22" s="440"/>
      <c r="AJ22" s="440"/>
      <c r="AK22" s="440"/>
      <c r="AL22" s="440"/>
      <c r="AM22" s="440"/>
      <c r="AN22" s="440"/>
      <c r="AO22" s="440"/>
      <c r="AP22" s="440"/>
      <c r="AQ22" s="441"/>
      <c r="AT22" s="171"/>
      <c r="AU22" s="166"/>
      <c r="AV22" s="166"/>
    </row>
    <row r="23" spans="1:48" ht="15.75" x14ac:dyDescent="0.25">
      <c r="A23" s="138"/>
      <c r="B23" s="448" t="s">
        <v>69</v>
      </c>
      <c r="C23" s="449"/>
      <c r="D23" s="450"/>
      <c r="E23" s="448" t="s">
        <v>70</v>
      </c>
      <c r="F23" s="449"/>
      <c r="G23" s="450"/>
      <c r="H23" s="448" t="s">
        <v>71</v>
      </c>
      <c r="I23" s="449"/>
      <c r="J23" s="450"/>
      <c r="K23" s="448" t="s">
        <v>72</v>
      </c>
      <c r="L23" s="449"/>
      <c r="M23" s="450"/>
      <c r="N23" s="448" t="s">
        <v>73</v>
      </c>
      <c r="O23" s="449"/>
      <c r="P23" s="450"/>
      <c r="Q23" s="448" t="s">
        <v>71</v>
      </c>
      <c r="R23" s="449"/>
      <c r="S23" s="450"/>
      <c r="T23" s="448" t="s">
        <v>69</v>
      </c>
      <c r="U23" s="449"/>
      <c r="V23" s="450"/>
      <c r="W23" s="448" t="s">
        <v>73</v>
      </c>
      <c r="X23" s="449"/>
      <c r="Y23" s="450"/>
      <c r="Z23" s="448" t="s">
        <v>72</v>
      </c>
      <c r="AA23" s="449"/>
      <c r="AB23" s="450"/>
      <c r="AC23" s="448" t="s">
        <v>70</v>
      </c>
      <c r="AD23" s="449"/>
      <c r="AE23" s="450"/>
      <c r="AF23" s="174" t="s">
        <v>74</v>
      </c>
      <c r="AG23" s="175">
        <v>1</v>
      </c>
      <c r="AH23" s="175">
        <v>2</v>
      </c>
      <c r="AI23" s="175">
        <v>3</v>
      </c>
      <c r="AJ23" s="175">
        <v>4</v>
      </c>
      <c r="AK23" s="175">
        <v>5</v>
      </c>
      <c r="AL23" s="175">
        <v>6</v>
      </c>
      <c r="AM23" s="175">
        <v>7</v>
      </c>
      <c r="AN23" s="175">
        <v>8</v>
      </c>
      <c r="AO23" s="175">
        <v>9</v>
      </c>
      <c r="AP23" s="175">
        <v>10</v>
      </c>
      <c r="AQ23" s="176" t="s">
        <v>75</v>
      </c>
      <c r="AT23" s="171"/>
      <c r="AU23" s="166"/>
      <c r="AV23" s="166"/>
    </row>
    <row r="24" spans="1:48" ht="15.75" x14ac:dyDescent="0.25">
      <c r="A24" s="138"/>
      <c r="B24" s="177">
        <v>2</v>
      </c>
      <c r="C24" s="178" t="s">
        <v>76</v>
      </c>
      <c r="D24" s="179">
        <v>5</v>
      </c>
      <c r="E24" s="177">
        <v>1</v>
      </c>
      <c r="F24" s="178" t="str">
        <f>IF(AK8&gt;1,"v","")</f>
        <v>v</v>
      </c>
      <c r="G24" s="179">
        <v>4</v>
      </c>
      <c r="H24" s="177">
        <v>3</v>
      </c>
      <c r="I24" s="178" t="str">
        <f>IF(AK8&gt;2,"v","")</f>
        <v>v</v>
      </c>
      <c r="J24" s="179">
        <v>5</v>
      </c>
      <c r="K24" s="177">
        <v>2</v>
      </c>
      <c r="L24" s="178" t="str">
        <f>IF(AK8&gt;3,"v","")</f>
        <v>v</v>
      </c>
      <c r="M24" s="179">
        <v>4</v>
      </c>
      <c r="N24" s="177">
        <v>1</v>
      </c>
      <c r="O24" s="178" t="str">
        <f>IF(AK8&gt;4,"v","")</f>
        <v>v</v>
      </c>
      <c r="P24" s="179">
        <v>3</v>
      </c>
      <c r="Q24" s="177">
        <v>4</v>
      </c>
      <c r="R24" s="178" t="str">
        <f>IF(AK8&gt;5,"v","")</f>
        <v>v</v>
      </c>
      <c r="S24" s="179">
        <v>5</v>
      </c>
      <c r="T24" s="177">
        <v>2</v>
      </c>
      <c r="U24" s="178" t="str">
        <f>IF(AK8&gt;6,"v","")</f>
        <v>v</v>
      </c>
      <c r="V24" s="179">
        <v>3</v>
      </c>
      <c r="W24" s="177">
        <v>1</v>
      </c>
      <c r="X24" s="178" t="str">
        <f>IF(AK8&gt;7,"v","")</f>
        <v>v</v>
      </c>
      <c r="Y24" s="179">
        <v>5</v>
      </c>
      <c r="Z24" s="177">
        <v>3</v>
      </c>
      <c r="AA24" s="178" t="str">
        <f>IF(AK8&gt;8,"v","")</f>
        <v>v</v>
      </c>
      <c r="AB24" s="179">
        <v>4</v>
      </c>
      <c r="AC24" s="177">
        <v>1</v>
      </c>
      <c r="AD24" s="178" t="str">
        <f>IF(AK8&gt;9,"v","")</f>
        <v>v</v>
      </c>
      <c r="AE24" s="179">
        <v>2</v>
      </c>
      <c r="AF24" s="174" t="str">
        <f>IF(AK9&gt;0,"Team 1","")</f>
        <v>Team 1</v>
      </c>
      <c r="AG24" s="180" t="str">
        <f>IF(AK9&lt;1,"",IF(AK8&lt;1,"",IF(B24=1,B30-D30,IF(D24=1,D30-B30,""))))</f>
        <v/>
      </c>
      <c r="AH24" s="180">
        <f>IF(AK9&lt;1,"",IF(AK8&lt;2,"",IF(E24=1,E30-G30,IF(G24=1,G30-E30,""))))</f>
        <v>6</v>
      </c>
      <c r="AI24" s="180" t="str">
        <f>IF(AK9&lt;1,"",IF(AK8&lt;3,"",IF(H24=1,H30-J30,IF(J24=1,J30-H30,""))))</f>
        <v/>
      </c>
      <c r="AJ24" s="180" t="str">
        <f>IF(AK9&lt;1,"",IF(AK8&lt;4,"",IF(K24=1,K30-M30,IF(M24=1,M30-K30,""))))</f>
        <v/>
      </c>
      <c r="AK24" s="180">
        <f>IF(AK9&lt;1,"",IF(AK8&lt;5,"",IF(N24=1,N30-P30,IF(P24=1,P30-N30,""))))</f>
        <v>27</v>
      </c>
      <c r="AL24" s="180" t="str">
        <f>IF(AK9&lt;1,"",IF(AK8&lt;6,"",IF(Q24=1,Q30-S30,IF(S24=1,S30-Q30,""))))</f>
        <v/>
      </c>
      <c r="AM24" s="180" t="str">
        <f>IF(AK9&lt;1,"",IF(AK8&lt;7,"",IF(T24=1,T30-V30,IF(V24=1,V30-T30,""))))</f>
        <v/>
      </c>
      <c r="AN24" s="180">
        <f>IF(AK9&lt;1,"",IF(AK8&lt;8,"",IF(W24=1,W30-Y30,IF(Y24=1,Y30-W30,""))))</f>
        <v>13</v>
      </c>
      <c r="AO24" s="180" t="str">
        <f>IF(AK9&lt;1,"",IF(AK8&lt;9,"",IF(Z24=1,Z30-AB30,IF(AB24=1,AB30-Z30,""))))</f>
        <v/>
      </c>
      <c r="AP24" s="180">
        <f>IF(AK9&lt;1,"",IF(AK8&lt;10,"",IF(AC24=1,AC30-AE30,IF(AE24=1,AE30-AC30,""))))</f>
        <v>-6</v>
      </c>
      <c r="AQ24" s="176">
        <f>SUM(AG24:AP24)</f>
        <v>40</v>
      </c>
      <c r="AT24" s="171"/>
      <c r="AU24" s="166"/>
      <c r="AV24" s="166"/>
    </row>
    <row r="25" spans="1:48" ht="15" x14ac:dyDescent="0.2">
      <c r="A25" s="134" t="s">
        <v>77</v>
      </c>
      <c r="B25" s="181">
        <v>25</v>
      </c>
      <c r="C25" s="182" t="s">
        <v>78</v>
      </c>
      <c r="D25" s="183">
        <v>16</v>
      </c>
      <c r="E25" s="181">
        <v>25</v>
      </c>
      <c r="F25" s="182" t="str">
        <f>IF(AK8&gt;1,"/","")</f>
        <v>/</v>
      </c>
      <c r="G25" s="183">
        <v>21</v>
      </c>
      <c r="H25" s="181">
        <v>25</v>
      </c>
      <c r="I25" s="182" t="str">
        <f>IF(AK8&gt;2,"/","")</f>
        <v>/</v>
      </c>
      <c r="J25" s="183">
        <v>18</v>
      </c>
      <c r="K25" s="181">
        <v>25</v>
      </c>
      <c r="L25" s="182" t="str">
        <f>IF(AK8&gt;3,"/","")</f>
        <v>/</v>
      </c>
      <c r="M25" s="183">
        <v>13</v>
      </c>
      <c r="N25" s="181">
        <v>25</v>
      </c>
      <c r="O25" s="182" t="str">
        <f>IF(AK8&gt;4,"/","")</f>
        <v>/</v>
      </c>
      <c r="P25" s="183">
        <v>10</v>
      </c>
      <c r="Q25" s="181">
        <v>25</v>
      </c>
      <c r="R25" s="182" t="str">
        <f>IF(AK8&gt;5,"/","")</f>
        <v>/</v>
      </c>
      <c r="S25" s="183">
        <v>12</v>
      </c>
      <c r="T25" s="181">
        <v>25</v>
      </c>
      <c r="U25" s="182" t="str">
        <f>IF(AK8&gt;6,"/","")</f>
        <v>/</v>
      </c>
      <c r="V25" s="183">
        <v>17</v>
      </c>
      <c r="W25" s="181">
        <v>25</v>
      </c>
      <c r="X25" s="182" t="str">
        <f>IF(AK8&gt;7,"/","")</f>
        <v>/</v>
      </c>
      <c r="Y25" s="183">
        <v>22</v>
      </c>
      <c r="Z25" s="181">
        <v>22</v>
      </c>
      <c r="AA25" s="182" t="str">
        <f>IF(AK8&gt;8,"/","")</f>
        <v>/</v>
      </c>
      <c r="AB25" s="183">
        <v>25</v>
      </c>
      <c r="AC25" s="181">
        <v>17</v>
      </c>
      <c r="AD25" s="182" t="str">
        <f>IF(AK8&gt;9,"/","")</f>
        <v>/</v>
      </c>
      <c r="AE25" s="183">
        <v>25</v>
      </c>
      <c r="AF25" s="174" t="str">
        <f>IF(AK9&gt;1,"Team 2","")</f>
        <v>Team 2</v>
      </c>
      <c r="AG25" s="180">
        <f>IF(AK9&lt;2,"",IF(AK8&lt;1,"",IF(B24=2,B30-D30,IF(D24=2,D30-B30,""))))</f>
        <v>21</v>
      </c>
      <c r="AH25" s="180" t="str">
        <f>IF(AK9&lt;2,"",IF(AK8&lt;2,"",IF(E24=2,E30-G30,IF(G24=2,G30-E30,""))))</f>
        <v/>
      </c>
      <c r="AI25" s="180" t="str">
        <f>IF(AK9&lt;2,"",IF(AK8&lt;3,"",IF(H24=2,H30-J30,IF(J24=2,J30-H30,""))))</f>
        <v/>
      </c>
      <c r="AJ25" s="180">
        <f>IF(AK9&lt;2,"",IF(AK8&lt;4,"",IF(K24=2,K30-M30,IF(M24=2,M30-K30,""))))</f>
        <v>14</v>
      </c>
      <c r="AK25" s="180" t="str">
        <f>IF(AK9&lt;2,"",IF(AK8&lt;5,"",IF(N24=2,N30-P30,IF(P24=2,P30-N30,""))))</f>
        <v/>
      </c>
      <c r="AL25" s="180" t="str">
        <f>IF(AK9&lt;2,"",IF(AK8&lt;6,"",IF(Q24=2,Q30-S30,IF(S24=2,S30-Q30,""))))</f>
        <v/>
      </c>
      <c r="AM25" s="180">
        <f>IF(AK9&lt;2,"",IF(AK8&lt;7,"",IF(T24=2,T30-V30,IF(V24=2,V30-T30,""))))</f>
        <v>2</v>
      </c>
      <c r="AN25" s="180" t="str">
        <f>IF(AK9&lt;2,"",IF(AK8&lt;8,"",IF(W24=2,W30-Y30,IF(Y24=2,Y30-W30,""))))</f>
        <v/>
      </c>
      <c r="AO25" s="180" t="str">
        <f>IF(AK9&lt;2,"",IF(AK8&lt;9,"",IF(Z24=2,Z30-AB30,IF(AB24=2,AB30-Z30,""))))</f>
        <v/>
      </c>
      <c r="AP25" s="180">
        <f>IF(AK9&lt;2,"",IF(AK8&lt;10,"",IF(AC24=2,AC30-AE30,IF(AE24=2,AE30-AC30,""))))</f>
        <v>6</v>
      </c>
      <c r="AQ25" s="176">
        <f>SUM(AG25:AP25)</f>
        <v>43</v>
      </c>
    </row>
    <row r="26" spans="1:48" ht="15" x14ac:dyDescent="0.2">
      <c r="A26" s="133" t="str">
        <f>IF(AK7&gt;1,"Game 2","")</f>
        <v>Game 2</v>
      </c>
      <c r="B26" s="181">
        <v>25</v>
      </c>
      <c r="C26" s="182" t="s">
        <v>78</v>
      </c>
      <c r="D26" s="183">
        <v>13</v>
      </c>
      <c r="E26" s="181">
        <v>27</v>
      </c>
      <c r="F26" s="182" t="str">
        <f>IF(AK8&gt;1,IF(AK7&gt;1,"/",""),"")</f>
        <v>/</v>
      </c>
      <c r="G26" s="183">
        <v>25</v>
      </c>
      <c r="H26" s="181">
        <v>25</v>
      </c>
      <c r="I26" s="182" t="str">
        <f>IF(AK8&gt;2,IF(AK7&gt;1,"/",""),"")</f>
        <v>/</v>
      </c>
      <c r="J26" s="183">
        <v>20</v>
      </c>
      <c r="K26" s="181">
        <v>26</v>
      </c>
      <c r="L26" s="182" t="str">
        <f>IF(AK8&gt;3,IF(AK7&gt;1,"/",""),"")</f>
        <v>/</v>
      </c>
      <c r="M26" s="183">
        <v>24</v>
      </c>
      <c r="N26" s="181">
        <v>25</v>
      </c>
      <c r="O26" s="182" t="str">
        <f>IF(AK8&gt;4,IF(AK7&gt;1,"/",""),"")</f>
        <v>/</v>
      </c>
      <c r="P26" s="183">
        <v>13</v>
      </c>
      <c r="Q26" s="181">
        <v>22</v>
      </c>
      <c r="R26" s="182" t="str">
        <f>IF(AK8&gt;5,IF(AK7&gt;1,"/",""),"")</f>
        <v>/</v>
      </c>
      <c r="S26" s="183">
        <v>25</v>
      </c>
      <c r="T26" s="181">
        <v>19</v>
      </c>
      <c r="U26" s="182" t="str">
        <f>IF(AK8&gt;6,IF(AK7&gt;1,"/",""),"")</f>
        <v>/</v>
      </c>
      <c r="V26" s="183">
        <v>25</v>
      </c>
      <c r="W26" s="181">
        <v>25</v>
      </c>
      <c r="X26" s="182" t="str">
        <f>IF(AK8&gt;7,IF(AK7&gt;1,"/",""),"")</f>
        <v>/</v>
      </c>
      <c r="Y26" s="183">
        <v>15</v>
      </c>
      <c r="Z26" s="181">
        <v>15</v>
      </c>
      <c r="AA26" s="182" t="str">
        <f>IF(AK8&gt;8,IF(AK7&gt;1,"/",""),"")</f>
        <v>/</v>
      </c>
      <c r="AB26" s="183">
        <v>25</v>
      </c>
      <c r="AC26" s="181">
        <v>26</v>
      </c>
      <c r="AD26" s="182" t="str">
        <f>IF(AK8&gt;9,IF(AK7&gt;1,"/",""),"")</f>
        <v>/</v>
      </c>
      <c r="AE26" s="183">
        <v>24</v>
      </c>
      <c r="AF26" s="174" t="str">
        <f>IF(AK9&gt;2,"Team 3","")</f>
        <v>Team 3</v>
      </c>
      <c r="AG26" s="180" t="str">
        <f>IF(AK9&lt;3,"",IF(AK8&lt;1,"",IF(B24=3,B30-D30,IF(D24=3,D30-B30,""))))</f>
        <v/>
      </c>
      <c r="AH26" s="180" t="str">
        <f>IF(AK9&lt;3,"",IF(AK8&lt;2,"",IF(E24=3,E30-G30,IF(G24=3,G30-E30,""))))</f>
        <v/>
      </c>
      <c r="AI26" s="180">
        <f>IF(AK9&lt;3,"",IF(AK8&lt;3,"",IF(H24=3,H30-J30,IF(J24=3,J30-H30,""))))</f>
        <v>12</v>
      </c>
      <c r="AJ26" s="180" t="str">
        <f>IF(AK9&lt;3,"",IF(AK8&lt;4,"",IF(K24=3,K30-M30,IF(M24=3,M30-K30,""))))</f>
        <v/>
      </c>
      <c r="AK26" s="180">
        <f>IF(AK9&lt;3,"",IF(AK8&lt;5,"",IF(N24=3,N30-P30,IF(P24=3,P30-N30,""))))</f>
        <v>-27</v>
      </c>
      <c r="AL26" s="180" t="str">
        <f>IF(AK9&lt;3,"",IF(AK8&lt;6,"",IF(Q24=3,Q30-S30,IF(S24=3,S30-Q30,""))))</f>
        <v/>
      </c>
      <c r="AM26" s="180">
        <f>IF(AK9&lt;3,"",IF(AK8&lt;7,"",IF(T24=3,T30-V30,IF(V24=3,V30-T30,""))))</f>
        <v>-2</v>
      </c>
      <c r="AN26" s="180" t="str">
        <f>IF(AK9&lt;3,"",IF(AK8&lt;8,"",IF(W24=3,W30-Y30,IF(Y24=3,Y30-W30,""))))</f>
        <v/>
      </c>
      <c r="AO26" s="180">
        <f>IF(AK9&lt;3,"",IF(AK8&lt;9,"",IF(Z24=3,Z30-AB30,IF(AB24=3,AB30-Z30,""))))</f>
        <v>-13</v>
      </c>
      <c r="AP26" s="180" t="str">
        <f>IF(AK9&lt;3,"",IF(AK8&lt;9,"",IF(AC24=3,AC30-AE30,IF(AE24=3,AE30-AC30,""))))</f>
        <v/>
      </c>
      <c r="AQ26" s="176">
        <f>SUM(AG26:AP26)</f>
        <v>-30</v>
      </c>
    </row>
    <row r="27" spans="1:48" ht="15" x14ac:dyDescent="0.2">
      <c r="A27" s="133" t="str">
        <f>IF(AK7&gt;2,"Game 3","")</f>
        <v/>
      </c>
      <c r="B27" s="181"/>
      <c r="C27" s="182" t="s">
        <v>78</v>
      </c>
      <c r="D27" s="183"/>
      <c r="E27" s="181"/>
      <c r="F27" s="182" t="str">
        <f>IF(AK8&gt;1,IF(AK7&gt;2,"/",""),"")</f>
        <v/>
      </c>
      <c r="G27" s="183"/>
      <c r="H27" s="181"/>
      <c r="I27" s="182" t="str">
        <f>IF(AK8&gt;2,IF(AK7&gt;2,"/",""),"")</f>
        <v/>
      </c>
      <c r="J27" s="183"/>
      <c r="K27" s="181"/>
      <c r="L27" s="182" t="str">
        <f>IF(AK8&gt;3,IF(AK7&gt;2,"/",""),"")</f>
        <v/>
      </c>
      <c r="M27" s="183"/>
      <c r="N27" s="181"/>
      <c r="O27" s="182" t="str">
        <f>IF(AK8&gt;4,IF(AK7&gt;2,"/",""),"")</f>
        <v/>
      </c>
      <c r="P27" s="183"/>
      <c r="Q27" s="181"/>
      <c r="R27" s="182" t="str">
        <f>IF(AK8&gt;5,IF(AK7&gt;2,"/",""),"")</f>
        <v/>
      </c>
      <c r="S27" s="183"/>
      <c r="T27" s="181"/>
      <c r="U27" s="182" t="str">
        <f>IF(AK8&gt;6,IF(AK7&gt;2,"/",""),"")</f>
        <v/>
      </c>
      <c r="V27" s="183"/>
      <c r="W27" s="181"/>
      <c r="X27" s="182" t="str">
        <f>IF(AK8&gt;7,IF(AK7&gt;2,"/",""),"")</f>
        <v/>
      </c>
      <c r="Y27" s="183"/>
      <c r="Z27" s="181"/>
      <c r="AA27" s="182" t="str">
        <f>IF(AK8&gt;8,IF(AK7&gt;2,"/",""),"")</f>
        <v/>
      </c>
      <c r="AB27" s="183"/>
      <c r="AC27" s="181"/>
      <c r="AD27" s="182" t="str">
        <f>IF(AK8&gt;9,IF(AK7&gt;2,"/",""),"")</f>
        <v/>
      </c>
      <c r="AE27" s="183"/>
      <c r="AF27" s="174" t="str">
        <f>IF(AK9&gt;3,"Team 4","")</f>
        <v>Team 4</v>
      </c>
      <c r="AG27" s="180" t="str">
        <f>IF(AK9&lt;4,"",IF(AK8&lt;1,"",IF(B24=4,B30-D30,IF(D24=4,D30-B30,""))))</f>
        <v/>
      </c>
      <c r="AH27" s="180">
        <f>IF(AK9&lt;4,"",IF(AK8&lt;2,"",IF(E24=4,E30-G30,IF(G24=4,G30-E30,""))))</f>
        <v>-6</v>
      </c>
      <c r="AI27" s="180" t="str">
        <f>IF(AK9&lt;4,"",IF(AK8&lt;3,"",IF(H24=4,H30-J30,IF(J24=4,J30-H30,""))))</f>
        <v/>
      </c>
      <c r="AJ27" s="180">
        <f>IF(AK9&lt;4,"",IF(AK8&lt;4,"",IF(K24=4,K30-M30,IF(M24=4,M30-K30,""))))</f>
        <v>-14</v>
      </c>
      <c r="AK27" s="180" t="str">
        <f>IF(AK9&lt;4,"",IF(AK8&lt;5,"",IF(N24=4,N30-P30,IF(P24=4,P30-N30,""))))</f>
        <v/>
      </c>
      <c r="AL27" s="180">
        <f>IF(AK9&lt;4,"",IF(AK8&lt;6,"",IF(Q24=4,Q30-S30,IF(S24=4,S30-Q30,""))))</f>
        <v>10</v>
      </c>
      <c r="AM27" s="180" t="str">
        <f>IF(AK9&lt;4,"",IF(AK8&lt;7,"",IF(T24=4,T30-V30,IF(V24=4,V30-T30,""))))</f>
        <v/>
      </c>
      <c r="AN27" s="180" t="str">
        <f>IF(AK9&lt;4,"",IF(AK8&lt;8,"",IF(W24=4,W30-Y30,IF(Y24=4,Y30-W30,""))))</f>
        <v/>
      </c>
      <c r="AO27" s="180">
        <f>IF(AK9&lt;4,"",IF(AK8&lt;9,"",IF(Z24=4,Z30-AB30,IF(AB24=4,AB30-Z30,""))))</f>
        <v>13</v>
      </c>
      <c r="AP27" s="180" t="str">
        <f>IF(AK9&lt;4,"",IF(AK8&lt;10,"",IF(AC24=4,AC30-AE30,IF(AE24=4,AE30-AC30,""))))</f>
        <v/>
      </c>
      <c r="AQ27" s="176">
        <f>SUM(AG27:AP27)</f>
        <v>3</v>
      </c>
    </row>
    <row r="28" spans="1:48" ht="15" x14ac:dyDescent="0.2">
      <c r="A28" s="133" t="str">
        <f>IF(AK7&gt;3,"Game 4","")</f>
        <v/>
      </c>
      <c r="B28" s="181"/>
      <c r="C28" s="182" t="s">
        <v>78</v>
      </c>
      <c r="D28" s="183"/>
      <c r="E28" s="181"/>
      <c r="F28" s="182" t="str">
        <f>IF(AK8&gt;1,IF(AK7&gt;3,"/",""),"")</f>
        <v/>
      </c>
      <c r="G28" s="183"/>
      <c r="H28" s="181"/>
      <c r="I28" s="182" t="str">
        <f>IF(AK8&gt;2,IF(AK7&gt;3,"/",""),"")</f>
        <v/>
      </c>
      <c r="J28" s="183"/>
      <c r="K28" s="181"/>
      <c r="L28" s="182" t="str">
        <f>IF(AK8&gt;3,IF(AK7&gt;3,"/",""),"")</f>
        <v/>
      </c>
      <c r="M28" s="183"/>
      <c r="N28" s="181"/>
      <c r="O28" s="182" t="str">
        <f>IF(AK8&gt;4,IF(AK7&gt;3,"/",""),"")</f>
        <v/>
      </c>
      <c r="P28" s="183"/>
      <c r="Q28" s="181"/>
      <c r="R28" s="182" t="str">
        <f>IF(AK8&gt;5,IF(AK7&gt;3,"/",""),"")</f>
        <v/>
      </c>
      <c r="S28" s="183"/>
      <c r="T28" s="181"/>
      <c r="U28" s="182" t="str">
        <f>IF(AK8&gt;6,IF(AK7&gt;3,"/",""),"")</f>
        <v/>
      </c>
      <c r="V28" s="183"/>
      <c r="W28" s="181"/>
      <c r="X28" s="182" t="str">
        <f>IF(AK8&gt;7,IF(AK7&gt;3,"/",""),"")</f>
        <v/>
      </c>
      <c r="Y28" s="183"/>
      <c r="Z28" s="181"/>
      <c r="AA28" s="182" t="str">
        <f>IF(AK8&gt;8,IF(AK7&gt;3,"/",""),"")</f>
        <v/>
      </c>
      <c r="AB28" s="183"/>
      <c r="AC28" s="181"/>
      <c r="AD28" s="182" t="str">
        <f>IF(AK8&gt;9,IF(AK7&gt;3,"/",""),"")</f>
        <v/>
      </c>
      <c r="AE28" s="183"/>
      <c r="AF28" s="174" t="str">
        <f>IF(AK9&gt;4,"Team 5","")</f>
        <v>Team 5</v>
      </c>
      <c r="AG28" s="184">
        <f>IF(AK9&lt;5,"",IF(AK8&lt;1,"",IF(B24=5,B30-D30,IF(D24=5,D30-B30,""))))</f>
        <v>-21</v>
      </c>
      <c r="AH28" s="180" t="str">
        <f>IF(AK9&lt;5,"",IF(AK8&lt;2,"",IF(E24=5,E30-G30,IF(G24=5,G30-E30,""))))</f>
        <v/>
      </c>
      <c r="AI28" s="180">
        <f>IF(AK9&lt;5,"",IF(AK8&lt;3,"",IF(H24=5,H30-J30,IF(J24=5,J30-H30,""))))</f>
        <v>-12</v>
      </c>
      <c r="AJ28" s="180" t="str">
        <f>IF(AK9&lt;5,"",IF(AK8&lt;4,"",IF(K24=5,K30-M30,IF(M24=5,M30-K30,""))))</f>
        <v/>
      </c>
      <c r="AK28" s="180" t="str">
        <f>IF(AK9&lt;5,"",IF(AK8&lt;5,"",IF(N24=5,N30-P30,IF(P24=5,P30-N30,""))))</f>
        <v/>
      </c>
      <c r="AL28" s="180">
        <f>IF(AK9&lt;5,"",IF(AK8&lt;6,"",IF(Q24=5,Q30-S30,IF(S24=5,S30-Q30,""))))</f>
        <v>-10</v>
      </c>
      <c r="AM28" s="180" t="str">
        <f>IF(AK9&lt;5,"",IF(AK8&lt;7,"",IF(T24=5,T30-V30,IF(V24=5,V30-T30,""))))</f>
        <v/>
      </c>
      <c r="AN28" s="180">
        <f>IF(AK9&lt;5,"",IF(AK8&lt;8,"",IF(W24=5,W30-Y30,IF(Y24=5,Y30-W30,""))))</f>
        <v>-13</v>
      </c>
      <c r="AO28" s="180" t="str">
        <f>IF(AK9&lt;5,"",IF(AK8&lt;9,"",IF(Z24=5,Z30-AB30,IF(AB24=5,AB30-Z30,""))))</f>
        <v/>
      </c>
      <c r="AP28" s="180" t="str">
        <f>IF(AK9&lt;5,"",IF(AK8&lt;10,"",IF(AC24=5,AC30-AE30,IF(AE24=5,AE30-AC30,""))))</f>
        <v/>
      </c>
      <c r="AQ28" s="176">
        <f>SUM(AG28:AP28)</f>
        <v>-56</v>
      </c>
    </row>
    <row r="29" spans="1:48" ht="15" x14ac:dyDescent="0.2">
      <c r="A29" s="133" t="str">
        <f>IF(AK7&gt;4,"Game 5","")</f>
        <v/>
      </c>
      <c r="B29" s="181"/>
      <c r="C29" s="182" t="s">
        <v>78</v>
      </c>
      <c r="D29" s="183"/>
      <c r="E29" s="181"/>
      <c r="F29" s="182" t="str">
        <f>IF(AK8&gt;1,IF(AK7&gt;4,"/",""),"")</f>
        <v/>
      </c>
      <c r="G29" s="183"/>
      <c r="H29" s="181"/>
      <c r="I29" s="182" t="str">
        <f>IF(AK8&gt;2,IF(AK7&gt;4,"/",""),"")</f>
        <v/>
      </c>
      <c r="J29" s="183"/>
      <c r="K29" s="181"/>
      <c r="L29" s="182" t="str">
        <f>IF(AK8&gt;3,IF(AK7&gt;4,"/",""),"")</f>
        <v/>
      </c>
      <c r="M29" s="183"/>
      <c r="N29" s="181"/>
      <c r="O29" s="182" t="str">
        <f>IF(AK8&gt;4,IF(AK7&gt;4,"/",""),"")</f>
        <v/>
      </c>
      <c r="P29" s="183"/>
      <c r="Q29" s="181"/>
      <c r="R29" s="182" t="str">
        <f>IF(AK8&gt;5,IF(AK7&gt;4,"/",""),"")</f>
        <v/>
      </c>
      <c r="S29" s="183"/>
      <c r="T29" s="181"/>
      <c r="U29" s="182" t="str">
        <f>IF(AK8&gt;6,IF(AK7&gt;4,"/",""),"")</f>
        <v/>
      </c>
      <c r="V29" s="183"/>
      <c r="W29" s="181"/>
      <c r="X29" s="182" t="str">
        <f>IF(AK8&gt;7,IF(AK7&gt;4,"/",""),"")</f>
        <v/>
      </c>
      <c r="Y29" s="183"/>
      <c r="Z29" s="181"/>
      <c r="AA29" s="182" t="str">
        <f>IF(AK8&gt;8,IF(AK7&gt;4,"/",""),"")</f>
        <v/>
      </c>
      <c r="AB29" s="183"/>
      <c r="AC29" s="181"/>
      <c r="AD29" s="182" t="str">
        <f>IF(AK8&gt;9,IF(AK7&gt;4,"/",""),"")</f>
        <v/>
      </c>
      <c r="AE29" s="183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</row>
    <row r="30" spans="1:48" hidden="1" x14ac:dyDescent="0.2">
      <c r="A30" s="185"/>
      <c r="B30" s="185">
        <f>IF($AK7=5,SUM(B25:B29),IF($AK7=4,SUM(B25:B28),IF($AK7=3,SUM(B25:B27),IF($AK7=2,SUM(B25:B26),B25))))</f>
        <v>50</v>
      </c>
      <c r="C30" s="185"/>
      <c r="D30" s="185">
        <f>IF($AK7=5,SUM(D25:D29),IF($AK7=4,SUM(D25:D28),IF($AK7=3,SUM(D25:D27),IF($AK7=2,SUM(D25:D26),D25))))</f>
        <v>29</v>
      </c>
      <c r="E30" s="185">
        <f>IF($AK7=5,SUM(E25:E29),IF($AK7=4,SUM(E25:E28),IF($AK7=3,SUM(E25:E27),IF($AK7=2,SUM(E25:E26),E25))))</f>
        <v>52</v>
      </c>
      <c r="F30" s="185"/>
      <c r="G30" s="185">
        <f>IF($AK7=5,SUM(G25:G29),IF($AK7=4,SUM(G25:G28),IF($AK7=3,SUM(G25:G27),IF($AK7=2,SUM(G25:G26),G25))))</f>
        <v>46</v>
      </c>
      <c r="H30" s="185">
        <f>IF($AK7=5,SUM(H25:H29),IF($AK7=4,SUM(H25:H28),IF($AK7=3,SUM(H25:H27),IF($AK7=2,SUM(H25:H26),H25))))</f>
        <v>50</v>
      </c>
      <c r="I30" s="185"/>
      <c r="J30" s="185">
        <f>IF($AK7=5,SUM(J25:J29),IF($AK7=4,SUM(J25:J28),IF($AK7=3,SUM(J25:J27),IF($AK7=2,SUM(J25:J26),J25))))</f>
        <v>38</v>
      </c>
      <c r="K30" s="185">
        <f>IF($AK7=5,SUM(K25:K29),IF($AK7=4,SUM(K25:K28),IF($AK7=3,SUM(K25:K27),IF($AK7=2,SUM(K25:K26),K25))))</f>
        <v>51</v>
      </c>
      <c r="L30" s="185"/>
      <c r="M30" s="185">
        <f>IF($AK7=5,SUM(M25:M29),IF($AK7=4,SUM(M25:M28),IF($AK7=3,SUM(M25:M27),IF($AK7=2,SUM(M25:M26),M25))))</f>
        <v>37</v>
      </c>
      <c r="N30" s="185">
        <f>IF($AK7=5,SUM(N25:N29),IF($AK7=4,SUM(N25:N28),IF($AK7=3,SUM(N25:N27),IF($AK7=2,SUM(N25:N26),N25))))</f>
        <v>50</v>
      </c>
      <c r="O30" s="185"/>
      <c r="P30" s="185">
        <f>IF($AK7=5,SUM(P25:P29),IF($AK7=4,SUM(P25:P28),IF($AK7=3,SUM(P25:P27),IF($AK7=2,SUM(P25:P26),P25))))</f>
        <v>23</v>
      </c>
      <c r="Q30" s="185">
        <f>IF($AK7=5,SUM(Q25:Q29),IF($AK7=4,SUM(Q25:Q28),IF($AK7=3,SUM(Q25:Q27),IF($AK7=2,SUM(Q25:Q26),Q25))))</f>
        <v>47</v>
      </c>
      <c r="R30" s="185"/>
      <c r="S30" s="185">
        <f>IF($AK7=5,SUM(S25:S29),IF($AK7=4,SUM(S25:S28),IF($AK7=3,SUM(S25:S27),IF($AK7=2,SUM(S25:S26),S25))))</f>
        <v>37</v>
      </c>
      <c r="T30" s="185">
        <f>IF($AK7=5,SUM(T25:T29),IF($AK7=4,SUM(T25:T28),IF($AK7=3,SUM(T25:T27),IF($AK7=2,SUM(T25:T26),T25))))</f>
        <v>44</v>
      </c>
      <c r="U30" s="185"/>
      <c r="V30" s="185">
        <f>IF($AK7=5,SUM(V25:V29),IF($AK7=4,SUM(V25:V28),IF($AK7=3,SUM(V25:V27),IF($AK7=2,SUM(V25:V26),V25))))</f>
        <v>42</v>
      </c>
      <c r="W30" s="185">
        <f>IF($AK7=5,SUM(W25:W29),IF($AK7=4,SUM(W25:W28),IF($AK7=3,SUM(W25:W27),IF($AK7=2,SUM(W25:W26),W25))))</f>
        <v>50</v>
      </c>
      <c r="X30" s="185"/>
      <c r="Y30" s="185">
        <f>IF($AK7=5,SUM(Y25:Y29),IF($AK7=4,SUM(Y25:Y28),IF($AK7=3,SUM(Y25:Y27),IF($AK7=2,SUM(Y25:Y26),Y25))))</f>
        <v>37</v>
      </c>
      <c r="Z30" s="185">
        <f>IF($AK7=5,SUM(Z25:Z29),IF($AK7=4,SUM(Z25:Z28),IF($AK7=3,SUM(Z25:Z27),IF($AK7=2,SUM(Z25:Z26),Z25))))</f>
        <v>37</v>
      </c>
      <c r="AA30" s="185"/>
      <c r="AB30" s="185">
        <f>IF($AK7=5,SUM(AB25:AB29),IF($AK7=4,SUM(AB25:AB28),IF($AK7=3,SUM(AB25:AB27),IF($AK7=2,SUM(AB25:AB26),AB25))))</f>
        <v>50</v>
      </c>
      <c r="AC30" s="185">
        <f>IF($AK7=5,SUM(AC25:AC29),IF($AK7=4,SUM(AC25:AC28),IF($AK7=3,SUM(AC25:AC27),IF($AK7=2,SUM(AC25:AC26),AC25))))</f>
        <v>43</v>
      </c>
      <c r="AD30" s="185"/>
      <c r="AE30" s="185">
        <f>IF($AK7=5,SUM(AE25:AE29),IF($AK7=4,SUM(AE25:AE28),IF($AK7=3,SUM(AE25:AE27),IF($AK7=2,SUM(AE25:AE26),AE25))))</f>
        <v>49</v>
      </c>
      <c r="AF30" s="138"/>
      <c r="AG30" s="138"/>
      <c r="AH30" s="138"/>
      <c r="AI30" s="138"/>
      <c r="AJ30" s="138"/>
      <c r="AK30" s="138"/>
      <c r="AL30" s="138"/>
      <c r="AM30" s="138"/>
      <c r="AN30" s="138"/>
      <c r="AO30" s="138"/>
      <c r="AP30" s="138"/>
      <c r="AQ30" s="138"/>
    </row>
    <row r="31" spans="1:48" s="186" customFormat="1" ht="12.75" hidden="1" customHeight="1" x14ac:dyDescent="0.2">
      <c r="A31" s="186" t="s">
        <v>79</v>
      </c>
      <c r="B31" s="187">
        <f>IF(AND(B25&gt;D25,$AK8&gt;0,ISNUMBER(B25),ISNUMBER(D25)),1,0)</f>
        <v>1</v>
      </c>
      <c r="C31" s="187"/>
      <c r="D31" s="188">
        <f>IF(AND(D25&gt;B25,$AK8&gt;0,ISNUMBER(B25),ISNUMBER(D25)),1,0)</f>
        <v>0</v>
      </c>
      <c r="E31" s="187">
        <f>IF(AND(E25&gt;G25,$AK8&gt;1,ISNUMBER(E25),ISNUMBER(G25)),1,0)</f>
        <v>1</v>
      </c>
      <c r="F31" s="187"/>
      <c r="G31" s="188">
        <f>IF(AND(G25&gt;E25,$AK8&gt;1,ISNUMBER(E25),ISNUMBER(G25)),1,0)</f>
        <v>0</v>
      </c>
      <c r="H31" s="187">
        <f>IF(AND(H25&gt;J25,$AK8&gt;2,ISNUMBER(H25),ISNUMBER(J25)),1,0)</f>
        <v>1</v>
      </c>
      <c r="I31" s="187"/>
      <c r="J31" s="188">
        <f>IF(AND(J25&gt;H25,$AK8&gt;2,ISNUMBER(H25),ISNUMBER(J25)),1,0)</f>
        <v>0</v>
      </c>
      <c r="K31" s="187">
        <f>IF(AND(K25&gt;M25,$AK8&gt;3,ISNUMBER(K25),ISNUMBER(M25)),1,0)</f>
        <v>1</v>
      </c>
      <c r="L31" s="187"/>
      <c r="M31" s="188">
        <f>IF(AND(M25&gt;K25,$AK8&gt;3,ISNUMBER(K25),ISNUMBER(M25)),1,0)</f>
        <v>0</v>
      </c>
      <c r="N31" s="187">
        <f>IF(AND(N25&gt;P25,$AK8&gt;4,ISNUMBER(N25),ISNUMBER(P25)),1,0)</f>
        <v>1</v>
      </c>
      <c r="O31" s="187"/>
      <c r="P31" s="188">
        <f>IF(AND(P25&gt;N25,$AK8&gt;4,ISNUMBER(N25),ISNUMBER(P25)),1,0)</f>
        <v>0</v>
      </c>
      <c r="Q31" s="187">
        <f>IF(AND(Q25&gt;S25,$AK8&gt;5,ISNUMBER(Q25),ISNUMBER(S25)),1,0)</f>
        <v>1</v>
      </c>
      <c r="R31" s="187"/>
      <c r="S31" s="188">
        <f>IF(AND(S25&gt;Q25,$AK8&gt;5,ISNUMBER(Q25),ISNUMBER(S25)),1,0)</f>
        <v>0</v>
      </c>
      <c r="T31" s="187">
        <f>IF(AND(T25&gt;V25,$AK8&gt;6,ISNUMBER(T25),ISNUMBER(V25)),1,0)</f>
        <v>1</v>
      </c>
      <c r="U31" s="187"/>
      <c r="V31" s="188">
        <f>IF(AND(V25&gt;T25,$AK8&gt;6,ISNUMBER(T25),ISNUMBER(V25)),1,0)</f>
        <v>0</v>
      </c>
      <c r="W31" s="187">
        <f>IF(AND(W25&gt;Y25,$AK8&gt;7,ISNUMBER(W25),ISNUMBER(Y25)),1,0)</f>
        <v>1</v>
      </c>
      <c r="X31" s="187"/>
      <c r="Y31" s="188">
        <f>IF(AND(Y25&gt;W25,$AK8&gt;7,ISNUMBER(W25),ISNUMBER(Y25)),1,0)</f>
        <v>0</v>
      </c>
      <c r="Z31" s="187">
        <f>IF(AND(Z25&gt;AB25,$AK8&gt;8,ISNUMBER(Z25),ISNUMBER(AB25)),1,0)</f>
        <v>0</v>
      </c>
      <c r="AA31" s="187"/>
      <c r="AB31" s="188">
        <f>IF(AND(AB25&gt;Z25,$AK8&gt;8,ISNUMBER(Z25),ISNUMBER(AB25)),1,0)</f>
        <v>1</v>
      </c>
      <c r="AC31" s="187">
        <f>IF(AND(AC25&gt;AE25,$AK8&gt;9,ISNUMBER(AC25),ISNUMBER(AE25)),1,0)</f>
        <v>0</v>
      </c>
      <c r="AD31" s="187"/>
      <c r="AE31" s="188">
        <f>IF(AND(AE25&gt;AC25,$AK8&gt;9,ISNUMBER(AC25),ISNUMBER(AE25)),1,0)</f>
        <v>1</v>
      </c>
    </row>
    <row r="32" spans="1:48" s="186" customFormat="1" ht="12.75" hidden="1" customHeight="1" x14ac:dyDescent="0.2">
      <c r="A32" s="186" t="s">
        <v>80</v>
      </c>
      <c r="B32" s="187">
        <f>IF(AND(B26&gt;D26,$AK8&gt;0,$AK7&gt;1,ISNUMBER(B26),ISNUMBER(D26)),1,0)</f>
        <v>1</v>
      </c>
      <c r="C32" s="187"/>
      <c r="D32" s="188">
        <f>IF(AND(D26&gt;B26,$AK8&gt;0,$AK7&gt;1,ISNUMBER(B26),ISNUMBER(D26)),1,0)</f>
        <v>0</v>
      </c>
      <c r="E32" s="187">
        <f>IF(AND(E26&gt;G26,$AK8&gt;1,$AK7&gt;1,ISNUMBER(E26),ISNUMBER(G26)),1,0)</f>
        <v>1</v>
      </c>
      <c r="F32" s="187"/>
      <c r="G32" s="188">
        <f>IF(AND(G26&gt;E26,$AK8&gt;1,$AK7&gt;1,ISNUMBER(E26),ISNUMBER(G26)),1,0)</f>
        <v>0</v>
      </c>
      <c r="H32" s="187">
        <f>IF(AND(H26&gt;J26,$AK8&gt;2,$AK7&gt;1,ISNUMBER(H26),ISNUMBER(J26)),1,0)</f>
        <v>1</v>
      </c>
      <c r="I32" s="187"/>
      <c r="J32" s="188">
        <f>IF(AND(J26&gt;H26,$AK8&gt;2,$AK7&gt;1,ISNUMBER(H26),ISNUMBER(J26)),1,0)</f>
        <v>0</v>
      </c>
      <c r="K32" s="187">
        <f>IF(AND(K26&gt;M26,$AK8&gt;3,$AK7&gt;1,ISNUMBER(K26),ISNUMBER(M26)),1,0)</f>
        <v>1</v>
      </c>
      <c r="L32" s="187"/>
      <c r="M32" s="188">
        <f>IF(AND(M26&gt;K26,$AK8&gt;3,$AK7&gt;1,ISNUMBER(K26),ISNUMBER(M26)),1,0)</f>
        <v>0</v>
      </c>
      <c r="N32" s="187">
        <f>IF(AND(N26&gt;P26,$AK8&gt;4,$AK7&gt;1,ISNUMBER(N26),ISNUMBER(P26)),1,0)</f>
        <v>1</v>
      </c>
      <c r="O32" s="187"/>
      <c r="P32" s="188">
        <f>IF(AND(P26&gt;N26,$AK8&gt;4,$AK7&gt;1,ISNUMBER(N26),ISNUMBER(P26)),1,0)</f>
        <v>0</v>
      </c>
      <c r="Q32" s="187">
        <f>IF(AND(Q26&gt;S26,$AK8&gt;5,$AK7&gt;1,ISNUMBER(Q26),ISNUMBER(S26)),1,0)</f>
        <v>0</v>
      </c>
      <c r="R32" s="187"/>
      <c r="S32" s="188">
        <f>IF(AND(S26&gt;Q26,$AK8&gt;5,$AK7&gt;1,ISNUMBER(Q26),ISNUMBER(S26)),1,0)</f>
        <v>1</v>
      </c>
      <c r="T32" s="187">
        <f>IF(AND(T26&gt;V26,$AK8&gt;6,$AK7&gt;1,ISNUMBER(T26),ISNUMBER(V26)),1,0)</f>
        <v>0</v>
      </c>
      <c r="U32" s="187"/>
      <c r="V32" s="188">
        <f>IF(AND(V26&gt;T26,$AK8&gt;6,$AK7&gt;1,ISNUMBER(T26),ISNUMBER(V26)),1,0)</f>
        <v>1</v>
      </c>
      <c r="W32" s="187">
        <f>IF(AND(W26&gt;Y26,$AK8&gt;7,$AK7&gt;1,ISNUMBER(W26),ISNUMBER(Y26)),1,0)</f>
        <v>1</v>
      </c>
      <c r="X32" s="187"/>
      <c r="Y32" s="188">
        <f>IF(AND(Y26&gt;W26,$AK8&gt;7,$AK7&gt;1,ISNUMBER(W26),ISNUMBER(Y26)),1,0)</f>
        <v>0</v>
      </c>
      <c r="Z32" s="187">
        <f>IF(AND(Z26&gt;AB26,$AK8&gt;8,$AK7&gt;1,ISNUMBER(Z26),ISNUMBER(AB26)),1,0)</f>
        <v>0</v>
      </c>
      <c r="AA32" s="187"/>
      <c r="AB32" s="188">
        <f>IF(AND(AB26&gt;Z26,$AK8&gt;8,$AK7&gt;1,ISNUMBER(Z26),ISNUMBER(AB26)),1,0)</f>
        <v>1</v>
      </c>
      <c r="AC32" s="187">
        <f>IF(AND(AC26&gt;AE26,$AK8&gt;9,$AK7&gt;1,ISNUMBER(AC26),ISNUMBER(AE26)),1,0)</f>
        <v>1</v>
      </c>
      <c r="AD32" s="187"/>
      <c r="AE32" s="188">
        <f>IF(AND(AE26&gt;AC26,$AK8&gt;9,$AK7&gt;1,ISNUMBER(AC26),ISNUMBER(AE26)),1,0)</f>
        <v>0</v>
      </c>
    </row>
    <row r="33" spans="1:33" s="186" customFormat="1" ht="12.75" hidden="1" customHeight="1" x14ac:dyDescent="0.2">
      <c r="A33" s="186" t="s">
        <v>81</v>
      </c>
      <c r="B33" s="187">
        <f>IF(AND(B27&gt;D27,$AK8&gt;0,$AK7&gt;2,ISNUMBER(B27),ISNUMBER(D27)),1,0)</f>
        <v>0</v>
      </c>
      <c r="C33" s="187"/>
      <c r="D33" s="188">
        <f>IF(AND(D27&gt;B27,$AK8&gt;0,$AK7&gt;2,ISNUMBER(B27),ISNUMBER(D27)),1,0)</f>
        <v>0</v>
      </c>
      <c r="E33" s="187">
        <f>IF(AND(E27&gt;G27,$AK8&gt;1,$AK7&gt;2,ISNUMBER(E27),ISNUMBER(G27)),1,0)</f>
        <v>0</v>
      </c>
      <c r="F33" s="187"/>
      <c r="G33" s="188">
        <f>IF(AND(G27&gt;E27,$AK8&gt;1,$AK7&gt;2,ISNUMBER(E27),ISNUMBER(G27)),1,0)</f>
        <v>0</v>
      </c>
      <c r="H33" s="187">
        <f>IF(AND(H27&gt;J27,$AK8&gt;2,$AK7&gt;2,ISNUMBER(H27),ISNUMBER(J27)),1,0)</f>
        <v>0</v>
      </c>
      <c r="I33" s="187"/>
      <c r="J33" s="188">
        <f>IF(AND(J27&gt;H27,$AK8&gt;2,$AK7&gt;2,ISNUMBER(H27),ISNUMBER(J27)),1,0)</f>
        <v>0</v>
      </c>
      <c r="K33" s="187">
        <f>IF(AND(K27&gt;M27,$AK8&gt;3,$AK7&gt;2,ISNUMBER(K27),ISNUMBER(M27)),1,0)</f>
        <v>0</v>
      </c>
      <c r="L33" s="187"/>
      <c r="M33" s="188">
        <f>IF(AND(M27&gt;K27,$AK8&gt;3,$AK7&gt;2,ISNUMBER(K27),ISNUMBER(M27)),1,0)</f>
        <v>0</v>
      </c>
      <c r="N33" s="187">
        <f>IF(AND(N27&gt;P27,$AK8&gt;4,$AK7&gt;2,ISNUMBER(N27),ISNUMBER(P27)),1,0)</f>
        <v>0</v>
      </c>
      <c r="O33" s="187"/>
      <c r="P33" s="188">
        <f>IF(AND(P27&gt;N27,$AK8&gt;4,$AK7&gt;2,ISNUMBER(N27),ISNUMBER(P27)),1,0)</f>
        <v>0</v>
      </c>
      <c r="Q33" s="187">
        <f>IF(AND(Q27&gt;S27,$AK8&gt;5,$AK7&gt;2,ISNUMBER(Q27),ISNUMBER(S27)),1,0)</f>
        <v>0</v>
      </c>
      <c r="R33" s="187"/>
      <c r="S33" s="188">
        <f>IF(AND(S27&gt;Q27,$AK8&gt;5,$AK7&gt;2,ISNUMBER(Q27),ISNUMBER(S27)),1,0)</f>
        <v>0</v>
      </c>
      <c r="T33" s="187">
        <f>IF(AND(T27&gt;V27,$AK8&gt;6,$AK7&gt;2,ISNUMBER(T27),ISNUMBER(V27)),1,0)</f>
        <v>0</v>
      </c>
      <c r="U33" s="187"/>
      <c r="V33" s="188">
        <f>IF(AND(V27&gt;T27,$AK8&gt;6,$AK7&gt;2,ISNUMBER(T27),ISNUMBER(V27)),1,0)</f>
        <v>0</v>
      </c>
      <c r="W33" s="187">
        <f>IF(AND(W27&gt;Y27,$AK8&gt;7,$AK7&gt;2,ISNUMBER(W27),ISNUMBER(Y27)),1,0)</f>
        <v>0</v>
      </c>
      <c r="X33" s="187"/>
      <c r="Y33" s="188">
        <f>IF(AND(Y27&gt;W27,$AK8&gt;7,$AK7&gt;2,ISNUMBER(W27),ISNUMBER(Y27)),1,0)</f>
        <v>0</v>
      </c>
      <c r="Z33" s="187">
        <f>IF(AND(Z27&gt;AB27,$AK8&gt;8,$AK7&gt;2,ISNUMBER(Z27),ISNUMBER(AB27)),1,0)</f>
        <v>0</v>
      </c>
      <c r="AA33" s="187"/>
      <c r="AB33" s="188">
        <f>IF(AND(AB27&gt;Z27,$AK8&gt;8,$AK7&gt;2,ISNUMBER(Z27),ISNUMBER(AB27)),1,0)</f>
        <v>0</v>
      </c>
      <c r="AC33" s="187">
        <f>IF(AND(AC27&gt;AE27,$AK8&gt;9,$AK7&gt;2,ISNUMBER(AC27),ISNUMBER(AE27)),1,0)</f>
        <v>0</v>
      </c>
      <c r="AD33" s="187"/>
      <c r="AE33" s="188">
        <f>IF(AND(AE27&gt;AC27,$AK8&gt;9,$AK7&gt;2,ISNUMBER(AC27),ISNUMBER(AE27)),1,0)</f>
        <v>0</v>
      </c>
    </row>
    <row r="34" spans="1:33" s="186" customFormat="1" ht="12.75" hidden="1" customHeight="1" x14ac:dyDescent="0.2">
      <c r="A34" s="186" t="s">
        <v>82</v>
      </c>
      <c r="B34" s="187">
        <f>IF(AND(B28&gt;D28,$AK8&gt;0,$AK7&gt;3,ISNUMBER(B28),ISNUMBER(D28)),1,0)</f>
        <v>0</v>
      </c>
      <c r="C34" s="187"/>
      <c r="D34" s="188">
        <f>IF(AND(D28&gt;B28,$AK8&gt;0,$AK7&gt;3,ISNUMBER(B28),ISNUMBER(D28)),1,0)</f>
        <v>0</v>
      </c>
      <c r="E34" s="187">
        <f>IF(AND(E28&gt;G28,$AK8&gt;1,$AK7&gt;3,ISNUMBER(E28),ISNUMBER(G28)),1,0)</f>
        <v>0</v>
      </c>
      <c r="F34" s="187"/>
      <c r="G34" s="188">
        <f>IF(AND(G28&gt;E28,$AK8&gt;1,$AK7&gt;3,ISNUMBER(E28),ISNUMBER(G28)),1,0)</f>
        <v>0</v>
      </c>
      <c r="H34" s="187">
        <f>IF(AND(H28&gt;J28,$AK8&gt;2,$AK7&gt;3,ISNUMBER(H28),ISNUMBER(J28)),1,0)</f>
        <v>0</v>
      </c>
      <c r="I34" s="187"/>
      <c r="J34" s="188">
        <f>IF(AND(J28&gt;H28,$AK8&gt;2,$AK7&gt;3,ISNUMBER(H28),ISNUMBER(J28)),1,0)</f>
        <v>0</v>
      </c>
      <c r="K34" s="187">
        <f>IF(AND(K28&gt;M28,$AK8&gt;3,$AK7&gt;3,ISNUMBER(K28),ISNUMBER(M28)),1,0)</f>
        <v>0</v>
      </c>
      <c r="L34" s="187"/>
      <c r="M34" s="188">
        <f>IF(AND(M28&gt;K28,$AK8&gt;3,$AK7&gt;3,ISNUMBER(K28),ISNUMBER(M28)),1,0)</f>
        <v>0</v>
      </c>
      <c r="N34" s="187">
        <f>IF(AND(N28&gt;P28,$AK8&gt;4,$AK7&gt;3,ISNUMBER(N28),ISNUMBER(P28)),1,0)</f>
        <v>0</v>
      </c>
      <c r="O34" s="187"/>
      <c r="P34" s="188">
        <f>IF(AND(P28&gt;N28,$AK8&gt;4,$AK7&gt;3,ISNUMBER(N28),ISNUMBER(P28)),1,0)</f>
        <v>0</v>
      </c>
      <c r="Q34" s="187">
        <f>IF(AND(Q28&gt;S28,$AK8&gt;5,$AK7&gt;3,ISNUMBER(Q28),ISNUMBER(S28)),1,0)</f>
        <v>0</v>
      </c>
      <c r="R34" s="187"/>
      <c r="S34" s="188">
        <f>IF(AND(S28&gt;Q28,$AK8&gt;5,$AK7&gt;3,ISNUMBER(Q28),ISNUMBER(S28)),1,0)</f>
        <v>0</v>
      </c>
      <c r="T34" s="187">
        <f>IF(AND(T28&gt;V28,$AK8&gt;6,$AK7&gt;3,ISNUMBER(T28),ISNUMBER(V28)),1,0)</f>
        <v>0</v>
      </c>
      <c r="U34" s="187"/>
      <c r="V34" s="188">
        <f>IF(AND(V28&gt;T28,$AK8&gt;6,$AK7&gt;3,ISNUMBER(T28),ISNUMBER(V28)),1,0)</f>
        <v>0</v>
      </c>
      <c r="W34" s="187">
        <f>IF(AND(W28&gt;Y28,$AK8&gt;7,$AK7&gt;3,ISNUMBER(W28),ISNUMBER(Y28)),1,0)</f>
        <v>0</v>
      </c>
      <c r="X34" s="187"/>
      <c r="Y34" s="188">
        <f>IF(AND(Y28&gt;W28,$AK8&gt;7,$AK7&gt;3,ISNUMBER(W28),ISNUMBER(Y28)),1,0)</f>
        <v>0</v>
      </c>
      <c r="Z34" s="187">
        <f>IF(AND(Z28&gt;AB28,$AK8&gt;8,$AK7&gt;3,ISNUMBER(Z28),ISNUMBER(AB28)),1,0)</f>
        <v>0</v>
      </c>
      <c r="AA34" s="187"/>
      <c r="AB34" s="188">
        <f>IF(AND(AB28&gt;Z28,$AK8&gt;8,$AK7&gt;3,ISNUMBER(Z28),ISNUMBER(AB28)),1,0)</f>
        <v>0</v>
      </c>
      <c r="AC34" s="187">
        <f>IF(AND(AC28&gt;AE28,$AK8&gt;9,$AK7&gt;3,ISNUMBER(AC28),ISNUMBER(AE28)),1,0)</f>
        <v>0</v>
      </c>
      <c r="AD34" s="187"/>
      <c r="AE34" s="188">
        <f>IF(AND(AE28&gt;AC28,$AK8&gt;9,$AK7&gt;3,ISNUMBER(AC28),ISNUMBER(AE28)),1,0)</f>
        <v>0</v>
      </c>
    </row>
    <row r="35" spans="1:33" s="186" customFormat="1" ht="12.75" hidden="1" customHeight="1" x14ac:dyDescent="0.2">
      <c r="A35" s="186" t="s">
        <v>83</v>
      </c>
      <c r="B35" s="187">
        <f>IF(AND(B29&gt;D29,$AK8&gt;0,$AK7&gt;4,ISNUMBER(B29),ISNUMBER(D29)),1,0)</f>
        <v>0</v>
      </c>
      <c r="C35" s="187"/>
      <c r="D35" s="188">
        <f>IF(AND(D29&gt;B29,$AK8&gt;0,$AK7&gt;4,ISNUMBER(B29),ISNUMBER(D29)),1,0)</f>
        <v>0</v>
      </c>
      <c r="E35" s="187">
        <f>IF(AND(E29&gt;G29,$AK8&gt;1,$AK7&gt;4,ISNUMBER(E29),ISNUMBER(G29)),1,0)</f>
        <v>0</v>
      </c>
      <c r="F35" s="187"/>
      <c r="G35" s="188">
        <f>IF(AND(G29&gt;E29,$AK8&gt;1,$AK7&gt;4,ISNUMBER(E29),ISNUMBER(G29)),1,0)</f>
        <v>0</v>
      </c>
      <c r="H35" s="187">
        <f>IF(AND(H29&gt;J29,$AK8&gt;2,$AK7&gt;4,ISNUMBER(H29),ISNUMBER(J29)),1,0)</f>
        <v>0</v>
      </c>
      <c r="I35" s="187"/>
      <c r="J35" s="188">
        <f>IF(AND(J29&gt;H29,$AK8&gt;2,$AK7&gt;4,ISNUMBER(H29),ISNUMBER(J29)),1,0)</f>
        <v>0</v>
      </c>
      <c r="K35" s="187">
        <f>IF(AND(K29&gt;M29,$AK8&gt;3,$AK7&gt;4,ISNUMBER(K29),ISNUMBER(M29)),1,0)</f>
        <v>0</v>
      </c>
      <c r="L35" s="187"/>
      <c r="M35" s="188">
        <f>IF(AND(M29&gt;K29,$AK8&gt;3,$AK7&gt;4,ISNUMBER(K29),ISNUMBER(M29)),1,0)</f>
        <v>0</v>
      </c>
      <c r="N35" s="187">
        <f>IF(AND(N29&gt;P29,$AK8&gt;4,$AK7&gt;4,ISNUMBER(N29),ISNUMBER(P29)),1,0)</f>
        <v>0</v>
      </c>
      <c r="O35" s="187"/>
      <c r="P35" s="188">
        <f>IF(AND(P29&gt;N29,$AK8&gt;4,$AK7&gt;4,ISNUMBER(N29),ISNUMBER(P29)),1,0)</f>
        <v>0</v>
      </c>
      <c r="Q35" s="187">
        <f>IF(AND(Q29&gt;S29,$AK8&gt;5,$AK7&gt;4,ISNUMBER(Q29),ISNUMBER(S29)),1,0)</f>
        <v>0</v>
      </c>
      <c r="R35" s="187"/>
      <c r="S35" s="188">
        <f>IF(AND(S29&gt;Q29,$AK8&gt;5,$AK7&gt;4,ISNUMBER(Q29),ISNUMBER(S29)),1,0)</f>
        <v>0</v>
      </c>
      <c r="T35" s="187">
        <f>IF(AND(T29&gt;V29,$AK8&gt;6,$AK7&gt;4,ISNUMBER(T29),ISNUMBER(V29)),1,0)</f>
        <v>0</v>
      </c>
      <c r="U35" s="187"/>
      <c r="V35" s="188">
        <f>IF(AND(V29&gt;T29,$AK8&gt;6,$AK7&gt;4,ISNUMBER(T29),ISNUMBER(V29)),1,0)</f>
        <v>0</v>
      </c>
      <c r="W35" s="187">
        <f>IF(AND(W29&gt;Y29,$AK8&gt;7,$AK7&gt;4,ISNUMBER(W29),ISNUMBER(Y29)),1,0)</f>
        <v>0</v>
      </c>
      <c r="X35" s="187"/>
      <c r="Y35" s="188">
        <f>IF(AND(Y29&gt;W29,$AK8&gt;7,$AK7&gt;4,ISNUMBER(W29),ISNUMBER(Y29)),1,0)</f>
        <v>0</v>
      </c>
      <c r="Z35" s="187">
        <f>IF(AND(Z29&gt;AB29,$AK8&gt;8,$AK7&gt;4,ISNUMBER(Z29),ISNUMBER(AB29)),1,0)</f>
        <v>0</v>
      </c>
      <c r="AA35" s="187"/>
      <c r="AB35" s="188">
        <f>IF(AND(AB29&gt;Z29,$AK8&gt;8,$AK7&gt;4,ISNUMBER(Z29),ISNUMBER(AB29)),1,0)</f>
        <v>0</v>
      </c>
      <c r="AC35" s="187">
        <f>IF(AND(AC29&gt;AE29,$AK8&gt;9,$AK7&gt;4,ISNUMBER(AC29),ISNUMBER(AE29)),1,0)</f>
        <v>0</v>
      </c>
      <c r="AD35" s="187"/>
      <c r="AE35" s="188">
        <f>IF(AND(AE29&gt;AC29,$AK8&gt;9,$AK7&gt;4,ISNUMBER(AC29),ISNUMBER(AE29)),1,0)</f>
        <v>0</v>
      </c>
    </row>
    <row r="36" spans="1:33" s="186" customFormat="1" ht="38.25" hidden="1" customHeight="1" x14ac:dyDescent="0.2">
      <c r="A36" s="189" t="s">
        <v>84</v>
      </c>
      <c r="B36" s="186">
        <f>SUM(B31:B35)</f>
        <v>2</v>
      </c>
      <c r="D36" s="190">
        <f>SUM(D31:D35)</f>
        <v>0</v>
      </c>
      <c r="E36" s="186">
        <f>SUM(E31:E35)</f>
        <v>2</v>
      </c>
      <c r="G36" s="190">
        <f>SUM(G31:G35)</f>
        <v>0</v>
      </c>
      <c r="H36" s="186">
        <f>SUM(H31:H35)</f>
        <v>2</v>
      </c>
      <c r="J36" s="190">
        <f>SUM(J31:J35)</f>
        <v>0</v>
      </c>
      <c r="K36" s="186">
        <f>SUM(K31:K35)</f>
        <v>2</v>
      </c>
      <c r="M36" s="190">
        <f>SUM(M31:M35)</f>
        <v>0</v>
      </c>
      <c r="N36" s="186">
        <f>SUM(N31:N35)</f>
        <v>2</v>
      </c>
      <c r="P36" s="190">
        <f>SUM(P31:P35)</f>
        <v>0</v>
      </c>
      <c r="Q36" s="186">
        <f>SUM(Q31:Q35)</f>
        <v>1</v>
      </c>
      <c r="S36" s="190">
        <f>SUM(S31:S35)</f>
        <v>1</v>
      </c>
      <c r="T36" s="186">
        <f>SUM(T31:T35)</f>
        <v>1</v>
      </c>
      <c r="V36" s="190">
        <f>SUM(V31:V35)</f>
        <v>1</v>
      </c>
      <c r="W36" s="186">
        <f>SUM(W31:W35)</f>
        <v>2</v>
      </c>
      <c r="Y36" s="190">
        <f>SUM(Y31:Y35)</f>
        <v>0</v>
      </c>
      <c r="Z36" s="186">
        <f>SUM(Z31:Z35)</f>
        <v>0</v>
      </c>
      <c r="AB36" s="190">
        <f>SUM(AB31:AB35)</f>
        <v>2</v>
      </c>
      <c r="AC36" s="186">
        <f>SUM(AC31:AC35)</f>
        <v>1</v>
      </c>
      <c r="AE36" s="190">
        <f>SUM(AE31:AE35)</f>
        <v>1</v>
      </c>
    </row>
    <row r="37" spans="1:33" s="186" customFormat="1" ht="25.5" hidden="1" customHeight="1" x14ac:dyDescent="0.2">
      <c r="A37" s="189" t="s">
        <v>85</v>
      </c>
      <c r="B37" s="186">
        <f>IF(B36&gt;D36,IF(C71=AK7,1,IF(C71=AK7-1,1,0)),0)</f>
        <v>1</v>
      </c>
      <c r="C37" s="186">
        <f>B37+D37</f>
        <v>1</v>
      </c>
      <c r="D37" s="190">
        <f>IF(D36&gt;B36,IF(C71=AK7,1,IF(C71=AK7-1,1,0)),0)</f>
        <v>0</v>
      </c>
      <c r="E37" s="186">
        <f>IF(E36&gt;G36,IF(F71=AK7,1,IF(F71=AK7-1,1,0)),0)</f>
        <v>1</v>
      </c>
      <c r="F37" s="186">
        <f>E37+G37</f>
        <v>1</v>
      </c>
      <c r="G37" s="190">
        <f>IF(G36&gt;E36,IF(F71=AK7,1,IF(F71=AK7-1,1,0)),0)</f>
        <v>0</v>
      </c>
      <c r="H37" s="186">
        <f>IF(H36&gt;J36,IF(I71=AK7,1,IF(I71=AK7-1,1,0)),0)</f>
        <v>1</v>
      </c>
      <c r="I37" s="186">
        <f>H37+J37</f>
        <v>1</v>
      </c>
      <c r="J37" s="190">
        <f>IF(J36&gt;H36,IF(I71=AK7,1,IF(I71=AK7-1,1,0)),0)</f>
        <v>0</v>
      </c>
      <c r="K37" s="186">
        <f>IF(K36&gt;M36,IF(L71=AK7,1,IF(L71=AK7-1,1,0)),0)</f>
        <v>1</v>
      </c>
      <c r="L37" s="186">
        <f>K37+M37</f>
        <v>1</v>
      </c>
      <c r="M37" s="190">
        <f>IF(M36&gt;K36,IF(L71=AK7,1,IF(L71=AK7-1,1,0)),0)</f>
        <v>0</v>
      </c>
      <c r="N37" s="186">
        <f>IF(N36&gt;P36,IF(O71=AK7,1,IF(O71=AK7-1,1,0)),0)</f>
        <v>1</v>
      </c>
      <c r="O37" s="186">
        <f>N37+P37</f>
        <v>1</v>
      </c>
      <c r="P37" s="190">
        <f>IF(P36&gt;N36,IF(O71=AK7,1,IF(O71=AK7-1,1,0)),0)</f>
        <v>0</v>
      </c>
      <c r="Q37" s="186">
        <f>IF(Q36&gt;S36,IF(R71=AK7,1,IF(R71=AK7-1,1,0)),0)</f>
        <v>0</v>
      </c>
      <c r="R37" s="186">
        <f>Q37+S37</f>
        <v>0</v>
      </c>
      <c r="S37" s="190">
        <f>IF(S36&gt;Q36,IF(R71=AK7,1,IF(R71=AK7-1,1,0)),0)</f>
        <v>0</v>
      </c>
      <c r="T37" s="186">
        <f>IF(T36&gt;V36,IF(U71=AK7,1,IF(U71=AK7-1,1,0)),0)</f>
        <v>0</v>
      </c>
      <c r="U37" s="186">
        <f>T37+V37</f>
        <v>0</v>
      </c>
      <c r="V37" s="190">
        <f>IF(V36&gt;T36,IF(U71=AK7,1,IF(U71=AK7-1,1,0)),0)</f>
        <v>0</v>
      </c>
      <c r="W37" s="186">
        <f>IF(W36&gt;Y36,IF(X71=AK7,1,IF(X71=AK7-1,1,0)),0)</f>
        <v>1</v>
      </c>
      <c r="X37" s="186">
        <f>W37+Y37</f>
        <v>1</v>
      </c>
      <c r="Y37" s="190">
        <f>IF(Y36&gt;W36,IF(X71=AK7,1,IF(X71=AK7-1,1,0)),0)</f>
        <v>0</v>
      </c>
      <c r="Z37" s="186">
        <f>IF(Z36&gt;AB36,IF(AA71=AK7,1,IF(AA71=AK7-1,1,0)),0)</f>
        <v>0</v>
      </c>
      <c r="AA37" s="186">
        <f>Z37+AB37</f>
        <v>1</v>
      </c>
      <c r="AB37" s="190">
        <f>IF(AB36&gt;Z36,IF(AA71=AK7,1,IF(AA71=AK7-1,1,0)),0)</f>
        <v>1</v>
      </c>
      <c r="AC37" s="186">
        <f>IF(AC36&gt;AE36,IF(AD71=AK7,1,IF(AD71=AK7-1,1,0)),0)</f>
        <v>0</v>
      </c>
      <c r="AD37" s="186">
        <f>AC37+AE37</f>
        <v>0</v>
      </c>
      <c r="AE37" s="190">
        <f>IF(AE36&gt;AC36,IF(AD71=AK7,1,IF(AD71=AK7-1,1,0)),0)</f>
        <v>0</v>
      </c>
    </row>
    <row r="38" spans="1:33" s="186" customFormat="1" ht="25.5" hidden="1" customHeight="1" x14ac:dyDescent="0.2">
      <c r="A38" s="189"/>
      <c r="D38" s="190"/>
      <c r="G38" s="190"/>
      <c r="J38" s="190"/>
      <c r="M38" s="190"/>
      <c r="P38" s="190"/>
      <c r="S38" s="190"/>
      <c r="V38" s="190"/>
      <c r="Y38" s="190"/>
      <c r="AB38" s="190"/>
      <c r="AE38" s="190"/>
    </row>
    <row r="39" spans="1:33" s="186" customFormat="1" ht="12.75" hidden="1" customHeight="1" x14ac:dyDescent="0.2">
      <c r="A39" s="186" t="s">
        <v>86</v>
      </c>
      <c r="B39" s="186">
        <f>IF(B31=1,B25,0)</f>
        <v>25</v>
      </c>
      <c r="D39" s="190">
        <f t="shared" ref="D39:E43" si="0">IF(D31=1,D25,0)</f>
        <v>0</v>
      </c>
      <c r="E39" s="186">
        <f t="shared" si="0"/>
        <v>25</v>
      </c>
      <c r="G39" s="190">
        <f t="shared" ref="G39:H43" si="1">IF(G31=1,G25,0)</f>
        <v>0</v>
      </c>
      <c r="H39" s="186">
        <f t="shared" si="1"/>
        <v>25</v>
      </c>
      <c r="J39" s="190">
        <f t="shared" ref="J39:K43" si="2">IF(J31=1,J25,0)</f>
        <v>0</v>
      </c>
      <c r="K39" s="186">
        <f t="shared" si="2"/>
        <v>25</v>
      </c>
      <c r="M39" s="190">
        <f t="shared" ref="M39:N43" si="3">IF(M31=1,M25,0)</f>
        <v>0</v>
      </c>
      <c r="N39" s="186">
        <f t="shared" si="3"/>
        <v>25</v>
      </c>
      <c r="P39" s="190">
        <f t="shared" ref="P39:Q43" si="4">IF(P31=1,P25,0)</f>
        <v>0</v>
      </c>
      <c r="Q39" s="186">
        <f t="shared" si="4"/>
        <v>25</v>
      </c>
      <c r="S39" s="190">
        <f t="shared" ref="S39:T43" si="5">IF(S31=1,S25,0)</f>
        <v>0</v>
      </c>
      <c r="T39" s="186">
        <f t="shared" si="5"/>
        <v>25</v>
      </c>
      <c r="V39" s="190">
        <f t="shared" ref="V39:W43" si="6">IF(V31=1,V25,0)</f>
        <v>0</v>
      </c>
      <c r="W39" s="186">
        <f t="shared" si="6"/>
        <v>25</v>
      </c>
      <c r="Y39" s="190">
        <f t="shared" ref="Y39:Z43" si="7">IF(Y31=1,Y25,0)</f>
        <v>0</v>
      </c>
      <c r="Z39" s="186">
        <f t="shared" si="7"/>
        <v>0</v>
      </c>
      <c r="AB39" s="190">
        <f t="shared" ref="AB39:AC43" si="8">IF(AB31=1,AB25,0)</f>
        <v>25</v>
      </c>
      <c r="AC39" s="186">
        <f t="shared" si="8"/>
        <v>0</v>
      </c>
      <c r="AE39" s="190">
        <f>IF(AE31=1,AE25,0)</f>
        <v>25</v>
      </c>
    </row>
    <row r="40" spans="1:33" s="186" customFormat="1" ht="12.75" hidden="1" customHeight="1" x14ac:dyDescent="0.2">
      <c r="A40" s="186" t="s">
        <v>87</v>
      </c>
      <c r="B40" s="186">
        <f>IF(B32=1,B26,0)</f>
        <v>25</v>
      </c>
      <c r="D40" s="190">
        <f t="shared" si="0"/>
        <v>0</v>
      </c>
      <c r="E40" s="186">
        <f t="shared" si="0"/>
        <v>27</v>
      </c>
      <c r="G40" s="190">
        <f t="shared" si="1"/>
        <v>0</v>
      </c>
      <c r="H40" s="186">
        <f t="shared" si="1"/>
        <v>25</v>
      </c>
      <c r="J40" s="190">
        <f t="shared" si="2"/>
        <v>0</v>
      </c>
      <c r="K40" s="186">
        <f t="shared" si="2"/>
        <v>26</v>
      </c>
      <c r="M40" s="190">
        <f t="shared" si="3"/>
        <v>0</v>
      </c>
      <c r="N40" s="186">
        <f t="shared" si="3"/>
        <v>25</v>
      </c>
      <c r="P40" s="190">
        <f t="shared" si="4"/>
        <v>0</v>
      </c>
      <c r="Q40" s="186">
        <f t="shared" si="4"/>
        <v>0</v>
      </c>
      <c r="S40" s="190">
        <f t="shared" si="5"/>
        <v>25</v>
      </c>
      <c r="T40" s="186">
        <f t="shared" si="5"/>
        <v>0</v>
      </c>
      <c r="V40" s="190">
        <f t="shared" si="6"/>
        <v>25</v>
      </c>
      <c r="W40" s="186">
        <f t="shared" si="6"/>
        <v>25</v>
      </c>
      <c r="Y40" s="190">
        <f t="shared" si="7"/>
        <v>0</v>
      </c>
      <c r="Z40" s="186">
        <f t="shared" si="7"/>
        <v>0</v>
      </c>
      <c r="AB40" s="190">
        <f t="shared" si="8"/>
        <v>25</v>
      </c>
      <c r="AC40" s="186">
        <f t="shared" si="8"/>
        <v>26</v>
      </c>
      <c r="AE40" s="190">
        <f>IF(AE32=1,AE26,0)</f>
        <v>0</v>
      </c>
    </row>
    <row r="41" spans="1:33" s="186" customFormat="1" ht="12.75" hidden="1" customHeight="1" x14ac:dyDescent="0.2">
      <c r="A41" s="186" t="s">
        <v>88</v>
      </c>
      <c r="B41" s="186">
        <f>IF(B33=1,B27,0)</f>
        <v>0</v>
      </c>
      <c r="D41" s="190">
        <f t="shared" si="0"/>
        <v>0</v>
      </c>
      <c r="E41" s="186">
        <f t="shared" si="0"/>
        <v>0</v>
      </c>
      <c r="G41" s="190">
        <f t="shared" si="1"/>
        <v>0</v>
      </c>
      <c r="H41" s="186">
        <f t="shared" si="1"/>
        <v>0</v>
      </c>
      <c r="J41" s="190">
        <f t="shared" si="2"/>
        <v>0</v>
      </c>
      <c r="K41" s="186">
        <f t="shared" si="2"/>
        <v>0</v>
      </c>
      <c r="M41" s="190">
        <f t="shared" si="3"/>
        <v>0</v>
      </c>
      <c r="N41" s="186">
        <f t="shared" si="3"/>
        <v>0</v>
      </c>
      <c r="P41" s="190">
        <f t="shared" si="4"/>
        <v>0</v>
      </c>
      <c r="Q41" s="186">
        <f t="shared" si="4"/>
        <v>0</v>
      </c>
      <c r="S41" s="190">
        <f t="shared" si="5"/>
        <v>0</v>
      </c>
      <c r="T41" s="186">
        <f t="shared" si="5"/>
        <v>0</v>
      </c>
      <c r="V41" s="190">
        <f t="shared" si="6"/>
        <v>0</v>
      </c>
      <c r="W41" s="186">
        <f t="shared" si="6"/>
        <v>0</v>
      </c>
      <c r="Y41" s="190">
        <f t="shared" si="7"/>
        <v>0</v>
      </c>
      <c r="Z41" s="186">
        <f t="shared" si="7"/>
        <v>0</v>
      </c>
      <c r="AB41" s="190">
        <f t="shared" si="8"/>
        <v>0</v>
      </c>
      <c r="AC41" s="186">
        <f t="shared" si="8"/>
        <v>0</v>
      </c>
      <c r="AE41" s="190">
        <f>IF(AE33=1,AE27,0)</f>
        <v>0</v>
      </c>
    </row>
    <row r="42" spans="1:33" s="186" customFormat="1" ht="12.75" hidden="1" customHeight="1" x14ac:dyDescent="0.2">
      <c r="A42" s="186" t="s">
        <v>89</v>
      </c>
      <c r="B42" s="186">
        <f>IF(B34=1,B28,0)</f>
        <v>0</v>
      </c>
      <c r="D42" s="190">
        <f t="shared" si="0"/>
        <v>0</v>
      </c>
      <c r="E42" s="186">
        <f t="shared" si="0"/>
        <v>0</v>
      </c>
      <c r="G42" s="190">
        <f t="shared" si="1"/>
        <v>0</v>
      </c>
      <c r="H42" s="186">
        <f t="shared" si="1"/>
        <v>0</v>
      </c>
      <c r="J42" s="190">
        <f t="shared" si="2"/>
        <v>0</v>
      </c>
      <c r="K42" s="186">
        <f t="shared" si="2"/>
        <v>0</v>
      </c>
      <c r="M42" s="190">
        <f t="shared" si="3"/>
        <v>0</v>
      </c>
      <c r="N42" s="186">
        <f t="shared" si="3"/>
        <v>0</v>
      </c>
      <c r="P42" s="190">
        <f t="shared" si="4"/>
        <v>0</v>
      </c>
      <c r="Q42" s="186">
        <f t="shared" si="4"/>
        <v>0</v>
      </c>
      <c r="S42" s="190">
        <f t="shared" si="5"/>
        <v>0</v>
      </c>
      <c r="T42" s="186">
        <f t="shared" si="5"/>
        <v>0</v>
      </c>
      <c r="V42" s="190">
        <f t="shared" si="6"/>
        <v>0</v>
      </c>
      <c r="W42" s="186">
        <f t="shared" si="6"/>
        <v>0</v>
      </c>
      <c r="Y42" s="190">
        <f t="shared" si="7"/>
        <v>0</v>
      </c>
      <c r="Z42" s="186">
        <f t="shared" si="7"/>
        <v>0</v>
      </c>
      <c r="AB42" s="190">
        <f t="shared" si="8"/>
        <v>0</v>
      </c>
      <c r="AC42" s="186">
        <f t="shared" si="8"/>
        <v>0</v>
      </c>
      <c r="AE42" s="190">
        <f>IF(AE34=1,AE28,0)</f>
        <v>0</v>
      </c>
    </row>
    <row r="43" spans="1:33" s="186" customFormat="1" ht="12.75" hidden="1" customHeight="1" x14ac:dyDescent="0.2">
      <c r="A43" s="186" t="s">
        <v>90</v>
      </c>
      <c r="B43" s="186">
        <f>IF(B35=1,B29,0)</f>
        <v>0</v>
      </c>
      <c r="D43" s="190">
        <f t="shared" si="0"/>
        <v>0</v>
      </c>
      <c r="E43" s="186">
        <f t="shared" si="0"/>
        <v>0</v>
      </c>
      <c r="G43" s="190">
        <f t="shared" si="1"/>
        <v>0</v>
      </c>
      <c r="H43" s="186">
        <f t="shared" si="1"/>
        <v>0</v>
      </c>
      <c r="J43" s="190">
        <f t="shared" si="2"/>
        <v>0</v>
      </c>
      <c r="K43" s="186">
        <f t="shared" si="2"/>
        <v>0</v>
      </c>
      <c r="M43" s="190">
        <f t="shared" si="3"/>
        <v>0</v>
      </c>
      <c r="N43" s="186">
        <f t="shared" si="3"/>
        <v>0</v>
      </c>
      <c r="P43" s="190">
        <f t="shared" si="4"/>
        <v>0</v>
      </c>
      <c r="Q43" s="186">
        <f t="shared" si="4"/>
        <v>0</v>
      </c>
      <c r="S43" s="190">
        <f t="shared" si="5"/>
        <v>0</v>
      </c>
      <c r="T43" s="186">
        <f t="shared" si="5"/>
        <v>0</v>
      </c>
      <c r="V43" s="190">
        <f t="shared" si="6"/>
        <v>0</v>
      </c>
      <c r="W43" s="186">
        <f t="shared" si="6"/>
        <v>0</v>
      </c>
      <c r="Y43" s="190">
        <f t="shared" si="7"/>
        <v>0</v>
      </c>
      <c r="Z43" s="186">
        <f t="shared" si="7"/>
        <v>0</v>
      </c>
      <c r="AB43" s="190">
        <f t="shared" si="8"/>
        <v>0</v>
      </c>
      <c r="AC43" s="186">
        <f t="shared" si="8"/>
        <v>0</v>
      </c>
      <c r="AE43" s="190">
        <f>IF(AE35=1,AE29,0)</f>
        <v>0</v>
      </c>
    </row>
    <row r="44" spans="1:33" s="186" customFormat="1" ht="38.25" hidden="1" customHeight="1" x14ac:dyDescent="0.2">
      <c r="A44" s="189" t="s">
        <v>91</v>
      </c>
      <c r="B44" s="186">
        <f>SUM(B39:D43)</f>
        <v>50</v>
      </c>
      <c r="D44" s="190"/>
      <c r="E44" s="186">
        <f>SUM(E39:G43)</f>
        <v>52</v>
      </c>
      <c r="G44" s="190"/>
      <c r="H44" s="186">
        <f>SUM(H39:J43)</f>
        <v>50</v>
      </c>
      <c r="J44" s="190"/>
      <c r="K44" s="186">
        <f>SUM(K39:M43)</f>
        <v>51</v>
      </c>
      <c r="M44" s="190"/>
      <c r="N44" s="186">
        <f>SUM(N39:P43)</f>
        <v>50</v>
      </c>
      <c r="P44" s="190"/>
      <c r="Q44" s="186">
        <f>SUM(Q39:S43)</f>
        <v>50</v>
      </c>
      <c r="S44" s="190"/>
      <c r="T44" s="186">
        <f>SUM(T39:V43)</f>
        <v>50</v>
      </c>
      <c r="V44" s="190"/>
      <c r="W44" s="186">
        <f>SUM(W39:Y43)</f>
        <v>50</v>
      </c>
      <c r="Y44" s="190"/>
      <c r="Z44" s="186">
        <f>SUM(Z39:AB43)</f>
        <v>50</v>
      </c>
      <c r="AB44" s="190"/>
      <c r="AC44" s="186">
        <f>SUM(AC39:AE43)</f>
        <v>51</v>
      </c>
      <c r="AE44" s="190"/>
    </row>
    <row r="45" spans="1:33" s="186" customFormat="1" ht="38.25" hidden="1" customHeight="1" x14ac:dyDescent="0.2">
      <c r="A45" s="186" t="s">
        <v>92</v>
      </c>
      <c r="D45" s="190"/>
      <c r="G45" s="190"/>
      <c r="J45" s="190"/>
      <c r="M45" s="190"/>
      <c r="P45" s="190"/>
      <c r="S45" s="190"/>
      <c r="V45" s="190"/>
      <c r="Y45" s="190"/>
      <c r="AB45" s="190"/>
      <c r="AE45" s="190"/>
      <c r="AF45" s="189" t="s">
        <v>93</v>
      </c>
      <c r="AG45" s="186" t="s">
        <v>94</v>
      </c>
    </row>
    <row r="46" spans="1:33" s="186" customFormat="1" ht="12.75" hidden="1" customHeight="1" x14ac:dyDescent="0.2">
      <c r="A46" s="186" t="s">
        <v>95</v>
      </c>
      <c r="B46" s="186">
        <f>IF(B24=1,IF(B37=1,1,0),0)</f>
        <v>0</v>
      </c>
      <c r="D46" s="190">
        <f>IF(D24=1,IF(D37=1,1,0),0)</f>
        <v>0</v>
      </c>
      <c r="E46" s="186">
        <f>IF(E24=1,IF(E37=1,1,0),0)</f>
        <v>1</v>
      </c>
      <c r="G46" s="190">
        <f>IF(G24=1,IF(G37=1,1,0),0)</f>
        <v>0</v>
      </c>
      <c r="H46" s="186">
        <f>IF(H24=1,IF(H37=1,1,0),0)</f>
        <v>0</v>
      </c>
      <c r="J46" s="190">
        <f>IF(J24=1,IF(J37=1,1,0),0)</f>
        <v>0</v>
      </c>
      <c r="K46" s="186">
        <f>IF(K24=1,IF(K37=1,1,0),0)</f>
        <v>0</v>
      </c>
      <c r="M46" s="190">
        <f>IF(M24=1,IF(M37=1,1,0),0)</f>
        <v>0</v>
      </c>
      <c r="N46" s="186">
        <f>IF(N24=1,IF(N37=1,1,0),0)</f>
        <v>1</v>
      </c>
      <c r="P46" s="190">
        <f>IF(P24=1,IF(P37=1,1,0),0)</f>
        <v>0</v>
      </c>
      <c r="Q46" s="186">
        <f>IF(Q24=1,IF(Q37=1,1,0),0)</f>
        <v>0</v>
      </c>
      <c r="S46" s="190">
        <f>IF(S24=1,IF(S37=1,1,0),0)</f>
        <v>0</v>
      </c>
      <c r="T46" s="186">
        <f>IF(T24=1,IF(T37=1,1,0),0)</f>
        <v>0</v>
      </c>
      <c r="V46" s="190">
        <f>IF(V24=1,IF(V37=1,1,0),0)</f>
        <v>0</v>
      </c>
      <c r="W46" s="186">
        <f>IF(W24=1,IF(W37=1,1,0),0)</f>
        <v>1</v>
      </c>
      <c r="Y46" s="190">
        <f>IF(Y24=1,IF(Y37=1,1,0),0)</f>
        <v>0</v>
      </c>
      <c r="Z46" s="186">
        <f>IF(Z24=1,IF(Z37=1,1,0),0)</f>
        <v>0</v>
      </c>
      <c r="AB46" s="190">
        <f>IF(AB24=1,IF(AB37=1,1,0),0)</f>
        <v>0</v>
      </c>
      <c r="AC46" s="186">
        <f>IF(AC24=1,IF(AC37=1,1,0),0)</f>
        <v>0</v>
      </c>
      <c r="AE46" s="190">
        <f>IF(AE24=1,IF(AE37=1,1,0),0)</f>
        <v>0</v>
      </c>
      <c r="AF46" s="186">
        <f>SUM(B46:AE46)</f>
        <v>3</v>
      </c>
      <c r="AG46" s="186">
        <f>AF52-AF46</f>
        <v>0</v>
      </c>
    </row>
    <row r="47" spans="1:33" s="186" customFormat="1" ht="12.75" hidden="1" customHeight="1" x14ac:dyDescent="0.2">
      <c r="A47" s="186" t="s">
        <v>96</v>
      </c>
      <c r="B47" s="186">
        <f>IF(B24=2,IF(B37=1,1,0),0)</f>
        <v>1</v>
      </c>
      <c r="D47" s="190">
        <f>IF(D24=2,IF(D37=1,1,0),0)</f>
        <v>0</v>
      </c>
      <c r="E47" s="186">
        <f>IF(E24=2,IF(E37=1,1,0),0)</f>
        <v>0</v>
      </c>
      <c r="G47" s="190">
        <f>IF(G24=2,IF(G37=1,1,0),0)</f>
        <v>0</v>
      </c>
      <c r="H47" s="186">
        <f>IF(H24=2,IF(H37=1,1,0),0)</f>
        <v>0</v>
      </c>
      <c r="J47" s="190">
        <f>IF(J24=2,IF(J37=1,1,0),0)</f>
        <v>0</v>
      </c>
      <c r="K47" s="186">
        <f>IF(K24=2,IF(K37=1,1,0),0)</f>
        <v>1</v>
      </c>
      <c r="M47" s="190">
        <f>IF(M24=2,IF(M37=1,1,0),0)</f>
        <v>0</v>
      </c>
      <c r="N47" s="186">
        <f>IF(N24=2,IF(N37=1,1,0),0)</f>
        <v>0</v>
      </c>
      <c r="P47" s="190">
        <f>IF(P24=2,IF(P37=1,1,0),0)</f>
        <v>0</v>
      </c>
      <c r="Q47" s="186">
        <f>IF(Q24=2,IF(Q37=1,1,0),0)</f>
        <v>0</v>
      </c>
      <c r="S47" s="190">
        <f>IF(S24=2,IF(S37=1,1,0),0)</f>
        <v>0</v>
      </c>
      <c r="T47" s="186">
        <f>IF(T24=2,IF(T37=1,1,0),0)</f>
        <v>0</v>
      </c>
      <c r="V47" s="190">
        <f>IF(V24=2,IF(V37=1,1,0),0)</f>
        <v>0</v>
      </c>
      <c r="W47" s="186">
        <f>IF(W24=2,IF(W37=1,1,0),0)</f>
        <v>0</v>
      </c>
      <c r="Y47" s="190">
        <f>IF(Y24=2,IF(Y37=1,1,0),0)</f>
        <v>0</v>
      </c>
      <c r="Z47" s="186">
        <f>IF(Z24=2,IF(Z37=1,1,0),0)</f>
        <v>0</v>
      </c>
      <c r="AB47" s="190">
        <f>IF(AB24=2,IF(AB37=1,1,0),0)</f>
        <v>0</v>
      </c>
      <c r="AC47" s="186">
        <f>IF(AC24=2,IF(AC37=1,1,0),0)</f>
        <v>0</v>
      </c>
      <c r="AE47" s="190">
        <f>IF(AE24=2,IF(AE37=1,1,0),0)</f>
        <v>0</v>
      </c>
      <c r="AF47" s="186">
        <f>SUM(B47:AE47)</f>
        <v>2</v>
      </c>
      <c r="AG47" s="186">
        <f>AF53-AF47</f>
        <v>0</v>
      </c>
    </row>
    <row r="48" spans="1:33" s="186" customFormat="1" ht="12.75" hidden="1" customHeight="1" x14ac:dyDescent="0.2">
      <c r="A48" s="186" t="s">
        <v>97</v>
      </c>
      <c r="B48" s="186">
        <f>IF(B24=3,IF(B37=1,1,0),0)</f>
        <v>0</v>
      </c>
      <c r="D48" s="190">
        <f>IF(D24=3,IF(D37=1,1,0),0)</f>
        <v>0</v>
      </c>
      <c r="E48" s="186">
        <f>IF(E24=3,IF(E37=1,1,0),0)</f>
        <v>0</v>
      </c>
      <c r="G48" s="190">
        <f>IF(G24=3,IF(G37=1,1,0),0)</f>
        <v>0</v>
      </c>
      <c r="H48" s="186">
        <f>IF(H24=3,IF(H37=1,1,0),0)</f>
        <v>1</v>
      </c>
      <c r="J48" s="190">
        <f>IF(J24=3,IF(J37=1,1,0),0)</f>
        <v>0</v>
      </c>
      <c r="K48" s="186">
        <f>IF(K24=3,IF(K37=1,1,0),0)</f>
        <v>0</v>
      </c>
      <c r="M48" s="190">
        <f>IF(M24=3,IF(M37=1,1,0),0)</f>
        <v>0</v>
      </c>
      <c r="N48" s="186">
        <f>IF(N24=3,IF(N37=1,1,0),0)</f>
        <v>0</v>
      </c>
      <c r="P48" s="190">
        <f>IF(P24=3,IF(P37=1,1,0),0)</f>
        <v>0</v>
      </c>
      <c r="Q48" s="186">
        <f>IF(Q24=3,IF(Q37=1,1,0),0)</f>
        <v>0</v>
      </c>
      <c r="S48" s="190">
        <f>IF(S24=3,IF(S37=1,1,0),0)</f>
        <v>0</v>
      </c>
      <c r="T48" s="186">
        <f>IF(T24=3,IF(T37=1,1,0),0)</f>
        <v>0</v>
      </c>
      <c r="V48" s="190">
        <f>IF(V24=3,IF(V37=1,1,0),0)</f>
        <v>0</v>
      </c>
      <c r="W48" s="186">
        <f>IF(W24=3,IF(W37=1,1,0),0)</f>
        <v>0</v>
      </c>
      <c r="Y48" s="190">
        <f>IF(Y24=3,IF(Y37=1,1,0),0)</f>
        <v>0</v>
      </c>
      <c r="Z48" s="186">
        <f>IF(Z24=3,IF(Z37=1,1,0),0)</f>
        <v>0</v>
      </c>
      <c r="AB48" s="190">
        <f>IF(AB24=3,IF(AB37=1,1,0),0)</f>
        <v>0</v>
      </c>
      <c r="AC48" s="186">
        <f>IF(AC24=3,IF(AC37=1,1,0),0)</f>
        <v>0</v>
      </c>
      <c r="AE48" s="190">
        <f>IF(AE24=3,IF(AE37=1,1,0),0)</f>
        <v>0</v>
      </c>
      <c r="AF48" s="186">
        <f>SUM(B48:AE48)</f>
        <v>1</v>
      </c>
      <c r="AG48" s="186">
        <f>AF54-AF48</f>
        <v>2</v>
      </c>
    </row>
    <row r="49" spans="1:37" s="186" customFormat="1" ht="12.75" hidden="1" customHeight="1" x14ac:dyDescent="0.2">
      <c r="A49" s="186" t="s">
        <v>98</v>
      </c>
      <c r="B49" s="186">
        <f>IF(B24=4,IF(B37=1,1,0),0)</f>
        <v>0</v>
      </c>
      <c r="D49" s="190">
        <f>IF(D24=4,IF(D37=1,1,0),0)</f>
        <v>0</v>
      </c>
      <c r="E49" s="186">
        <f>IF(E24=4,IF(E37=1,1,0),0)</f>
        <v>0</v>
      </c>
      <c r="G49" s="190">
        <f>IF(G24=4,IF(G37=1,1,0),0)</f>
        <v>0</v>
      </c>
      <c r="H49" s="186">
        <f>IF(H24=4,IF(H37=1,1,0),0)</f>
        <v>0</v>
      </c>
      <c r="J49" s="190">
        <f>IF(J24=4,IF(J37=1,1,0),0)</f>
        <v>0</v>
      </c>
      <c r="K49" s="186">
        <f>IF(K24=4,IF(K37=1,1,0),0)</f>
        <v>0</v>
      </c>
      <c r="M49" s="190">
        <f>IF(M24=4,IF(M37=1,1,0),0)</f>
        <v>0</v>
      </c>
      <c r="N49" s="186">
        <f>IF(N24=4,IF(N37=1,1,0),0)</f>
        <v>0</v>
      </c>
      <c r="P49" s="190">
        <f>IF(P24=4,IF(P37=1,1,0),0)</f>
        <v>0</v>
      </c>
      <c r="Q49" s="186">
        <f>IF(Q24=4,IF(Q37=1,1,0),0)</f>
        <v>0</v>
      </c>
      <c r="S49" s="190">
        <f>IF(S24=4,IF(S37=1,1,0),0)</f>
        <v>0</v>
      </c>
      <c r="T49" s="186">
        <f>IF(T24=4,IF(T37=1,1,0),0)</f>
        <v>0</v>
      </c>
      <c r="V49" s="190">
        <f>IF(V24=4,IF(V37=1,1,0),0)</f>
        <v>0</v>
      </c>
      <c r="W49" s="186">
        <f>IF(W24=4,IF(W37=1,1,0),0)</f>
        <v>0</v>
      </c>
      <c r="Y49" s="190">
        <f>IF(Y24=4,IF(Y37=1,1,0),0)</f>
        <v>0</v>
      </c>
      <c r="Z49" s="186">
        <f>IF(Z24=4,IF(Z37=1,1,0),0)</f>
        <v>0</v>
      </c>
      <c r="AB49" s="190">
        <f>IF(AB24=4,IF(AB37=1,1,0),0)</f>
        <v>1</v>
      </c>
      <c r="AC49" s="186">
        <f>IF(AC24=4,IF(AC37=1,1,0),0)</f>
        <v>0</v>
      </c>
      <c r="AE49" s="190">
        <f>IF(AE24=4,IF(AE37=1,1,0),0)</f>
        <v>0</v>
      </c>
      <c r="AF49" s="186">
        <f>SUM(B49:AE49)</f>
        <v>1</v>
      </c>
      <c r="AG49" s="186">
        <f>AF55-AF49</f>
        <v>2</v>
      </c>
    </row>
    <row r="50" spans="1:37" s="186" customFormat="1" ht="12.75" hidden="1" customHeight="1" x14ac:dyDescent="0.2">
      <c r="A50" s="186" t="s">
        <v>99</v>
      </c>
      <c r="B50" s="186">
        <f>IF(B24=5,IF(B37=1,1,0),0)</f>
        <v>0</v>
      </c>
      <c r="D50" s="190">
        <f>IF(D24=5,IF(D37=1,1,0),0)</f>
        <v>0</v>
      </c>
      <c r="E50" s="186">
        <f>IF(E24=5,IF(E37=1,1,0),0)</f>
        <v>0</v>
      </c>
      <c r="G50" s="190">
        <f>IF(G24=5,IF(G37=1,1,0),0)</f>
        <v>0</v>
      </c>
      <c r="H50" s="186">
        <f>IF(H24=5,IF(H37=1,1,0),0)</f>
        <v>0</v>
      </c>
      <c r="J50" s="190">
        <f>IF(J24=5,IF(J37=1,1,0),0)</f>
        <v>0</v>
      </c>
      <c r="K50" s="186">
        <f>IF(K24=5,IF(K37=1,1,0),0)</f>
        <v>0</v>
      </c>
      <c r="M50" s="190">
        <f>IF(M24=5,IF(M37=1,1,0),0)</f>
        <v>0</v>
      </c>
      <c r="N50" s="186">
        <f>IF(N24=5,IF(N37=1,1,0),0)</f>
        <v>0</v>
      </c>
      <c r="P50" s="190">
        <f>IF(P24=5,IF(P37=1,1,0),0)</f>
        <v>0</v>
      </c>
      <c r="Q50" s="186">
        <f>IF(Q24=5,IF(Q37=1,1,0),0)</f>
        <v>0</v>
      </c>
      <c r="S50" s="190">
        <f>IF(S24=5,IF(S37=1,1,0),0)</f>
        <v>0</v>
      </c>
      <c r="T50" s="186">
        <f>IF(T24=5,IF(T37=1,1,0),0)</f>
        <v>0</v>
      </c>
      <c r="V50" s="190">
        <f>IF(V24=5,IF(V37=1,1,0),0)</f>
        <v>0</v>
      </c>
      <c r="W50" s="186">
        <f>IF(W24=5,IF(W37=1,1,0),0)</f>
        <v>0</v>
      </c>
      <c r="Y50" s="190">
        <f>IF(Y24=5,IF(Y37=1,1,0),0)</f>
        <v>0</v>
      </c>
      <c r="Z50" s="186">
        <f>IF(Z24=5,IF(Z37=1,1,0),0)</f>
        <v>0</v>
      </c>
      <c r="AB50" s="190">
        <f>IF(AB24=5,IF(AB37=1,1,0),0)</f>
        <v>0</v>
      </c>
      <c r="AC50" s="186">
        <f>IF(AC24=5,IF(AC37=1,1,0),0)</f>
        <v>0</v>
      </c>
      <c r="AE50" s="190">
        <f>IF(AE24=5,IF(AE37=1,1,0),0)</f>
        <v>0</v>
      </c>
      <c r="AF50" s="186">
        <f>SUM(B50:AE50)</f>
        <v>0</v>
      </c>
      <c r="AG50" s="186">
        <f>AF56-AF50</f>
        <v>3</v>
      </c>
    </row>
    <row r="51" spans="1:37" s="186" customFormat="1" ht="38.25" hidden="1" customHeight="1" x14ac:dyDescent="0.2">
      <c r="A51" s="189"/>
      <c r="D51" s="190"/>
      <c r="G51" s="190"/>
      <c r="J51" s="190"/>
      <c r="M51" s="190"/>
      <c r="P51" s="190"/>
      <c r="S51" s="190"/>
      <c r="V51" s="190"/>
      <c r="Y51" s="190"/>
      <c r="AB51" s="190"/>
      <c r="AE51" s="190"/>
      <c r="AF51" s="189" t="s">
        <v>100</v>
      </c>
    </row>
    <row r="52" spans="1:37" s="186" customFormat="1" ht="12.75" hidden="1" customHeight="1" x14ac:dyDescent="0.2">
      <c r="A52" s="186" t="s">
        <v>101</v>
      </c>
      <c r="B52" s="186">
        <f>IF(B24=1,IF(C37=1,1,0),0)</f>
        <v>0</v>
      </c>
      <c r="D52" s="190">
        <f>IF(D24=1,IF(C37=1,1,0),0)</f>
        <v>0</v>
      </c>
      <c r="E52" s="186">
        <f>IF(E24=1,IF(F37=1,1,0),0)</f>
        <v>1</v>
      </c>
      <c r="G52" s="190">
        <f>IF(G24=1,IF(F37=1,1,0),0)</f>
        <v>0</v>
      </c>
      <c r="H52" s="186">
        <f>IF(H24=1,IF(I37=1,1,0),0)</f>
        <v>0</v>
      </c>
      <c r="J52" s="190">
        <f>IF(J24=1,IF(I37=1,1,0),0)</f>
        <v>0</v>
      </c>
      <c r="K52" s="186">
        <f>IF(K24=1,IF(L37=1,1,0),0)</f>
        <v>0</v>
      </c>
      <c r="M52" s="190">
        <f>IF(M24=1,IF(L37=1,1,0),0)</f>
        <v>0</v>
      </c>
      <c r="N52" s="186">
        <f>IF(N24=1,IF(O37=1,1,0),0)</f>
        <v>1</v>
      </c>
      <c r="P52" s="190">
        <f>IF(P24=1,IF(O37=1,1,0),0)</f>
        <v>0</v>
      </c>
      <c r="Q52" s="186">
        <f>IF(Q24=1,IF(R37=1,1,0),0)</f>
        <v>0</v>
      </c>
      <c r="S52" s="190">
        <f>IF(S24=1,IF(R37=1,1,0),0)</f>
        <v>0</v>
      </c>
      <c r="T52" s="186">
        <f>IF(T24=1,IF(U37=1,1,0),0)</f>
        <v>0</v>
      </c>
      <c r="V52" s="190">
        <f>IF(V24=1,IF(U37=1,1,0),0)</f>
        <v>0</v>
      </c>
      <c r="W52" s="186">
        <f>IF(W24=1,IF(X37=1,1,0),0)</f>
        <v>1</v>
      </c>
      <c r="Y52" s="190">
        <f>IF(Y24=1,IF(X37=1,1,0),0)</f>
        <v>0</v>
      </c>
      <c r="Z52" s="186">
        <f>IF(Z24=1,IF(AA37=1,1,0),0)</f>
        <v>0</v>
      </c>
      <c r="AB52" s="190">
        <f>IF(AB24=1,IF(AA37=1,1,0),0)</f>
        <v>0</v>
      </c>
      <c r="AC52" s="186">
        <f>IF(AC24=1,IF(AD37=1,1,0),0)</f>
        <v>0</v>
      </c>
      <c r="AE52" s="190">
        <f>IF(AE24=1,IF(AD37=1,1,0),0)</f>
        <v>0</v>
      </c>
      <c r="AF52" s="186">
        <f>SUM(B52:AE52)</f>
        <v>3</v>
      </c>
    </row>
    <row r="53" spans="1:37" s="186" customFormat="1" ht="12.75" hidden="1" customHeight="1" x14ac:dyDescent="0.2">
      <c r="A53" s="186" t="s">
        <v>102</v>
      </c>
      <c r="B53" s="186">
        <f>IF(B24=2,IF(C37=1,1,0),0)</f>
        <v>1</v>
      </c>
      <c r="D53" s="190">
        <f>IF(D24=2,IF(C37=1,1,0),0)</f>
        <v>0</v>
      </c>
      <c r="E53" s="186">
        <f>IF(E24=2,IF(F37=1,1,0),0)</f>
        <v>0</v>
      </c>
      <c r="G53" s="190">
        <f>IF(G24=2,IF(F37=1,1,0),0)</f>
        <v>0</v>
      </c>
      <c r="H53" s="186">
        <f>IF(H24=2,IF(I37=1,1,0),0)</f>
        <v>0</v>
      </c>
      <c r="J53" s="190">
        <f>IF(J24=2,IF(I37=1,1,0),0)</f>
        <v>0</v>
      </c>
      <c r="K53" s="186">
        <f>IF(K24=2,IF(L37=1,1,0),0)</f>
        <v>1</v>
      </c>
      <c r="M53" s="190">
        <f>IF(M24=2,IF(L37=1,1,0),0)</f>
        <v>0</v>
      </c>
      <c r="N53" s="186">
        <f>IF(N24=2,IF(O37=1,1,0),0)</f>
        <v>0</v>
      </c>
      <c r="P53" s="190">
        <f>IF(P24=2,IF(O37=1,1,0),0)</f>
        <v>0</v>
      </c>
      <c r="Q53" s="186">
        <f>IF(Q24=2,IF(R37=1,1,0),0)</f>
        <v>0</v>
      </c>
      <c r="S53" s="190">
        <f>IF(S24=2,IF(R37=1,1,0),0)</f>
        <v>0</v>
      </c>
      <c r="T53" s="186">
        <f>IF(T24=2,IF(U37=1,1,0),0)</f>
        <v>0</v>
      </c>
      <c r="V53" s="190">
        <f>IF(V24=2,IF(U37=1,1,0),0)</f>
        <v>0</v>
      </c>
      <c r="W53" s="186">
        <f>IF(W24=2,IF(X37=1,1,0),0)</f>
        <v>0</v>
      </c>
      <c r="Y53" s="190">
        <f>IF(Y24=2,IF(X37=1,1,0),0)</f>
        <v>0</v>
      </c>
      <c r="Z53" s="186">
        <f>IF(Z24=2,IF(AA37=1,1,0),0)</f>
        <v>0</v>
      </c>
      <c r="AB53" s="190">
        <f>IF(AB24=2,IF(AA37=1,1,0),0)</f>
        <v>0</v>
      </c>
      <c r="AC53" s="186">
        <f>IF(AC24=2,IF(AD37=1,1,0),0)</f>
        <v>0</v>
      </c>
      <c r="AE53" s="190">
        <f>IF(AE24=2,IF(AD37=1,1,0),0)</f>
        <v>0</v>
      </c>
      <c r="AF53" s="186">
        <f>SUM(B53:AE53)</f>
        <v>2</v>
      </c>
    </row>
    <row r="54" spans="1:37" s="186" customFormat="1" ht="12.75" hidden="1" customHeight="1" x14ac:dyDescent="0.2">
      <c r="A54" s="186" t="s">
        <v>103</v>
      </c>
      <c r="B54" s="186">
        <f>IF(B24=3,IF(C37=1,1,0),0)</f>
        <v>0</v>
      </c>
      <c r="D54" s="190">
        <f>IF(D24=3,IF(C37=1,1,0),0)</f>
        <v>0</v>
      </c>
      <c r="E54" s="186">
        <f>IF(E24=3,IF(F37=1,1,0),0)</f>
        <v>0</v>
      </c>
      <c r="G54" s="190">
        <f>IF(G24=3,IF(F37=1,1,0),0)</f>
        <v>0</v>
      </c>
      <c r="H54" s="186">
        <f>IF(H24=3,IF(I37=1,1,0),0)</f>
        <v>1</v>
      </c>
      <c r="J54" s="190">
        <f>IF(J24=3,IF(I37=1,1,0),0)</f>
        <v>0</v>
      </c>
      <c r="K54" s="186">
        <f>IF(K24=3,IF(L37=1,1,0),0)</f>
        <v>0</v>
      </c>
      <c r="M54" s="190">
        <f>IF(M24=3,IF(L37=1,1,0),0)</f>
        <v>0</v>
      </c>
      <c r="N54" s="186">
        <f>IF(N24=3,IF(O37=1,1,0),0)</f>
        <v>0</v>
      </c>
      <c r="P54" s="190">
        <f>IF(P24=3,IF(O37=1,1,0),0)</f>
        <v>1</v>
      </c>
      <c r="Q54" s="186">
        <f>IF(Q24=3,IF(R37=1,1,0),0)</f>
        <v>0</v>
      </c>
      <c r="S54" s="190">
        <f>IF(S24=3,IF(R37=1,1,0),0)</f>
        <v>0</v>
      </c>
      <c r="T54" s="186">
        <f>IF(T24=3,IF(U37=1,1,0),0)</f>
        <v>0</v>
      </c>
      <c r="V54" s="190">
        <f>IF(V24=3,IF(U37=1,1,0),0)</f>
        <v>0</v>
      </c>
      <c r="W54" s="186">
        <f>IF(W24=3,IF(X37=1,1,0),0)</f>
        <v>0</v>
      </c>
      <c r="Y54" s="190">
        <f>IF(Y24=3,IF(X37=1,1,0),0)</f>
        <v>0</v>
      </c>
      <c r="Z54" s="186">
        <f>IF(Z24=3,IF(AA37=1,1,0),0)</f>
        <v>1</v>
      </c>
      <c r="AB54" s="190">
        <f>IF(AB24=3,IF(AA37=1,1,0),0)</f>
        <v>0</v>
      </c>
      <c r="AC54" s="186">
        <f>IF(AC24=3,IF(AD37=1,1,0),0)</f>
        <v>0</v>
      </c>
      <c r="AE54" s="190">
        <f>IF(AE24=3,IF(AD37=1,1,0),0)</f>
        <v>0</v>
      </c>
      <c r="AF54" s="186">
        <f>SUM(B54:AE54)</f>
        <v>3</v>
      </c>
    </row>
    <row r="55" spans="1:37" s="186" customFormat="1" ht="12.75" hidden="1" customHeight="1" x14ac:dyDescent="0.2">
      <c r="A55" s="186" t="s">
        <v>104</v>
      </c>
      <c r="B55" s="186">
        <f>IF(B24=4,IF(C37=1,1,0),0)</f>
        <v>0</v>
      </c>
      <c r="D55" s="190">
        <f>IF(D24=4,IF(C37=1,1,0),0)</f>
        <v>0</v>
      </c>
      <c r="E55" s="186">
        <f>IF(E24=4,IF(F37=1,1,0),0)</f>
        <v>0</v>
      </c>
      <c r="G55" s="190">
        <f>IF(G24=4,IF(F37=1,1,0),0)</f>
        <v>1</v>
      </c>
      <c r="H55" s="186">
        <f>IF(H24=4,IF(I37=1,1,0),0)</f>
        <v>0</v>
      </c>
      <c r="J55" s="190">
        <f>IF(J24=4,IF(I37=1,1,0),0)</f>
        <v>0</v>
      </c>
      <c r="K55" s="186">
        <f>IF(K24=4,IF(L37=1,1,0),0)</f>
        <v>0</v>
      </c>
      <c r="M55" s="190">
        <f>IF(M24=4,IF(L37=1,1,0),0)</f>
        <v>1</v>
      </c>
      <c r="N55" s="186">
        <f>IF(N24=4,IF(O37=1,1,0),0)</f>
        <v>0</v>
      </c>
      <c r="P55" s="190">
        <f>IF(P24=4,IF(O37=1,1,0),0)</f>
        <v>0</v>
      </c>
      <c r="Q55" s="186">
        <f>IF(Q24=4,IF(R37=1,1,0),0)</f>
        <v>0</v>
      </c>
      <c r="S55" s="190">
        <f>IF(S24=4,IF(R37=1,1,0),0)</f>
        <v>0</v>
      </c>
      <c r="T55" s="186">
        <f>IF(T24=4,IF(U37=1,1,0),0)</f>
        <v>0</v>
      </c>
      <c r="V55" s="190">
        <f>IF(V24=4,IF(U37=1,1,0),0)</f>
        <v>0</v>
      </c>
      <c r="W55" s="186">
        <f>IF(W24=4,IF(X37=1,1,0),0)</f>
        <v>0</v>
      </c>
      <c r="Y55" s="190">
        <f>IF(Y24=4,IF(X37=1,1,0),0)</f>
        <v>0</v>
      </c>
      <c r="Z55" s="186">
        <f>IF(Z24=4,IF(AA37=1,1,0),0)</f>
        <v>0</v>
      </c>
      <c r="AB55" s="190">
        <f>IF(AB24=4,IF(AA37=1,1,0),0)</f>
        <v>1</v>
      </c>
      <c r="AC55" s="186">
        <f>IF(AC24=4,IF(AD37=1,1,0),0)</f>
        <v>0</v>
      </c>
      <c r="AE55" s="190">
        <f>IF(AE24=4,IF(AD37=1,1,0),0)</f>
        <v>0</v>
      </c>
      <c r="AF55" s="186">
        <f>SUM(B55:AE55)</f>
        <v>3</v>
      </c>
    </row>
    <row r="56" spans="1:37" s="186" customFormat="1" ht="12.75" hidden="1" customHeight="1" x14ac:dyDescent="0.2">
      <c r="A56" s="186" t="s">
        <v>105</v>
      </c>
      <c r="B56" s="186">
        <f>IF(B24=5,IF(C37=1,1,0),0)</f>
        <v>0</v>
      </c>
      <c r="D56" s="190">
        <f>IF(D24=5,IF(C37=1,1,0),0)</f>
        <v>1</v>
      </c>
      <c r="E56" s="186">
        <f>IF(E24=5,IF(F37=1,1,0),0)</f>
        <v>0</v>
      </c>
      <c r="G56" s="190">
        <f>IF(G24=5,IF(F37=1,1,0),0)</f>
        <v>0</v>
      </c>
      <c r="H56" s="186">
        <f>IF(H24=5,IF(I37=1,1,0),0)</f>
        <v>0</v>
      </c>
      <c r="J56" s="190">
        <f>IF(J24=5,IF(I37=1,1,0),0)</f>
        <v>1</v>
      </c>
      <c r="K56" s="186">
        <f>IF(K24=5,IF(L37=1,1,0),0)</f>
        <v>0</v>
      </c>
      <c r="M56" s="190">
        <f>IF(M24=5,IF(L37=1,1,0),0)</f>
        <v>0</v>
      </c>
      <c r="N56" s="186">
        <f>IF(N24=5,IF(O37=1,1,0),0)</f>
        <v>0</v>
      </c>
      <c r="P56" s="190">
        <f>IF(P24=5,IF(O37=1,1,0),0)</f>
        <v>0</v>
      </c>
      <c r="Q56" s="186">
        <f>IF(Q24=5,IF(R37=1,1,0),0)</f>
        <v>0</v>
      </c>
      <c r="S56" s="190">
        <f>IF(S24=5,IF(R37=1,1,0),0)</f>
        <v>0</v>
      </c>
      <c r="T56" s="186">
        <f>IF(T24=5,IF(U37=1,1,0),0)</f>
        <v>0</v>
      </c>
      <c r="V56" s="190">
        <f>IF(V24=5,IF(U37=1,1,0),0)</f>
        <v>0</v>
      </c>
      <c r="W56" s="186">
        <f>IF(W24=5,IF(X37=1,1,0),0)</f>
        <v>0</v>
      </c>
      <c r="Y56" s="190">
        <f>IF(Y24=5,IF(X37=1,1,0),0)</f>
        <v>1</v>
      </c>
      <c r="Z56" s="186">
        <f>IF(Z24=5,IF(AA37=1,1,0),0)</f>
        <v>0</v>
      </c>
      <c r="AB56" s="190">
        <f>IF(AB24=5,IF(AA37=1,1,0),0)</f>
        <v>0</v>
      </c>
      <c r="AC56" s="186">
        <f>IF(AC24=5,IF(AD37=1,1,0),0)</f>
        <v>0</v>
      </c>
      <c r="AE56" s="190">
        <f>IF(AE24=5,IF(AD37=1,1,0),0)</f>
        <v>0</v>
      </c>
      <c r="AF56" s="186">
        <f>SUM(B56:AE56)</f>
        <v>3</v>
      </c>
    </row>
    <row r="57" spans="1:37" s="186" customFormat="1" ht="38.25" hidden="1" customHeight="1" x14ac:dyDescent="0.2">
      <c r="A57" s="189"/>
      <c r="D57" s="190"/>
      <c r="G57" s="190"/>
      <c r="J57" s="190"/>
      <c r="M57" s="190"/>
      <c r="P57" s="190"/>
      <c r="S57" s="190"/>
      <c r="V57" s="190"/>
      <c r="Y57" s="190"/>
      <c r="AB57" s="190"/>
      <c r="AE57" s="190"/>
      <c r="AF57" s="189" t="s">
        <v>106</v>
      </c>
      <c r="AG57" s="451"/>
      <c r="AH57" s="451"/>
      <c r="AI57" s="451"/>
      <c r="AJ57" s="451"/>
      <c r="AK57" s="451"/>
    </row>
    <row r="58" spans="1:37" s="186" customFormat="1" ht="12.75" hidden="1" customHeight="1" x14ac:dyDescent="0.2">
      <c r="A58" s="186" t="s">
        <v>101</v>
      </c>
      <c r="B58" s="186">
        <f>IF(B24=1,B44,0)</f>
        <v>0</v>
      </c>
      <c r="D58" s="190">
        <f>IF(D24=1,B44,0)</f>
        <v>0</v>
      </c>
      <c r="E58" s="186">
        <f>IF(E24=1,E44,0)</f>
        <v>52</v>
      </c>
      <c r="G58" s="190">
        <f>IF(G24=1,E44,0)</f>
        <v>0</v>
      </c>
      <c r="H58" s="186">
        <f>IF(H24=1,H44,0)</f>
        <v>0</v>
      </c>
      <c r="J58" s="190">
        <f>IF(J24=1,H44,0)</f>
        <v>0</v>
      </c>
      <c r="K58" s="186">
        <f>IF(K24=1,K44,0)</f>
        <v>0</v>
      </c>
      <c r="M58" s="190">
        <f>IF(M24=1,K44,0)</f>
        <v>0</v>
      </c>
      <c r="N58" s="186">
        <f>IF(N24=1,N44,0)</f>
        <v>50</v>
      </c>
      <c r="P58" s="190">
        <f>IF(P24=1,N44,0)</f>
        <v>0</v>
      </c>
      <c r="Q58" s="186">
        <f>IF(Q24=1,Q44,0)</f>
        <v>0</v>
      </c>
      <c r="S58" s="190">
        <f>IF(S24=1,Q44,0)</f>
        <v>0</v>
      </c>
      <c r="T58" s="186">
        <f>IF(T24=1,T44,0)</f>
        <v>0</v>
      </c>
      <c r="V58" s="190">
        <f>IF(V24=1,T44,0)</f>
        <v>0</v>
      </c>
      <c r="W58" s="186">
        <f>IF(W24=1,W44,0)</f>
        <v>50</v>
      </c>
      <c r="Y58" s="190">
        <f>IF(Y24=1,W44,0)</f>
        <v>0</v>
      </c>
      <c r="Z58" s="186">
        <f>IF(Z24=1,Z44,0)</f>
        <v>0</v>
      </c>
      <c r="AB58" s="190">
        <f>IF(AB24=1,Z44,0)</f>
        <v>0</v>
      </c>
      <c r="AC58" s="186">
        <f>IF(AC24=1,AC44,0)</f>
        <v>51</v>
      </c>
      <c r="AE58" s="190">
        <f>IF(AE24=1,AC44,0)</f>
        <v>0</v>
      </c>
      <c r="AF58" s="186">
        <f>SUM(B58:AE58)</f>
        <v>203</v>
      </c>
    </row>
    <row r="59" spans="1:37" s="186" customFormat="1" ht="12.75" hidden="1" customHeight="1" x14ac:dyDescent="0.2">
      <c r="A59" s="186" t="s">
        <v>102</v>
      </c>
      <c r="B59" s="186">
        <f>IF(B24=2,B44,0)</f>
        <v>50</v>
      </c>
      <c r="D59" s="190">
        <f>IF(D24=2,B44,0)</f>
        <v>0</v>
      </c>
      <c r="E59" s="186">
        <f>IF(E24=2,E44,0)</f>
        <v>0</v>
      </c>
      <c r="G59" s="190">
        <f>IF(G24=2,E44,0)</f>
        <v>0</v>
      </c>
      <c r="H59" s="186">
        <f>IF(H24=2,H44,0)</f>
        <v>0</v>
      </c>
      <c r="J59" s="190">
        <f>IF(J24=2,H44,0)</f>
        <v>0</v>
      </c>
      <c r="K59" s="186">
        <f>IF(K24=2,K44,0)</f>
        <v>51</v>
      </c>
      <c r="M59" s="190">
        <f>IF(M24=2,K44,0)</f>
        <v>0</v>
      </c>
      <c r="N59" s="186">
        <f>IF(N24=2,N44,0)</f>
        <v>0</v>
      </c>
      <c r="P59" s="190">
        <f>IF(P24=2,N44,0)</f>
        <v>0</v>
      </c>
      <c r="Q59" s="186">
        <f>IF(Q24=2,Q44,0)</f>
        <v>0</v>
      </c>
      <c r="S59" s="190">
        <f>IF(S24=2,Q44,0)</f>
        <v>0</v>
      </c>
      <c r="T59" s="186">
        <f>IF(T24=2,T44,0)</f>
        <v>50</v>
      </c>
      <c r="V59" s="190">
        <f>IF(V24=2,T44,0)</f>
        <v>0</v>
      </c>
      <c r="W59" s="186">
        <f>IF(W24=2,W44,0)</f>
        <v>0</v>
      </c>
      <c r="Y59" s="190">
        <f>IF(Y24=2,W44,0)</f>
        <v>0</v>
      </c>
      <c r="Z59" s="186">
        <f>IF(Z24=2,Z44,0)</f>
        <v>0</v>
      </c>
      <c r="AB59" s="190">
        <f>IF(AB24=2,Z44,0)</f>
        <v>0</v>
      </c>
      <c r="AC59" s="186">
        <f>IF(AC24=2,AC44,0)</f>
        <v>0</v>
      </c>
      <c r="AE59" s="190">
        <f>IF(AE24=2,AC44,0)</f>
        <v>51</v>
      </c>
      <c r="AF59" s="186">
        <f>SUM(B59:AE59)</f>
        <v>202</v>
      </c>
    </row>
    <row r="60" spans="1:37" s="186" customFormat="1" ht="12.75" hidden="1" customHeight="1" x14ac:dyDescent="0.2">
      <c r="A60" s="186" t="s">
        <v>103</v>
      </c>
      <c r="B60" s="186">
        <f>IF(B24=3,B44,0)</f>
        <v>0</v>
      </c>
      <c r="D60" s="190">
        <f>IF(D24=3,B44,0)</f>
        <v>0</v>
      </c>
      <c r="E60" s="186">
        <f>IF(E24=3,E44,0)</f>
        <v>0</v>
      </c>
      <c r="G60" s="190">
        <f>IF(G24=3,E44,0)</f>
        <v>0</v>
      </c>
      <c r="H60" s="186">
        <f>IF(H24=3,H44,0)</f>
        <v>50</v>
      </c>
      <c r="J60" s="190">
        <f>IF(J24=3,H44,0)</f>
        <v>0</v>
      </c>
      <c r="K60" s="186">
        <f>IF(K24=3,K44,0)</f>
        <v>0</v>
      </c>
      <c r="M60" s="190">
        <f>IF(M24=3,K44,0)</f>
        <v>0</v>
      </c>
      <c r="N60" s="186">
        <f>IF(N24=3,N44,0)</f>
        <v>0</v>
      </c>
      <c r="P60" s="190">
        <f>IF(P24=3,N44,0)</f>
        <v>50</v>
      </c>
      <c r="Q60" s="186">
        <f>IF(Q24=3,Q44,0)</f>
        <v>0</v>
      </c>
      <c r="S60" s="190">
        <f>IF(S24=3,Q44,0)</f>
        <v>0</v>
      </c>
      <c r="T60" s="186">
        <f>IF(T24=3,T44,0)</f>
        <v>0</v>
      </c>
      <c r="V60" s="190">
        <f>IF(V24=3,T44,0)</f>
        <v>50</v>
      </c>
      <c r="W60" s="186">
        <f>IF(W24=3,W44,0)</f>
        <v>0</v>
      </c>
      <c r="Y60" s="190">
        <f>IF(Y24=3,W44,0)</f>
        <v>0</v>
      </c>
      <c r="Z60" s="186">
        <f>IF(Z24=3,Z44,0)</f>
        <v>50</v>
      </c>
      <c r="AB60" s="190">
        <f>IF(AB24=3,Z44,0)</f>
        <v>0</v>
      </c>
      <c r="AC60" s="186">
        <f>IF(AC24=3,AC44,0)</f>
        <v>0</v>
      </c>
      <c r="AE60" s="190">
        <f>IF(AE24=3,AC44,0)</f>
        <v>0</v>
      </c>
      <c r="AF60" s="186">
        <f>SUM(B60:AE60)</f>
        <v>200</v>
      </c>
    </row>
    <row r="61" spans="1:37" s="186" customFormat="1" ht="12.75" hidden="1" customHeight="1" x14ac:dyDescent="0.2">
      <c r="A61" s="186" t="s">
        <v>104</v>
      </c>
      <c r="B61" s="186">
        <f>IF(B24=4,B44,0)</f>
        <v>0</v>
      </c>
      <c r="D61" s="190">
        <f>IF(D24=4,B44,0)</f>
        <v>0</v>
      </c>
      <c r="E61" s="186">
        <f>IF(E24=4,E44,0)</f>
        <v>0</v>
      </c>
      <c r="G61" s="190">
        <f>IF(G24=4,E44,0)</f>
        <v>52</v>
      </c>
      <c r="H61" s="186">
        <f>IF(H24=4,H44,0)</f>
        <v>0</v>
      </c>
      <c r="J61" s="190">
        <f>IF(J24=4,H44,0)</f>
        <v>0</v>
      </c>
      <c r="K61" s="186">
        <f>IF(K24=4,K44,0)</f>
        <v>0</v>
      </c>
      <c r="M61" s="190">
        <f>IF(M24=4,K44,0)</f>
        <v>51</v>
      </c>
      <c r="N61" s="186">
        <f>IF(N24=4,N44,0)</f>
        <v>0</v>
      </c>
      <c r="P61" s="190">
        <f>IF(P24=4,N44,0)</f>
        <v>0</v>
      </c>
      <c r="Q61" s="186">
        <f>IF(Q24=4,Q44,0)</f>
        <v>50</v>
      </c>
      <c r="S61" s="190">
        <f>IF(S24=4,Q44,0)</f>
        <v>0</v>
      </c>
      <c r="T61" s="186">
        <f>IF(T24=4,T44,0)</f>
        <v>0</v>
      </c>
      <c r="V61" s="190">
        <f>IF(V24=4,T44,0)</f>
        <v>0</v>
      </c>
      <c r="W61" s="186">
        <f>IF(W24=4,W44,0)</f>
        <v>0</v>
      </c>
      <c r="Y61" s="190">
        <f>IF(Y24=4,W44,0)</f>
        <v>0</v>
      </c>
      <c r="Z61" s="186">
        <f>IF(Z24=4,Z44,0)</f>
        <v>0</v>
      </c>
      <c r="AB61" s="190">
        <f>IF(AB24=4,Z44,0)</f>
        <v>50</v>
      </c>
      <c r="AC61" s="186">
        <f>IF(AC24=4,AC44,0)</f>
        <v>0</v>
      </c>
      <c r="AE61" s="190">
        <f>IF(AE24=4,AC44,0)</f>
        <v>0</v>
      </c>
      <c r="AF61" s="186">
        <f>SUM(B61:AE61)</f>
        <v>203</v>
      </c>
    </row>
    <row r="62" spans="1:37" s="186" customFormat="1" ht="12.75" hidden="1" customHeight="1" x14ac:dyDescent="0.2">
      <c r="A62" s="186" t="s">
        <v>105</v>
      </c>
      <c r="B62" s="186">
        <f>IF(B24=5,B44,0)</f>
        <v>0</v>
      </c>
      <c r="D62" s="190">
        <f>IF(D24=5,B44,0)</f>
        <v>50</v>
      </c>
      <c r="E62" s="186">
        <f>IF(E24=5,E44,0)</f>
        <v>0</v>
      </c>
      <c r="G62" s="190">
        <f>IF(G24=5,E44,0)</f>
        <v>0</v>
      </c>
      <c r="H62" s="186">
        <f>IF(H24=5,H44,0)</f>
        <v>0</v>
      </c>
      <c r="J62" s="190">
        <f>IF(J24=5,H44,0)</f>
        <v>50</v>
      </c>
      <c r="K62" s="186">
        <f>IF(K24=5,K44,0)</f>
        <v>0</v>
      </c>
      <c r="M62" s="190">
        <f>IF(M24=5,K44,0)</f>
        <v>0</v>
      </c>
      <c r="N62" s="186">
        <f>IF(N24=5,N44,0)</f>
        <v>0</v>
      </c>
      <c r="P62" s="190">
        <f>IF(P24=5,N44,0)</f>
        <v>0</v>
      </c>
      <c r="Q62" s="186">
        <f>IF(Q24=5,Q44,0)</f>
        <v>0</v>
      </c>
      <c r="S62" s="190">
        <f>IF(S24=5,Q44,0)</f>
        <v>50</v>
      </c>
      <c r="T62" s="186">
        <f>IF(T24=5,T44,0)</f>
        <v>0</v>
      </c>
      <c r="V62" s="190">
        <f>IF(V24=5,T44,0)</f>
        <v>0</v>
      </c>
      <c r="W62" s="186">
        <f>IF(W24=5,W44,0)</f>
        <v>0</v>
      </c>
      <c r="Y62" s="190">
        <f>IF(Y24=5,W44,0)</f>
        <v>50</v>
      </c>
      <c r="Z62" s="186">
        <f>IF(Z24=5,Z44,0)</f>
        <v>0</v>
      </c>
      <c r="AB62" s="190">
        <f>IF(AB24=5,Z44,0)</f>
        <v>0</v>
      </c>
      <c r="AC62" s="186">
        <f>IF(AC24=5,AC44,0)</f>
        <v>0</v>
      </c>
      <c r="AE62" s="190">
        <f>IF(AE24=5,AC44,0)</f>
        <v>0</v>
      </c>
      <c r="AF62" s="186">
        <f>SUM(B62:AE62)</f>
        <v>200</v>
      </c>
    </row>
    <row r="63" spans="1:37" s="186" customFormat="1" ht="38.25" hidden="1" customHeight="1" x14ac:dyDescent="0.2">
      <c r="A63" s="186" t="s">
        <v>107</v>
      </c>
      <c r="D63" s="190"/>
      <c r="G63" s="190"/>
      <c r="J63" s="190"/>
      <c r="M63" s="190"/>
      <c r="P63" s="190"/>
      <c r="S63" s="190"/>
      <c r="V63" s="190"/>
      <c r="Y63" s="190"/>
      <c r="AB63" s="190"/>
      <c r="AE63" s="190"/>
      <c r="AF63" s="189" t="s">
        <v>108</v>
      </c>
      <c r="AG63" s="186" t="s">
        <v>109</v>
      </c>
    </row>
    <row r="64" spans="1:37" s="186" customFormat="1" ht="12.75" hidden="1" customHeight="1" x14ac:dyDescent="0.2">
      <c r="A64" s="186" t="s">
        <v>95</v>
      </c>
      <c r="B64" s="186">
        <f>IF(B24=1,SUMIF(B31:B35,"&gt;0"),0)</f>
        <v>0</v>
      </c>
      <c r="D64" s="190">
        <f>IF(D24=1,SUMIF(D31:D35,"&gt;0"),0)</f>
        <v>0</v>
      </c>
      <c r="E64" s="186">
        <f>IF(E24=1,SUMIF(E31:E35,"&gt;0"),0)</f>
        <v>2</v>
      </c>
      <c r="G64" s="190">
        <f>IF(G24=1,SUMIF(G31:G35,"&gt;0"),0)</f>
        <v>0</v>
      </c>
      <c r="H64" s="186">
        <f>IF(H24=1,SUMIF(H31:H35,"&gt;0"),0)</f>
        <v>0</v>
      </c>
      <c r="J64" s="190">
        <f>IF(J24=1,SUMIF(J31:J35,"&gt;0"),0)</f>
        <v>0</v>
      </c>
      <c r="K64" s="186">
        <f>IF(K24=1,SUMIF(K31:K35,"&gt;0"),0)</f>
        <v>0</v>
      </c>
      <c r="M64" s="190">
        <f>IF(M24=1,SUMIF(M31:M35,"&gt;0"),0)</f>
        <v>0</v>
      </c>
      <c r="N64" s="186">
        <f>IF(N24=1,SUMIF(N31:N35,"&gt;0"),0)</f>
        <v>2</v>
      </c>
      <c r="P64" s="190">
        <f>IF(P24=1,SUMIF(P31:P35,"&gt;0"),0)</f>
        <v>0</v>
      </c>
      <c r="Q64" s="186">
        <f>IF(Q24=1,SUMIF(Q31:Q35,"&gt;0"),0)</f>
        <v>0</v>
      </c>
      <c r="S64" s="190">
        <f>IF(S24=1,SUMIF(S31:S35,"&gt;0"),0)</f>
        <v>0</v>
      </c>
      <c r="T64" s="186">
        <f>IF(T24=1,SUMIF(T31:T35,"&gt;0"),0)</f>
        <v>0</v>
      </c>
      <c r="V64" s="190">
        <f>IF(V24=1,SUMIF(V31:V35,"&gt;0"),0)</f>
        <v>0</v>
      </c>
      <c r="W64" s="186">
        <f>IF(W24=1,SUMIF(W31:W35,"&gt;0"),0)</f>
        <v>2</v>
      </c>
      <c r="Y64" s="190">
        <f>IF(Y24=1,SUMIF(Y31:Y35,"&gt;0"),0)</f>
        <v>0</v>
      </c>
      <c r="Z64" s="186">
        <f>IF(Z24=1,SUMIF(Z31:Z35,"&gt;0"),0)</f>
        <v>0</v>
      </c>
      <c r="AB64" s="190">
        <f>IF(AB24=1,SUMIF(AB31:AB35,"&gt;0"),0)</f>
        <v>0</v>
      </c>
      <c r="AC64" s="186">
        <f>IF(AC24=1,SUMIF(AC31:AC35,"&gt;0"),0)</f>
        <v>1</v>
      </c>
      <c r="AE64" s="190">
        <f>IF(AE24=1,SUMIF(AE31:AE35,"&gt;0"),0)</f>
        <v>0</v>
      </c>
      <c r="AF64" s="186">
        <f>SUM(B64:AE64)</f>
        <v>7</v>
      </c>
      <c r="AG64" s="186">
        <f>AF72-AF64</f>
        <v>1</v>
      </c>
    </row>
    <row r="65" spans="1:54" s="186" customFormat="1" ht="12.75" hidden="1" customHeight="1" x14ac:dyDescent="0.2">
      <c r="A65" s="186" t="s">
        <v>96</v>
      </c>
      <c r="B65" s="186">
        <f>IF(B24=2,SUMIF(B31:B35,"&gt;0"),0)</f>
        <v>2</v>
      </c>
      <c r="D65" s="190">
        <f>IF(D24=2,SUMIF(D31:D35,"&gt;0"),0)</f>
        <v>0</v>
      </c>
      <c r="E65" s="186">
        <f>IF(E24=2,SUMIF(E31:E35,"&gt;0"),0)</f>
        <v>0</v>
      </c>
      <c r="G65" s="190">
        <f>IF(G24=2,SUMIF(G31:G35,"&gt;0"),0)</f>
        <v>0</v>
      </c>
      <c r="H65" s="186">
        <f>IF(H24=2,SUMIF(H31:H35,"&gt;0"),0)</f>
        <v>0</v>
      </c>
      <c r="J65" s="190">
        <f>IF(J24=2,SUMIF(J31:J35,"&gt;0"),0)</f>
        <v>0</v>
      </c>
      <c r="K65" s="186">
        <f>IF(K24=2,SUMIF(K31:K35,"&gt;0"),0)</f>
        <v>2</v>
      </c>
      <c r="M65" s="190">
        <f>IF(M24=2,SUMIF(M31:M35,"&gt;0"),0)</f>
        <v>0</v>
      </c>
      <c r="N65" s="186">
        <f>IF(N24=2,SUMIF(N31:N35,"&gt;0"),0)</f>
        <v>0</v>
      </c>
      <c r="P65" s="190">
        <f>IF(P24=2,SUMIF(P31:P35,"&gt;0"),0)</f>
        <v>0</v>
      </c>
      <c r="Q65" s="186">
        <f>IF(Q24=2,SUMIF(Q31:Q35,"&gt;0"),0)</f>
        <v>0</v>
      </c>
      <c r="S65" s="190">
        <f>IF(S24=2,SUMIF(S31:S35,"&gt;0"),0)</f>
        <v>0</v>
      </c>
      <c r="T65" s="186">
        <f>IF(T24=2,SUMIF(T31:T35,"&gt;0"),0)</f>
        <v>1</v>
      </c>
      <c r="V65" s="190">
        <f>IF(V24=2,SUMIF(V31:V35,"&gt;0"),0)</f>
        <v>0</v>
      </c>
      <c r="W65" s="186">
        <f>IF(W24=2,SUMIF(W31:W35,"&gt;0"),0)</f>
        <v>0</v>
      </c>
      <c r="Y65" s="190">
        <f>IF(Y24=2,SUMIF(Y31:Y35,"&gt;0"),0)</f>
        <v>0</v>
      </c>
      <c r="Z65" s="186">
        <f>IF(Z24=2,SUMIF(Z31:Z35,"&gt;0"),0)</f>
        <v>0</v>
      </c>
      <c r="AB65" s="190">
        <f>IF(AB24=2,SUMIF(AB31:AB35,"&gt;0"),0)</f>
        <v>0</v>
      </c>
      <c r="AC65" s="186">
        <f>IF(AC24=2,SUMIF(AC31:AC35,"&gt;0"),0)</f>
        <v>0</v>
      </c>
      <c r="AE65" s="190">
        <f>IF(AE24=2,SUMIF(AE31:AE35,"&gt;0"),0)</f>
        <v>1</v>
      </c>
      <c r="AF65" s="186">
        <f>SUM(B65:AE65)</f>
        <v>6</v>
      </c>
      <c r="AG65" s="186">
        <f>AF73-AF65</f>
        <v>2</v>
      </c>
    </row>
    <row r="66" spans="1:54" s="186" customFormat="1" ht="12.75" hidden="1" customHeight="1" x14ac:dyDescent="0.2">
      <c r="A66" s="186" t="s">
        <v>97</v>
      </c>
      <c r="B66" s="186">
        <f>IF(B24=3,SUMIF(B31:B35,"&gt;0"),0)</f>
        <v>0</v>
      </c>
      <c r="D66" s="190">
        <f>IF(D24=3,SUMIF(D31:D35,"&gt;0"),0)</f>
        <v>0</v>
      </c>
      <c r="E66" s="186">
        <f>IF(E24=3,SUMIF(E31:E35,"&gt;0"),0)</f>
        <v>0</v>
      </c>
      <c r="G66" s="190">
        <f>IF(G24=3,SUMIF(G31:G35,"&gt;0"),0)</f>
        <v>0</v>
      </c>
      <c r="H66" s="186">
        <f>IF(H24=3,SUMIF(H31:H35,"&gt;0"),0)</f>
        <v>2</v>
      </c>
      <c r="J66" s="190">
        <f>IF(J24=3,SUMIF(J31:J35,"&gt;0"),0)</f>
        <v>0</v>
      </c>
      <c r="K66" s="186">
        <f>IF(K24=3,SUMIF(K31:K35,"&gt;0"),0)</f>
        <v>0</v>
      </c>
      <c r="M66" s="190">
        <f>IF(M24=3,SUMIF(M31:M35,"&gt;0"),0)</f>
        <v>0</v>
      </c>
      <c r="N66" s="186">
        <f>IF(N24=3,SUMIF(N31:N35,"&gt;0"),0)</f>
        <v>0</v>
      </c>
      <c r="P66" s="190">
        <f>IF(P24=3,SUMIF(P31:P35,"&gt;0"),0)</f>
        <v>0</v>
      </c>
      <c r="Q66" s="186">
        <f>IF(Q24=3,SUMIF(Q31:Q35,"&gt;0"),0)</f>
        <v>0</v>
      </c>
      <c r="S66" s="190">
        <f>IF(S24=3,SUMIF(S31:S35,"&gt;0"),0)</f>
        <v>0</v>
      </c>
      <c r="T66" s="186">
        <f>IF(T24=3,SUMIF(T31:T35,"&gt;0"),0)</f>
        <v>0</v>
      </c>
      <c r="V66" s="190">
        <f>IF(V24=3,SUMIF(V31:V35,"&gt;0"),0)</f>
        <v>1</v>
      </c>
      <c r="W66" s="186">
        <f>IF(W24=3,SUMIF(W31:W35,"&gt;0"),0)</f>
        <v>0</v>
      </c>
      <c r="Y66" s="190">
        <f>IF(Y24=3,SUMIF(Y31:Y35,"&gt;0"),0)</f>
        <v>0</v>
      </c>
      <c r="Z66" s="186">
        <f>IF(Z24=3,SUMIF(Z31:Z35,"&gt;0"),0)</f>
        <v>0</v>
      </c>
      <c r="AB66" s="190">
        <f>IF(AB24=3,SUMIF(AB31:AB35,"&gt;0"),0)</f>
        <v>0</v>
      </c>
      <c r="AC66" s="186">
        <f>IF(AC24=3,SUMIF(AC31:AC35,"&gt;0"),0)</f>
        <v>0</v>
      </c>
      <c r="AE66" s="190">
        <f>IF(AE24=3,SUMIF(AE31:AE35,"&gt;0"),0)</f>
        <v>0</v>
      </c>
      <c r="AF66" s="186">
        <f>SUM(B66:AE66)</f>
        <v>3</v>
      </c>
      <c r="AG66" s="186">
        <f>AF74-AF66</f>
        <v>5</v>
      </c>
    </row>
    <row r="67" spans="1:54" s="186" customFormat="1" ht="12.75" hidden="1" customHeight="1" x14ac:dyDescent="0.2">
      <c r="A67" s="186" t="s">
        <v>98</v>
      </c>
      <c r="B67" s="186">
        <f>IF(B24=4,SUMIF(B31:B35,"&gt;0"),0)</f>
        <v>0</v>
      </c>
      <c r="D67" s="190">
        <f>IF(D24=4,SUMIF(D31:D35,"&gt;0"),0)</f>
        <v>0</v>
      </c>
      <c r="E67" s="186">
        <f>IF(E24=4,SUMIF(E31:E35,"&gt;0"),0)</f>
        <v>0</v>
      </c>
      <c r="G67" s="190">
        <f>IF(G24=4,SUMIF(G31:G35,"&gt;0"),0)</f>
        <v>0</v>
      </c>
      <c r="H67" s="186">
        <f>IF(H24=4,SUMIF(H31:H35,"&gt;0"),0)</f>
        <v>0</v>
      </c>
      <c r="J67" s="190">
        <f>IF(J24=4,SUMIF(J31:J35,"&gt;0"),0)</f>
        <v>0</v>
      </c>
      <c r="K67" s="186">
        <f>IF(K24=4,SUMIF(K31:K35,"&gt;0"),0)</f>
        <v>0</v>
      </c>
      <c r="M67" s="190">
        <f>IF(M24=4,SUMIF(M31:M35,"&gt;0"),0)</f>
        <v>0</v>
      </c>
      <c r="N67" s="186">
        <f>IF(N24=4,SUMIF(N31:N35,"&gt;0"),0)</f>
        <v>0</v>
      </c>
      <c r="P67" s="190">
        <f>IF(P24=4,SUMIF(P31:P35,"&gt;0"),0)</f>
        <v>0</v>
      </c>
      <c r="Q67" s="186">
        <f>IF(Q24=4,SUMIF(Q31:Q35,"&gt;0"),0)</f>
        <v>1</v>
      </c>
      <c r="S67" s="190">
        <f>IF(S24=4,SUMIF(S31:S35,"&gt;0"),0)</f>
        <v>0</v>
      </c>
      <c r="T67" s="186">
        <f>IF(T24=4,SUMIF(T31:T35,"&gt;0"),0)</f>
        <v>0</v>
      </c>
      <c r="V67" s="190">
        <f>IF(V24=4,SUMIF(V31:V35,"&gt;0"),0)</f>
        <v>0</v>
      </c>
      <c r="W67" s="186">
        <f>IF(W24=4,SUMIF(W31:W35,"&gt;0"),0)</f>
        <v>0</v>
      </c>
      <c r="Y67" s="190">
        <f>IF(Y24=4,SUMIF(Y31:Y35,"&gt;0"),0)</f>
        <v>0</v>
      </c>
      <c r="Z67" s="186">
        <f>IF(Z24=4,SUMIF(Z31:Z35,"&gt;0"),0)</f>
        <v>0</v>
      </c>
      <c r="AB67" s="190">
        <f>IF(AB24=4,SUMIF(AB31:AB35,"&gt;0"),0)</f>
        <v>2</v>
      </c>
      <c r="AC67" s="186">
        <f>IF(AC24=4,SUMIF(AC31:AC35,"&gt;0"),0)</f>
        <v>0</v>
      </c>
      <c r="AE67" s="190">
        <f>IF(AE24=4,SUMIF(AE31:AE35,"&gt;0"),0)</f>
        <v>0</v>
      </c>
      <c r="AF67" s="186">
        <f>SUM(B67:AE67)</f>
        <v>3</v>
      </c>
      <c r="AG67" s="186">
        <f>AF75-AF67</f>
        <v>5</v>
      </c>
    </row>
    <row r="68" spans="1:54" s="186" customFormat="1" ht="12.75" hidden="1" customHeight="1" x14ac:dyDescent="0.2">
      <c r="A68" s="186" t="s">
        <v>99</v>
      </c>
      <c r="B68" s="186">
        <f>IF(B24=5,SUMIF(B31:B35,"&gt;0"),0)</f>
        <v>0</v>
      </c>
      <c r="D68" s="190">
        <f>IF(D24=5,SUMIF(D31:D35,"&gt;0"),0)</f>
        <v>0</v>
      </c>
      <c r="E68" s="186">
        <f>IF(E24=5,SUMIF(E31:E35,"&gt;0"),0)</f>
        <v>0</v>
      </c>
      <c r="G68" s="190">
        <f>IF(G24=5,SUMIF(G31:G35,"&gt;0"),0)</f>
        <v>0</v>
      </c>
      <c r="H68" s="186">
        <f>IF(H24=5,SUMIF(H31:H35,"&gt;0"),0)</f>
        <v>0</v>
      </c>
      <c r="J68" s="190">
        <f>IF(J24=5,SUMIF(J31:J35,"&gt;0"),0)</f>
        <v>0</v>
      </c>
      <c r="K68" s="186">
        <f>IF(K24=5,SUMIF(K31:K35,"&gt;0"),0)</f>
        <v>0</v>
      </c>
      <c r="M68" s="190">
        <f>IF(M24=5,SUMIF(M31:M35,"&gt;0"),0)</f>
        <v>0</v>
      </c>
      <c r="N68" s="186">
        <f>IF(N24=5,SUMIF(N31:N35,"&gt;0"),0)</f>
        <v>0</v>
      </c>
      <c r="P68" s="190">
        <f>IF(P24=5,SUMIF(P31:P35,"&gt;0"),0)</f>
        <v>0</v>
      </c>
      <c r="Q68" s="186">
        <f>IF(Q24=5,SUMIF(Q31:Q35,"&gt;0"),0)</f>
        <v>0</v>
      </c>
      <c r="S68" s="190">
        <f>IF(S24=5,SUMIF(S31:S35,"&gt;0"),0)</f>
        <v>1</v>
      </c>
      <c r="T68" s="186">
        <f>IF(T24=5,SUMIF(T31:T35,"&gt;0"),0)</f>
        <v>0</v>
      </c>
      <c r="V68" s="190">
        <f>IF(V24=5,SUMIF(V31:V35,"&gt;0"),0)</f>
        <v>0</v>
      </c>
      <c r="W68" s="186">
        <f>IF(W24=5,SUMIF(W31:W35,"&gt;0"),0)</f>
        <v>0</v>
      </c>
      <c r="Y68" s="190">
        <f>IF(Y24=5,SUMIF(Y31:Y35,"&gt;0"),0)</f>
        <v>0</v>
      </c>
      <c r="Z68" s="186">
        <f>IF(Z24=5,SUMIF(Z31:Z35,"&gt;0"),0)</f>
        <v>0</v>
      </c>
      <c r="AB68" s="190">
        <f>IF(AB24=5,SUMIF(AB31:AB35,"&gt;0"),0)</f>
        <v>0</v>
      </c>
      <c r="AC68" s="186">
        <f>IF(AC24=5,SUMIF(AC31:AC35,"&gt;0"),0)</f>
        <v>0</v>
      </c>
      <c r="AE68" s="190">
        <f>IF(AE24=5,SUMIF(AE31:AE35,"&gt;0"),0)</f>
        <v>0</v>
      </c>
      <c r="AF68" s="186">
        <f>SUM(B68:AE68)</f>
        <v>1</v>
      </c>
      <c r="AG68" s="186">
        <f>AF76-AF68</f>
        <v>7</v>
      </c>
    </row>
    <row r="69" spans="1:54" s="186" customFormat="1" ht="12.75" hidden="1" customHeight="1" x14ac:dyDescent="0.2">
      <c r="D69" s="190"/>
      <c r="G69" s="190"/>
      <c r="J69" s="190"/>
      <c r="M69" s="190"/>
      <c r="P69" s="190"/>
      <c r="S69" s="190"/>
      <c r="V69" s="190"/>
      <c r="Y69" s="190"/>
      <c r="AB69" s="190"/>
      <c r="AE69" s="190"/>
    </row>
    <row r="70" spans="1:54" s="186" customFormat="1" ht="12.75" hidden="1" customHeight="1" x14ac:dyDescent="0.2">
      <c r="D70" s="190"/>
      <c r="G70" s="190"/>
      <c r="J70" s="190"/>
      <c r="M70" s="190"/>
      <c r="P70" s="190"/>
      <c r="S70" s="190"/>
      <c r="V70" s="190"/>
      <c r="Y70" s="190"/>
      <c r="AB70" s="190"/>
      <c r="AE70" s="190"/>
    </row>
    <row r="71" spans="1:54" s="186" customFormat="1" ht="51" hidden="1" customHeight="1" x14ac:dyDescent="0.2">
      <c r="A71" s="189" t="s">
        <v>110</v>
      </c>
      <c r="C71" s="186">
        <f>SUMIF(B64:D68,"&gt;0")</f>
        <v>2</v>
      </c>
      <c r="D71" s="190"/>
      <c r="F71" s="186">
        <f>SUMIF(E64:G68,"&gt;0")</f>
        <v>2</v>
      </c>
      <c r="G71" s="190"/>
      <c r="I71" s="186">
        <f>SUMIF(H64:J68,"&gt;0")</f>
        <v>2</v>
      </c>
      <c r="J71" s="190"/>
      <c r="L71" s="186">
        <f>SUMIF(K64:M68,"&gt;0")</f>
        <v>2</v>
      </c>
      <c r="M71" s="190"/>
      <c r="O71" s="186">
        <f>SUMIF(N64:P68,"&gt;0")</f>
        <v>2</v>
      </c>
      <c r="P71" s="190"/>
      <c r="R71" s="186">
        <f>SUMIF(Q64:S68,"&gt;0")</f>
        <v>2</v>
      </c>
      <c r="S71" s="190"/>
      <c r="U71" s="186">
        <f>SUMIF(T64:V68,"&gt;0")</f>
        <v>2</v>
      </c>
      <c r="V71" s="190"/>
      <c r="X71" s="186">
        <f>SUMIF(W64:Y68,"&gt;0")</f>
        <v>2</v>
      </c>
      <c r="Y71" s="190"/>
      <c r="AA71" s="186">
        <f>SUMIF(Z64:AB68,"&gt;0")</f>
        <v>2</v>
      </c>
      <c r="AB71" s="190"/>
      <c r="AD71" s="186">
        <f>SUMIF(AC64:AE68,"&gt;0")</f>
        <v>2</v>
      </c>
      <c r="AE71" s="190"/>
      <c r="AF71" s="189" t="s">
        <v>111</v>
      </c>
    </row>
    <row r="72" spans="1:54" s="186" customFormat="1" ht="12.75" hidden="1" customHeight="1" x14ac:dyDescent="0.2">
      <c r="A72" s="186" t="s">
        <v>101</v>
      </c>
      <c r="B72" s="186">
        <f>IF(B24=1,C71,0)</f>
        <v>0</v>
      </c>
      <c r="D72" s="190">
        <f>IF(D24=1,C71,0)</f>
        <v>0</v>
      </c>
      <c r="E72" s="186">
        <f>IF(E24=1,F71,0)</f>
        <v>2</v>
      </c>
      <c r="G72" s="190">
        <f>IF(G24=1,F71,0)</f>
        <v>0</v>
      </c>
      <c r="H72" s="186">
        <f>IF(H24=1,I71,0)</f>
        <v>0</v>
      </c>
      <c r="J72" s="190">
        <f>IF(J24=1,I71,0)</f>
        <v>0</v>
      </c>
      <c r="K72" s="186">
        <f>IF(K24=1,L71,0)</f>
        <v>0</v>
      </c>
      <c r="M72" s="190">
        <f>IF(M24=1,L71,0)</f>
        <v>0</v>
      </c>
      <c r="N72" s="186">
        <f>IF(N24=1,O71,0)</f>
        <v>2</v>
      </c>
      <c r="P72" s="190">
        <f>IF(P24=1,O71,0)</f>
        <v>0</v>
      </c>
      <c r="Q72" s="186">
        <f>IF(Q24=1,R71,0)</f>
        <v>0</v>
      </c>
      <c r="S72" s="190">
        <f>IF(S24=1,R71,0)</f>
        <v>0</v>
      </c>
      <c r="T72" s="186">
        <f>IF(T24=1,U71,0)</f>
        <v>0</v>
      </c>
      <c r="V72" s="190">
        <f>IF(V24=1,U71,0)</f>
        <v>0</v>
      </c>
      <c r="W72" s="186">
        <f>IF(W24=1,X71,0)</f>
        <v>2</v>
      </c>
      <c r="Y72" s="190">
        <f>IF(Y24=1,X71,0)</f>
        <v>0</v>
      </c>
      <c r="Z72" s="186">
        <f>IF(Z24=1,AA71,0)</f>
        <v>0</v>
      </c>
      <c r="AB72" s="190">
        <f>IF(AB24=1,AA71,0)</f>
        <v>0</v>
      </c>
      <c r="AC72" s="186">
        <f>IF(AC24=1,AD71,0)</f>
        <v>2</v>
      </c>
      <c r="AE72" s="190">
        <f>IF(AE24=1,AD71,0)</f>
        <v>0</v>
      </c>
      <c r="AF72" s="186">
        <f>SUM(B72:AE72)</f>
        <v>8</v>
      </c>
    </row>
    <row r="73" spans="1:54" s="186" customFormat="1" ht="12.75" hidden="1" customHeight="1" x14ac:dyDescent="0.2">
      <c r="A73" s="186" t="s">
        <v>102</v>
      </c>
      <c r="B73" s="186">
        <f>IF(B24=2,C71,0)</f>
        <v>2</v>
      </c>
      <c r="D73" s="190">
        <f>IF(D24=2,C71,0)</f>
        <v>0</v>
      </c>
      <c r="E73" s="186">
        <f>IF(E24=2,F71,0)</f>
        <v>0</v>
      </c>
      <c r="G73" s="190">
        <f>IF(G24=2,F71,0)</f>
        <v>0</v>
      </c>
      <c r="H73" s="186">
        <f>IF(H24=2,I71,0)</f>
        <v>0</v>
      </c>
      <c r="J73" s="190">
        <f>IF(J24=2,I71,0)</f>
        <v>0</v>
      </c>
      <c r="K73" s="186">
        <f>IF(K24=2,L71,0)</f>
        <v>2</v>
      </c>
      <c r="M73" s="190">
        <f>IF(M24=2,L71,0)</f>
        <v>0</v>
      </c>
      <c r="N73" s="186">
        <f>IF(N24=2,O71,0)</f>
        <v>0</v>
      </c>
      <c r="P73" s="190">
        <f>IF(P24=2,O71,0)</f>
        <v>0</v>
      </c>
      <c r="Q73" s="186">
        <f>IF(Q24=2,R71,0)</f>
        <v>0</v>
      </c>
      <c r="S73" s="190">
        <f>IF(S24=2,R71,0)</f>
        <v>0</v>
      </c>
      <c r="T73" s="186">
        <f>IF(T24=2,U71,0)</f>
        <v>2</v>
      </c>
      <c r="V73" s="190">
        <f>IF(V24=2,U71,0)</f>
        <v>0</v>
      </c>
      <c r="W73" s="186">
        <f>IF(W24=2,X71,0)</f>
        <v>0</v>
      </c>
      <c r="Y73" s="190">
        <f>IF(Y24=2,X71,0)</f>
        <v>0</v>
      </c>
      <c r="Z73" s="186">
        <f>IF(Z24=2,AA71,0)</f>
        <v>0</v>
      </c>
      <c r="AB73" s="190">
        <f>IF(AB24=2,AA71,0)</f>
        <v>0</v>
      </c>
      <c r="AC73" s="186">
        <f>IF(AC24=2,AD71,0)</f>
        <v>0</v>
      </c>
      <c r="AE73" s="190">
        <f>IF(AE24=2,AD71,0)</f>
        <v>2</v>
      </c>
      <c r="AF73" s="186">
        <f>SUM(B73:AE73)</f>
        <v>8</v>
      </c>
    </row>
    <row r="74" spans="1:54" s="186" customFormat="1" ht="12.75" hidden="1" customHeight="1" x14ac:dyDescent="0.2">
      <c r="A74" s="186" t="s">
        <v>103</v>
      </c>
      <c r="B74" s="186">
        <f>IF(B24=3,C71,0)</f>
        <v>0</v>
      </c>
      <c r="D74" s="190">
        <f>IF(D24=3,C71,0)</f>
        <v>0</v>
      </c>
      <c r="E74" s="186">
        <f>IF(E24=3,F71,0)</f>
        <v>0</v>
      </c>
      <c r="G74" s="190">
        <f>IF(G24=3,F71,0)</f>
        <v>0</v>
      </c>
      <c r="H74" s="186">
        <f>IF(H24=3,I71,0)</f>
        <v>2</v>
      </c>
      <c r="J74" s="190">
        <f>IF(J24=3,I71,0)</f>
        <v>0</v>
      </c>
      <c r="K74" s="186">
        <f>IF(K24=3,L71,0)</f>
        <v>0</v>
      </c>
      <c r="M74" s="190">
        <f>IF(M24=3,L71,0)</f>
        <v>0</v>
      </c>
      <c r="N74" s="186">
        <f>IF(N24=3,O71,0)</f>
        <v>0</v>
      </c>
      <c r="P74" s="190">
        <f>IF(P24=3,O71,0)</f>
        <v>2</v>
      </c>
      <c r="Q74" s="186">
        <f>IF(Q24=3,R71,0)</f>
        <v>0</v>
      </c>
      <c r="S74" s="190">
        <f>IF(S24=3,R71,0)</f>
        <v>0</v>
      </c>
      <c r="T74" s="186">
        <f>IF(T24=3,U71,0)</f>
        <v>0</v>
      </c>
      <c r="V74" s="190">
        <f>IF(V24=3,U71,0)</f>
        <v>2</v>
      </c>
      <c r="W74" s="186">
        <f>IF(W24=3,X71,0)</f>
        <v>0</v>
      </c>
      <c r="Y74" s="190">
        <f>IF(Y24=3,X71,0)</f>
        <v>0</v>
      </c>
      <c r="Z74" s="186">
        <f>IF(Z24=3,AA71,0)</f>
        <v>2</v>
      </c>
      <c r="AB74" s="190">
        <f>IF(AB24=3,AA71,0)</f>
        <v>0</v>
      </c>
      <c r="AC74" s="186">
        <f>IF(AC24=3,AD71,0)</f>
        <v>0</v>
      </c>
      <c r="AE74" s="190">
        <f>IF(AE24=3,AD71,0)</f>
        <v>0</v>
      </c>
      <c r="AF74" s="186">
        <f>SUM(B74:AE74)</f>
        <v>8</v>
      </c>
    </row>
    <row r="75" spans="1:54" s="186" customFormat="1" ht="12.75" hidden="1" customHeight="1" x14ac:dyDescent="0.2">
      <c r="A75" s="186" t="s">
        <v>104</v>
      </c>
      <c r="B75" s="186">
        <f>IF(B24=4,C71,0)</f>
        <v>0</v>
      </c>
      <c r="D75" s="190">
        <f>IF(D24=4,C71,0)</f>
        <v>0</v>
      </c>
      <c r="E75" s="186">
        <f>IF(E24=4,F71,0)</f>
        <v>0</v>
      </c>
      <c r="G75" s="190">
        <f>IF(G24=4,F71,0)</f>
        <v>2</v>
      </c>
      <c r="H75" s="186">
        <f>IF(H24=4,I71,0)</f>
        <v>0</v>
      </c>
      <c r="J75" s="190">
        <f>IF(J24=4,I71,0)</f>
        <v>0</v>
      </c>
      <c r="K75" s="186">
        <f>IF(K24=4,L71,0)</f>
        <v>0</v>
      </c>
      <c r="M75" s="190">
        <f>IF(M24=4,L71,0)</f>
        <v>2</v>
      </c>
      <c r="N75" s="186">
        <f>IF(N24=4,O71,0)</f>
        <v>0</v>
      </c>
      <c r="P75" s="190">
        <f>IF(P24=4,O71,0)</f>
        <v>0</v>
      </c>
      <c r="Q75" s="186">
        <f>IF(Q24=4,R71,0)</f>
        <v>2</v>
      </c>
      <c r="S75" s="190">
        <f>IF(S24=4,R71,0)</f>
        <v>0</v>
      </c>
      <c r="T75" s="186">
        <f>IF(T24=4,U71,0)</f>
        <v>0</v>
      </c>
      <c r="V75" s="190">
        <f>IF(V24=4,U71,0)</f>
        <v>0</v>
      </c>
      <c r="W75" s="186">
        <f>IF(W24=4,X71,0)</f>
        <v>0</v>
      </c>
      <c r="Y75" s="190">
        <f>IF(Y24=4,X71,0)</f>
        <v>0</v>
      </c>
      <c r="Z75" s="186">
        <f>IF(Z24=4,AA71,0)</f>
        <v>0</v>
      </c>
      <c r="AB75" s="190">
        <f>IF(AB24=4,AA71,0)</f>
        <v>2</v>
      </c>
      <c r="AC75" s="186">
        <f>IF(AC24=4,AD71,0)</f>
        <v>0</v>
      </c>
      <c r="AE75" s="190">
        <f>IF(AE24=4,AD71,0)</f>
        <v>0</v>
      </c>
      <c r="AF75" s="186">
        <f>SUM(B75:AE75)</f>
        <v>8</v>
      </c>
    </row>
    <row r="76" spans="1:54" s="186" customFormat="1" ht="12.75" hidden="1" customHeight="1" x14ac:dyDescent="0.2">
      <c r="A76" s="186" t="s">
        <v>105</v>
      </c>
      <c r="B76" s="186">
        <f>IF(B24=5,C71,0)</f>
        <v>0</v>
      </c>
      <c r="D76" s="190">
        <f>IF(D24=5,C71,0)</f>
        <v>2</v>
      </c>
      <c r="E76" s="186">
        <f>IF(E24=5,F71,0)</f>
        <v>0</v>
      </c>
      <c r="G76" s="190">
        <f>IF(G24=5,F71,0)</f>
        <v>0</v>
      </c>
      <c r="H76" s="186">
        <f>IF(H24=5,I71,0)</f>
        <v>0</v>
      </c>
      <c r="J76" s="190">
        <f>IF(J24=5,I71,0)</f>
        <v>2</v>
      </c>
      <c r="K76" s="186">
        <f>IF(K24=5,L71,0)</f>
        <v>0</v>
      </c>
      <c r="M76" s="190">
        <f>IF(M24=5,L71,0)</f>
        <v>0</v>
      </c>
      <c r="N76" s="186">
        <f>IF(N24=5,O71,0)</f>
        <v>0</v>
      </c>
      <c r="P76" s="190">
        <f>IF(P24=5,O71,0)</f>
        <v>0</v>
      </c>
      <c r="Q76" s="186">
        <f>IF(Q24=5,R71,0)</f>
        <v>0</v>
      </c>
      <c r="S76" s="190">
        <f>IF(S24=5,R71,0)</f>
        <v>2</v>
      </c>
      <c r="T76" s="186">
        <f>IF(T24=5,U71,0)</f>
        <v>0</v>
      </c>
      <c r="V76" s="190">
        <f>IF(V24=5,U71,0)</f>
        <v>0</v>
      </c>
      <c r="W76" s="186">
        <f>IF(W24=5,X71,0)</f>
        <v>0</v>
      </c>
      <c r="Y76" s="190">
        <f>IF(Y24=5,X71,0)</f>
        <v>2</v>
      </c>
      <c r="Z76" s="186">
        <f>IF(Z24=5,AA71,0)</f>
        <v>0</v>
      </c>
      <c r="AB76" s="190">
        <f>IF(AB24=5,AA71,0)</f>
        <v>0</v>
      </c>
      <c r="AC76" s="186">
        <f>IF(AC24=5,AD71,0)</f>
        <v>0</v>
      </c>
      <c r="AE76" s="190">
        <f>IF(AE24=5,AD71,0)</f>
        <v>0</v>
      </c>
      <c r="AF76" s="186">
        <f>SUM(B76:AE76)</f>
        <v>8</v>
      </c>
    </row>
    <row r="77" spans="1:54" hidden="1" x14ac:dyDescent="0.2">
      <c r="A77" s="191"/>
      <c r="B77" s="191"/>
      <c r="C77" s="191"/>
      <c r="D77" s="191"/>
      <c r="E77" s="191"/>
      <c r="F77" s="191"/>
      <c r="G77" s="191"/>
      <c r="H77" s="191"/>
      <c r="I77" s="191"/>
      <c r="J77" s="191"/>
      <c r="K77" s="191"/>
      <c r="L77" s="191"/>
      <c r="M77" s="191"/>
      <c r="N77" s="191"/>
      <c r="O77" s="191"/>
      <c r="P77" s="191"/>
      <c r="Q77" s="191"/>
      <c r="R77" s="191"/>
      <c r="S77" s="191"/>
      <c r="T77" s="191"/>
      <c r="U77" s="191"/>
      <c r="V77" s="191"/>
      <c r="W77" s="191"/>
      <c r="X77" s="191"/>
      <c r="Y77" s="191"/>
      <c r="Z77" s="191"/>
      <c r="AA77" s="191"/>
      <c r="AB77" s="191"/>
      <c r="AC77" s="191"/>
      <c r="AD77" s="191"/>
      <c r="AE77" s="191"/>
      <c r="AF77" s="191"/>
      <c r="AG77" s="191"/>
      <c r="AH77" s="191"/>
      <c r="AI77" s="191"/>
      <c r="AJ77" s="191"/>
      <c r="AK77" s="191"/>
      <c r="AL77" s="191"/>
      <c r="AM77" s="191"/>
      <c r="AN77" s="192"/>
      <c r="AO77" s="192"/>
      <c r="AP77" s="192"/>
      <c r="AQ77" s="192"/>
      <c r="AR77" s="193"/>
      <c r="AS77" s="193"/>
      <c r="AT77" s="193"/>
      <c r="AU77" s="193"/>
      <c r="AV77" s="193"/>
      <c r="AW77" s="194"/>
      <c r="BB77" s="194"/>
    </row>
    <row r="78" spans="1:54" s="193" customFormat="1" hidden="1" x14ac:dyDescent="0.2">
      <c r="A78" s="195"/>
      <c r="B78" s="195"/>
      <c r="C78" s="195" t="s">
        <v>112</v>
      </c>
      <c r="D78" s="195">
        <v>1</v>
      </c>
      <c r="E78" s="195"/>
      <c r="F78" s="195"/>
      <c r="G78" s="195">
        <v>2</v>
      </c>
      <c r="H78" s="195"/>
      <c r="I78" s="195"/>
      <c r="J78" s="195">
        <v>3</v>
      </c>
      <c r="K78" s="195"/>
      <c r="L78" s="195"/>
      <c r="M78" s="195">
        <v>4</v>
      </c>
      <c r="N78" s="195"/>
      <c r="O78" s="195"/>
      <c r="P78" s="195">
        <v>5</v>
      </c>
      <c r="Q78" s="195"/>
      <c r="R78" s="195"/>
      <c r="S78" s="195">
        <v>6</v>
      </c>
      <c r="T78" s="195"/>
      <c r="U78" s="195"/>
      <c r="V78" s="195">
        <v>7</v>
      </c>
      <c r="W78" s="195"/>
      <c r="X78" s="195"/>
      <c r="Y78" s="195">
        <v>8</v>
      </c>
      <c r="Z78" s="195"/>
      <c r="AA78" s="195"/>
      <c r="AB78" s="195">
        <v>9</v>
      </c>
      <c r="AC78" s="195"/>
      <c r="AD78" s="195"/>
      <c r="AE78" s="195">
        <v>10</v>
      </c>
      <c r="AF78" s="134"/>
      <c r="AG78" s="195"/>
      <c r="AI78" s="196"/>
      <c r="AJ78" s="134"/>
      <c r="AK78" s="134"/>
      <c r="AL78" s="134"/>
      <c r="AM78" s="134"/>
      <c r="AN78" s="134"/>
      <c r="AO78" s="134"/>
      <c r="AT78" s="196" t="s">
        <v>113</v>
      </c>
      <c r="AW78" s="197"/>
      <c r="BB78" s="197"/>
    </row>
    <row r="79" spans="1:54" s="193" customFormat="1" hidden="1" x14ac:dyDescent="0.2">
      <c r="A79" s="198">
        <v>1</v>
      </c>
      <c r="B79" s="198" t="str">
        <f>E8</f>
        <v>KVC 17</v>
      </c>
      <c r="C79" s="198">
        <f>VLOOKUP(B79,AU$3:AY$7,3,FALSE)</f>
        <v>2695.8819375084886</v>
      </c>
      <c r="D79" s="198">
        <f>IF(B72,B87,IF(D72,D87,C79))</f>
        <v>2695.8819375084886</v>
      </c>
      <c r="E79" s="198"/>
      <c r="F79" s="198"/>
      <c r="G79" s="198">
        <f>IF(E72,E87,IF(G72,G87,D79))</f>
        <v>2719.4198093354835</v>
      </c>
      <c r="H79" s="198"/>
      <c r="I79" s="198"/>
      <c r="J79" s="198">
        <f>IF(H72,H87,IF(J72,J87,G79))</f>
        <v>2719.4198093354835</v>
      </c>
      <c r="K79" s="198"/>
      <c r="L79" s="198"/>
      <c r="M79" s="198">
        <f>IF(K72,K87,IF(M72,M87,J79))</f>
        <v>2719.4198093354835</v>
      </c>
      <c r="N79" s="198"/>
      <c r="O79" s="198"/>
      <c r="P79" s="198">
        <f>IF(N72,N87,IF(P72,P87,M79))</f>
        <v>2743.1791187337822</v>
      </c>
      <c r="Q79" s="198"/>
      <c r="R79" s="198"/>
      <c r="S79" s="198">
        <f>IF(Q72,Q87,IF(S72,S87,P79))</f>
        <v>2743.1791187337822</v>
      </c>
      <c r="T79" s="198"/>
      <c r="U79" s="198"/>
      <c r="V79" s="198">
        <f>IF(T72,T87,IF(V72,V87,S79))</f>
        <v>2743.1791187337822</v>
      </c>
      <c r="W79" s="198"/>
      <c r="X79" s="198"/>
      <c r="Y79" s="198">
        <f>IF(W72,W87,IF(Y72,Y87,V79))</f>
        <v>2755.3211392318931</v>
      </c>
      <c r="Z79" s="198"/>
      <c r="AA79" s="198"/>
      <c r="AB79" s="198">
        <f>IF(Z72,Z87,IF(AB72,AB87,Y79))</f>
        <v>2755.3211392318931</v>
      </c>
      <c r="AC79" s="198"/>
      <c r="AD79" s="198"/>
      <c r="AE79" s="198">
        <f>IF(AC72,AC87,IF(AE72,AE87,AB79))</f>
        <v>2746.3357508323948</v>
      </c>
      <c r="AF79" s="134"/>
      <c r="AG79" s="134"/>
      <c r="AJ79" s="134"/>
      <c r="AK79" s="134"/>
      <c r="AL79" s="134"/>
      <c r="AM79" s="134"/>
      <c r="AN79" s="134"/>
      <c r="AO79" s="134"/>
      <c r="AT79" s="193" t="str">
        <f>B79</f>
        <v>KVC 17</v>
      </c>
      <c r="AU79" s="193">
        <f>AE79</f>
        <v>2746.3357508323948</v>
      </c>
      <c r="AW79" s="197"/>
      <c r="BB79" s="197"/>
    </row>
    <row r="80" spans="1:54" s="193" customFormat="1" hidden="1" x14ac:dyDescent="0.2">
      <c r="A80" s="198">
        <v>2</v>
      </c>
      <c r="B80" s="198" t="str">
        <f>E10</f>
        <v>SVBC Blazers 18</v>
      </c>
      <c r="C80" s="198">
        <f>VLOOKUP(B80,AU$3:AY$7,3,FALSE)</f>
        <v>2607.9641530366357</v>
      </c>
      <c r="D80" s="198">
        <f>IF(B73,B87,IF(D73,D87,C80))</f>
        <v>2633.2122170429516</v>
      </c>
      <c r="E80" s="198"/>
      <c r="F80" s="198"/>
      <c r="G80" s="198">
        <f>IF(E73,E87,IF(G73,G87,D80))</f>
        <v>2633.2122170429516</v>
      </c>
      <c r="H80" s="198"/>
      <c r="I80" s="198"/>
      <c r="J80" s="198">
        <f>IF(H73,H87,IF(J73,J87,G80))</f>
        <v>2633.2122170429516</v>
      </c>
      <c r="K80" s="198"/>
      <c r="L80" s="198"/>
      <c r="M80" s="198">
        <f>IF(K73,K87,IF(M73,M87,J80))</f>
        <v>2660.1901530761152</v>
      </c>
      <c r="N80" s="198"/>
      <c r="O80" s="198"/>
      <c r="P80" s="198">
        <f>IF(N73,N87,IF(P73,P87,M80))</f>
        <v>2660.1901530761152</v>
      </c>
      <c r="Q80" s="198"/>
      <c r="R80" s="198"/>
      <c r="S80" s="198">
        <f>IF(Q73,Q87,IF(S73,S87,P80))</f>
        <v>2660.1901530761152</v>
      </c>
      <c r="T80" s="198"/>
      <c r="U80" s="198"/>
      <c r="V80" s="198">
        <f>IF(T73,T87,IF(V73,V87,S80))</f>
        <v>2655.0709772303421</v>
      </c>
      <c r="W80" s="198"/>
      <c r="X80" s="198"/>
      <c r="Y80" s="198">
        <f>IF(W73,W87,IF(Y73,Y87,V80))</f>
        <v>2655.0709772303421</v>
      </c>
      <c r="Z80" s="198"/>
      <c r="AA80" s="198"/>
      <c r="AB80" s="198">
        <f>IF(Z73,Z87,IF(AB73,AB87,Y80))</f>
        <v>2655.0709772303421</v>
      </c>
      <c r="AC80" s="198"/>
      <c r="AD80" s="198"/>
      <c r="AE80" s="198">
        <f>IF(AC73,AC87,IF(AE73,AE87,AB80))</f>
        <v>2664.0563656298405</v>
      </c>
      <c r="AF80" s="134"/>
      <c r="AG80" s="134"/>
      <c r="AJ80" s="134"/>
      <c r="AL80" s="134"/>
      <c r="AM80" s="134"/>
      <c r="AN80" s="134"/>
      <c r="AO80" s="134"/>
      <c r="AT80" s="193" t="str">
        <f>B80</f>
        <v>SVBC Blazers 18</v>
      </c>
      <c r="AU80" s="193">
        <f>AE80</f>
        <v>2664.0563656298405</v>
      </c>
      <c r="AW80" s="197"/>
      <c r="BB80" s="197"/>
    </row>
    <row r="81" spans="1:54" s="193" customFormat="1" hidden="1" x14ac:dyDescent="0.2">
      <c r="A81" s="198">
        <v>3</v>
      </c>
      <c r="B81" s="198" t="str">
        <f>E12</f>
        <v>Branchville Juniors 18U</v>
      </c>
      <c r="C81" s="198">
        <f>VLOOKUP(B81,AU$3:AY$7,3,FALSE)</f>
        <v>2604.5313523756722</v>
      </c>
      <c r="D81" s="198">
        <f>IF(B74,B87,IF(D74,D87,C81))</f>
        <v>2604.5313523756722</v>
      </c>
      <c r="E81" s="198"/>
      <c r="F81" s="198"/>
      <c r="G81" s="198">
        <f>IF(E74,E87,IF(G74,G87,D81))</f>
        <v>2604.5313523756722</v>
      </c>
      <c r="H81" s="198"/>
      <c r="I81" s="198"/>
      <c r="J81" s="198">
        <f>IF(H74,H87,IF(J74,J87,G81))</f>
        <v>2627.8871644011197</v>
      </c>
      <c r="K81" s="198"/>
      <c r="L81" s="198"/>
      <c r="M81" s="198">
        <f>IF(K74,K87,IF(M74,M87,J81))</f>
        <v>2627.8871644011197</v>
      </c>
      <c r="N81" s="198"/>
      <c r="O81" s="198"/>
      <c r="P81" s="198">
        <f>IF(N74,N87,IF(P74,P87,M81))</f>
        <v>2604.127855002821</v>
      </c>
      <c r="Q81" s="198"/>
      <c r="R81" s="198"/>
      <c r="S81" s="198">
        <f>IF(Q74,Q87,IF(S74,S87,P81))</f>
        <v>2604.127855002821</v>
      </c>
      <c r="T81" s="198"/>
      <c r="U81" s="198"/>
      <c r="V81" s="198">
        <f>IF(T74,T87,IF(V74,V87,S81))</f>
        <v>2609.247030848594</v>
      </c>
      <c r="W81" s="198"/>
      <c r="X81" s="198"/>
      <c r="Y81" s="198">
        <f>IF(W74,W87,IF(Y74,Y87,V81))</f>
        <v>2609.247030848594</v>
      </c>
      <c r="Z81" s="198"/>
      <c r="AA81" s="198"/>
      <c r="AB81" s="198">
        <f>IF(Z74,Z87,IF(AB74,AB87,Y81))</f>
        <v>2571.4156432282916</v>
      </c>
      <c r="AC81" s="198"/>
      <c r="AD81" s="198"/>
      <c r="AE81" s="198">
        <f>IF(AC74,AC87,IF(AE74,AE87,AB81))</f>
        <v>2571.4156432282916</v>
      </c>
      <c r="AF81" s="134"/>
      <c r="AG81" s="134"/>
      <c r="AJ81" s="134"/>
      <c r="AL81" s="134"/>
      <c r="AM81" s="134"/>
      <c r="AN81" s="134"/>
      <c r="AO81" s="134"/>
      <c r="AT81" s="193" t="str">
        <f>B81</f>
        <v>Branchville Juniors 18U</v>
      </c>
      <c r="AU81" s="193">
        <f>AE81</f>
        <v>2571.4156432282916</v>
      </c>
      <c r="AW81" s="197"/>
      <c r="BB81" s="197"/>
    </row>
    <row r="82" spans="1:54" s="193" customFormat="1" hidden="1" x14ac:dyDescent="0.2">
      <c r="A82" s="198">
        <v>4</v>
      </c>
      <c r="B82" s="198" t="str">
        <f>E14</f>
        <v>Sumter VBC 18</v>
      </c>
      <c r="C82" s="198">
        <f>VLOOKUP(B82,AU$3:AY$7,3,FALSE)</f>
        <v>2601.7693263635874</v>
      </c>
      <c r="D82" s="198">
        <f>IF(B75,B87,IF(D75,D87,C82))</f>
        <v>2601.7693263635874</v>
      </c>
      <c r="E82" s="198"/>
      <c r="F82" s="198"/>
      <c r="G82" s="198">
        <f>IF(E75,E87,IF(G75,G87,D82))</f>
        <v>2578.2314545365925</v>
      </c>
      <c r="H82" s="198"/>
      <c r="I82" s="198"/>
      <c r="J82" s="198">
        <f>IF(H75,H87,IF(J75,J87,G82))</f>
        <v>2578.2314545365925</v>
      </c>
      <c r="K82" s="198"/>
      <c r="L82" s="198"/>
      <c r="M82" s="198">
        <f>IF(K75,K87,IF(M75,M87,J82))</f>
        <v>2551.2535185034289</v>
      </c>
      <c r="N82" s="198"/>
      <c r="O82" s="198"/>
      <c r="P82" s="198">
        <f>IF(N75,N87,IF(P75,P87,M82))</f>
        <v>2551.2535185034289</v>
      </c>
      <c r="Q82" s="198"/>
      <c r="R82" s="198"/>
      <c r="S82" s="198">
        <f>IF(Q75,Q87,IF(S75,S87,P82))</f>
        <v>2545.2184001242026</v>
      </c>
      <c r="T82" s="198"/>
      <c r="U82" s="198"/>
      <c r="V82" s="198">
        <f>IF(T75,T87,IF(V75,V87,S82))</f>
        <v>2545.2184001242026</v>
      </c>
      <c r="W82" s="198"/>
      <c r="X82" s="198"/>
      <c r="Y82" s="198">
        <f>IF(W75,W87,IF(Y75,Y87,V82))</f>
        <v>2545.2184001242026</v>
      </c>
      <c r="Z82" s="198"/>
      <c r="AA82" s="198"/>
      <c r="AB82" s="198">
        <f>IF(Z75,Z87,IF(AB75,AB87,Y82))</f>
        <v>2583.049787744505</v>
      </c>
      <c r="AC82" s="198"/>
      <c r="AD82" s="198"/>
      <c r="AE82" s="198">
        <f>IF(AC75,AC87,IF(AE75,AE87,AB82))</f>
        <v>2583.049787744505</v>
      </c>
      <c r="AF82" s="134"/>
      <c r="AG82" s="134"/>
      <c r="AJ82" s="134"/>
      <c r="AL82" s="134"/>
      <c r="AM82" s="134"/>
      <c r="AN82" s="134"/>
      <c r="AO82" s="134"/>
      <c r="AT82" s="193" t="str">
        <f>B82</f>
        <v>Sumter VBC 18</v>
      </c>
      <c r="AU82" s="193">
        <f>AE82</f>
        <v>2583.049787744505</v>
      </c>
      <c r="AW82" s="197"/>
      <c r="BB82" s="197"/>
    </row>
    <row r="83" spans="1:54" s="193" customFormat="1" hidden="1" x14ac:dyDescent="0.2">
      <c r="A83" s="198">
        <v>5</v>
      </c>
      <c r="B83" s="198" t="str">
        <f>E16</f>
        <v>Beaufort 18 Club</v>
      </c>
      <c r="C83" s="198">
        <f>VLOOKUP(B83,AU$3:AY$7,3,FALSE)</f>
        <v>2533.5380243836562</v>
      </c>
      <c r="D83" s="198">
        <f>IF(B76,B87,IF(D76,D87,C83))</f>
        <v>2508.2899603773403</v>
      </c>
      <c r="E83" s="198"/>
      <c r="F83" s="198"/>
      <c r="G83" s="198">
        <f>IF(E76,E87,IF(G76,G87,D83))</f>
        <v>2508.2899603773403</v>
      </c>
      <c r="H83" s="198"/>
      <c r="I83" s="198"/>
      <c r="J83" s="198">
        <f>IF(H76,H87,IF(J76,J87,G83))</f>
        <v>2484.9341483518929</v>
      </c>
      <c r="K83" s="198"/>
      <c r="L83" s="198"/>
      <c r="M83" s="198">
        <f>IF(K76,K87,IF(M76,M87,J83))</f>
        <v>2484.9341483518929</v>
      </c>
      <c r="N83" s="198"/>
      <c r="O83" s="198"/>
      <c r="P83" s="198">
        <f>IF(N76,N87,IF(P76,P87,M83))</f>
        <v>2484.9341483518929</v>
      </c>
      <c r="Q83" s="198"/>
      <c r="R83" s="198"/>
      <c r="S83" s="198">
        <f>IF(Q76,Q87,IF(S76,S87,P83))</f>
        <v>2490.9692667311192</v>
      </c>
      <c r="T83" s="198"/>
      <c r="U83" s="198"/>
      <c r="V83" s="198">
        <f>IF(T76,T87,IF(V76,V87,S83))</f>
        <v>2490.9692667311192</v>
      </c>
      <c r="W83" s="198"/>
      <c r="X83" s="198"/>
      <c r="Y83" s="198">
        <f>IF(W76,W87,IF(Y76,Y87,V83))</f>
        <v>2478.8272462330083</v>
      </c>
      <c r="Z83" s="198"/>
      <c r="AA83" s="198"/>
      <c r="AB83" s="198">
        <f>IF(Z76,Z87,IF(AB76,AB87,Y83))</f>
        <v>2478.8272462330083</v>
      </c>
      <c r="AC83" s="198"/>
      <c r="AD83" s="198"/>
      <c r="AE83" s="198">
        <f>IF(AC76,AC87,IF(AE76,AE87,AB83))</f>
        <v>2478.8272462330083</v>
      </c>
      <c r="AF83" s="134"/>
      <c r="AG83" s="134"/>
      <c r="AJ83" s="134"/>
      <c r="AL83" s="134"/>
      <c r="AM83" s="134"/>
      <c r="AN83" s="134"/>
      <c r="AO83" s="134"/>
      <c r="AT83" s="193" t="str">
        <f>B83</f>
        <v>Beaufort 18 Club</v>
      </c>
      <c r="AU83" s="193">
        <f>AE83</f>
        <v>2478.8272462330083</v>
      </c>
      <c r="AW83" s="197"/>
      <c r="BB83" s="197"/>
    </row>
    <row r="84" spans="1:54" s="193" customFormat="1" hidden="1" x14ac:dyDescent="0.2">
      <c r="A84" s="198"/>
      <c r="B84" s="198"/>
      <c r="C84" s="198"/>
      <c r="D84" s="198"/>
      <c r="E84" s="198"/>
      <c r="F84" s="198"/>
      <c r="G84" s="198"/>
      <c r="H84" s="198"/>
      <c r="I84" s="198"/>
      <c r="J84" s="198"/>
      <c r="K84" s="198"/>
      <c r="L84" s="198"/>
      <c r="M84" s="198"/>
      <c r="N84" s="198"/>
      <c r="O84" s="198"/>
      <c r="P84" s="198"/>
      <c r="Q84" s="198"/>
      <c r="R84" s="198"/>
      <c r="S84" s="198"/>
      <c r="T84" s="198"/>
      <c r="U84" s="198"/>
      <c r="V84" s="198"/>
      <c r="W84" s="198"/>
      <c r="X84" s="198"/>
      <c r="Y84" s="198"/>
      <c r="Z84" s="198"/>
      <c r="AA84" s="198"/>
      <c r="AB84" s="198"/>
      <c r="AC84" s="198"/>
      <c r="AD84" s="198"/>
      <c r="AE84" s="198"/>
      <c r="AF84" s="134"/>
      <c r="AG84" s="134"/>
      <c r="AJ84" s="134"/>
      <c r="AL84" s="134"/>
      <c r="AM84" s="134"/>
      <c r="AN84" s="134"/>
      <c r="AO84" s="134"/>
      <c r="AW84" s="197"/>
      <c r="BB84" s="197"/>
    </row>
    <row r="85" spans="1:54" s="193" customFormat="1" hidden="1" x14ac:dyDescent="0.2">
      <c r="A85" s="198" t="s">
        <v>114</v>
      </c>
      <c r="B85" s="198">
        <f>VLOOKUP(B24,$A79:$AE83,3,FALSE)</f>
        <v>2607.9641530366357</v>
      </c>
      <c r="C85" s="198">
        <v>1</v>
      </c>
      <c r="D85" s="198">
        <f>VLOOKUP(D24,$A79:$AE83,3,FALSE)</f>
        <v>2533.5380243836562</v>
      </c>
      <c r="E85" s="198">
        <f>VLOOKUP(E24,$A79:$AE83,4,FALSE)</f>
        <v>2695.8819375084886</v>
      </c>
      <c r="F85" s="198">
        <v>2</v>
      </c>
      <c r="G85" s="198">
        <f>VLOOKUP(G24,$A79:$AE83,4,FALSE)</f>
        <v>2601.7693263635874</v>
      </c>
      <c r="H85" s="198">
        <f>VLOOKUP(H24,$A79:$AE83,7,FALSE)</f>
        <v>2604.5313523756722</v>
      </c>
      <c r="I85" s="198">
        <v>3</v>
      </c>
      <c r="J85" s="198">
        <f>VLOOKUP(J24,$A79:$AE83,7,FALSE)</f>
        <v>2508.2899603773403</v>
      </c>
      <c r="K85" s="198">
        <f>VLOOKUP(K24,$A79:$AE83,10,FALSE)</f>
        <v>2633.2122170429516</v>
      </c>
      <c r="L85" s="198">
        <v>4</v>
      </c>
      <c r="M85" s="198">
        <f>VLOOKUP(M24,$A79:$AE83,10,FALSE)</f>
        <v>2578.2314545365925</v>
      </c>
      <c r="N85" s="198">
        <f>VLOOKUP(N24,$A79:$AE83,13,FALSE)</f>
        <v>2719.4198093354835</v>
      </c>
      <c r="O85" s="198">
        <v>5</v>
      </c>
      <c r="P85" s="198">
        <f>VLOOKUP(P24,$A79:$AE83,13,FALSE)</f>
        <v>2627.8871644011197</v>
      </c>
      <c r="Q85" s="198">
        <f>VLOOKUP(Q24,$A79:$AE83,16,FALSE)</f>
        <v>2551.2535185034289</v>
      </c>
      <c r="R85" s="198">
        <v>6</v>
      </c>
      <c r="S85" s="198">
        <f>VLOOKUP(S24,$A79:$AE83,16,FALSE)</f>
        <v>2484.9341483518929</v>
      </c>
      <c r="T85" s="198">
        <f>VLOOKUP(T24,$A79:$AE83,19,FALSE)</f>
        <v>2660.1901530761152</v>
      </c>
      <c r="U85" s="198">
        <v>7</v>
      </c>
      <c r="V85" s="198">
        <f>VLOOKUP(V24,$A79:$AE83,19,FALSE)</f>
        <v>2604.127855002821</v>
      </c>
      <c r="W85" s="198">
        <f>VLOOKUP(W24,$A79:$AE83,22,FALSE)</f>
        <v>2743.1791187337822</v>
      </c>
      <c r="X85" s="198">
        <v>8</v>
      </c>
      <c r="Y85" s="198">
        <f>VLOOKUP(Y24,$A79:$AE83,22,FALSE)</f>
        <v>2490.9692667311192</v>
      </c>
      <c r="Z85" s="198">
        <f>VLOOKUP(Z24,$A79:$AE83,25,FALSE)</f>
        <v>2609.247030848594</v>
      </c>
      <c r="AA85" s="198">
        <v>9</v>
      </c>
      <c r="AB85" s="198">
        <f>VLOOKUP(AB24,$A79:$AE83,25,FALSE)</f>
        <v>2545.2184001242026</v>
      </c>
      <c r="AC85" s="198">
        <f>VLOOKUP(AC24,$A79:$AE83,28,FALSE)</f>
        <v>2755.3211392318931</v>
      </c>
      <c r="AD85" s="198">
        <v>10</v>
      </c>
      <c r="AE85" s="198">
        <f>VLOOKUP(AE24,$A79:$AE83,28,FALSE)</f>
        <v>2655.0709772303421</v>
      </c>
      <c r="AF85" s="134"/>
      <c r="AG85" s="191"/>
      <c r="AH85" s="191"/>
      <c r="AI85" s="191"/>
      <c r="AJ85" s="191"/>
      <c r="AK85" s="191"/>
      <c r="AL85" s="191"/>
      <c r="AM85" s="191"/>
      <c r="AN85" s="192"/>
      <c r="AO85" s="192"/>
      <c r="AP85" s="192"/>
      <c r="AQ85" s="192"/>
      <c r="AW85" s="197"/>
      <c r="BB85" s="197"/>
    </row>
    <row r="86" spans="1:54" s="203" customFormat="1" hidden="1" x14ac:dyDescent="0.2">
      <c r="A86" s="199" t="s">
        <v>115</v>
      </c>
      <c r="B86" s="199">
        <f>1/(1+(10^-((B85-D85)/400)))*(B36+D36)</f>
        <v>1.210997999802627</v>
      </c>
      <c r="C86" s="199"/>
      <c r="D86" s="199">
        <f>1/(1+(10^-((D85-B85)/400)))*(B36+D36)</f>
        <v>0.78900200019737288</v>
      </c>
      <c r="E86" s="199">
        <f>1/(1+(10^-((E85-G85)/400)))*(E36+G36)</f>
        <v>1.2644415054064146</v>
      </c>
      <c r="F86" s="199"/>
      <c r="G86" s="199">
        <f>1/(1+(10^-((G85-E85)/400)))*(E36+G36)</f>
        <v>0.73555849459358513</v>
      </c>
      <c r="H86" s="199">
        <f>1/(1+(10^-((H85-J85)/400)))*(H36+J36)</f>
        <v>1.2701308742047706</v>
      </c>
      <c r="I86" s="199"/>
      <c r="J86" s="199">
        <f>1/(1+(10^-((J85-H85)/400)))*(H36+J36)</f>
        <v>0.72986912579522945</v>
      </c>
      <c r="K86" s="199">
        <f>1/(1+(10^-((K85-M85)/400)))*(K36+M36)</f>
        <v>1.1569394989636372</v>
      </c>
      <c r="L86" s="199"/>
      <c r="M86" s="199">
        <f>1/(1+(10^-((M85-K85)/400)))*(K36+M36)</f>
        <v>0.84306050103636276</v>
      </c>
      <c r="N86" s="199">
        <f>1/(1+(10^-((N85-P85)/400)))*(N36+P36)</f>
        <v>1.2575215813031595</v>
      </c>
      <c r="O86" s="199"/>
      <c r="P86" s="199">
        <f>1/(1+(10^-((P85-N85)/400)))*(N36+P36)</f>
        <v>0.74247841869684028</v>
      </c>
      <c r="Q86" s="199">
        <f>1/(1+(10^-((Q85-S85)/400)))*(Q36+S36)</f>
        <v>1.1885974493508251</v>
      </c>
      <c r="R86" s="199"/>
      <c r="S86" s="199">
        <f>1/(1+(10^-((S85-Q85)/400)))*(Q36+S36)</f>
        <v>0.81140255064917477</v>
      </c>
      <c r="T86" s="199">
        <f>1/(1+(10^-((T85-V85)/400)))*(T36+V36)</f>
        <v>1.1599742451804032</v>
      </c>
      <c r="U86" s="199"/>
      <c r="V86" s="199">
        <f>1/(1+(10^-((V85-T85)/400)))*(T36+V36)</f>
        <v>0.84002575481959685</v>
      </c>
      <c r="W86" s="199">
        <f>1/(1+(10^-((W85-Y85)/400)))*(W36+Y36)</f>
        <v>1.6205618594340296</v>
      </c>
      <c r="X86" s="199"/>
      <c r="Y86" s="199">
        <f>1/(1+(10^-((Y85-W85)/400)))*(W36+Y36)</f>
        <v>0.37943814056597019</v>
      </c>
      <c r="Z86" s="199">
        <f>1/(1+(10^-((Z85-AB85)/400)))*(Z36+AB36)</f>
        <v>1.1822308631344494</v>
      </c>
      <c r="AA86" s="199"/>
      <c r="AB86" s="199">
        <f>1/(1+(10^-((AB85-Z85)/400)))*(Z36+AB36)</f>
        <v>0.81776913686555064</v>
      </c>
      <c r="AC86" s="199">
        <f>1/(1+(10^-((AC85-AE85)/400)))*(AC36+AE36)</f>
        <v>1.2807933874843291</v>
      </c>
      <c r="AD86" s="199"/>
      <c r="AE86" s="199">
        <f>1/(1+(10^-((AE85-AC85)/400)))*(AC36+AE36)</f>
        <v>0.71920661251567086</v>
      </c>
      <c r="AF86" s="200"/>
      <c r="AG86" s="201"/>
      <c r="AH86" s="201"/>
      <c r="AI86" s="201"/>
      <c r="AJ86" s="201"/>
      <c r="AK86" s="201"/>
      <c r="AL86" s="201"/>
      <c r="AM86" s="201"/>
      <c r="AN86" s="202"/>
      <c r="AO86" s="202"/>
      <c r="AP86" s="202"/>
      <c r="AQ86" s="202"/>
      <c r="AW86" s="204"/>
      <c r="BB86" s="204"/>
    </row>
    <row r="87" spans="1:54" s="209" customFormat="1" hidden="1" x14ac:dyDescent="0.2">
      <c r="A87" s="205" t="s">
        <v>116</v>
      </c>
      <c r="B87" s="205">
        <f>B85+(B36-B86)*$BA$1</f>
        <v>2633.2122170429516</v>
      </c>
      <c r="C87" s="205"/>
      <c r="D87" s="205">
        <f>D85+(D36-D86)*$BA$1</f>
        <v>2508.2899603773403</v>
      </c>
      <c r="E87" s="205">
        <f>E85+(E36-E86)*$BA$1</f>
        <v>2719.4198093354835</v>
      </c>
      <c r="F87" s="205"/>
      <c r="G87" s="205">
        <f>G85+(G36-G86)*$BA$1</f>
        <v>2578.2314545365925</v>
      </c>
      <c r="H87" s="205">
        <f>H85+(H36-H86)*$BA$1</f>
        <v>2627.8871644011197</v>
      </c>
      <c r="I87" s="205"/>
      <c r="J87" s="205">
        <f>J85+(J36-J86)*$BA$1</f>
        <v>2484.9341483518929</v>
      </c>
      <c r="K87" s="205">
        <f>K85+(K36-K86)*$BA$1</f>
        <v>2660.1901530761152</v>
      </c>
      <c r="L87" s="205"/>
      <c r="M87" s="205">
        <f>M85+(M36-M86)*$BA$1</f>
        <v>2551.2535185034289</v>
      </c>
      <c r="N87" s="205">
        <f>N85+(N36-N86)*$BA$1</f>
        <v>2743.1791187337822</v>
      </c>
      <c r="O87" s="205"/>
      <c r="P87" s="205">
        <f>P85+(P36-P86)*$BA$1</f>
        <v>2604.127855002821</v>
      </c>
      <c r="Q87" s="205">
        <f>Q85+(Q36-Q86)*$BA$1</f>
        <v>2545.2184001242026</v>
      </c>
      <c r="R87" s="205"/>
      <c r="S87" s="205">
        <f>S85+(S36-S86)*$BA$1</f>
        <v>2490.9692667311192</v>
      </c>
      <c r="T87" s="205">
        <f>T85+(T36-T86)*$BA$1</f>
        <v>2655.0709772303421</v>
      </c>
      <c r="U87" s="205"/>
      <c r="V87" s="205">
        <f>V85+(V36-V86)*$BA$1</f>
        <v>2609.247030848594</v>
      </c>
      <c r="W87" s="205">
        <f>W85+(W36-W86)*$BA$1</f>
        <v>2755.3211392318931</v>
      </c>
      <c r="X87" s="205"/>
      <c r="Y87" s="205">
        <f>Y85+(Y36-Y86)*$BA$1</f>
        <v>2478.8272462330083</v>
      </c>
      <c r="Z87" s="205">
        <f>Z85+(Z36-Z86)*$BA$1</f>
        <v>2571.4156432282916</v>
      </c>
      <c r="AA87" s="205"/>
      <c r="AB87" s="205">
        <f>AB85+(AB36-AB86)*$BA$1</f>
        <v>2583.049787744505</v>
      </c>
      <c r="AC87" s="205">
        <f>AC85+(AC36-AC86)*$BA$1</f>
        <v>2746.3357508323948</v>
      </c>
      <c r="AD87" s="205"/>
      <c r="AE87" s="205">
        <f>AE85+(AE36-AE86)*$BA$1</f>
        <v>2664.0563656298405</v>
      </c>
      <c r="AF87" s="206"/>
      <c r="AG87" s="207"/>
      <c r="AH87" s="207"/>
      <c r="AI87" s="207"/>
      <c r="AJ87" s="207"/>
      <c r="AK87" s="207"/>
      <c r="AL87" s="207"/>
      <c r="AM87" s="207"/>
      <c r="AN87" s="208"/>
      <c r="AO87" s="208"/>
      <c r="AP87" s="208"/>
      <c r="AQ87" s="208"/>
      <c r="AW87" s="210"/>
      <c r="BB87" s="210"/>
    </row>
    <row r="88" spans="1:54" s="209" customFormat="1" hidden="1" x14ac:dyDescent="0.2">
      <c r="A88" s="205"/>
      <c r="B88" s="205"/>
      <c r="C88" s="205"/>
      <c r="D88" s="205"/>
      <c r="E88" s="205"/>
      <c r="F88" s="205"/>
      <c r="G88" s="205"/>
      <c r="H88" s="205"/>
      <c r="I88" s="205"/>
      <c r="J88" s="205"/>
      <c r="K88" s="205"/>
      <c r="L88" s="205"/>
      <c r="M88" s="205"/>
      <c r="N88" s="205"/>
      <c r="O88" s="205"/>
      <c r="P88" s="205"/>
      <c r="Q88" s="205"/>
      <c r="R88" s="205"/>
      <c r="S88" s="205"/>
      <c r="T88" s="205"/>
      <c r="U88" s="205"/>
      <c r="V88" s="205"/>
      <c r="W88" s="205"/>
      <c r="X88" s="205"/>
      <c r="Y88" s="205"/>
      <c r="Z88" s="205"/>
      <c r="AA88" s="205"/>
      <c r="AB88" s="205"/>
      <c r="AC88" s="205"/>
      <c r="AD88" s="205"/>
      <c r="AE88" s="205"/>
      <c r="AF88" s="206"/>
      <c r="AG88" s="207"/>
      <c r="AH88" s="207"/>
      <c r="AI88" s="207"/>
      <c r="AJ88" s="207"/>
      <c r="AK88" s="207"/>
      <c r="AL88" s="207"/>
      <c r="AM88" s="207"/>
      <c r="AN88" s="208"/>
      <c r="AO88" s="208"/>
      <c r="AP88" s="208"/>
      <c r="AQ88" s="208"/>
      <c r="AW88" s="210"/>
      <c r="BB88" s="210"/>
    </row>
    <row r="89" spans="1:54" s="193" customFormat="1" x14ac:dyDescent="0.2">
      <c r="A89" s="452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452"/>
      <c r="C89" s="452"/>
      <c r="D89" s="452"/>
      <c r="E89" s="452"/>
      <c r="F89" s="452"/>
      <c r="G89" s="452"/>
      <c r="H89" s="452"/>
      <c r="I89" s="452"/>
      <c r="J89" s="452"/>
      <c r="K89" s="452"/>
      <c r="L89" s="452"/>
      <c r="M89" s="452"/>
      <c r="N89" s="452"/>
      <c r="O89" s="452"/>
      <c r="P89" s="452"/>
      <c r="Q89" s="452"/>
      <c r="R89" s="452"/>
      <c r="S89" s="452"/>
      <c r="T89" s="452"/>
      <c r="U89" s="452"/>
      <c r="V89" s="452"/>
      <c r="W89" s="452"/>
      <c r="X89" s="452"/>
      <c r="Y89" s="452"/>
      <c r="Z89" s="452"/>
      <c r="AA89" s="452"/>
      <c r="AB89" s="452"/>
      <c r="AC89" s="452"/>
      <c r="AD89" s="452"/>
      <c r="AE89" s="452"/>
      <c r="AF89" s="452"/>
      <c r="AG89" s="452"/>
      <c r="AH89" s="452"/>
      <c r="AI89" s="452"/>
      <c r="AJ89" s="452"/>
      <c r="AK89" s="452"/>
      <c r="AL89" s="452"/>
      <c r="AM89" s="452"/>
      <c r="AN89" s="453"/>
      <c r="AO89" s="453"/>
      <c r="AP89" s="453"/>
      <c r="AQ89" s="453"/>
    </row>
    <row r="90" spans="1:54" s="193" customFormat="1" x14ac:dyDescent="0.2">
      <c r="A90" s="454"/>
      <c r="B90" s="454"/>
      <c r="C90" s="454"/>
      <c r="D90" s="454"/>
      <c r="E90" s="454"/>
      <c r="F90" s="454"/>
      <c r="G90" s="454"/>
      <c r="H90" s="454"/>
      <c r="I90" s="454"/>
      <c r="J90" s="454"/>
      <c r="K90" s="454"/>
      <c r="L90" s="454"/>
      <c r="M90" s="454"/>
      <c r="N90" s="454"/>
      <c r="O90" s="454"/>
      <c r="P90" s="454"/>
      <c r="Q90" s="454"/>
      <c r="R90" s="454"/>
      <c r="S90" s="454"/>
      <c r="T90" s="454"/>
      <c r="U90" s="454"/>
      <c r="V90" s="454"/>
      <c r="W90" s="454"/>
      <c r="X90" s="454"/>
      <c r="Y90" s="454"/>
      <c r="Z90" s="454"/>
      <c r="AA90" s="454"/>
      <c r="AB90" s="454"/>
      <c r="AC90" s="454"/>
      <c r="AD90" s="454"/>
      <c r="AE90" s="454"/>
      <c r="AF90" s="454"/>
      <c r="AG90" s="454"/>
      <c r="AH90" s="454"/>
      <c r="AI90" s="454"/>
      <c r="AJ90" s="454"/>
      <c r="AK90" s="454"/>
      <c r="AL90" s="454"/>
      <c r="AM90" s="454"/>
      <c r="AN90" s="454"/>
      <c r="AO90" s="454"/>
      <c r="AP90" s="454"/>
      <c r="AQ90" s="454"/>
    </row>
    <row r="91" spans="1:54" ht="21" thickBot="1" x14ac:dyDescent="0.35">
      <c r="A91" s="455" t="s">
        <v>118</v>
      </c>
      <c r="B91" s="455"/>
      <c r="C91" s="455"/>
      <c r="D91" s="455"/>
      <c r="E91" s="455"/>
      <c r="F91" s="455"/>
      <c r="G91" s="455"/>
      <c r="H91" s="455"/>
      <c r="I91" s="455"/>
      <c r="J91" s="455"/>
      <c r="K91" s="455"/>
      <c r="L91" s="455"/>
      <c r="M91" s="455"/>
      <c r="N91" s="455"/>
      <c r="O91" s="455"/>
      <c r="P91" s="455"/>
      <c r="Q91" s="455"/>
      <c r="R91" s="455"/>
      <c r="S91" s="455"/>
      <c r="T91" s="455"/>
      <c r="U91" s="455"/>
      <c r="V91" s="455"/>
      <c r="W91" s="455"/>
      <c r="X91" s="455"/>
      <c r="Y91" s="455"/>
      <c r="Z91" s="455"/>
      <c r="AA91" s="455"/>
      <c r="AB91" s="455"/>
      <c r="AC91" s="455"/>
      <c r="AD91" s="455"/>
      <c r="AE91" s="455"/>
      <c r="AF91" s="455"/>
      <c r="AG91" s="455"/>
      <c r="AH91" s="455"/>
      <c r="AI91" s="455"/>
      <c r="AJ91" s="455"/>
      <c r="AK91" s="455"/>
      <c r="AL91" s="455"/>
      <c r="AM91" s="455"/>
      <c r="AN91" s="455"/>
      <c r="AO91" s="455"/>
      <c r="AP91" s="455"/>
      <c r="AQ91" s="455"/>
    </row>
    <row r="92" spans="1:54" ht="13.5" thickBot="1" x14ac:dyDescent="0.25">
      <c r="A92" s="456" t="s">
        <v>119</v>
      </c>
      <c r="B92" s="458" t="s">
        <v>120</v>
      </c>
      <c r="C92" s="459"/>
      <c r="D92" s="459"/>
      <c r="E92" s="459"/>
      <c r="F92" s="459"/>
      <c r="G92" s="459"/>
      <c r="H92" s="459"/>
      <c r="I92" s="459"/>
      <c r="J92" s="459"/>
      <c r="K92" s="460"/>
      <c r="L92" s="458" t="s">
        <v>121</v>
      </c>
      <c r="M92" s="459"/>
      <c r="N92" s="459"/>
      <c r="O92" s="459"/>
      <c r="P92" s="459"/>
      <c r="Q92" s="459"/>
      <c r="R92" s="459"/>
      <c r="S92" s="459"/>
      <c r="T92" s="459"/>
      <c r="U92" s="460"/>
      <c r="V92" s="458" t="s">
        <v>122</v>
      </c>
      <c r="W92" s="459"/>
      <c r="X92" s="459"/>
      <c r="Y92" s="459"/>
      <c r="Z92" s="459"/>
      <c r="AA92" s="459"/>
      <c r="AB92" s="459"/>
      <c r="AC92" s="459"/>
      <c r="AD92" s="459"/>
      <c r="AE92" s="460"/>
      <c r="AF92" s="458" t="s">
        <v>123</v>
      </c>
      <c r="AG92" s="459"/>
      <c r="AH92" s="459"/>
      <c r="AI92" s="459"/>
      <c r="AJ92" s="459"/>
      <c r="AK92" s="459"/>
      <c r="AL92" s="459"/>
      <c r="AM92" s="459"/>
      <c r="AN92" s="459"/>
      <c r="AO92" s="460"/>
    </row>
    <row r="93" spans="1:54" ht="13.5" thickBot="1" x14ac:dyDescent="0.25">
      <c r="A93" s="457"/>
      <c r="B93" s="461" t="s">
        <v>10</v>
      </c>
      <c r="C93" s="462"/>
      <c r="D93" s="462"/>
      <c r="E93" s="462"/>
      <c r="F93" s="462"/>
      <c r="G93" s="463"/>
      <c r="H93" s="461" t="s">
        <v>124</v>
      </c>
      <c r="I93" s="462"/>
      <c r="J93" s="462"/>
      <c r="K93" s="463"/>
      <c r="L93" s="461" t="s">
        <v>10</v>
      </c>
      <c r="M93" s="462"/>
      <c r="N93" s="462"/>
      <c r="O93" s="462"/>
      <c r="P93" s="462"/>
      <c r="Q93" s="463"/>
      <c r="R93" s="461" t="s">
        <v>124</v>
      </c>
      <c r="S93" s="462"/>
      <c r="T93" s="462"/>
      <c r="U93" s="463"/>
      <c r="V93" s="461" t="s">
        <v>10</v>
      </c>
      <c r="W93" s="462"/>
      <c r="X93" s="462"/>
      <c r="Y93" s="462"/>
      <c r="Z93" s="462"/>
      <c r="AA93" s="463"/>
      <c r="AB93" s="461" t="s">
        <v>124</v>
      </c>
      <c r="AC93" s="462"/>
      <c r="AD93" s="462"/>
      <c r="AE93" s="463"/>
      <c r="AF93" s="461" t="s">
        <v>10</v>
      </c>
      <c r="AG93" s="462"/>
      <c r="AH93" s="462"/>
      <c r="AI93" s="462"/>
      <c r="AJ93" s="462"/>
      <c r="AK93" s="463"/>
      <c r="AL93" s="461" t="s">
        <v>124</v>
      </c>
      <c r="AM93" s="462"/>
      <c r="AN93" s="462"/>
      <c r="AO93" s="463"/>
    </row>
    <row r="94" spans="1:54" ht="13.5" thickBot="1" x14ac:dyDescent="0.25">
      <c r="A94" s="211" t="s">
        <v>125</v>
      </c>
      <c r="B94" s="575" t="str">
        <f>IF($AF$8=1,$E$8,IF($AF$10=1,$E$10,IF($AF$12=1,$E$12,IF($AF$14=1,$E$14,IF($AF$16=1,$E$16,"1st Place "&amp;$A94)))))</f>
        <v>KVC 17</v>
      </c>
      <c r="C94" s="576"/>
      <c r="D94" s="576"/>
      <c r="E94" s="576"/>
      <c r="F94" s="576"/>
      <c r="G94" s="576"/>
      <c r="H94" s="577" t="str">
        <f>IF($AF$8=1,$E$9,IF($AF$10=1,$E$11,IF($AF$12=1,$E$13,IF($AF$14=1,$E$15,IF($AF$16=1,$E$17,"1st Place "&amp;$A94)))))</f>
        <v>fj7kvcjr1pm</v>
      </c>
      <c r="I94" s="577"/>
      <c r="J94" s="577"/>
      <c r="K94" s="578"/>
      <c r="L94" s="575" t="str">
        <f>IF($AF$8=2,$E$8,IF($AF$10=2,$E$10,IF($AF$12=2,$E$12,IF($AF$14=2,$E$14,IF($AF$16=2,$E$16,"2nd Place "&amp;$A94)))))</f>
        <v>SVBC Blazers 18</v>
      </c>
      <c r="M94" s="576"/>
      <c r="N94" s="576"/>
      <c r="O94" s="576"/>
      <c r="P94" s="576"/>
      <c r="Q94" s="576"/>
      <c r="R94" s="577" t="str">
        <f>IF($AF$8=2,$E$9,IF($AF$10=2,$E$11,IF($AF$12=2,$E$13,IF($AF$14=2,$E$15,IF($AF$16=2,$E$17,"2nd Place "&amp;$A94)))))</f>
        <v>fj8sandh1pm</v>
      </c>
      <c r="S94" s="577"/>
      <c r="T94" s="577"/>
      <c r="U94" s="578"/>
      <c r="V94" s="575" t="str">
        <f>IF($AF$8=3,$E$8,IF($AF$10=3,$E$10,IF($AF$12=3,$E$12,IF($AF$14=3,$E$14,IF($AF$16=3,$E$16,"3rd Place "&amp;$A94)))))</f>
        <v>Sumter VBC 18</v>
      </c>
      <c r="W94" s="576"/>
      <c r="X94" s="576"/>
      <c r="Y94" s="576"/>
      <c r="Z94" s="576"/>
      <c r="AA94" s="576"/>
      <c r="AB94" s="577" t="str">
        <f>IF($AF$8=3,$E$9,IF($AF$10=3,$E$11,IF($AF$12=3,$E$13,IF($AF$14=3,$E$15,IF($AF$16=3,$E$17,"3rd Place "&amp;$A94)))))</f>
        <v>fj8sumtr1pm</v>
      </c>
      <c r="AC94" s="577"/>
      <c r="AD94" s="577"/>
      <c r="AE94" s="578"/>
      <c r="AF94" s="575" t="str">
        <f>IF($AF$8=4,$E$8,IF($AF$10=4,$E$10,IF($AF$12=4,$E$12,IF($AF$14=4,$E$14,IF($AF$16=4,$E$16,"4th Place "&amp;$A94)))))</f>
        <v>Branchville Juniors 18U</v>
      </c>
      <c r="AG94" s="576"/>
      <c r="AH94" s="576"/>
      <c r="AI94" s="576"/>
      <c r="AJ94" s="576"/>
      <c r="AK94" s="576"/>
      <c r="AL94" s="577" t="str">
        <f>IF($AF$8=4,$E$9,IF($AF$10=4,$E$11,IF($AF$12=4,$E$13,IF($AF$14=4,$E$15,IF($AF$16=4,$E$17,"4th Place "&amp;$A94)))))</f>
        <v>fj8branc3pm</v>
      </c>
      <c r="AM94" s="577"/>
      <c r="AN94" s="577"/>
      <c r="AO94" s="578"/>
    </row>
    <row r="95" spans="1:54" s="133" customFormat="1" x14ac:dyDescent="0.2">
      <c r="A95" s="212"/>
      <c r="B95" s="213"/>
      <c r="C95" s="213"/>
      <c r="D95" s="213"/>
      <c r="E95" s="213"/>
      <c r="F95" s="213"/>
      <c r="G95" s="213"/>
      <c r="H95" s="213"/>
      <c r="I95" s="213"/>
      <c r="J95" s="213"/>
      <c r="K95" s="213"/>
      <c r="L95" s="213"/>
      <c r="M95" s="213"/>
      <c r="N95" s="213"/>
      <c r="O95" s="213"/>
      <c r="P95" s="213"/>
      <c r="Q95" s="213"/>
      <c r="R95" s="213"/>
      <c r="S95" s="213"/>
      <c r="T95" s="213"/>
      <c r="U95" s="213"/>
      <c r="V95" s="213"/>
      <c r="W95" s="213"/>
      <c r="X95" s="213"/>
      <c r="Y95" s="213"/>
      <c r="Z95" s="213"/>
      <c r="AA95" s="213"/>
      <c r="AB95" s="213"/>
      <c r="AC95" s="213"/>
      <c r="AD95" s="213"/>
      <c r="AE95" s="213"/>
      <c r="AF95" s="213"/>
      <c r="AG95" s="213"/>
      <c r="AH95" s="213"/>
      <c r="AI95" s="213"/>
      <c r="AJ95" s="213"/>
      <c r="AK95" s="213"/>
      <c r="AL95" s="213"/>
      <c r="AM95" s="213"/>
      <c r="AN95" s="213"/>
      <c r="AO95" s="213"/>
      <c r="AZ95" s="134"/>
      <c r="BA95" s="134"/>
    </row>
    <row r="96" spans="1:54" ht="15.75" x14ac:dyDescent="0.25">
      <c r="A96" s="472" t="s">
        <v>127</v>
      </c>
      <c r="B96" s="472"/>
      <c r="C96" s="472"/>
      <c r="D96" s="472"/>
      <c r="E96" s="472"/>
      <c r="F96" s="472"/>
      <c r="G96" s="472"/>
      <c r="H96" s="472"/>
      <c r="I96" s="472"/>
      <c r="J96" s="472"/>
      <c r="K96" s="472"/>
      <c r="L96" s="472"/>
      <c r="M96" s="472"/>
      <c r="N96" s="472"/>
      <c r="O96" s="472"/>
      <c r="P96" s="472"/>
      <c r="Q96" s="472"/>
      <c r="R96" s="472"/>
      <c r="S96" s="472"/>
      <c r="T96" s="472"/>
      <c r="U96" s="472"/>
      <c r="V96" s="472"/>
      <c r="W96" s="472"/>
      <c r="X96" s="472"/>
      <c r="Y96" s="472"/>
      <c r="Z96" s="472"/>
      <c r="AA96" s="472"/>
      <c r="AB96" s="472"/>
      <c r="AC96" s="472"/>
      <c r="AD96" s="472"/>
      <c r="AE96" s="472"/>
      <c r="AF96" s="472"/>
      <c r="AG96" s="472"/>
      <c r="AH96" s="472"/>
      <c r="AI96" s="472"/>
      <c r="AJ96" s="472"/>
      <c r="AK96" s="472"/>
      <c r="AL96" s="472"/>
      <c r="AM96" s="472"/>
      <c r="AN96" s="472"/>
      <c r="AO96" s="472"/>
      <c r="AP96" s="472"/>
      <c r="AQ96" s="472"/>
      <c r="AT96" s="214"/>
      <c r="AU96" s="214"/>
      <c r="AV96" s="214"/>
    </row>
    <row r="97" spans="1:50" ht="36.75" customHeight="1" x14ac:dyDescent="0.25">
      <c r="A97" s="473" t="s">
        <v>128</v>
      </c>
      <c r="B97" s="474"/>
      <c r="C97" s="474"/>
      <c r="D97" s="474"/>
      <c r="E97" s="474"/>
      <c r="F97" s="474"/>
      <c r="G97" s="474"/>
      <c r="H97" s="474"/>
      <c r="I97" s="474"/>
      <c r="J97" s="474"/>
      <c r="K97" s="474"/>
      <c r="L97" s="474"/>
      <c r="M97" s="474"/>
      <c r="N97" s="474"/>
      <c r="O97" s="474"/>
      <c r="P97" s="474"/>
      <c r="Q97" s="474"/>
      <c r="R97" s="474"/>
      <c r="S97" s="474"/>
      <c r="T97" s="474"/>
      <c r="U97" s="474"/>
      <c r="V97" s="474"/>
      <c r="W97" s="474"/>
      <c r="X97" s="474"/>
      <c r="Y97" s="474"/>
      <c r="Z97" s="474"/>
      <c r="AA97" s="474"/>
      <c r="AB97" s="474"/>
      <c r="AC97" s="474"/>
      <c r="AD97" s="474"/>
      <c r="AE97" s="474"/>
      <c r="AF97" s="474"/>
      <c r="AG97" s="474"/>
      <c r="AH97" s="474"/>
      <c r="AI97" s="474"/>
      <c r="AJ97" s="474"/>
      <c r="AK97" s="474"/>
      <c r="AL97" s="474"/>
      <c r="AM97" s="474"/>
      <c r="AN97" s="474"/>
      <c r="AO97" s="474"/>
      <c r="AP97" s="474"/>
      <c r="AQ97" s="474"/>
    </row>
    <row r="98" spans="1:50" x14ac:dyDescent="0.2">
      <c r="A98" s="475" t="s">
        <v>180</v>
      </c>
      <c r="B98" s="475"/>
      <c r="C98" s="475"/>
      <c r="D98" s="475"/>
      <c r="E98" s="475"/>
      <c r="F98" s="475"/>
      <c r="G98" s="475"/>
      <c r="H98" s="475"/>
      <c r="I98" s="475"/>
      <c r="J98" s="475"/>
      <c r="K98" s="475"/>
      <c r="L98" s="475"/>
      <c r="M98" s="475"/>
      <c r="N98" s="475"/>
      <c r="O98" s="475"/>
      <c r="P98" s="475"/>
      <c r="Q98" s="475"/>
      <c r="R98" s="475"/>
      <c r="S98" s="475"/>
      <c r="T98" s="475"/>
      <c r="U98" s="475"/>
      <c r="V98" s="475"/>
      <c r="W98" s="475"/>
      <c r="X98" s="475"/>
      <c r="Y98" s="475"/>
      <c r="Z98" s="475"/>
      <c r="AA98" s="475"/>
      <c r="AB98" s="475"/>
      <c r="AC98" s="475"/>
      <c r="AD98" s="475"/>
      <c r="AE98" s="475"/>
      <c r="AF98" s="475"/>
      <c r="AG98" s="475"/>
      <c r="AH98" s="475"/>
      <c r="AI98" s="475"/>
      <c r="AJ98" s="475"/>
      <c r="AK98" s="475"/>
      <c r="AL98" s="475"/>
      <c r="AM98" s="475"/>
      <c r="AN98" s="475"/>
      <c r="AO98" s="475"/>
      <c r="AP98" s="475"/>
      <c r="AQ98" s="475"/>
    </row>
    <row r="99" spans="1:50" x14ac:dyDescent="0.2">
      <c r="A99" s="475"/>
      <c r="B99" s="475"/>
      <c r="C99" s="475"/>
      <c r="D99" s="475"/>
      <c r="E99" s="475"/>
      <c r="F99" s="475"/>
      <c r="G99" s="475"/>
      <c r="H99" s="475"/>
      <c r="I99" s="475"/>
      <c r="J99" s="475"/>
      <c r="K99" s="475"/>
      <c r="L99" s="475"/>
      <c r="M99" s="475"/>
      <c r="N99" s="475"/>
      <c r="O99" s="475"/>
      <c r="P99" s="475"/>
      <c r="Q99" s="475"/>
      <c r="R99" s="475"/>
      <c r="S99" s="475"/>
      <c r="T99" s="475"/>
      <c r="U99" s="475"/>
      <c r="V99" s="475"/>
      <c r="W99" s="475"/>
      <c r="X99" s="475"/>
      <c r="Y99" s="475"/>
      <c r="Z99" s="475"/>
      <c r="AA99" s="475"/>
      <c r="AB99" s="475"/>
      <c r="AC99" s="475"/>
      <c r="AD99" s="475"/>
      <c r="AE99" s="475"/>
      <c r="AF99" s="475"/>
      <c r="AG99" s="475"/>
      <c r="AH99" s="475"/>
      <c r="AI99" s="475"/>
      <c r="AJ99" s="475"/>
      <c r="AK99" s="475"/>
      <c r="AL99" s="475"/>
      <c r="AM99" s="475"/>
      <c r="AN99" s="475"/>
      <c r="AO99" s="475"/>
      <c r="AP99" s="475"/>
      <c r="AQ99" s="475"/>
    </row>
    <row r="100" spans="1:50" x14ac:dyDescent="0.2">
      <c r="A100" s="476" t="s">
        <v>130</v>
      </c>
      <c r="B100" s="476"/>
      <c r="C100" s="476"/>
      <c r="D100" s="476"/>
      <c r="E100" s="476"/>
      <c r="F100" s="476"/>
      <c r="G100" s="476"/>
      <c r="H100" s="476"/>
      <c r="I100" s="476"/>
      <c r="J100" s="476"/>
      <c r="K100" s="476"/>
      <c r="L100" s="215"/>
      <c r="R100" s="216"/>
      <c r="S100" s="216"/>
      <c r="T100" s="217"/>
      <c r="U100" s="217"/>
      <c r="V100" s="217"/>
      <c r="W100" s="217"/>
      <c r="X100" s="217"/>
      <c r="Y100" s="217"/>
      <c r="Z100" s="217"/>
      <c r="AA100" s="217"/>
      <c r="AB100" s="217"/>
      <c r="AC100" s="217"/>
      <c r="AD100" s="217"/>
      <c r="AE100" s="217"/>
      <c r="AF100" s="217"/>
      <c r="AG100" s="216"/>
      <c r="AH100" s="217"/>
      <c r="AI100" s="217"/>
      <c r="AJ100" s="216"/>
      <c r="AK100" s="216"/>
      <c r="AL100" s="216"/>
      <c r="AM100" s="216"/>
    </row>
    <row r="101" spans="1:50" x14ac:dyDescent="0.2">
      <c r="C101" s="133"/>
      <c r="D101" s="133"/>
      <c r="E101" s="133"/>
      <c r="L101" s="215"/>
      <c r="R101" s="216"/>
      <c r="S101" s="216"/>
      <c r="T101" s="217"/>
      <c r="U101" s="217"/>
      <c r="V101" s="217"/>
      <c r="W101" s="217"/>
      <c r="X101" s="217"/>
      <c r="Y101" s="217"/>
      <c r="Z101" s="217"/>
      <c r="AA101" s="217"/>
      <c r="AB101" s="217"/>
      <c r="AC101" s="217"/>
      <c r="AD101" s="217"/>
      <c r="AE101" s="217"/>
      <c r="AF101" s="217"/>
      <c r="AG101" s="216"/>
      <c r="AH101" s="217"/>
      <c r="AI101" s="217"/>
      <c r="AJ101" s="216"/>
      <c r="AK101" s="216"/>
      <c r="AL101" s="216"/>
      <c r="AM101" s="216"/>
    </row>
    <row r="102" spans="1:50" x14ac:dyDescent="0.2">
      <c r="A102" s="453"/>
      <c r="B102" s="453"/>
      <c r="C102" s="453"/>
      <c r="D102" s="453"/>
      <c r="E102" s="453"/>
      <c r="F102" s="453"/>
      <c r="G102" s="453"/>
      <c r="H102" s="453"/>
      <c r="I102" s="453"/>
      <c r="J102" s="453"/>
      <c r="K102" s="453"/>
      <c r="L102" s="453"/>
      <c r="M102" s="453"/>
      <c r="N102" s="453"/>
      <c r="O102" s="453"/>
      <c r="P102" s="194"/>
      <c r="R102" s="218"/>
      <c r="S102" s="218"/>
      <c r="T102" s="218"/>
      <c r="U102" s="218"/>
      <c r="V102" s="218"/>
      <c r="W102" s="218"/>
      <c r="X102" s="218"/>
      <c r="Y102" s="218"/>
      <c r="Z102" s="218"/>
      <c r="AA102" s="218"/>
      <c r="AB102" s="218"/>
      <c r="AC102" s="218"/>
      <c r="AD102" s="218"/>
      <c r="AE102" s="218"/>
      <c r="AF102" s="218"/>
      <c r="AG102" s="216"/>
      <c r="AH102" s="217"/>
      <c r="AI102" s="217"/>
      <c r="AJ102" s="216"/>
      <c r="AK102" s="216"/>
      <c r="AL102" s="216"/>
      <c r="AM102" s="216"/>
    </row>
    <row r="103" spans="1:50" x14ac:dyDescent="0.2">
      <c r="R103" s="216"/>
      <c r="S103" s="216"/>
      <c r="T103" s="217"/>
      <c r="U103" s="217"/>
      <c r="V103" s="217"/>
      <c r="W103" s="217"/>
      <c r="X103" s="217"/>
      <c r="Y103" s="217"/>
      <c r="Z103" s="217"/>
      <c r="AA103" s="217"/>
      <c r="AB103" s="217"/>
      <c r="AC103" s="217"/>
      <c r="AD103" s="217"/>
      <c r="AE103" s="217"/>
      <c r="AF103" s="217"/>
      <c r="AG103" s="216"/>
      <c r="AH103" s="217"/>
      <c r="AI103" s="217"/>
      <c r="AJ103" s="216"/>
      <c r="AK103" s="216"/>
      <c r="AL103" s="216"/>
      <c r="AM103" s="216"/>
    </row>
    <row r="104" spans="1:50" ht="13.5" thickBot="1" x14ac:dyDescent="0.25">
      <c r="A104" s="477" t="str">
        <f>IF(B132=1,B124,IF(B132=2,B125,IF(B132=3,B126,IF(B132=4,B127,IF(OR(B132="B",B132="b"),"BYE","invalid")))))</f>
        <v>KVC 17</v>
      </c>
      <c r="B104" s="477"/>
      <c r="C104" s="477"/>
      <c r="D104" s="477"/>
      <c r="E104" s="477"/>
      <c r="F104" s="219"/>
      <c r="G104" s="219"/>
      <c r="H104" s="219"/>
      <c r="I104" s="219"/>
      <c r="J104" s="219"/>
      <c r="K104" s="219"/>
      <c r="L104" s="219"/>
      <c r="M104" s="219"/>
      <c r="N104" s="219"/>
      <c r="S104" s="220"/>
      <c r="T104" s="221"/>
      <c r="U104" s="217"/>
      <c r="V104" s="217"/>
      <c r="W104" s="217"/>
      <c r="X104" s="217"/>
      <c r="Y104" s="217"/>
      <c r="Z104" s="217"/>
      <c r="AA104" s="217"/>
      <c r="AB104" s="216"/>
      <c r="AC104" s="216"/>
      <c r="AD104" s="216"/>
      <c r="AE104" s="216"/>
      <c r="AF104" s="216"/>
      <c r="AG104" s="216"/>
      <c r="AH104" s="216"/>
      <c r="AI104" s="216"/>
      <c r="AJ104" s="216"/>
      <c r="AK104" s="216"/>
      <c r="AL104" s="216"/>
    </row>
    <row r="105" spans="1:50" x14ac:dyDescent="0.2">
      <c r="A105" s="478" t="s">
        <v>181</v>
      </c>
      <c r="B105" s="478"/>
      <c r="C105" s="478"/>
      <c r="D105" s="478"/>
      <c r="E105" s="478"/>
      <c r="F105" s="222"/>
      <c r="G105" s="219"/>
      <c r="H105" s="219"/>
      <c r="I105" s="219"/>
      <c r="J105" s="219"/>
      <c r="K105" s="219"/>
      <c r="L105" s="219"/>
      <c r="M105" s="219"/>
      <c r="N105" s="219"/>
      <c r="S105" s="223"/>
      <c r="T105" s="224"/>
      <c r="U105" s="225"/>
      <c r="V105" s="225"/>
      <c r="W105" s="225"/>
      <c r="X105" s="225"/>
      <c r="Y105" s="225"/>
      <c r="Z105" s="225"/>
      <c r="AA105" s="225"/>
      <c r="AB105" s="216"/>
      <c r="AC105" s="216"/>
      <c r="AD105" s="216"/>
      <c r="AE105" s="216"/>
      <c r="AF105" s="216"/>
      <c r="AG105" s="216"/>
      <c r="AH105" s="216"/>
      <c r="AI105" s="216"/>
      <c r="AJ105" s="216"/>
      <c r="AK105" s="216"/>
      <c r="AL105" s="216"/>
    </row>
    <row r="106" spans="1:50" x14ac:dyDescent="0.2">
      <c r="A106" s="219"/>
      <c r="B106" s="219"/>
      <c r="C106" s="219"/>
      <c r="D106" s="219"/>
      <c r="E106" s="219"/>
      <c r="F106" s="222"/>
      <c r="G106" s="219"/>
      <c r="H106" s="219"/>
      <c r="I106" s="219"/>
      <c r="J106" s="219"/>
      <c r="K106" s="219"/>
      <c r="L106" s="219"/>
      <c r="M106" s="219"/>
      <c r="N106" s="219"/>
      <c r="R106" s="219"/>
      <c r="S106" s="219"/>
      <c r="T106" s="216"/>
      <c r="U106" s="216"/>
      <c r="V106" s="216"/>
      <c r="W106" s="216"/>
      <c r="X106" s="216"/>
      <c r="Y106" s="216"/>
      <c r="Z106" s="216"/>
      <c r="AA106" s="216"/>
      <c r="AB106" s="216"/>
      <c r="AC106" s="216"/>
      <c r="AD106" s="216"/>
      <c r="AE106" s="216"/>
      <c r="AF106" s="216"/>
      <c r="AG106" s="216"/>
      <c r="AH106" s="216"/>
      <c r="AI106" s="216"/>
      <c r="AJ106" s="216"/>
      <c r="AK106" s="216"/>
      <c r="AL106" s="216"/>
    </row>
    <row r="107" spans="1:50" ht="13.5" thickBot="1" x14ac:dyDescent="0.25">
      <c r="A107" s="479" t="str">
        <f>B126&amp;" ref"</f>
        <v>Sumter VBC 18 ref</v>
      </c>
      <c r="B107" s="479"/>
      <c r="C107" s="479"/>
      <c r="D107" s="479"/>
      <c r="E107" s="226"/>
      <c r="F107" s="481" t="str">
        <f>IF(H132=1,B124,IF(H132=2,B125,IF(H132=3,B126,IF(H132=4,B127,"Winner Match 1"))))</f>
        <v>KVC 17</v>
      </c>
      <c r="G107" s="482"/>
      <c r="H107" s="482"/>
      <c r="I107" s="482"/>
      <c r="J107" s="482"/>
      <c r="K107" s="482"/>
      <c r="L107" s="482"/>
      <c r="M107" s="482"/>
      <c r="N107" s="219"/>
      <c r="P107" s="227"/>
      <c r="Q107" s="227"/>
      <c r="R107" s="227"/>
      <c r="S107" s="227"/>
      <c r="T107" s="218"/>
      <c r="U107" s="218"/>
      <c r="V107" s="218"/>
      <c r="W107" s="218"/>
      <c r="X107" s="218"/>
      <c r="Y107" s="218"/>
      <c r="Z107" s="218"/>
      <c r="AA107" s="216"/>
      <c r="AB107" s="217"/>
      <c r="AC107" s="217"/>
      <c r="AD107" s="217"/>
      <c r="AE107" s="217"/>
      <c r="AF107" s="217"/>
      <c r="AG107" s="217"/>
      <c r="AH107" s="217"/>
      <c r="AI107" s="216"/>
      <c r="AJ107" s="216"/>
      <c r="AK107" s="216"/>
      <c r="AL107" s="216"/>
    </row>
    <row r="108" spans="1:50" x14ac:dyDescent="0.2">
      <c r="A108" s="483" t="s">
        <v>135</v>
      </c>
      <c r="B108" s="483"/>
      <c r="C108" s="483"/>
      <c r="D108" s="483"/>
      <c r="E108" s="483"/>
      <c r="F108" s="484"/>
      <c r="G108" s="485"/>
      <c r="H108" s="485"/>
      <c r="I108" s="486"/>
      <c r="J108" s="487"/>
      <c r="K108" s="488"/>
      <c r="L108" s="488"/>
      <c r="M108" s="488"/>
      <c r="N108" s="219"/>
      <c r="O108" s="219"/>
      <c r="P108" s="226"/>
      <c r="Q108" s="137"/>
      <c r="R108" s="228"/>
      <c r="S108" s="228"/>
      <c r="T108" s="229"/>
      <c r="U108" s="229"/>
      <c r="V108" s="229"/>
      <c r="W108" s="229"/>
      <c r="X108" s="229"/>
      <c r="Y108" s="229"/>
      <c r="Z108" s="229"/>
      <c r="AA108" s="216"/>
      <c r="AB108" s="218"/>
      <c r="AC108" s="218"/>
      <c r="AD108" s="218"/>
      <c r="AE108" s="218"/>
      <c r="AF108" s="218"/>
      <c r="AG108" s="218"/>
      <c r="AH108" s="218"/>
      <c r="AI108" s="216"/>
      <c r="AJ108" s="216"/>
      <c r="AK108" s="216"/>
      <c r="AL108" s="216"/>
    </row>
    <row r="109" spans="1:50" ht="13.5" thickBot="1" x14ac:dyDescent="0.25">
      <c r="A109" s="477" t="str">
        <f>IF(D132=1,B124,IF(D132=2,B125,IF(D132=3,B126,IF(D132=4,B127,IF(OR(D132="B",D132="b"),"BYE","invalid")))))</f>
        <v>Branchville Juniors 18U</v>
      </c>
      <c r="B109" s="477"/>
      <c r="C109" s="477"/>
      <c r="D109" s="477"/>
      <c r="E109" s="490"/>
      <c r="F109" s="222"/>
      <c r="G109" s="219"/>
      <c r="H109" s="219"/>
      <c r="I109" s="219"/>
      <c r="J109" s="222"/>
      <c r="K109" s="219"/>
      <c r="L109" s="219"/>
      <c r="M109" s="219"/>
      <c r="N109" s="219"/>
      <c r="O109" s="219"/>
      <c r="P109" s="219"/>
      <c r="T109" s="216"/>
      <c r="U109" s="217"/>
      <c r="V109" s="217"/>
      <c r="W109" s="217"/>
      <c r="X109" s="217"/>
      <c r="Y109" s="217"/>
      <c r="Z109" s="217"/>
      <c r="AA109" s="217"/>
      <c r="AB109" s="216"/>
      <c r="AC109" s="216"/>
      <c r="AD109" s="216"/>
      <c r="AE109" s="216"/>
      <c r="AF109" s="216"/>
      <c r="AG109" s="216"/>
      <c r="AH109" s="216"/>
      <c r="AI109" s="216"/>
      <c r="AJ109" s="216"/>
      <c r="AK109" s="216"/>
      <c r="AL109" s="216"/>
    </row>
    <row r="110" spans="1:50" x14ac:dyDescent="0.2">
      <c r="A110" s="478" t="s">
        <v>182</v>
      </c>
      <c r="B110" s="478"/>
      <c r="C110" s="478"/>
      <c r="D110" s="478"/>
      <c r="E110" s="478"/>
      <c r="F110" s="219"/>
      <c r="G110" s="219"/>
      <c r="H110" s="219"/>
      <c r="I110" s="219"/>
      <c r="J110" s="222"/>
      <c r="K110" s="219"/>
      <c r="L110" s="219"/>
      <c r="M110" s="219"/>
      <c r="N110" s="219"/>
      <c r="O110" s="219"/>
      <c r="P110" s="219"/>
      <c r="T110" s="216"/>
      <c r="U110" s="225"/>
      <c r="V110" s="225"/>
      <c r="W110" s="225"/>
      <c r="X110" s="225"/>
      <c r="Y110" s="225"/>
      <c r="Z110" s="225"/>
      <c r="AA110" s="225"/>
      <c r="AB110" s="216"/>
      <c r="AC110" s="216"/>
      <c r="AD110" s="216"/>
      <c r="AE110" s="216"/>
      <c r="AF110" s="216"/>
      <c r="AG110" s="216"/>
      <c r="AH110" s="216"/>
      <c r="AI110" s="216"/>
      <c r="AJ110" s="216"/>
      <c r="AK110" s="216"/>
      <c r="AL110" s="216"/>
      <c r="AQ110" s="230"/>
      <c r="AR110" s="230"/>
      <c r="AS110" s="230"/>
      <c r="AW110" s="230"/>
      <c r="AX110" s="230"/>
    </row>
    <row r="111" spans="1:50" x14ac:dyDescent="0.2">
      <c r="A111" s="219"/>
      <c r="B111" s="219"/>
      <c r="C111" s="219"/>
      <c r="D111" s="219"/>
      <c r="E111" s="219"/>
      <c r="F111" s="492" t="s">
        <v>139</v>
      </c>
      <c r="G111" s="492"/>
      <c r="H111" s="492"/>
      <c r="I111" s="493"/>
      <c r="J111" s="222"/>
      <c r="K111" s="219"/>
      <c r="L111" s="219"/>
      <c r="M111" s="219"/>
      <c r="N111" s="219"/>
      <c r="O111" s="219"/>
      <c r="P111" s="219"/>
      <c r="R111" s="219"/>
      <c r="S111" s="219"/>
      <c r="T111" s="216"/>
      <c r="U111" s="216"/>
      <c r="V111" s="216"/>
      <c r="W111" s="218"/>
      <c r="X111" s="218"/>
      <c r="Y111" s="218"/>
      <c r="Z111" s="216"/>
      <c r="AA111" s="218"/>
      <c r="AB111" s="218"/>
      <c r="AC111" s="218"/>
      <c r="AD111" s="218"/>
      <c r="AE111" s="218"/>
      <c r="AF111" s="216"/>
      <c r="AG111" s="216"/>
      <c r="AH111" s="216"/>
      <c r="AI111" s="216"/>
      <c r="AJ111" s="216"/>
      <c r="AK111" s="216"/>
      <c r="AL111" s="216"/>
    </row>
    <row r="112" spans="1:50" ht="13.5" thickBot="1" x14ac:dyDescent="0.25">
      <c r="A112" s="219"/>
      <c r="B112" s="219"/>
      <c r="C112" s="219"/>
      <c r="D112" s="219"/>
      <c r="E112" s="219"/>
      <c r="F112" s="219"/>
      <c r="G112" s="219"/>
      <c r="H112" s="219"/>
      <c r="I112" s="219"/>
      <c r="J112" s="494" t="str">
        <f>IF(K137=1,B124,IF(K137=2,B125,IF(K137=3,B126,IF(K137=4,B127,"Division Winner"))))</f>
        <v>SVBC Blazers 18</v>
      </c>
      <c r="K112" s="495"/>
      <c r="L112" s="495"/>
      <c r="M112" s="495"/>
      <c r="N112" s="495"/>
      <c r="O112" s="495"/>
      <c r="P112" s="495"/>
      <c r="Q112" s="220"/>
      <c r="R112" s="219"/>
      <c r="S112" s="219"/>
      <c r="T112" s="216"/>
      <c r="U112" s="216"/>
      <c r="V112" s="216"/>
      <c r="W112" s="216"/>
      <c r="X112" s="216"/>
      <c r="Y112" s="216"/>
      <c r="Z112" s="216"/>
      <c r="AA112" s="217"/>
      <c r="AB112" s="217"/>
      <c r="AC112" s="217"/>
      <c r="AD112" s="217"/>
      <c r="AE112" s="217"/>
      <c r="AF112" s="231"/>
      <c r="AG112" s="231"/>
      <c r="AH112" s="231"/>
      <c r="AI112" s="231"/>
      <c r="AJ112" s="231"/>
      <c r="AK112" s="217"/>
      <c r="AL112" s="216"/>
    </row>
    <row r="113" spans="1:53" ht="13.5" thickBot="1" x14ac:dyDescent="0.25">
      <c r="A113" s="477" t="str">
        <f>IF(E132=1,B124,IF(E132=2,B125,IF(E132=3,B126,IF(E132=4,B127,IF(OR(E132="B",E132="b"),"BYE","invalid")))))</f>
        <v>SVBC Blazers 18</v>
      </c>
      <c r="B113" s="477"/>
      <c r="C113" s="477"/>
      <c r="D113" s="477"/>
      <c r="E113" s="477"/>
      <c r="F113" s="483" t="s">
        <v>140</v>
      </c>
      <c r="G113" s="483"/>
      <c r="H113" s="483"/>
      <c r="I113" s="483"/>
      <c r="J113" s="496" t="s">
        <v>141</v>
      </c>
      <c r="K113" s="492"/>
      <c r="L113" s="492"/>
      <c r="M113" s="492"/>
      <c r="N113" s="492"/>
      <c r="O113" s="492"/>
      <c r="P113" s="492"/>
      <c r="R113" s="232"/>
      <c r="S113" s="232"/>
      <c r="T113" s="217"/>
      <c r="U113" s="217"/>
      <c r="V113" s="217"/>
      <c r="W113" s="217"/>
      <c r="X113" s="217"/>
      <c r="Y113" s="217"/>
      <c r="Z113" s="217"/>
      <c r="AA113" s="217"/>
      <c r="AB113" s="233"/>
      <c r="AC113" s="233"/>
      <c r="AD113" s="233"/>
      <c r="AE113" s="233"/>
      <c r="AF113" s="218"/>
      <c r="AG113" s="218"/>
      <c r="AH113" s="218"/>
      <c r="AI113" s="218"/>
      <c r="AJ113" s="218"/>
      <c r="AK113" s="216"/>
      <c r="AL113" s="216"/>
    </row>
    <row r="114" spans="1:53" x14ac:dyDescent="0.2">
      <c r="A114" s="478" t="s">
        <v>183</v>
      </c>
      <c r="B114" s="478"/>
      <c r="C114" s="478"/>
      <c r="D114" s="478"/>
      <c r="E114" s="478"/>
      <c r="F114" s="222"/>
      <c r="G114" s="219"/>
      <c r="H114" s="219"/>
      <c r="I114" s="219"/>
      <c r="J114" s="496"/>
      <c r="K114" s="492"/>
      <c r="L114" s="492"/>
      <c r="M114" s="492"/>
      <c r="N114" s="492"/>
      <c r="O114" s="492"/>
      <c r="P114" s="492"/>
      <c r="Q114" s="219"/>
      <c r="R114" s="230"/>
      <c r="S114" s="230"/>
      <c r="T114" s="225"/>
      <c r="U114" s="225"/>
      <c r="V114" s="225"/>
      <c r="W114" s="225"/>
      <c r="X114" s="225"/>
      <c r="Y114" s="225"/>
      <c r="Z114" s="225"/>
      <c r="AA114" s="225"/>
      <c r="AB114" s="216"/>
      <c r="AC114" s="216"/>
      <c r="AD114" s="216"/>
      <c r="AE114" s="216"/>
      <c r="AF114" s="216"/>
      <c r="AG114" s="216"/>
      <c r="AH114" s="216"/>
      <c r="AI114" s="216"/>
      <c r="AJ114" s="216"/>
      <c r="AK114" s="216"/>
      <c r="AL114" s="216"/>
    </row>
    <row r="115" spans="1:53" x14ac:dyDescent="0.2">
      <c r="A115" s="219"/>
      <c r="B115" s="219"/>
      <c r="C115" s="219"/>
      <c r="D115" s="219"/>
      <c r="E115" s="219"/>
      <c r="F115" s="222"/>
      <c r="G115" s="219"/>
      <c r="H115" s="219"/>
      <c r="I115" s="219"/>
      <c r="J115" s="222"/>
      <c r="K115" s="219"/>
      <c r="L115" s="219"/>
      <c r="M115" s="219"/>
      <c r="N115" s="219"/>
      <c r="P115" s="219"/>
      <c r="Q115" s="219"/>
      <c r="R115" s="219"/>
      <c r="S115" s="219"/>
      <c r="T115" s="216"/>
      <c r="U115" s="216"/>
      <c r="V115" s="216"/>
      <c r="W115" s="216"/>
      <c r="X115" s="216"/>
      <c r="Y115" s="216"/>
      <c r="Z115" s="216"/>
      <c r="AA115" s="216"/>
      <c r="AB115" s="216"/>
      <c r="AC115" s="216"/>
      <c r="AD115" s="216"/>
      <c r="AE115" s="216"/>
      <c r="AF115" s="216"/>
      <c r="AG115" s="216"/>
      <c r="AH115" s="216"/>
      <c r="AI115" s="216"/>
      <c r="AJ115" s="216"/>
      <c r="AK115" s="216"/>
      <c r="AL115" s="216"/>
    </row>
    <row r="116" spans="1:53" ht="13.5" thickBot="1" x14ac:dyDescent="0.25">
      <c r="A116" s="492" t="s">
        <v>146</v>
      </c>
      <c r="B116" s="492"/>
      <c r="C116" s="492"/>
      <c r="D116" s="492"/>
      <c r="E116" s="226"/>
      <c r="F116" s="500"/>
      <c r="G116" s="501"/>
      <c r="H116" s="501"/>
      <c r="I116" s="502"/>
      <c r="J116" s="487"/>
      <c r="K116" s="488"/>
      <c r="L116" s="488"/>
      <c r="M116" s="488"/>
      <c r="N116" s="219"/>
      <c r="Q116" s="227"/>
      <c r="R116" s="227"/>
      <c r="S116" s="227"/>
      <c r="T116" s="218"/>
      <c r="U116" s="218"/>
      <c r="V116" s="218"/>
      <c r="W116" s="218"/>
      <c r="X116" s="218"/>
      <c r="Y116" s="218"/>
      <c r="Z116" s="218"/>
      <c r="AA116" s="216"/>
      <c r="AB116" s="218"/>
      <c r="AC116" s="218"/>
      <c r="AD116" s="218"/>
      <c r="AE116" s="218"/>
      <c r="AF116" s="218"/>
      <c r="AG116" s="218"/>
      <c r="AH116" s="218"/>
      <c r="AI116" s="216"/>
      <c r="AJ116" s="216"/>
      <c r="AK116" s="216"/>
      <c r="AL116" s="216"/>
      <c r="AZ116" s="186"/>
      <c r="BA116" s="186"/>
    </row>
    <row r="117" spans="1:53" x14ac:dyDescent="0.2">
      <c r="A117" s="483" t="s">
        <v>135</v>
      </c>
      <c r="B117" s="483"/>
      <c r="C117" s="483"/>
      <c r="D117" s="483"/>
      <c r="E117" s="497"/>
      <c r="F117" s="481" t="str">
        <f>IF(J132=1,B124,IF(J132=2,B125,IF(J132=3,B126,IF(J132=4,B127,"Winner Match 2"))))</f>
        <v>SVBC Blazers 18</v>
      </c>
      <c r="G117" s="482"/>
      <c r="H117" s="482"/>
      <c r="I117" s="482"/>
      <c r="J117" s="482"/>
      <c r="K117" s="482"/>
      <c r="L117" s="482"/>
      <c r="M117" s="482"/>
      <c r="N117" s="219"/>
      <c r="P117" s="226"/>
      <c r="Q117" s="226"/>
      <c r="S117" s="228"/>
      <c r="T117" s="233"/>
      <c r="U117" s="233"/>
      <c r="V117" s="233"/>
      <c r="W117" s="233"/>
      <c r="X117" s="233"/>
      <c r="Y117" s="233"/>
      <c r="Z117" s="233"/>
      <c r="AA117" s="216"/>
      <c r="AB117" s="217"/>
      <c r="AC117" s="217"/>
      <c r="AD117" s="217"/>
      <c r="AE117" s="217"/>
      <c r="AF117" s="217"/>
      <c r="AG117" s="217"/>
      <c r="AH117" s="217"/>
      <c r="AI117" s="216"/>
      <c r="AJ117" s="216"/>
      <c r="AK117" s="216"/>
      <c r="AL117" s="216"/>
      <c r="AZ117" s="186"/>
      <c r="BA117" s="186"/>
    </row>
    <row r="118" spans="1:53" ht="13.5" thickBot="1" x14ac:dyDescent="0.25">
      <c r="A118" s="477" t="str">
        <f>IF(G132=1,B124,IF(G132=2,B125,IF(G132=3,B126,IF(G132=4,B127,IF(OR(G132="B",G132="b"),"BYE","invalid")))))</f>
        <v>Sumter VBC 18</v>
      </c>
      <c r="B118" s="477"/>
      <c r="C118" s="477"/>
      <c r="D118" s="477"/>
      <c r="E118" s="490"/>
      <c r="F118" s="222"/>
      <c r="G118" s="219"/>
      <c r="H118" s="219"/>
      <c r="I118" s="219"/>
      <c r="J118" s="219"/>
      <c r="K118" s="219"/>
      <c r="L118" s="219"/>
      <c r="M118" s="219"/>
      <c r="N118" s="219"/>
      <c r="P118" s="219"/>
      <c r="Q118" s="219"/>
      <c r="R118" s="219"/>
      <c r="S118" s="232"/>
      <c r="T118" s="217"/>
      <c r="U118" s="217"/>
      <c r="V118" s="217"/>
      <c r="W118" s="217"/>
      <c r="X118" s="217"/>
      <c r="Y118" s="217"/>
      <c r="Z118" s="217"/>
      <c r="AA118" s="217"/>
      <c r="AB118" s="216"/>
      <c r="AC118" s="216"/>
      <c r="AD118" s="216"/>
      <c r="AE118" s="216"/>
      <c r="AF118" s="216"/>
      <c r="AG118" s="216"/>
      <c r="AH118" s="216"/>
      <c r="AI118" s="216"/>
      <c r="AJ118" s="216"/>
      <c r="AK118" s="216"/>
      <c r="AL118" s="216"/>
      <c r="AZ118" s="186"/>
      <c r="BA118" s="186"/>
    </row>
    <row r="119" spans="1:53" x14ac:dyDescent="0.2">
      <c r="A119" s="478" t="s">
        <v>184</v>
      </c>
      <c r="B119" s="478"/>
      <c r="C119" s="478"/>
      <c r="D119" s="478"/>
      <c r="E119" s="478"/>
      <c r="S119" s="230"/>
      <c r="T119" s="225"/>
      <c r="U119" s="225"/>
      <c r="V119" s="225"/>
      <c r="W119" s="225"/>
      <c r="X119" s="225"/>
      <c r="Y119" s="225"/>
      <c r="Z119" s="225"/>
      <c r="AA119" s="225"/>
      <c r="AB119" s="216"/>
      <c r="AC119" s="216"/>
      <c r="AD119" s="216"/>
      <c r="AE119" s="216"/>
      <c r="AF119" s="216"/>
      <c r="AG119" s="216"/>
      <c r="AH119" s="216"/>
      <c r="AI119" s="216"/>
      <c r="AJ119" s="216"/>
      <c r="AK119" s="216"/>
      <c r="AL119" s="216"/>
      <c r="AZ119" s="186"/>
      <c r="BA119" s="186"/>
    </row>
    <row r="120" spans="1:53" x14ac:dyDescent="0.2">
      <c r="T120" s="216"/>
      <c r="U120" s="216"/>
      <c r="V120" s="216"/>
      <c r="W120" s="216"/>
      <c r="X120" s="216"/>
      <c r="Y120" s="216"/>
      <c r="Z120" s="216"/>
      <c r="AA120" s="216"/>
      <c r="AB120" s="216"/>
      <c r="AC120" s="216"/>
      <c r="AD120" s="216"/>
      <c r="AE120" s="216"/>
      <c r="AF120" s="216"/>
      <c r="AG120" s="216"/>
      <c r="AH120" s="216"/>
      <c r="AI120" s="216"/>
      <c r="AJ120" s="216"/>
      <c r="AK120" s="216"/>
      <c r="AL120" s="216"/>
      <c r="AT120" s="186"/>
      <c r="AU120" s="186"/>
      <c r="AV120" s="186"/>
      <c r="AZ120" s="186"/>
      <c r="BA120" s="186"/>
    </row>
    <row r="121" spans="1:53" x14ac:dyDescent="0.2">
      <c r="T121" s="216"/>
      <c r="U121" s="216"/>
      <c r="V121" s="216"/>
      <c r="W121" s="216"/>
      <c r="X121" s="216"/>
      <c r="Y121" s="216"/>
      <c r="Z121" s="216"/>
      <c r="AA121" s="216"/>
      <c r="AB121" s="216"/>
      <c r="AC121" s="216"/>
      <c r="AD121" s="216"/>
      <c r="AE121" s="216"/>
      <c r="AF121" s="216"/>
      <c r="AG121" s="216"/>
      <c r="AH121" s="216"/>
      <c r="AI121" s="216"/>
      <c r="AJ121" s="216"/>
      <c r="AK121" s="216"/>
      <c r="AL121" s="216"/>
      <c r="AT121" s="186"/>
      <c r="AU121" s="186"/>
      <c r="AV121" s="186"/>
      <c r="AZ121" s="186"/>
      <c r="BA121" s="186"/>
    </row>
    <row r="122" spans="1:53" ht="16.5" thickBot="1" x14ac:dyDescent="0.3">
      <c r="A122" s="503" t="s">
        <v>149</v>
      </c>
      <c r="B122" s="503"/>
      <c r="C122" s="503"/>
      <c r="D122" s="503"/>
      <c r="E122" s="503"/>
      <c r="F122" s="503"/>
      <c r="G122" s="503"/>
      <c r="H122" s="503"/>
      <c r="I122" s="503"/>
      <c r="J122" s="503"/>
      <c r="Q122" s="234"/>
      <c r="R122" s="234"/>
      <c r="S122" s="234"/>
      <c r="T122" s="235"/>
      <c r="U122" s="235"/>
      <c r="V122" s="235"/>
      <c r="W122" s="235"/>
      <c r="X122" s="235"/>
      <c r="Y122" s="235"/>
      <c r="Z122" s="235"/>
      <c r="AA122" s="235"/>
      <c r="AB122" s="235"/>
      <c r="AC122" s="235"/>
      <c r="AD122" s="235"/>
      <c r="AE122" s="235"/>
      <c r="AF122" s="216"/>
      <c r="AG122" s="216"/>
      <c r="AH122" s="216"/>
      <c r="AI122" s="216"/>
      <c r="AJ122" s="216"/>
      <c r="AK122" s="216"/>
      <c r="AL122" s="216"/>
      <c r="AT122" s="186"/>
      <c r="AU122" s="186"/>
      <c r="AV122" s="186"/>
      <c r="AZ122" s="186"/>
      <c r="BA122" s="186"/>
    </row>
    <row r="123" spans="1:53" ht="13.5" thickBot="1" x14ac:dyDescent="0.25">
      <c r="A123" s="236" t="s">
        <v>151</v>
      </c>
      <c r="B123" s="504" t="s">
        <v>152</v>
      </c>
      <c r="C123" s="505"/>
      <c r="D123" s="505"/>
      <c r="E123" s="505"/>
      <c r="F123" s="505"/>
      <c r="G123" s="505"/>
      <c r="H123" s="505"/>
      <c r="I123" s="505"/>
      <c r="J123" s="506"/>
      <c r="K123" s="507" t="s">
        <v>153</v>
      </c>
      <c r="L123" s="508"/>
      <c r="M123" s="508"/>
      <c r="N123" s="508"/>
      <c r="O123" s="508"/>
      <c r="P123" s="508"/>
      <c r="Q123" s="509"/>
      <c r="T123" s="217"/>
      <c r="U123" s="217"/>
      <c r="V123" s="217"/>
      <c r="W123" s="217"/>
      <c r="X123" s="216"/>
      <c r="Y123" s="216"/>
      <c r="Z123" s="216"/>
      <c r="AA123" s="216"/>
      <c r="AB123" s="216"/>
      <c r="AC123" s="216"/>
      <c r="AD123" s="216"/>
      <c r="AE123" s="216"/>
      <c r="AF123" s="216"/>
      <c r="AG123" s="216"/>
      <c r="AH123" s="216"/>
      <c r="AI123" s="216"/>
      <c r="AJ123" s="216"/>
      <c r="AK123" s="216"/>
      <c r="AL123" s="216"/>
      <c r="AT123" s="186"/>
      <c r="AU123" s="186"/>
      <c r="AV123" s="186"/>
      <c r="AZ123" s="186"/>
      <c r="BA123" s="186"/>
    </row>
    <row r="124" spans="1:53" ht="13.5" thickBot="1" x14ac:dyDescent="0.25">
      <c r="A124" s="236">
        <v>1</v>
      </c>
      <c r="B124" s="513" t="str">
        <f>B94</f>
        <v>KVC 17</v>
      </c>
      <c r="C124" s="514"/>
      <c r="D124" s="514"/>
      <c r="E124" s="514"/>
      <c r="F124" s="514"/>
      <c r="G124" s="514"/>
      <c r="H124" s="514"/>
      <c r="I124" s="514"/>
      <c r="J124" s="515"/>
      <c r="K124" s="516" t="str">
        <f>H94</f>
        <v>fj7kvcjr1pm</v>
      </c>
      <c r="L124" s="517"/>
      <c r="M124" s="517"/>
      <c r="N124" s="517"/>
      <c r="O124" s="517"/>
      <c r="P124" s="517"/>
      <c r="Q124" s="518"/>
      <c r="T124" s="217"/>
      <c r="U124" s="217"/>
      <c r="V124" s="217"/>
      <c r="W124" s="218"/>
      <c r="X124" s="218"/>
      <c r="Y124" s="218"/>
      <c r="Z124" s="218"/>
      <c r="AA124" s="218"/>
      <c r="AB124" s="218"/>
      <c r="AC124" s="218"/>
      <c r="AD124" s="218"/>
      <c r="AE124" s="218"/>
      <c r="AF124" s="216"/>
      <c r="AG124" s="216"/>
      <c r="AH124" s="216"/>
      <c r="AI124" s="216"/>
      <c r="AJ124" s="216"/>
      <c r="AK124" s="216"/>
      <c r="AL124" s="216"/>
      <c r="AT124" s="186"/>
      <c r="AU124" s="186"/>
      <c r="AV124" s="186"/>
      <c r="AZ124" s="186"/>
      <c r="BA124" s="186"/>
    </row>
    <row r="125" spans="1:53" ht="13.5" thickBot="1" x14ac:dyDescent="0.25">
      <c r="A125" s="236">
        <v>2</v>
      </c>
      <c r="B125" s="513" t="str">
        <f>L94</f>
        <v>SVBC Blazers 18</v>
      </c>
      <c r="C125" s="514"/>
      <c r="D125" s="514"/>
      <c r="E125" s="514"/>
      <c r="F125" s="514"/>
      <c r="G125" s="514"/>
      <c r="H125" s="514"/>
      <c r="I125" s="514"/>
      <c r="J125" s="515"/>
      <c r="K125" s="516" t="str">
        <f>R94</f>
        <v>fj8sandh1pm</v>
      </c>
      <c r="L125" s="517"/>
      <c r="M125" s="517"/>
      <c r="N125" s="517"/>
      <c r="O125" s="517"/>
      <c r="P125" s="517"/>
      <c r="Q125" s="518"/>
      <c r="T125" s="217"/>
      <c r="U125" s="217"/>
      <c r="V125" s="217"/>
      <c r="W125" s="218"/>
      <c r="X125" s="218"/>
      <c r="Y125" s="218"/>
      <c r="Z125" s="218"/>
      <c r="AA125" s="218"/>
      <c r="AB125" s="218"/>
      <c r="AC125" s="218"/>
      <c r="AD125" s="218"/>
      <c r="AE125" s="218"/>
      <c r="AF125" s="216"/>
      <c r="AG125" s="216"/>
      <c r="AH125" s="216"/>
      <c r="AI125" s="216"/>
      <c r="AJ125" s="216"/>
      <c r="AK125" s="216"/>
      <c r="AL125" s="216"/>
      <c r="AT125" s="186"/>
      <c r="AU125" s="186"/>
      <c r="AV125" s="186"/>
      <c r="AZ125" s="186"/>
      <c r="BA125" s="186"/>
    </row>
    <row r="126" spans="1:53" ht="13.5" thickBot="1" x14ac:dyDescent="0.25">
      <c r="A126" s="236">
        <v>3</v>
      </c>
      <c r="B126" s="513" t="str">
        <f>V94</f>
        <v>Sumter VBC 18</v>
      </c>
      <c r="C126" s="514"/>
      <c r="D126" s="514"/>
      <c r="E126" s="514"/>
      <c r="F126" s="514"/>
      <c r="G126" s="514"/>
      <c r="H126" s="514"/>
      <c r="I126" s="514"/>
      <c r="J126" s="515"/>
      <c r="K126" s="516" t="str">
        <f>AB94</f>
        <v>fj8sumtr1pm</v>
      </c>
      <c r="L126" s="517"/>
      <c r="M126" s="517"/>
      <c r="N126" s="517"/>
      <c r="O126" s="517"/>
      <c r="P126" s="517"/>
      <c r="Q126" s="518"/>
      <c r="T126" s="217"/>
      <c r="U126" s="217"/>
      <c r="V126" s="217"/>
      <c r="W126" s="218"/>
      <c r="X126" s="218"/>
      <c r="Y126" s="218"/>
      <c r="Z126" s="218"/>
      <c r="AA126" s="218"/>
      <c r="AB126" s="218"/>
      <c r="AC126" s="218"/>
      <c r="AD126" s="218"/>
      <c r="AE126" s="218"/>
      <c r="AF126" s="216"/>
      <c r="AG126" s="216"/>
      <c r="AH126" s="216"/>
      <c r="AI126" s="216"/>
      <c r="AJ126" s="216"/>
      <c r="AK126" s="216"/>
      <c r="AL126" s="216"/>
      <c r="AT126" s="186"/>
      <c r="AU126" s="186"/>
      <c r="AV126" s="186"/>
      <c r="AZ126" s="186"/>
      <c r="BA126" s="186"/>
    </row>
    <row r="127" spans="1:53" ht="13.5" thickBot="1" x14ac:dyDescent="0.25">
      <c r="A127" s="236">
        <v>4</v>
      </c>
      <c r="B127" s="572" t="str">
        <f>AF94</f>
        <v>Branchville Juniors 18U</v>
      </c>
      <c r="C127" s="573"/>
      <c r="D127" s="573"/>
      <c r="E127" s="573"/>
      <c r="F127" s="573"/>
      <c r="G127" s="573"/>
      <c r="H127" s="573"/>
      <c r="I127" s="573"/>
      <c r="J127" s="574"/>
      <c r="K127" s="516" t="str">
        <f>AL94</f>
        <v>fj8branc3pm</v>
      </c>
      <c r="L127" s="517"/>
      <c r="M127" s="517"/>
      <c r="N127" s="517"/>
      <c r="O127" s="517"/>
      <c r="P127" s="517"/>
      <c r="Q127" s="518"/>
      <c r="T127" s="217"/>
      <c r="U127" s="217"/>
      <c r="V127" s="217"/>
      <c r="W127" s="218"/>
      <c r="X127" s="218"/>
      <c r="Y127" s="218"/>
      <c r="Z127" s="218"/>
      <c r="AA127" s="218"/>
      <c r="AB127" s="218"/>
      <c r="AC127" s="218"/>
      <c r="AD127" s="218"/>
      <c r="AE127" s="218"/>
      <c r="AF127" s="216"/>
      <c r="AG127" s="216"/>
      <c r="AH127" s="216"/>
      <c r="AI127" s="216"/>
      <c r="AJ127" s="216"/>
      <c r="AK127" s="216"/>
      <c r="AL127" s="216"/>
      <c r="AT127" s="186"/>
      <c r="AU127" s="186"/>
      <c r="AV127" s="186"/>
      <c r="AZ127" s="186"/>
      <c r="BA127" s="186"/>
    </row>
    <row r="128" spans="1:53" ht="13.5" thickBot="1" x14ac:dyDescent="0.25">
      <c r="T128" s="216"/>
      <c r="U128" s="216"/>
      <c r="V128" s="216"/>
      <c r="W128" s="216"/>
      <c r="X128" s="216"/>
      <c r="Y128" s="216"/>
      <c r="Z128" s="216"/>
      <c r="AA128" s="216"/>
      <c r="AB128" s="216"/>
      <c r="AC128" s="216"/>
      <c r="AD128" s="216"/>
      <c r="AE128" s="216"/>
      <c r="AF128" s="216"/>
      <c r="AG128" s="216"/>
      <c r="AH128" s="216"/>
      <c r="AI128" s="216"/>
      <c r="AJ128" s="216"/>
      <c r="AK128" s="216"/>
      <c r="AL128" s="216"/>
      <c r="AT128" s="186"/>
      <c r="AU128" s="186"/>
      <c r="AV128" s="186"/>
      <c r="AZ128" s="186"/>
      <c r="BA128" s="186"/>
    </row>
    <row r="129" spans="1:77" x14ac:dyDescent="0.2">
      <c r="B129" s="519" t="s">
        <v>154</v>
      </c>
      <c r="C129" s="520"/>
      <c r="D129" s="521"/>
      <c r="E129" s="522" t="s">
        <v>154</v>
      </c>
      <c r="F129" s="520"/>
      <c r="G129" s="521"/>
      <c r="H129" s="522" t="s">
        <v>14</v>
      </c>
      <c r="I129" s="520"/>
      <c r="J129" s="523"/>
      <c r="K129" s="524" t="s">
        <v>155</v>
      </c>
      <c r="L129" s="525"/>
      <c r="M129" s="525"/>
      <c r="N129" s="525"/>
      <c r="O129" s="525"/>
      <c r="P129" s="525"/>
      <c r="Q129" s="526"/>
      <c r="R129" s="216"/>
      <c r="S129" s="216"/>
      <c r="T129" s="216"/>
      <c r="U129" s="216"/>
      <c r="V129" s="216"/>
      <c r="W129" s="237"/>
      <c r="X129" s="218"/>
      <c r="Y129" s="218"/>
      <c r="Z129" s="237"/>
      <c r="AA129" s="218"/>
      <c r="AB129" s="218"/>
      <c r="AC129" s="237"/>
      <c r="AD129" s="218"/>
      <c r="AE129" s="218"/>
      <c r="AF129" s="218"/>
      <c r="AG129" s="218"/>
      <c r="AH129" s="216"/>
      <c r="AI129" s="216"/>
      <c r="AJ129" s="216"/>
      <c r="AZ129" s="186"/>
      <c r="BA129" s="186"/>
    </row>
    <row r="130" spans="1:77" x14ac:dyDescent="0.2">
      <c r="A130" s="173" t="s">
        <v>156</v>
      </c>
      <c r="B130" s="541">
        <v>3</v>
      </c>
      <c r="C130" s="542"/>
      <c r="D130" s="543"/>
      <c r="E130" s="544" t="s">
        <v>157</v>
      </c>
      <c r="F130" s="542"/>
      <c r="G130" s="543"/>
      <c r="H130" s="544" t="s">
        <v>158</v>
      </c>
      <c r="I130" s="542"/>
      <c r="J130" s="545"/>
      <c r="K130" s="527"/>
      <c r="L130" s="528"/>
      <c r="M130" s="528"/>
      <c r="N130" s="528"/>
      <c r="O130" s="528"/>
      <c r="P130" s="528"/>
      <c r="Q130" s="529"/>
      <c r="R130" s="216"/>
      <c r="S130" s="216"/>
      <c r="T130" s="238"/>
      <c r="U130" s="238"/>
      <c r="V130" s="238"/>
      <c r="W130" s="239"/>
      <c r="X130" s="239"/>
      <c r="Y130" s="239"/>
      <c r="Z130" s="239"/>
      <c r="AA130" s="239"/>
      <c r="AB130" s="239"/>
      <c r="AC130" s="239"/>
      <c r="AD130" s="239"/>
      <c r="AE130" s="239"/>
      <c r="AF130" s="216"/>
      <c r="AG130" s="216"/>
      <c r="AH130" s="216"/>
      <c r="AI130" s="216"/>
      <c r="AJ130" s="216"/>
      <c r="AZ130" s="186"/>
      <c r="BA130" s="186"/>
    </row>
    <row r="131" spans="1:77" ht="13.5" thickBot="1" x14ac:dyDescent="0.25">
      <c r="A131" s="138"/>
      <c r="B131" s="548" t="s">
        <v>68</v>
      </c>
      <c r="C131" s="446"/>
      <c r="D131" s="447"/>
      <c r="E131" s="445" t="s">
        <v>159</v>
      </c>
      <c r="F131" s="446"/>
      <c r="G131" s="447"/>
      <c r="H131" s="445" t="s">
        <v>160</v>
      </c>
      <c r="I131" s="446"/>
      <c r="J131" s="549"/>
      <c r="K131" s="530"/>
      <c r="L131" s="531"/>
      <c r="M131" s="531"/>
      <c r="N131" s="531"/>
      <c r="O131" s="531"/>
      <c r="P131" s="531"/>
      <c r="Q131" s="532"/>
      <c r="R131" s="216"/>
      <c r="S131" s="216"/>
      <c r="T131" s="217"/>
      <c r="U131" s="217"/>
      <c r="V131" s="217"/>
      <c r="W131" s="240"/>
      <c r="X131" s="240"/>
      <c r="Y131" s="240"/>
      <c r="Z131" s="240"/>
      <c r="AA131" s="240"/>
      <c r="AB131" s="240"/>
      <c r="AC131" s="240"/>
      <c r="AD131" s="240"/>
      <c r="AE131" s="240"/>
      <c r="AF131" s="216"/>
      <c r="AG131" s="216"/>
      <c r="AH131" s="216"/>
      <c r="AI131" s="216"/>
      <c r="AJ131" s="216"/>
      <c r="AZ131" s="186"/>
      <c r="BA131" s="186"/>
    </row>
    <row r="132" spans="1:77" ht="13.5" thickBot="1" x14ac:dyDescent="0.25">
      <c r="A132" s="138"/>
      <c r="B132" s="241">
        <v>1</v>
      </c>
      <c r="C132" s="242" t="s">
        <v>76</v>
      </c>
      <c r="D132" s="243">
        <v>4</v>
      </c>
      <c r="E132" s="244">
        <v>2</v>
      </c>
      <c r="F132" s="242" t="s">
        <v>76</v>
      </c>
      <c r="G132" s="243">
        <v>3</v>
      </c>
      <c r="H132" s="245">
        <f>IF(OR(AND(OR(B136&gt;0,D136&gt;0),B136&gt;D136),OR(D132="b",D132="B")),B132,IF(OR(AND(OR(B136&gt;0,D136&gt;0),D136&gt;B136),OR(B132="b",B132="B")),D132,"W1"))</f>
        <v>1</v>
      </c>
      <c r="I132" s="246" t="s">
        <v>76</v>
      </c>
      <c r="J132" s="247">
        <f>IF(OR(AND(OR(E136&gt;0,G136&gt;0),E136&gt;G136),OR(G132="b",G132="B")),E132,IF(OR(AND(OR(E136&gt;0,G136&gt;0),G136&gt;E136),OR(E132="b",E132="B")),G132,"W2"))</f>
        <v>2</v>
      </c>
      <c r="K132" s="552" t="s">
        <v>161</v>
      </c>
      <c r="L132" s="553"/>
      <c r="M132" s="553"/>
      <c r="N132" s="554"/>
      <c r="R132" s="216"/>
      <c r="S132" s="216"/>
      <c r="T132" s="217"/>
      <c r="U132" s="217"/>
      <c r="V132" s="217"/>
      <c r="W132" s="248"/>
      <c r="X132" s="249"/>
      <c r="Y132" s="250"/>
      <c r="Z132" s="251"/>
      <c r="AA132" s="249"/>
      <c r="AB132" s="250"/>
      <c r="AC132" s="252"/>
      <c r="AD132" s="253"/>
      <c r="AE132" s="254"/>
      <c r="AF132" s="240"/>
      <c r="AG132" s="240"/>
      <c r="AH132" s="216"/>
      <c r="AI132" s="216"/>
      <c r="AJ132" s="216"/>
      <c r="AZ132" s="186"/>
      <c r="BA132" s="186"/>
    </row>
    <row r="133" spans="1:77" ht="13.5" hidden="1" customHeight="1" x14ac:dyDescent="0.2">
      <c r="A133" s="138"/>
      <c r="B133" s="255">
        <f>IF(B137&gt;D137,1,0)</f>
        <v>1</v>
      </c>
      <c r="C133" s="256"/>
      <c r="D133" s="257">
        <f>IF(D137&gt;B137,1,0)</f>
        <v>0</v>
      </c>
      <c r="E133" s="255">
        <f>IF(E137&gt;G137,1,0)</f>
        <v>0</v>
      </c>
      <c r="F133" s="256"/>
      <c r="G133" s="257">
        <f>IF(G137&gt;E137,1,0)</f>
        <v>1</v>
      </c>
      <c r="H133" s="255">
        <f>IF(H137&gt;J137,1,0)</f>
        <v>1</v>
      </c>
      <c r="I133" s="256"/>
      <c r="J133" s="257">
        <f>IF(J137&gt;H137,1,0)</f>
        <v>0</v>
      </c>
      <c r="K133" s="258"/>
      <c r="L133" s="259"/>
      <c r="M133" s="259"/>
      <c r="N133" s="260"/>
      <c r="R133" s="216"/>
      <c r="S133" s="216"/>
      <c r="T133" s="217"/>
      <c r="U133" s="217"/>
      <c r="V133" s="217"/>
      <c r="W133" s="248"/>
      <c r="X133" s="249"/>
      <c r="Y133" s="250"/>
      <c r="Z133" s="248"/>
      <c r="AA133" s="249"/>
      <c r="AB133" s="250"/>
      <c r="AC133" s="248"/>
      <c r="AD133" s="249"/>
      <c r="AE133" s="250"/>
      <c r="AF133" s="249"/>
      <c r="AG133" s="249"/>
      <c r="AH133" s="216"/>
      <c r="AI133" s="216"/>
      <c r="AJ133" s="216"/>
      <c r="AZ133" s="186"/>
      <c r="BA133" s="186"/>
    </row>
    <row r="134" spans="1:77" ht="13.5" hidden="1" customHeight="1" x14ac:dyDescent="0.2">
      <c r="A134" s="138"/>
      <c r="B134" s="255">
        <f>IF(B138&gt;D138,1,0)</f>
        <v>0</v>
      </c>
      <c r="C134" s="256"/>
      <c r="D134" s="257">
        <f>IF(D138&gt;B138,1,0)</f>
        <v>1</v>
      </c>
      <c r="E134" s="255">
        <f>IF(E138&gt;G138,1,0)</f>
        <v>1</v>
      </c>
      <c r="F134" s="256"/>
      <c r="G134" s="257">
        <f>IF(G138&gt;E138,1,0)</f>
        <v>0</v>
      </c>
      <c r="H134" s="255">
        <f>IF(H138&gt;J138,1,0)</f>
        <v>0</v>
      </c>
      <c r="I134" s="256"/>
      <c r="J134" s="257">
        <f>IF(J138&gt;H138,1,0)</f>
        <v>1</v>
      </c>
      <c r="K134" s="258"/>
      <c r="L134" s="259"/>
      <c r="M134" s="259"/>
      <c r="N134" s="260"/>
      <c r="R134" s="216"/>
      <c r="S134" s="216"/>
      <c r="T134" s="217"/>
      <c r="U134" s="217"/>
      <c r="V134" s="217"/>
      <c r="W134" s="248"/>
      <c r="X134" s="249"/>
      <c r="Y134" s="250"/>
      <c r="Z134" s="248"/>
      <c r="AA134" s="249"/>
      <c r="AB134" s="250"/>
      <c r="AC134" s="248"/>
      <c r="AD134" s="249"/>
      <c r="AE134" s="250"/>
      <c r="AF134" s="249"/>
      <c r="AG134" s="249"/>
      <c r="AH134" s="216"/>
      <c r="AI134" s="216"/>
      <c r="AJ134" s="216"/>
      <c r="AZ134" s="186"/>
      <c r="BA134" s="186"/>
    </row>
    <row r="135" spans="1:77" ht="13.5" hidden="1" customHeight="1" thickBot="1" x14ac:dyDescent="0.25">
      <c r="A135" s="138"/>
      <c r="B135" s="255">
        <f>IF(B139&gt;D139,1,0)</f>
        <v>1</v>
      </c>
      <c r="C135" s="256"/>
      <c r="D135" s="257">
        <f>IF(D139&gt;B139,1,0)</f>
        <v>0</v>
      </c>
      <c r="E135" s="255">
        <f>IF(E139&gt;G139,1,0)</f>
        <v>1</v>
      </c>
      <c r="F135" s="256"/>
      <c r="G135" s="257">
        <f>IF(G139&gt;E139,1,0)</f>
        <v>0</v>
      </c>
      <c r="H135" s="255">
        <f>IF(H139&gt;J139,1,0)</f>
        <v>0</v>
      </c>
      <c r="I135" s="256"/>
      <c r="J135" s="257">
        <f>IF(J139&gt;H139,1,0)</f>
        <v>1</v>
      </c>
      <c r="K135" s="258"/>
      <c r="L135" s="259"/>
      <c r="M135" s="259"/>
      <c r="N135" s="260"/>
      <c r="R135" s="216"/>
      <c r="S135" s="216"/>
      <c r="T135" s="217"/>
      <c r="U135" s="217"/>
      <c r="V135" s="217"/>
      <c r="W135" s="248"/>
      <c r="X135" s="249"/>
      <c r="Y135" s="250"/>
      <c r="Z135" s="248"/>
      <c r="AA135" s="249"/>
      <c r="AB135" s="250"/>
      <c r="AC135" s="248"/>
      <c r="AD135" s="249"/>
      <c r="AE135" s="250"/>
      <c r="AF135" s="249"/>
      <c r="AG135" s="249"/>
      <c r="AH135" s="216"/>
      <c r="AI135" s="216"/>
      <c r="AJ135" s="216"/>
      <c r="AZ135" s="186"/>
      <c r="BA135" s="186"/>
    </row>
    <row r="136" spans="1:77" ht="13.5" hidden="1" customHeight="1" x14ac:dyDescent="0.2">
      <c r="A136" s="138"/>
      <c r="B136" s="255">
        <f>SUM(B133:B135)</f>
        <v>2</v>
      </c>
      <c r="C136" s="256"/>
      <c r="D136" s="255">
        <f>SUM(D133:D135)</f>
        <v>1</v>
      </c>
      <c r="E136" s="255">
        <f>SUM(E133:E135)</f>
        <v>2</v>
      </c>
      <c r="F136" s="256"/>
      <c r="G136" s="255">
        <f>SUM(G133:G135)</f>
        <v>1</v>
      </c>
      <c r="H136" s="255">
        <f>SUM(H133:H135)</f>
        <v>1</v>
      </c>
      <c r="I136" s="256"/>
      <c r="J136" s="255">
        <f>SUM(J133:J135)</f>
        <v>2</v>
      </c>
      <c r="K136" s="258"/>
      <c r="L136" s="259"/>
      <c r="M136" s="259"/>
      <c r="N136" s="260"/>
      <c r="R136" s="216"/>
      <c r="S136" s="216"/>
      <c r="T136" s="217"/>
      <c r="U136" s="217"/>
      <c r="V136" s="217"/>
      <c r="W136" s="248"/>
      <c r="X136" s="249"/>
      <c r="Y136" s="248"/>
      <c r="Z136" s="248"/>
      <c r="AA136" s="249"/>
      <c r="AB136" s="248"/>
      <c r="AC136" s="248"/>
      <c r="AD136" s="249"/>
      <c r="AE136" s="248"/>
      <c r="AF136" s="249"/>
      <c r="AG136" s="249"/>
      <c r="AH136" s="216"/>
      <c r="AI136" s="216"/>
      <c r="AJ136" s="216"/>
      <c r="AZ136" s="186"/>
      <c r="BA136" s="186"/>
    </row>
    <row r="137" spans="1:77" ht="12.75" customHeight="1" x14ac:dyDescent="0.2">
      <c r="A137" s="136" t="s">
        <v>77</v>
      </c>
      <c r="B137" s="261">
        <v>25</v>
      </c>
      <c r="C137" s="182" t="s">
        <v>78</v>
      </c>
      <c r="D137" s="262">
        <v>23</v>
      </c>
      <c r="E137" s="263">
        <v>23</v>
      </c>
      <c r="F137" s="182" t="s">
        <v>78</v>
      </c>
      <c r="G137" s="262">
        <v>25</v>
      </c>
      <c r="H137" s="263">
        <v>25</v>
      </c>
      <c r="I137" s="182" t="s">
        <v>78</v>
      </c>
      <c r="J137" s="264">
        <v>16</v>
      </c>
      <c r="K137" s="557">
        <f>IF(AND(OR(H136&gt;0,J136&gt;0),AND(1&lt;=H132,H132&lt;=4),AND(1&lt;=J132,J132&lt;=4)),IF(H136&gt;J136,H132,IF(J136&gt;H136,J132,"")),"")</f>
        <v>2</v>
      </c>
      <c r="L137" s="558"/>
      <c r="M137" s="558"/>
      <c r="N137" s="559"/>
      <c r="R137" s="216"/>
      <c r="S137" s="216"/>
      <c r="T137" s="217"/>
      <c r="U137" s="217"/>
      <c r="V137" s="265"/>
      <c r="W137" s="266"/>
      <c r="X137" s="221"/>
      <c r="Y137" s="267"/>
      <c r="Z137" s="266"/>
      <c r="AA137" s="221"/>
      <c r="AB137" s="267"/>
      <c r="AC137" s="266"/>
      <c r="AD137" s="221"/>
      <c r="AE137" s="267"/>
      <c r="AF137" s="268"/>
      <c r="AG137" s="268"/>
      <c r="AH137" s="216"/>
      <c r="AI137" s="216"/>
      <c r="AJ137" s="216"/>
      <c r="AZ137" s="186"/>
      <c r="BA137" s="186"/>
    </row>
    <row r="138" spans="1:77" ht="12.75" customHeight="1" x14ac:dyDescent="0.2">
      <c r="A138" s="136" t="s">
        <v>162</v>
      </c>
      <c r="B138" s="261">
        <v>26</v>
      </c>
      <c r="C138" s="182" t="s">
        <v>78</v>
      </c>
      <c r="D138" s="262">
        <v>28</v>
      </c>
      <c r="E138" s="263">
        <v>25</v>
      </c>
      <c r="F138" s="182" t="s">
        <v>78</v>
      </c>
      <c r="G138" s="262">
        <v>20</v>
      </c>
      <c r="H138" s="263">
        <v>23</v>
      </c>
      <c r="I138" s="182" t="s">
        <v>78</v>
      </c>
      <c r="J138" s="264">
        <v>25</v>
      </c>
      <c r="K138" s="560"/>
      <c r="L138" s="561"/>
      <c r="M138" s="561"/>
      <c r="N138" s="562"/>
      <c r="R138" s="216"/>
      <c r="S138" s="216"/>
      <c r="T138" s="217"/>
      <c r="U138" s="217"/>
      <c r="V138" s="265"/>
      <c r="W138" s="266"/>
      <c r="X138" s="221"/>
      <c r="Y138" s="267"/>
      <c r="Z138" s="266"/>
      <c r="AA138" s="221"/>
      <c r="AB138" s="267"/>
      <c r="AC138" s="266"/>
      <c r="AD138" s="221"/>
      <c r="AE138" s="267"/>
      <c r="AF138" s="268"/>
      <c r="AG138" s="268"/>
      <c r="AH138" s="216"/>
      <c r="AI138" s="216"/>
      <c r="AJ138" s="216"/>
      <c r="AZ138" s="186"/>
      <c r="BA138" s="186"/>
    </row>
    <row r="139" spans="1:77" ht="13.5" customHeight="1" thickBot="1" x14ac:dyDescent="0.25">
      <c r="A139" s="136" t="s">
        <v>163</v>
      </c>
      <c r="B139" s="269">
        <v>15</v>
      </c>
      <c r="C139" s="270" t="s">
        <v>78</v>
      </c>
      <c r="D139" s="271">
        <v>9</v>
      </c>
      <c r="E139" s="272">
        <v>15</v>
      </c>
      <c r="F139" s="270" t="s">
        <v>78</v>
      </c>
      <c r="G139" s="271">
        <v>5</v>
      </c>
      <c r="H139" s="272">
        <v>13</v>
      </c>
      <c r="I139" s="270" t="s">
        <v>78</v>
      </c>
      <c r="J139" s="273">
        <v>15</v>
      </c>
      <c r="K139" s="563"/>
      <c r="L139" s="564"/>
      <c r="M139" s="564"/>
      <c r="N139" s="565"/>
      <c r="R139" s="216"/>
      <c r="S139" s="216"/>
      <c r="T139" s="217"/>
      <c r="U139" s="217"/>
      <c r="V139" s="265"/>
      <c r="W139" s="266"/>
      <c r="X139" s="221"/>
      <c r="Y139" s="267"/>
      <c r="Z139" s="266"/>
      <c r="AA139" s="221"/>
      <c r="AB139" s="267"/>
      <c r="AC139" s="266"/>
      <c r="AD139" s="221"/>
      <c r="AE139" s="267"/>
      <c r="AF139" s="268"/>
      <c r="AG139" s="268"/>
      <c r="AH139" s="216"/>
      <c r="AI139" s="216"/>
      <c r="AJ139" s="216"/>
      <c r="AZ139" s="186"/>
      <c r="BA139" s="186"/>
    </row>
    <row r="140" spans="1:77" hidden="1" x14ac:dyDescent="0.2">
      <c r="B140" s="133"/>
      <c r="C140" s="221" t="s">
        <v>112</v>
      </c>
      <c r="D140" s="133" t="s">
        <v>164</v>
      </c>
      <c r="E140" s="133"/>
      <c r="F140" s="221"/>
      <c r="G140" s="134" t="s">
        <v>165</v>
      </c>
      <c r="J140" s="134" t="s">
        <v>166</v>
      </c>
      <c r="T140" s="266"/>
      <c r="U140" s="266"/>
      <c r="V140" s="266"/>
      <c r="W140" s="266"/>
      <c r="X140" s="266"/>
      <c r="Y140" s="266"/>
      <c r="Z140" s="266"/>
      <c r="AA140" s="266"/>
      <c r="AB140" s="266"/>
      <c r="AC140" s="266"/>
      <c r="AD140" s="266"/>
      <c r="AE140" s="266"/>
      <c r="AT140" s="134" t="str">
        <f>B141</f>
        <v>KVC 17</v>
      </c>
      <c r="AU140" s="134">
        <f>J141</f>
        <v>2729.9711784317674</v>
      </c>
      <c r="AW140" s="274"/>
      <c r="AX140" s="186"/>
      <c r="AY140" s="186"/>
      <c r="AZ140" s="186"/>
      <c r="BA140" s="186"/>
      <c r="BB140" s="274"/>
      <c r="BC140" s="186"/>
      <c r="BD140" s="186"/>
      <c r="BE140" s="274"/>
      <c r="BF140" s="186"/>
      <c r="BG140" s="186"/>
      <c r="BH140" s="274"/>
      <c r="BI140" s="186"/>
      <c r="BJ140" s="186"/>
      <c r="BK140" s="274"/>
      <c r="BL140" s="186"/>
      <c r="BM140" s="186"/>
      <c r="BN140" s="274"/>
      <c r="BO140" s="186"/>
      <c r="BP140" s="186"/>
      <c r="BQ140" s="274"/>
      <c r="BR140" s="186"/>
      <c r="BS140" s="186"/>
      <c r="BT140" s="274"/>
      <c r="BU140" s="186"/>
      <c r="BV140" s="186"/>
      <c r="BW140" s="274"/>
      <c r="BX140" s="186"/>
      <c r="BY140" s="186"/>
    </row>
    <row r="141" spans="1:77" hidden="1" x14ac:dyDescent="0.2">
      <c r="A141" s="134">
        <v>1</v>
      </c>
      <c r="B141" s="134" t="str">
        <f>B124</f>
        <v>KVC 17</v>
      </c>
      <c r="C141" s="134">
        <f>VLOOKUP(B141,AU$2:AY$7,4,FALSE)</f>
        <v>2746.3357508323948</v>
      </c>
      <c r="D141" s="134">
        <f>IF(A141=B132,B147,IF(A141=D132,D147,C141))</f>
        <v>2743.1797267866723</v>
      </c>
      <c r="G141" s="134">
        <f>IF(A141=E132,E147,IF(A141=G132,G147,D141))</f>
        <v>2743.1797267866723</v>
      </c>
      <c r="J141" s="134">
        <f>IF(A141=H132,H147,IF(A141=J132,J147,G141))</f>
        <v>2729.9711784317674</v>
      </c>
      <c r="T141" s="266"/>
      <c r="U141" s="266"/>
      <c r="V141" s="266"/>
      <c r="W141" s="266"/>
      <c r="X141" s="266"/>
      <c r="Y141" s="266"/>
      <c r="Z141" s="266"/>
      <c r="AA141" s="266"/>
      <c r="AB141" s="266"/>
      <c r="AC141" s="266"/>
      <c r="AD141" s="266"/>
      <c r="AE141" s="266"/>
      <c r="AT141" s="134" t="str">
        <f>B142</f>
        <v>SVBC Blazers 18</v>
      </c>
      <c r="AU141" s="134">
        <f>J142</f>
        <v>2679.7684181029094</v>
      </c>
      <c r="AW141" s="274"/>
      <c r="AX141" s="186"/>
      <c r="AY141" s="186"/>
      <c r="AZ141" s="186"/>
      <c r="BA141" s="186"/>
      <c r="BB141" s="274"/>
      <c r="BC141" s="186"/>
      <c r="BD141" s="186"/>
      <c r="BE141" s="274"/>
      <c r="BF141" s="186"/>
      <c r="BG141" s="186"/>
      <c r="BH141" s="274"/>
      <c r="BI141" s="186"/>
      <c r="BJ141" s="186"/>
      <c r="BK141" s="274"/>
      <c r="BL141" s="186"/>
      <c r="BM141" s="186"/>
      <c r="BN141" s="274"/>
      <c r="BO141" s="186"/>
      <c r="BP141" s="186"/>
      <c r="BQ141" s="274"/>
      <c r="BR141" s="186"/>
      <c r="BS141" s="186"/>
      <c r="BT141" s="274"/>
      <c r="BU141" s="186"/>
      <c r="BV141" s="186"/>
      <c r="BW141" s="274"/>
      <c r="BX141" s="186"/>
      <c r="BY141" s="186"/>
    </row>
    <row r="142" spans="1:77" hidden="1" x14ac:dyDescent="0.2">
      <c r="A142" s="134">
        <v>2</v>
      </c>
      <c r="B142" s="134" t="str">
        <f>B125</f>
        <v>SVBC Blazers 18</v>
      </c>
      <c r="C142" s="134">
        <f>VLOOKUP(B142,AU$2:AY$7,4,FALSE)</f>
        <v>2664.0563656298405</v>
      </c>
      <c r="D142" s="134">
        <f>IF(A142=B132,B147,IF(A142=D132,D147,C142))</f>
        <v>2664.0563656298405</v>
      </c>
      <c r="G142" s="134">
        <f>IF(A142=E132,E147,IF(A142=G132,G147,D142))</f>
        <v>2666.5598697480045</v>
      </c>
      <c r="J142" s="134">
        <f>IF(A142=H132,H147,IF(A142=J132,J147,G142))</f>
        <v>2679.7684181029094</v>
      </c>
      <c r="T142" s="266"/>
      <c r="U142" s="266"/>
      <c r="V142" s="266"/>
      <c r="W142" s="266"/>
      <c r="X142" s="266"/>
      <c r="Y142" s="266"/>
      <c r="Z142" s="266"/>
      <c r="AA142" s="266"/>
      <c r="AB142" s="266"/>
      <c r="AC142" s="266"/>
      <c r="AD142" s="266"/>
      <c r="AE142" s="266"/>
      <c r="AT142" s="134" t="str">
        <f>B143</f>
        <v>Sumter VBC 18</v>
      </c>
      <c r="AU142" s="134">
        <f>J143</f>
        <v>2580.5462836263409</v>
      </c>
      <c r="AW142" s="274"/>
      <c r="AX142" s="186"/>
      <c r="AY142" s="186"/>
      <c r="AZ142" s="186"/>
      <c r="BA142" s="186"/>
      <c r="BB142" s="274"/>
      <c r="BC142" s="186"/>
      <c r="BD142" s="186"/>
      <c r="BE142" s="274"/>
      <c r="BF142" s="186"/>
      <c r="BG142" s="186"/>
      <c r="BH142" s="274"/>
      <c r="BI142" s="186"/>
      <c r="BJ142" s="186"/>
      <c r="BK142" s="274"/>
      <c r="BL142" s="186"/>
      <c r="BM142" s="186"/>
      <c r="BN142" s="274"/>
      <c r="BO142" s="186"/>
      <c r="BP142" s="186"/>
      <c r="BQ142" s="274"/>
      <c r="BR142" s="186"/>
      <c r="BS142" s="186"/>
      <c r="BT142" s="274"/>
      <c r="BU142" s="186"/>
      <c r="BV142" s="186"/>
      <c r="BW142" s="274"/>
      <c r="BX142" s="186"/>
      <c r="BY142" s="186"/>
    </row>
    <row r="143" spans="1:77" hidden="1" x14ac:dyDescent="0.2">
      <c r="A143" s="134">
        <v>3</v>
      </c>
      <c r="B143" s="134" t="str">
        <f>B126</f>
        <v>Sumter VBC 18</v>
      </c>
      <c r="C143" s="134">
        <f>VLOOKUP(B143,AU$2:AY$7,4,FALSE)</f>
        <v>2583.049787744505</v>
      </c>
      <c r="D143" s="134">
        <f>IF(A143=B132,B147,IF(A143=D132,D147,C143))</f>
        <v>2583.049787744505</v>
      </c>
      <c r="G143" s="134">
        <f>IF(A143=E132,E147,IF(A143=G132,G147,D143))</f>
        <v>2580.5462836263409</v>
      </c>
      <c r="J143" s="134">
        <f>IF(A143=H132,H147,IF(A143=J132,J147,G143))</f>
        <v>2580.5462836263409</v>
      </c>
      <c r="T143" s="266"/>
      <c r="U143" s="266"/>
      <c r="V143" s="266"/>
      <c r="W143" s="266"/>
      <c r="X143" s="266"/>
      <c r="Y143" s="266"/>
      <c r="Z143" s="266"/>
      <c r="AA143" s="266"/>
      <c r="AB143" s="266"/>
      <c r="AC143" s="266"/>
      <c r="AD143" s="266"/>
      <c r="AE143" s="266"/>
      <c r="AT143" s="134" t="str">
        <f>B144</f>
        <v>Branchville Juniors 18U</v>
      </c>
      <c r="AU143" s="134">
        <f>J144</f>
        <v>2574.5716672740141</v>
      </c>
      <c r="AW143" s="274"/>
      <c r="AX143" s="186"/>
      <c r="AY143" s="186"/>
      <c r="AZ143" s="186"/>
      <c r="BA143" s="186"/>
      <c r="BB143" s="274"/>
      <c r="BC143" s="186"/>
      <c r="BD143" s="186"/>
      <c r="BE143" s="274"/>
      <c r="BF143" s="186"/>
      <c r="BG143" s="186"/>
      <c r="BH143" s="274"/>
      <c r="BI143" s="186"/>
      <c r="BJ143" s="186"/>
      <c r="BK143" s="274"/>
      <c r="BL143" s="186"/>
      <c r="BM143" s="186"/>
      <c r="BN143" s="274"/>
      <c r="BO143" s="186"/>
      <c r="BP143" s="186"/>
      <c r="BQ143" s="274"/>
      <c r="BR143" s="186"/>
      <c r="BS143" s="186"/>
      <c r="BT143" s="274"/>
      <c r="BU143" s="186"/>
      <c r="BV143" s="186"/>
      <c r="BW143" s="274"/>
      <c r="BX143" s="186"/>
      <c r="BY143" s="186"/>
    </row>
    <row r="144" spans="1:77" hidden="1" x14ac:dyDescent="0.2">
      <c r="A144" s="134">
        <v>4</v>
      </c>
      <c r="B144" s="134" t="str">
        <f>B127</f>
        <v>Branchville Juniors 18U</v>
      </c>
      <c r="C144" s="134">
        <f>VLOOKUP(B144,AU$2:AY$7,4,FALSE)</f>
        <v>2571.4156432282916</v>
      </c>
      <c r="D144" s="134">
        <f>IF(A144=B132,B147,IF(A144=D132,D147,C144))</f>
        <v>2574.5716672740141</v>
      </c>
      <c r="G144" s="134">
        <f>IF(A144=E132,E147,IF(A144=G132,G147,D144))</f>
        <v>2574.5716672740141</v>
      </c>
      <c r="J144" s="134">
        <f>IF(A144=H132,H147,IF(A144=J132,J147,G144))</f>
        <v>2574.5716672740141</v>
      </c>
      <c r="T144" s="266"/>
      <c r="U144" s="266"/>
      <c r="V144" s="266"/>
      <c r="W144" s="266"/>
      <c r="X144" s="266"/>
      <c r="Y144" s="266"/>
      <c r="Z144" s="266"/>
      <c r="AA144" s="266"/>
      <c r="AB144" s="266"/>
      <c r="AC144" s="266"/>
      <c r="AD144" s="266"/>
      <c r="AE144" s="266"/>
      <c r="AT144" s="134">
        <f>W141</f>
        <v>0</v>
      </c>
      <c r="AU144" s="134">
        <f>AE141</f>
        <v>0</v>
      </c>
      <c r="AW144" s="274"/>
      <c r="AX144" s="186"/>
      <c r="AY144" s="186"/>
      <c r="AZ144" s="186"/>
      <c r="BA144" s="186"/>
      <c r="BB144" s="274"/>
      <c r="BC144" s="186"/>
      <c r="BD144" s="186"/>
      <c r="BE144" s="274"/>
      <c r="BF144" s="186"/>
      <c r="BG144" s="186"/>
      <c r="BH144" s="274"/>
      <c r="BI144" s="186"/>
      <c r="BJ144" s="186"/>
      <c r="BK144" s="274"/>
      <c r="BL144" s="186"/>
      <c r="BM144" s="186"/>
      <c r="BN144" s="274"/>
      <c r="BO144" s="186"/>
      <c r="BP144" s="186"/>
      <c r="BQ144" s="274"/>
      <c r="BR144" s="186"/>
      <c r="BS144" s="186"/>
      <c r="BT144" s="274"/>
      <c r="BU144" s="186"/>
      <c r="BV144" s="186"/>
      <c r="BW144" s="274"/>
      <c r="BX144" s="186"/>
      <c r="BY144" s="186"/>
    </row>
    <row r="145" spans="1:77" hidden="1" x14ac:dyDescent="0.2">
      <c r="A145" s="134" t="s">
        <v>114</v>
      </c>
      <c r="B145" s="134">
        <f>VLOOKUP(B132,$A141:$J144,3,FALSE)</f>
        <v>2746.3357508323948</v>
      </c>
      <c r="D145" s="134">
        <f>VLOOKUP(D132,$A141:$J144,3,FALSE)</f>
        <v>2571.4156432282916</v>
      </c>
      <c r="E145" s="134">
        <f>VLOOKUP(E132,$A141:$J144,4,FALSE)</f>
        <v>2664.0563656298405</v>
      </c>
      <c r="G145" s="134">
        <f>VLOOKUP(G132,$A141:$J144,4,FALSE)</f>
        <v>2583.049787744505</v>
      </c>
      <c r="H145" s="134">
        <f>VLOOKUP(H132,$A141:$J144,7,FALSE)</f>
        <v>2743.1797267866723</v>
      </c>
      <c r="J145" s="134">
        <f>VLOOKUP(J132,$A141:$J144,7,FALSE)</f>
        <v>2666.5598697480045</v>
      </c>
      <c r="T145" s="266"/>
      <c r="U145" s="266"/>
      <c r="V145" s="266"/>
      <c r="W145" s="266"/>
      <c r="X145" s="266"/>
      <c r="Y145" s="266"/>
      <c r="Z145" s="266"/>
      <c r="AA145" s="266"/>
      <c r="AB145" s="266"/>
      <c r="AC145" s="266"/>
      <c r="AD145" s="266"/>
      <c r="AE145" s="266"/>
      <c r="AT145" s="134">
        <f>W142</f>
        <v>0</v>
      </c>
      <c r="AU145" s="134">
        <f>AE142</f>
        <v>0</v>
      </c>
      <c r="AW145" s="274"/>
      <c r="AX145" s="186"/>
      <c r="AY145" s="186"/>
      <c r="AZ145" s="186"/>
      <c r="BA145" s="186"/>
      <c r="BB145" s="274"/>
      <c r="BC145" s="186"/>
      <c r="BD145" s="186"/>
      <c r="BE145" s="274"/>
      <c r="BF145" s="186"/>
      <c r="BG145" s="186"/>
      <c r="BH145" s="274"/>
      <c r="BI145" s="186"/>
      <c r="BJ145" s="186"/>
      <c r="BK145" s="274"/>
      <c r="BL145" s="186"/>
      <c r="BM145" s="186"/>
      <c r="BN145" s="274"/>
      <c r="BO145" s="186"/>
      <c r="BP145" s="186"/>
      <c r="BQ145" s="274"/>
      <c r="BR145" s="186"/>
      <c r="BS145" s="186"/>
      <c r="BT145" s="274"/>
      <c r="BU145" s="186"/>
      <c r="BV145" s="186"/>
      <c r="BW145" s="274"/>
      <c r="BX145" s="186"/>
      <c r="BY145" s="186"/>
    </row>
    <row r="146" spans="1:77" hidden="1" x14ac:dyDescent="0.2">
      <c r="A146" s="200" t="s">
        <v>115</v>
      </c>
      <c r="B146" s="200">
        <f>IF(OR(B136&gt;0,D136&gt;0),1/(1+(10^-((B145-D145)/400)))*(B136+D136),0)</f>
        <v>2.1972515028576409</v>
      </c>
      <c r="C146" s="200"/>
      <c r="D146" s="200">
        <f>IF(OR(B136&gt;0,D136&gt;0),1/(1+(10^-((D145-B145)/400)))*(B136+D136),0)</f>
        <v>0.80274849714235919</v>
      </c>
      <c r="E146" s="200">
        <f>IF(OR(E136&gt;0,G136&gt;0),1/(1+(10^-((E145-G145)/400)))*(E136+G136),0)</f>
        <v>1.8435309926147543</v>
      </c>
      <c r="F146" s="200"/>
      <c r="G146" s="200">
        <f>IF(OR(E136&gt;0,G136&gt;0),1/(1+(10^-((G145-E145)/400)))*(E136+G136),0)</f>
        <v>1.1564690073852457</v>
      </c>
      <c r="H146" s="200">
        <f>IF(OR(H136&gt;0,J136&gt;0),1/(1+(10^-((H145-J145)/400)))*(H136+J136),0)</f>
        <v>1.8255342721815622</v>
      </c>
      <c r="I146" s="200"/>
      <c r="J146" s="200">
        <f>IF(OR(H136&gt;0,J136&gt;0),1/(1+(10^-((J145-H145)/400)))*(H136+J136),0)</f>
        <v>1.1744657278184381</v>
      </c>
      <c r="T146" s="266"/>
      <c r="U146" s="266"/>
      <c r="V146" s="266"/>
      <c r="W146" s="266"/>
      <c r="X146" s="266"/>
      <c r="Y146" s="266"/>
      <c r="Z146" s="266"/>
      <c r="AA146" s="266"/>
      <c r="AB146" s="266"/>
      <c r="AC146" s="266"/>
      <c r="AD146" s="266"/>
      <c r="AE146" s="266"/>
      <c r="AT146" s="134">
        <f>W143</f>
        <v>0</v>
      </c>
      <c r="AU146" s="134">
        <f>AE143</f>
        <v>0</v>
      </c>
      <c r="AW146" s="274"/>
      <c r="AX146" s="186"/>
      <c r="AY146" s="186"/>
      <c r="AZ146" s="186"/>
      <c r="BA146" s="186"/>
      <c r="BB146" s="274"/>
      <c r="BC146" s="186"/>
      <c r="BD146" s="186"/>
      <c r="BE146" s="274"/>
      <c r="BF146" s="186"/>
      <c r="BG146" s="186"/>
      <c r="BH146" s="274"/>
      <c r="BI146" s="186"/>
      <c r="BJ146" s="186"/>
      <c r="BK146" s="274"/>
      <c r="BL146" s="186"/>
      <c r="BM146" s="186"/>
      <c r="BN146" s="274"/>
      <c r="BO146" s="186"/>
      <c r="BP146" s="186"/>
      <c r="BQ146" s="274"/>
      <c r="BR146" s="186"/>
      <c r="BS146" s="186"/>
      <c r="BT146" s="274"/>
      <c r="BU146" s="186"/>
      <c r="BV146" s="186"/>
      <c r="BW146" s="274"/>
      <c r="BX146" s="186"/>
      <c r="BY146" s="186"/>
    </row>
    <row r="147" spans="1:77" hidden="1" x14ac:dyDescent="0.2">
      <c r="A147" s="206" t="s">
        <v>116</v>
      </c>
      <c r="B147" s="206">
        <f>B145+(B136-B146)*$BA$2</f>
        <v>2743.1797267866723</v>
      </c>
      <c r="C147" s="206"/>
      <c r="D147" s="206">
        <f>D145+(D136-D146)*$BA$2</f>
        <v>2574.5716672740141</v>
      </c>
      <c r="E147" s="206">
        <f>E145+(E136-E146)*$BA$2</f>
        <v>2666.5598697480045</v>
      </c>
      <c r="G147" s="206">
        <f>G145+(G136-G146)*$BA$2</f>
        <v>2580.5462836263409</v>
      </c>
      <c r="H147" s="206">
        <f>H145+(H136-H146)*$BA$2</f>
        <v>2729.9711784317674</v>
      </c>
      <c r="J147" s="206">
        <f>J145+(J136-J146)*$BA$2</f>
        <v>2679.7684181029094</v>
      </c>
      <c r="T147" s="266"/>
      <c r="U147" s="266"/>
      <c r="V147" s="266"/>
      <c r="W147" s="266"/>
      <c r="X147" s="266"/>
      <c r="Y147" s="266"/>
      <c r="Z147" s="266"/>
      <c r="AA147" s="266"/>
      <c r="AB147" s="266"/>
      <c r="AC147" s="266"/>
      <c r="AD147" s="266"/>
      <c r="AE147" s="266"/>
      <c r="AT147" s="134">
        <f>W144</f>
        <v>0</v>
      </c>
      <c r="AU147" s="134">
        <f>AE144</f>
        <v>0</v>
      </c>
      <c r="AW147" s="274"/>
      <c r="AX147" s="186"/>
      <c r="AY147" s="186"/>
      <c r="AZ147" s="186"/>
      <c r="BA147" s="186"/>
      <c r="BB147" s="274"/>
      <c r="BC147" s="186"/>
      <c r="BD147" s="186"/>
      <c r="BE147" s="274"/>
      <c r="BF147" s="186"/>
      <c r="BG147" s="186"/>
      <c r="BH147" s="274"/>
      <c r="BI147" s="186"/>
      <c r="BJ147" s="186"/>
      <c r="BK147" s="274"/>
      <c r="BL147" s="186"/>
      <c r="BM147" s="186"/>
      <c r="BN147" s="274"/>
      <c r="BO147" s="186"/>
      <c r="BP147" s="186"/>
      <c r="BQ147" s="274"/>
      <c r="BR147" s="186"/>
      <c r="BS147" s="186"/>
      <c r="BT147" s="274"/>
      <c r="BU147" s="186"/>
      <c r="BV147" s="186"/>
      <c r="BW147" s="274"/>
      <c r="BX147" s="186"/>
      <c r="BY147" s="186"/>
    </row>
    <row r="148" spans="1:77" x14ac:dyDescent="0.2">
      <c r="A148" s="556" t="s">
        <v>167</v>
      </c>
      <c r="B148" s="556"/>
      <c r="C148" s="556"/>
      <c r="D148" s="556"/>
      <c r="E148" s="556"/>
      <c r="F148" s="556"/>
      <c r="G148" s="556"/>
      <c r="H148" s="556"/>
      <c r="I148" s="556"/>
      <c r="J148" s="556"/>
      <c r="K148" s="556"/>
      <c r="L148" s="556"/>
      <c r="M148" s="556"/>
      <c r="R148" s="216"/>
      <c r="S148" s="216"/>
      <c r="T148" s="217"/>
      <c r="U148" s="217"/>
      <c r="V148" s="217"/>
      <c r="W148" s="217"/>
      <c r="X148" s="217"/>
      <c r="Y148" s="217"/>
      <c r="Z148" s="217"/>
      <c r="AA148" s="217"/>
      <c r="AB148" s="217"/>
      <c r="AC148" s="217"/>
      <c r="AD148" s="217"/>
      <c r="AE148" s="217"/>
      <c r="AF148" s="217"/>
      <c r="AG148" s="217"/>
      <c r="AH148" s="216"/>
      <c r="AI148" s="216"/>
      <c r="AJ148" s="216"/>
      <c r="AZ148" s="186"/>
      <c r="BA148" s="186"/>
    </row>
    <row r="149" spans="1:77" x14ac:dyDescent="0.2">
      <c r="AT149" s="186"/>
      <c r="AU149" s="186"/>
      <c r="AV149" s="186"/>
      <c r="AZ149" s="186"/>
      <c r="BA149" s="186"/>
    </row>
    <row r="150" spans="1:77" x14ac:dyDescent="0.2">
      <c r="AT150" s="186"/>
      <c r="AU150" s="186"/>
      <c r="AV150" s="186"/>
      <c r="AZ150" s="186"/>
      <c r="BA150" s="186"/>
    </row>
    <row r="151" spans="1:77" x14ac:dyDescent="0.2">
      <c r="AT151" s="186"/>
      <c r="AU151" s="186"/>
      <c r="AV151" s="186"/>
      <c r="AZ151" s="186"/>
      <c r="BA151" s="186"/>
    </row>
    <row r="152" spans="1:77" x14ac:dyDescent="0.2">
      <c r="AT152" s="186"/>
      <c r="AU152" s="186"/>
      <c r="AV152" s="186"/>
      <c r="AZ152" s="186"/>
      <c r="BA152" s="186"/>
    </row>
    <row r="153" spans="1:77" x14ac:dyDescent="0.2">
      <c r="AT153" s="186"/>
      <c r="AU153" s="186"/>
      <c r="AV153" s="186"/>
      <c r="AZ153" s="186"/>
      <c r="BA153" s="186"/>
    </row>
    <row r="154" spans="1:77" x14ac:dyDescent="0.2">
      <c r="AT154" s="186"/>
      <c r="AU154" s="186"/>
      <c r="AV154" s="186"/>
      <c r="AZ154" s="186"/>
      <c r="BA154" s="186"/>
    </row>
    <row r="155" spans="1:77" x14ac:dyDescent="0.2">
      <c r="AT155" s="186"/>
      <c r="AU155" s="186"/>
      <c r="AV155" s="186"/>
      <c r="AZ155" s="186"/>
      <c r="BA155" s="186"/>
    </row>
    <row r="156" spans="1:77" x14ac:dyDescent="0.2">
      <c r="AT156" s="186"/>
      <c r="AU156" s="186"/>
      <c r="AV156" s="186"/>
      <c r="AZ156" s="186"/>
      <c r="BA156" s="186"/>
    </row>
    <row r="157" spans="1:77" x14ac:dyDescent="0.2">
      <c r="AT157" s="186"/>
      <c r="AU157" s="186"/>
      <c r="AV157" s="186"/>
      <c r="AZ157" s="186"/>
      <c r="BA157" s="186"/>
    </row>
    <row r="158" spans="1:77" x14ac:dyDescent="0.2">
      <c r="AT158" s="186"/>
      <c r="AU158" s="186"/>
      <c r="AV158" s="186"/>
      <c r="AZ158" s="186"/>
      <c r="BA158" s="186"/>
    </row>
    <row r="159" spans="1:77" x14ac:dyDescent="0.2">
      <c r="AT159" s="186"/>
      <c r="AU159" s="186"/>
      <c r="AV159" s="186"/>
      <c r="AZ159" s="186"/>
      <c r="BA159" s="186"/>
    </row>
    <row r="160" spans="1:77" x14ac:dyDescent="0.2">
      <c r="AT160" s="186"/>
      <c r="AU160" s="186"/>
      <c r="AV160" s="186"/>
      <c r="AZ160" s="186"/>
      <c r="BA160" s="186"/>
    </row>
    <row r="161" spans="46:53" x14ac:dyDescent="0.2">
      <c r="AT161" s="186"/>
      <c r="AU161" s="186"/>
      <c r="AV161" s="186"/>
      <c r="AZ161" s="186"/>
      <c r="BA161" s="186"/>
    </row>
    <row r="162" spans="46:53" x14ac:dyDescent="0.2">
      <c r="AT162" s="186"/>
      <c r="AU162" s="186"/>
      <c r="AV162" s="186"/>
    </row>
    <row r="163" spans="46:53" x14ac:dyDescent="0.2">
      <c r="AT163" s="186"/>
      <c r="AU163" s="186"/>
      <c r="AV163" s="186"/>
      <c r="AZ163" s="193"/>
      <c r="BA163" s="193"/>
    </row>
    <row r="164" spans="46:53" x14ac:dyDescent="0.2">
      <c r="AT164" s="186"/>
      <c r="AU164" s="186"/>
      <c r="AV164" s="186"/>
      <c r="AZ164" s="193"/>
      <c r="BA164" s="193"/>
    </row>
    <row r="165" spans="46:53" x14ac:dyDescent="0.2">
      <c r="AT165" s="186"/>
      <c r="AU165" s="186"/>
      <c r="AV165" s="186"/>
      <c r="AZ165" s="193"/>
      <c r="BA165" s="193"/>
    </row>
    <row r="166" spans="46:53" x14ac:dyDescent="0.2">
      <c r="AT166" s="186"/>
      <c r="AU166" s="186"/>
      <c r="AV166" s="186"/>
      <c r="AZ166" s="193"/>
      <c r="BA166" s="193"/>
    </row>
    <row r="167" spans="46:53" x14ac:dyDescent="0.2">
      <c r="AT167" s="186"/>
      <c r="AU167" s="186"/>
      <c r="AV167" s="186"/>
      <c r="AZ167" s="193"/>
      <c r="BA167" s="193"/>
    </row>
    <row r="168" spans="46:53" x14ac:dyDescent="0.2">
      <c r="AT168" s="186"/>
      <c r="AU168" s="186"/>
      <c r="AV168" s="186"/>
      <c r="AZ168" s="193"/>
      <c r="BA168" s="193"/>
    </row>
    <row r="169" spans="46:53" x14ac:dyDescent="0.2">
      <c r="AT169" s="186"/>
      <c r="AU169" s="186"/>
      <c r="AV169" s="186"/>
      <c r="AZ169" s="193"/>
      <c r="BA169" s="193"/>
    </row>
    <row r="170" spans="46:53" x14ac:dyDescent="0.2">
      <c r="AT170" s="186"/>
      <c r="AU170" s="186"/>
      <c r="AV170" s="186"/>
      <c r="AZ170" s="193"/>
      <c r="BA170" s="193"/>
    </row>
    <row r="171" spans="46:53" x14ac:dyDescent="0.2">
      <c r="AT171" s="186"/>
      <c r="AU171" s="186"/>
      <c r="AV171" s="186"/>
      <c r="AZ171" s="203"/>
      <c r="BA171" s="203"/>
    </row>
    <row r="172" spans="46:53" x14ac:dyDescent="0.2">
      <c r="AT172" s="186"/>
      <c r="AU172" s="186"/>
      <c r="AV172" s="186"/>
      <c r="AZ172" s="209"/>
      <c r="BA172" s="209"/>
    </row>
    <row r="173" spans="46:53" x14ac:dyDescent="0.2">
      <c r="AT173" s="186"/>
      <c r="AU173" s="186"/>
      <c r="AV173" s="186"/>
      <c r="AZ173" s="209"/>
      <c r="BA173" s="209"/>
    </row>
    <row r="174" spans="46:53" x14ac:dyDescent="0.2">
      <c r="AT174" s="193"/>
      <c r="AU174" s="193"/>
      <c r="AV174" s="193"/>
      <c r="AZ174" s="193"/>
      <c r="BA174" s="193"/>
    </row>
    <row r="175" spans="46:53" x14ac:dyDescent="0.2">
      <c r="AT175" s="193"/>
      <c r="AU175" s="193"/>
      <c r="AV175" s="193"/>
      <c r="AZ175" s="193"/>
      <c r="BA175" s="193"/>
    </row>
    <row r="200" spans="46:53" x14ac:dyDescent="0.2">
      <c r="AT200" s="186"/>
      <c r="AU200" s="186"/>
      <c r="AV200" s="186"/>
    </row>
    <row r="201" spans="46:53" x14ac:dyDescent="0.2">
      <c r="AT201" s="186"/>
      <c r="AU201" s="186"/>
      <c r="AV201" s="186"/>
      <c r="AZ201" s="186"/>
      <c r="BA201" s="186"/>
    </row>
    <row r="202" spans="46:53" x14ac:dyDescent="0.2">
      <c r="AT202" s="186"/>
      <c r="AU202" s="186"/>
      <c r="AV202" s="186"/>
      <c r="AZ202" s="186"/>
      <c r="BA202" s="186"/>
    </row>
    <row r="203" spans="46:53" x14ac:dyDescent="0.2">
      <c r="AT203" s="186"/>
      <c r="AU203" s="186"/>
      <c r="AV203" s="186"/>
      <c r="AZ203" s="186"/>
      <c r="BA203" s="186"/>
    </row>
    <row r="204" spans="46:53" x14ac:dyDescent="0.2">
      <c r="AT204" s="186"/>
      <c r="AU204" s="186"/>
      <c r="AV204" s="186"/>
      <c r="AZ204" s="186"/>
      <c r="BA204" s="186"/>
    </row>
    <row r="205" spans="46:53" x14ac:dyDescent="0.2">
      <c r="AT205" s="186"/>
      <c r="AU205" s="186"/>
      <c r="AV205" s="186"/>
      <c r="AZ205" s="186"/>
      <c r="BA205" s="186"/>
    </row>
    <row r="206" spans="46:53" x14ac:dyDescent="0.2">
      <c r="AT206" s="186"/>
      <c r="AU206" s="186"/>
      <c r="AV206" s="186"/>
      <c r="AZ206" s="186"/>
      <c r="BA206" s="186"/>
    </row>
    <row r="207" spans="46:53" x14ac:dyDescent="0.2">
      <c r="AT207" s="186"/>
      <c r="AU207" s="186"/>
      <c r="AV207" s="186"/>
      <c r="AZ207" s="186"/>
      <c r="BA207" s="186"/>
    </row>
    <row r="208" spans="46:53" x14ac:dyDescent="0.2">
      <c r="AT208" s="186"/>
      <c r="AU208" s="186"/>
      <c r="AV208" s="186"/>
      <c r="AZ208" s="186"/>
      <c r="BA208" s="186"/>
    </row>
    <row r="209" spans="46:53" x14ac:dyDescent="0.2">
      <c r="AT209" s="186"/>
      <c r="AU209" s="186"/>
      <c r="AV209" s="186"/>
      <c r="AZ209" s="186"/>
      <c r="BA209" s="186"/>
    </row>
    <row r="210" spans="46:53" x14ac:dyDescent="0.2">
      <c r="AT210" s="186"/>
      <c r="AU210" s="186"/>
      <c r="AV210" s="186"/>
      <c r="AZ210" s="186"/>
      <c r="BA210" s="186"/>
    </row>
    <row r="211" spans="46:53" x14ac:dyDescent="0.2">
      <c r="AT211" s="186"/>
      <c r="AU211" s="186"/>
      <c r="AV211" s="186"/>
      <c r="AZ211" s="186"/>
      <c r="BA211" s="186"/>
    </row>
    <row r="212" spans="46:53" x14ac:dyDescent="0.2">
      <c r="AT212" s="186"/>
      <c r="AU212" s="186"/>
      <c r="AV212" s="186"/>
      <c r="AZ212" s="186"/>
      <c r="BA212" s="186"/>
    </row>
    <row r="213" spans="46:53" x14ac:dyDescent="0.2">
      <c r="AT213" s="186"/>
      <c r="AU213" s="186"/>
      <c r="AV213" s="186"/>
      <c r="AZ213" s="186"/>
      <c r="BA213" s="186"/>
    </row>
    <row r="214" spans="46:53" x14ac:dyDescent="0.2">
      <c r="AT214" s="186"/>
      <c r="AU214" s="186"/>
      <c r="AV214" s="186"/>
      <c r="AZ214" s="186"/>
      <c r="BA214" s="186"/>
    </row>
    <row r="215" spans="46:53" x14ac:dyDescent="0.2">
      <c r="AT215" s="186"/>
      <c r="AU215" s="186"/>
      <c r="AV215" s="186"/>
      <c r="AZ215" s="186"/>
      <c r="BA215" s="186"/>
    </row>
    <row r="216" spans="46:53" x14ac:dyDescent="0.2">
      <c r="AT216" s="186"/>
      <c r="AU216" s="186"/>
      <c r="AV216" s="186"/>
      <c r="AZ216" s="186"/>
      <c r="BA216" s="186"/>
    </row>
    <row r="217" spans="46:53" x14ac:dyDescent="0.2">
      <c r="AT217" s="186"/>
      <c r="AU217" s="186"/>
      <c r="AV217" s="186"/>
      <c r="AZ217" s="186"/>
      <c r="BA217" s="186"/>
    </row>
    <row r="218" spans="46:53" x14ac:dyDescent="0.2">
      <c r="AT218" s="186"/>
      <c r="AU218" s="186"/>
      <c r="AV218" s="186"/>
      <c r="AZ218" s="186"/>
      <c r="BA218" s="186"/>
    </row>
    <row r="219" spans="46:53" x14ac:dyDescent="0.2">
      <c r="AT219" s="186"/>
      <c r="AU219" s="186"/>
      <c r="AV219" s="186"/>
      <c r="AZ219" s="186"/>
      <c r="BA219" s="186"/>
    </row>
    <row r="220" spans="46:53" x14ac:dyDescent="0.2">
      <c r="AT220" s="186"/>
      <c r="AU220" s="186"/>
      <c r="AV220" s="186"/>
      <c r="AZ220" s="186"/>
      <c r="BA220" s="186"/>
    </row>
    <row r="221" spans="46:53" x14ac:dyDescent="0.2">
      <c r="AT221" s="186"/>
      <c r="AU221" s="186"/>
      <c r="AV221" s="186"/>
      <c r="AZ221" s="186"/>
      <c r="BA221" s="186"/>
    </row>
    <row r="222" spans="46:53" x14ac:dyDescent="0.2">
      <c r="AT222" s="186"/>
      <c r="AU222" s="186"/>
      <c r="AV222" s="186"/>
      <c r="AZ222" s="186"/>
      <c r="BA222" s="186"/>
    </row>
    <row r="223" spans="46:53" x14ac:dyDescent="0.2">
      <c r="AT223" s="186"/>
      <c r="AU223" s="186"/>
      <c r="AV223" s="186"/>
      <c r="AZ223" s="186"/>
      <c r="BA223" s="186"/>
    </row>
    <row r="224" spans="46:53" x14ac:dyDescent="0.2">
      <c r="AT224" s="186"/>
      <c r="AU224" s="186"/>
      <c r="AV224" s="186"/>
      <c r="AZ224" s="186"/>
      <c r="BA224" s="186"/>
    </row>
    <row r="225" spans="46:53" x14ac:dyDescent="0.2">
      <c r="AT225" s="186"/>
      <c r="AU225" s="186"/>
      <c r="AV225" s="186"/>
      <c r="AZ225" s="186"/>
      <c r="BA225" s="186"/>
    </row>
    <row r="226" spans="46:53" x14ac:dyDescent="0.2">
      <c r="AT226" s="186"/>
      <c r="AU226" s="186"/>
      <c r="AV226" s="186"/>
      <c r="AZ226" s="186"/>
      <c r="BA226" s="186"/>
    </row>
    <row r="227" spans="46:53" x14ac:dyDescent="0.2">
      <c r="AT227" s="186"/>
      <c r="AU227" s="186"/>
      <c r="AV227" s="186"/>
      <c r="AZ227" s="186"/>
      <c r="BA227" s="186"/>
    </row>
    <row r="228" spans="46:53" x14ac:dyDescent="0.2">
      <c r="AT228" s="186"/>
      <c r="AU228" s="186"/>
      <c r="AV228" s="186"/>
      <c r="AZ228" s="186"/>
      <c r="BA228" s="186"/>
    </row>
    <row r="229" spans="46:53" x14ac:dyDescent="0.2">
      <c r="AT229" s="186"/>
      <c r="AU229" s="186"/>
      <c r="AV229" s="186"/>
      <c r="AZ229" s="186"/>
      <c r="BA229" s="186"/>
    </row>
    <row r="230" spans="46:53" x14ac:dyDescent="0.2">
      <c r="AT230" s="186"/>
      <c r="AU230" s="186"/>
      <c r="AV230" s="186"/>
      <c r="AZ230" s="186"/>
      <c r="BA230" s="186"/>
    </row>
    <row r="231" spans="46:53" x14ac:dyDescent="0.2">
      <c r="AT231" s="186"/>
      <c r="AU231" s="186"/>
      <c r="AV231" s="186"/>
      <c r="AZ231" s="186"/>
      <c r="BA231" s="186"/>
    </row>
    <row r="232" spans="46:53" x14ac:dyDescent="0.2">
      <c r="AT232" s="186"/>
      <c r="AU232" s="186"/>
      <c r="AV232" s="186"/>
      <c r="AZ232" s="186"/>
      <c r="BA232" s="186"/>
    </row>
    <row r="233" spans="46:53" x14ac:dyDescent="0.2">
      <c r="AT233" s="186"/>
      <c r="AU233" s="186"/>
      <c r="AV233" s="186"/>
      <c r="AZ233" s="186"/>
      <c r="BA233" s="186"/>
    </row>
    <row r="234" spans="46:53" x14ac:dyDescent="0.2">
      <c r="AT234" s="186"/>
      <c r="AU234" s="186"/>
      <c r="AV234" s="186"/>
      <c r="AZ234" s="186"/>
      <c r="BA234" s="186"/>
    </row>
    <row r="235" spans="46:53" x14ac:dyDescent="0.2">
      <c r="AT235" s="186"/>
      <c r="AU235" s="186"/>
      <c r="AV235" s="186"/>
      <c r="AZ235" s="186"/>
      <c r="BA235" s="186"/>
    </row>
    <row r="236" spans="46:53" x14ac:dyDescent="0.2">
      <c r="AT236" s="186"/>
      <c r="AU236" s="186"/>
      <c r="AV236" s="186"/>
      <c r="AZ236" s="186"/>
      <c r="BA236" s="186"/>
    </row>
    <row r="237" spans="46:53" x14ac:dyDescent="0.2">
      <c r="AT237" s="186"/>
      <c r="AU237" s="186"/>
      <c r="AV237" s="186"/>
      <c r="AZ237" s="186"/>
      <c r="BA237" s="186"/>
    </row>
    <row r="238" spans="46:53" x14ac:dyDescent="0.2">
      <c r="AT238" s="186"/>
      <c r="AU238" s="186"/>
      <c r="AV238" s="186"/>
      <c r="AZ238" s="186"/>
      <c r="BA238" s="186"/>
    </row>
    <row r="239" spans="46:53" x14ac:dyDescent="0.2">
      <c r="AT239" s="186"/>
      <c r="AU239" s="186"/>
      <c r="AV239" s="186"/>
      <c r="AZ239" s="186"/>
      <c r="BA239" s="186"/>
    </row>
    <row r="240" spans="46:53" x14ac:dyDescent="0.2">
      <c r="AT240" s="186"/>
      <c r="AU240" s="186"/>
      <c r="AV240" s="186"/>
      <c r="AZ240" s="186"/>
      <c r="BA240" s="186"/>
    </row>
    <row r="241" spans="46:53" x14ac:dyDescent="0.2">
      <c r="AT241" s="186"/>
      <c r="AU241" s="186"/>
      <c r="AV241" s="186"/>
      <c r="AZ241" s="186"/>
      <c r="BA241" s="186"/>
    </row>
    <row r="242" spans="46:53" x14ac:dyDescent="0.2">
      <c r="AT242" s="186"/>
      <c r="AU242" s="186"/>
      <c r="AV242" s="186"/>
      <c r="AZ242" s="186"/>
      <c r="BA242" s="186"/>
    </row>
    <row r="243" spans="46:53" x14ac:dyDescent="0.2">
      <c r="AT243" s="186"/>
      <c r="AU243" s="186"/>
      <c r="AV243" s="186"/>
      <c r="AZ243" s="186"/>
      <c r="BA243" s="186"/>
    </row>
    <row r="244" spans="46:53" x14ac:dyDescent="0.2">
      <c r="AT244" s="186"/>
      <c r="AU244" s="186"/>
      <c r="AV244" s="186"/>
      <c r="AZ244" s="186"/>
      <c r="BA244" s="186"/>
    </row>
    <row r="245" spans="46:53" x14ac:dyDescent="0.2">
      <c r="AT245" s="186"/>
      <c r="AU245" s="186"/>
      <c r="AV245" s="186"/>
      <c r="AZ245" s="186"/>
      <c r="BA245" s="186"/>
    </row>
    <row r="246" spans="46:53" x14ac:dyDescent="0.2">
      <c r="AT246" s="193"/>
      <c r="AU246" s="193"/>
      <c r="AV246" s="193"/>
      <c r="AZ246" s="186"/>
      <c r="BA246" s="186"/>
    </row>
    <row r="247" spans="46:53" x14ac:dyDescent="0.2">
      <c r="AT247" s="193"/>
      <c r="AU247" s="193"/>
      <c r="AV247" s="193"/>
    </row>
    <row r="248" spans="46:53" x14ac:dyDescent="0.2">
      <c r="AZ248" s="193"/>
      <c r="BA248" s="193"/>
    </row>
    <row r="249" spans="46:53" x14ac:dyDescent="0.2">
      <c r="AZ249" s="193"/>
      <c r="BA249" s="193"/>
    </row>
    <row r="250" spans="46:53" x14ac:dyDescent="0.2">
      <c r="AZ250" s="193"/>
      <c r="BA250" s="193"/>
    </row>
    <row r="251" spans="46:53" x14ac:dyDescent="0.2">
      <c r="AZ251" s="193"/>
      <c r="BA251" s="193"/>
    </row>
    <row r="252" spans="46:53" x14ac:dyDescent="0.2">
      <c r="AZ252" s="193"/>
      <c r="BA252" s="193"/>
    </row>
    <row r="253" spans="46:53" x14ac:dyDescent="0.2">
      <c r="AZ253" s="193"/>
      <c r="BA253" s="193"/>
    </row>
    <row r="254" spans="46:53" x14ac:dyDescent="0.2">
      <c r="AZ254" s="193"/>
      <c r="BA254" s="193"/>
    </row>
    <row r="255" spans="46:53" x14ac:dyDescent="0.2">
      <c r="AZ255" s="193"/>
      <c r="BA255" s="193"/>
    </row>
    <row r="256" spans="46:53" x14ac:dyDescent="0.2">
      <c r="AZ256" s="203"/>
      <c r="BA256" s="203"/>
    </row>
    <row r="257" spans="46:53" x14ac:dyDescent="0.2">
      <c r="AZ257" s="209"/>
      <c r="BA257" s="209"/>
    </row>
    <row r="258" spans="46:53" x14ac:dyDescent="0.2">
      <c r="AZ258" s="209"/>
      <c r="BA258" s="209"/>
    </row>
    <row r="259" spans="46:53" x14ac:dyDescent="0.2">
      <c r="AZ259" s="193"/>
      <c r="BA259" s="193"/>
    </row>
    <row r="260" spans="46:53" x14ac:dyDescent="0.2">
      <c r="AZ260" s="193"/>
      <c r="BA260" s="193"/>
    </row>
    <row r="272" spans="46:53" x14ac:dyDescent="0.2">
      <c r="AT272" s="186"/>
      <c r="AU272" s="186"/>
      <c r="AV272" s="186"/>
    </row>
    <row r="273" spans="46:53" x14ac:dyDescent="0.2">
      <c r="AT273" s="186"/>
      <c r="AU273" s="186"/>
      <c r="AV273" s="186"/>
    </row>
    <row r="274" spans="46:53" x14ac:dyDescent="0.2">
      <c r="AT274" s="186"/>
      <c r="AU274" s="186"/>
      <c r="AV274" s="186"/>
    </row>
    <row r="275" spans="46:53" x14ac:dyDescent="0.2">
      <c r="AT275" s="186"/>
      <c r="AU275" s="186"/>
      <c r="AV275" s="186"/>
    </row>
    <row r="276" spans="46:53" x14ac:dyDescent="0.2">
      <c r="AT276" s="186"/>
      <c r="AU276" s="186"/>
      <c r="AV276" s="186"/>
    </row>
    <row r="277" spans="46:53" x14ac:dyDescent="0.2">
      <c r="AT277" s="186"/>
      <c r="AU277" s="186"/>
      <c r="AV277" s="186"/>
    </row>
    <row r="278" spans="46:53" x14ac:dyDescent="0.2">
      <c r="AT278" s="186"/>
      <c r="AU278" s="186"/>
      <c r="AV278" s="186"/>
    </row>
    <row r="279" spans="46:53" x14ac:dyDescent="0.2">
      <c r="AT279" s="186"/>
      <c r="AU279" s="186"/>
      <c r="AV279" s="186"/>
    </row>
    <row r="280" spans="46:53" x14ac:dyDescent="0.2">
      <c r="AT280" s="186"/>
      <c r="AU280" s="186"/>
      <c r="AV280" s="186"/>
    </row>
    <row r="281" spans="46:53" x14ac:dyDescent="0.2">
      <c r="AT281" s="186"/>
      <c r="AU281" s="186"/>
      <c r="AV281" s="186"/>
    </row>
    <row r="282" spans="46:53" x14ac:dyDescent="0.2">
      <c r="AT282" s="186"/>
      <c r="AU282" s="186"/>
      <c r="AV282" s="186"/>
    </row>
    <row r="283" spans="46:53" x14ac:dyDescent="0.2">
      <c r="AT283" s="186"/>
      <c r="AU283" s="186"/>
      <c r="AV283" s="186"/>
    </row>
    <row r="284" spans="46:53" x14ac:dyDescent="0.2">
      <c r="AT284" s="186"/>
      <c r="AU284" s="186"/>
      <c r="AV284" s="186"/>
    </row>
    <row r="285" spans="46:53" x14ac:dyDescent="0.2">
      <c r="AT285" s="186"/>
      <c r="AU285" s="186"/>
      <c r="AV285" s="186"/>
    </row>
    <row r="286" spans="46:53" x14ac:dyDescent="0.2">
      <c r="AT286" s="186"/>
      <c r="AU286" s="186"/>
      <c r="AV286" s="186"/>
      <c r="AZ286" s="186"/>
      <c r="BA286" s="186"/>
    </row>
    <row r="287" spans="46:53" x14ac:dyDescent="0.2">
      <c r="AT287" s="186"/>
      <c r="AU287" s="186"/>
      <c r="AV287" s="186"/>
      <c r="AZ287" s="186"/>
      <c r="BA287" s="186"/>
    </row>
    <row r="288" spans="46:53" x14ac:dyDescent="0.2">
      <c r="AT288" s="186"/>
      <c r="AU288" s="186"/>
      <c r="AV288" s="186"/>
      <c r="AZ288" s="186"/>
      <c r="BA288" s="186"/>
    </row>
    <row r="289" spans="46:53" x14ac:dyDescent="0.2">
      <c r="AT289" s="186"/>
      <c r="AU289" s="186"/>
      <c r="AV289" s="186"/>
      <c r="AZ289" s="186"/>
      <c r="BA289" s="186"/>
    </row>
    <row r="290" spans="46:53" x14ac:dyDescent="0.2">
      <c r="AT290" s="186"/>
      <c r="AU290" s="186"/>
      <c r="AV290" s="186"/>
      <c r="AZ290" s="186"/>
      <c r="BA290" s="186"/>
    </row>
    <row r="291" spans="46:53" x14ac:dyDescent="0.2">
      <c r="AT291" s="186"/>
      <c r="AU291" s="186"/>
      <c r="AV291" s="186"/>
      <c r="AZ291" s="186"/>
      <c r="BA291" s="186"/>
    </row>
    <row r="292" spans="46:53" x14ac:dyDescent="0.2">
      <c r="AT292" s="186"/>
      <c r="AU292" s="186"/>
      <c r="AV292" s="186"/>
      <c r="AZ292" s="186"/>
      <c r="BA292" s="186"/>
    </row>
    <row r="293" spans="46:53" x14ac:dyDescent="0.2">
      <c r="AT293" s="186"/>
      <c r="AU293" s="186"/>
      <c r="AV293" s="186"/>
      <c r="AZ293" s="186"/>
      <c r="BA293" s="186"/>
    </row>
    <row r="294" spans="46:53" x14ac:dyDescent="0.2">
      <c r="AT294" s="186"/>
      <c r="AU294" s="186"/>
      <c r="AV294" s="186"/>
      <c r="AZ294" s="186"/>
      <c r="BA294" s="186"/>
    </row>
    <row r="295" spans="46:53" x14ac:dyDescent="0.2">
      <c r="AT295" s="186"/>
      <c r="AU295" s="186"/>
      <c r="AV295" s="186"/>
      <c r="AZ295" s="186"/>
      <c r="BA295" s="186"/>
    </row>
    <row r="296" spans="46:53" x14ac:dyDescent="0.2">
      <c r="AT296" s="186"/>
      <c r="AU296" s="186"/>
      <c r="AV296" s="186"/>
      <c r="AZ296" s="186"/>
      <c r="BA296" s="186"/>
    </row>
    <row r="297" spans="46:53" x14ac:dyDescent="0.2">
      <c r="AT297" s="186"/>
      <c r="AU297" s="186"/>
      <c r="AV297" s="186"/>
      <c r="AZ297" s="186"/>
      <c r="BA297" s="186"/>
    </row>
    <row r="298" spans="46:53" x14ac:dyDescent="0.2">
      <c r="AT298" s="186"/>
      <c r="AU298" s="186"/>
      <c r="AV298" s="186"/>
      <c r="AZ298" s="186"/>
      <c r="BA298" s="186"/>
    </row>
    <row r="299" spans="46:53" x14ac:dyDescent="0.2">
      <c r="AT299" s="186"/>
      <c r="AU299" s="186"/>
      <c r="AV299" s="186"/>
      <c r="AZ299" s="186"/>
      <c r="BA299" s="186"/>
    </row>
    <row r="300" spans="46:53" x14ac:dyDescent="0.2">
      <c r="AT300" s="186"/>
      <c r="AU300" s="186"/>
      <c r="AV300" s="186"/>
      <c r="AZ300" s="186"/>
      <c r="BA300" s="186"/>
    </row>
    <row r="301" spans="46:53" x14ac:dyDescent="0.2">
      <c r="AT301" s="186"/>
      <c r="AU301" s="186"/>
      <c r="AV301" s="186"/>
      <c r="AZ301" s="186"/>
      <c r="BA301" s="186"/>
    </row>
    <row r="302" spans="46:53" x14ac:dyDescent="0.2">
      <c r="AT302" s="186"/>
      <c r="AU302" s="186"/>
      <c r="AV302" s="186"/>
      <c r="AZ302" s="186"/>
      <c r="BA302" s="186"/>
    </row>
    <row r="303" spans="46:53" x14ac:dyDescent="0.2">
      <c r="AT303" s="186"/>
      <c r="AU303" s="186"/>
      <c r="AV303" s="186"/>
      <c r="AZ303" s="186"/>
      <c r="BA303" s="186"/>
    </row>
    <row r="304" spans="46:53" x14ac:dyDescent="0.2">
      <c r="AT304" s="186"/>
      <c r="AU304" s="186"/>
      <c r="AV304" s="186"/>
      <c r="AZ304" s="186"/>
      <c r="BA304" s="186"/>
    </row>
    <row r="305" spans="46:53" x14ac:dyDescent="0.2">
      <c r="AT305" s="186"/>
      <c r="AU305" s="186"/>
      <c r="AV305" s="186"/>
      <c r="AZ305" s="186"/>
      <c r="BA305" s="186"/>
    </row>
    <row r="306" spans="46:53" x14ac:dyDescent="0.2">
      <c r="AT306" s="186"/>
      <c r="AU306" s="186"/>
      <c r="AV306" s="186"/>
      <c r="AZ306" s="186"/>
      <c r="BA306" s="186"/>
    </row>
    <row r="307" spans="46:53" x14ac:dyDescent="0.2">
      <c r="AT307" s="186"/>
      <c r="AU307" s="186"/>
      <c r="AV307" s="186"/>
      <c r="AZ307" s="186"/>
      <c r="BA307" s="186"/>
    </row>
    <row r="308" spans="46:53" x14ac:dyDescent="0.2">
      <c r="AT308" s="186"/>
      <c r="AU308" s="186"/>
      <c r="AV308" s="186"/>
      <c r="AZ308" s="186"/>
      <c r="BA308" s="186"/>
    </row>
    <row r="309" spans="46:53" x14ac:dyDescent="0.2">
      <c r="AT309" s="186"/>
      <c r="AU309" s="186"/>
      <c r="AV309" s="186"/>
      <c r="AZ309" s="186"/>
      <c r="BA309" s="186"/>
    </row>
    <row r="310" spans="46:53" x14ac:dyDescent="0.2">
      <c r="AT310" s="186"/>
      <c r="AU310" s="186"/>
      <c r="AV310" s="186"/>
      <c r="AZ310" s="186"/>
      <c r="BA310" s="186"/>
    </row>
    <row r="311" spans="46:53" x14ac:dyDescent="0.2">
      <c r="AT311" s="186"/>
      <c r="AU311" s="186"/>
      <c r="AV311" s="186"/>
      <c r="AZ311" s="186"/>
      <c r="BA311" s="186"/>
    </row>
    <row r="312" spans="46:53" x14ac:dyDescent="0.2">
      <c r="AT312" s="186"/>
      <c r="AU312" s="186"/>
      <c r="AV312" s="186"/>
      <c r="AZ312" s="186"/>
      <c r="BA312" s="186"/>
    </row>
    <row r="313" spans="46:53" x14ac:dyDescent="0.2">
      <c r="AT313" s="186"/>
      <c r="AU313" s="186"/>
      <c r="AV313" s="186"/>
      <c r="AZ313" s="186"/>
      <c r="BA313" s="186"/>
    </row>
    <row r="314" spans="46:53" x14ac:dyDescent="0.2">
      <c r="AT314" s="186"/>
      <c r="AU314" s="186"/>
      <c r="AV314" s="186"/>
      <c r="AZ314" s="186"/>
      <c r="BA314" s="186"/>
    </row>
    <row r="315" spans="46:53" x14ac:dyDescent="0.2">
      <c r="AT315" s="186"/>
      <c r="AU315" s="186"/>
      <c r="AV315" s="186"/>
      <c r="AZ315" s="186"/>
      <c r="BA315" s="186"/>
    </row>
    <row r="316" spans="46:53" x14ac:dyDescent="0.2">
      <c r="AT316" s="186"/>
      <c r="AU316" s="186"/>
      <c r="AV316" s="186"/>
      <c r="AZ316" s="186"/>
      <c r="BA316" s="186"/>
    </row>
    <row r="317" spans="46:53" x14ac:dyDescent="0.2">
      <c r="AT317" s="186"/>
      <c r="AU317" s="186"/>
      <c r="AV317" s="186"/>
      <c r="AZ317" s="186"/>
      <c r="BA317" s="186"/>
    </row>
    <row r="318" spans="46:53" x14ac:dyDescent="0.2">
      <c r="AT318" s="193"/>
      <c r="AU318" s="193"/>
      <c r="AV318" s="193"/>
      <c r="AZ318" s="186"/>
      <c r="BA318" s="186"/>
    </row>
    <row r="319" spans="46:53" x14ac:dyDescent="0.2">
      <c r="AT319" s="193"/>
      <c r="AU319" s="193"/>
      <c r="AV319" s="193"/>
      <c r="AZ319" s="186"/>
      <c r="BA319" s="186"/>
    </row>
    <row r="320" spans="46:53" x14ac:dyDescent="0.2">
      <c r="AZ320" s="186"/>
      <c r="BA320" s="186"/>
    </row>
    <row r="321" spans="46:53" x14ac:dyDescent="0.2">
      <c r="AZ321" s="186"/>
      <c r="BA321" s="186"/>
    </row>
    <row r="322" spans="46:53" x14ac:dyDescent="0.2">
      <c r="AZ322" s="186"/>
      <c r="BA322" s="186"/>
    </row>
    <row r="323" spans="46:53" x14ac:dyDescent="0.2">
      <c r="AZ323" s="186"/>
      <c r="BA323" s="186"/>
    </row>
    <row r="324" spans="46:53" x14ac:dyDescent="0.2">
      <c r="AZ324" s="186"/>
      <c r="BA324" s="186"/>
    </row>
    <row r="325" spans="46:53" x14ac:dyDescent="0.2">
      <c r="AZ325" s="186"/>
      <c r="BA325" s="186"/>
    </row>
    <row r="326" spans="46:53" x14ac:dyDescent="0.2">
      <c r="AZ326" s="186"/>
      <c r="BA326" s="186"/>
    </row>
    <row r="327" spans="46:53" x14ac:dyDescent="0.2">
      <c r="AZ327" s="186"/>
      <c r="BA327" s="186"/>
    </row>
    <row r="328" spans="46:53" x14ac:dyDescent="0.2">
      <c r="AZ328" s="186"/>
      <c r="BA328" s="186"/>
    </row>
    <row r="329" spans="46:53" x14ac:dyDescent="0.2">
      <c r="AZ329" s="186"/>
      <c r="BA329" s="186"/>
    </row>
    <row r="330" spans="46:53" x14ac:dyDescent="0.2">
      <c r="AZ330" s="186"/>
      <c r="BA330" s="186"/>
    </row>
    <row r="331" spans="46:53" x14ac:dyDescent="0.2">
      <c r="AZ331" s="186"/>
      <c r="BA331" s="186"/>
    </row>
    <row r="333" spans="46:53" x14ac:dyDescent="0.2">
      <c r="AZ333" s="193"/>
      <c r="BA333" s="193"/>
    </row>
    <row r="334" spans="46:53" x14ac:dyDescent="0.2">
      <c r="AT334" s="230"/>
      <c r="AU334" s="230"/>
      <c r="AZ334" s="193"/>
      <c r="BA334" s="193"/>
    </row>
    <row r="335" spans="46:53" x14ac:dyDescent="0.2">
      <c r="AZ335" s="193"/>
      <c r="BA335" s="193"/>
    </row>
    <row r="336" spans="46:53" x14ac:dyDescent="0.2">
      <c r="AZ336" s="193"/>
      <c r="BA336" s="193"/>
    </row>
    <row r="337" spans="52:53" x14ac:dyDescent="0.2">
      <c r="AZ337" s="193"/>
      <c r="BA337" s="193"/>
    </row>
    <row r="338" spans="52:53" x14ac:dyDescent="0.2">
      <c r="AZ338" s="193"/>
      <c r="BA338" s="193"/>
    </row>
    <row r="339" spans="52:53" x14ac:dyDescent="0.2">
      <c r="AZ339" s="193"/>
      <c r="BA339" s="193"/>
    </row>
    <row r="340" spans="52:53" x14ac:dyDescent="0.2">
      <c r="AZ340" s="193"/>
      <c r="BA340" s="193"/>
    </row>
    <row r="341" spans="52:53" x14ac:dyDescent="0.2">
      <c r="AZ341" s="203"/>
      <c r="BA341" s="203"/>
    </row>
    <row r="342" spans="52:53" x14ac:dyDescent="0.2">
      <c r="AZ342" s="209"/>
      <c r="BA342" s="209"/>
    </row>
    <row r="343" spans="52:53" x14ac:dyDescent="0.2">
      <c r="AZ343" s="209"/>
      <c r="BA343" s="209"/>
    </row>
    <row r="344" spans="52:53" x14ac:dyDescent="0.2">
      <c r="AZ344" s="193"/>
      <c r="BA344" s="193"/>
    </row>
    <row r="345" spans="52:53" x14ac:dyDescent="0.2">
      <c r="AZ345" s="193"/>
      <c r="BA345" s="193"/>
    </row>
    <row r="370" spans="46:53" x14ac:dyDescent="0.2">
      <c r="AT370" s="230"/>
      <c r="AU370" s="230"/>
    </row>
    <row r="371" spans="46:53" x14ac:dyDescent="0.2">
      <c r="AZ371" s="186"/>
      <c r="BA371" s="186"/>
    </row>
    <row r="372" spans="46:53" x14ac:dyDescent="0.2">
      <c r="AZ372" s="186"/>
      <c r="BA372" s="186"/>
    </row>
    <row r="373" spans="46:53" x14ac:dyDescent="0.2">
      <c r="AZ373" s="186"/>
      <c r="BA373" s="186"/>
    </row>
    <row r="374" spans="46:53" x14ac:dyDescent="0.2">
      <c r="AZ374" s="186"/>
      <c r="BA374" s="186"/>
    </row>
    <row r="375" spans="46:53" x14ac:dyDescent="0.2">
      <c r="AZ375" s="186"/>
      <c r="BA375" s="186"/>
    </row>
    <row r="376" spans="46:53" x14ac:dyDescent="0.2">
      <c r="AZ376" s="186"/>
      <c r="BA376" s="186"/>
    </row>
    <row r="377" spans="46:53" x14ac:dyDescent="0.2">
      <c r="AZ377" s="186"/>
      <c r="BA377" s="186"/>
    </row>
    <row r="378" spans="46:53" x14ac:dyDescent="0.2">
      <c r="AZ378" s="186"/>
      <c r="BA378" s="186"/>
    </row>
    <row r="379" spans="46:53" x14ac:dyDescent="0.2">
      <c r="AZ379" s="186"/>
      <c r="BA379" s="186"/>
    </row>
    <row r="380" spans="46:53" x14ac:dyDescent="0.2">
      <c r="AZ380" s="186"/>
      <c r="BA380" s="186"/>
    </row>
    <row r="381" spans="46:53" x14ac:dyDescent="0.2">
      <c r="AZ381" s="186"/>
      <c r="BA381" s="186"/>
    </row>
    <row r="382" spans="46:53" x14ac:dyDescent="0.2">
      <c r="AZ382" s="186"/>
      <c r="BA382" s="186"/>
    </row>
    <row r="383" spans="46:53" x14ac:dyDescent="0.2">
      <c r="AZ383" s="186"/>
      <c r="BA383" s="186"/>
    </row>
    <row r="384" spans="46:53" x14ac:dyDescent="0.2">
      <c r="AZ384" s="186"/>
      <c r="BA384" s="186"/>
    </row>
    <row r="385" spans="52:53" x14ac:dyDescent="0.2">
      <c r="AZ385" s="186"/>
      <c r="BA385" s="186"/>
    </row>
    <row r="386" spans="52:53" x14ac:dyDescent="0.2">
      <c r="AZ386" s="186"/>
      <c r="BA386" s="186"/>
    </row>
    <row r="387" spans="52:53" x14ac:dyDescent="0.2">
      <c r="AZ387" s="186"/>
      <c r="BA387" s="186"/>
    </row>
    <row r="388" spans="52:53" x14ac:dyDescent="0.2">
      <c r="AZ388" s="186"/>
      <c r="BA388" s="186"/>
    </row>
    <row r="389" spans="52:53" x14ac:dyDescent="0.2">
      <c r="AZ389" s="186"/>
      <c r="BA389" s="186"/>
    </row>
    <row r="390" spans="52:53" x14ac:dyDescent="0.2">
      <c r="AZ390" s="186"/>
      <c r="BA390" s="186"/>
    </row>
    <row r="391" spans="52:53" x14ac:dyDescent="0.2">
      <c r="AZ391" s="186"/>
      <c r="BA391" s="186"/>
    </row>
    <row r="392" spans="52:53" x14ac:dyDescent="0.2">
      <c r="AZ392" s="186"/>
      <c r="BA392" s="186"/>
    </row>
    <row r="393" spans="52:53" x14ac:dyDescent="0.2">
      <c r="AZ393" s="186"/>
      <c r="BA393" s="186"/>
    </row>
    <row r="394" spans="52:53" x14ac:dyDescent="0.2">
      <c r="AZ394" s="186"/>
      <c r="BA394" s="186"/>
    </row>
    <row r="395" spans="52:53" x14ac:dyDescent="0.2">
      <c r="AZ395" s="186"/>
      <c r="BA395" s="186"/>
    </row>
    <row r="396" spans="52:53" x14ac:dyDescent="0.2">
      <c r="AZ396" s="186"/>
      <c r="BA396" s="186"/>
    </row>
    <row r="397" spans="52:53" x14ac:dyDescent="0.2">
      <c r="AZ397" s="186"/>
      <c r="BA397" s="186"/>
    </row>
    <row r="398" spans="52:53" x14ac:dyDescent="0.2">
      <c r="AZ398" s="186"/>
      <c r="BA398" s="186"/>
    </row>
    <row r="399" spans="52:53" x14ac:dyDescent="0.2">
      <c r="AZ399" s="186"/>
      <c r="BA399" s="186"/>
    </row>
    <row r="400" spans="52:53" x14ac:dyDescent="0.2">
      <c r="AZ400" s="186"/>
      <c r="BA400" s="186"/>
    </row>
    <row r="401" spans="52:53" x14ac:dyDescent="0.2">
      <c r="AZ401" s="186"/>
      <c r="BA401" s="186"/>
    </row>
    <row r="402" spans="52:53" x14ac:dyDescent="0.2">
      <c r="AZ402" s="186"/>
      <c r="BA402" s="186"/>
    </row>
    <row r="403" spans="52:53" x14ac:dyDescent="0.2">
      <c r="AZ403" s="186"/>
      <c r="BA403" s="186"/>
    </row>
    <row r="404" spans="52:53" x14ac:dyDescent="0.2">
      <c r="AZ404" s="186"/>
      <c r="BA404" s="186"/>
    </row>
    <row r="405" spans="52:53" x14ac:dyDescent="0.2">
      <c r="AZ405" s="186"/>
      <c r="BA405" s="186"/>
    </row>
    <row r="406" spans="52:53" x14ac:dyDescent="0.2">
      <c r="AZ406" s="186"/>
      <c r="BA406" s="186"/>
    </row>
    <row r="407" spans="52:53" x14ac:dyDescent="0.2">
      <c r="AZ407" s="186"/>
      <c r="BA407" s="186"/>
    </row>
    <row r="408" spans="52:53" x14ac:dyDescent="0.2">
      <c r="AZ408" s="186"/>
      <c r="BA408" s="186"/>
    </row>
    <row r="409" spans="52:53" x14ac:dyDescent="0.2">
      <c r="AZ409" s="186"/>
      <c r="BA409" s="186"/>
    </row>
    <row r="410" spans="52:53" x14ac:dyDescent="0.2">
      <c r="AZ410" s="186"/>
      <c r="BA410" s="186"/>
    </row>
    <row r="411" spans="52:53" x14ac:dyDescent="0.2">
      <c r="AZ411" s="186"/>
      <c r="BA411" s="186"/>
    </row>
    <row r="412" spans="52:53" x14ac:dyDescent="0.2">
      <c r="AZ412" s="186"/>
      <c r="BA412" s="186"/>
    </row>
    <row r="413" spans="52:53" x14ac:dyDescent="0.2">
      <c r="AZ413" s="186"/>
      <c r="BA413" s="186"/>
    </row>
    <row r="414" spans="52:53" x14ac:dyDescent="0.2">
      <c r="AZ414" s="186"/>
      <c r="BA414" s="186"/>
    </row>
    <row r="415" spans="52:53" x14ac:dyDescent="0.2">
      <c r="AZ415" s="186"/>
      <c r="BA415" s="186"/>
    </row>
    <row r="416" spans="52:53" x14ac:dyDescent="0.2">
      <c r="AZ416" s="186"/>
      <c r="BA416" s="186"/>
    </row>
    <row r="418" spans="52:53" x14ac:dyDescent="0.2">
      <c r="AZ418" s="193"/>
      <c r="BA418" s="193"/>
    </row>
    <row r="419" spans="52:53" x14ac:dyDescent="0.2">
      <c r="AZ419" s="193"/>
      <c r="BA419" s="193"/>
    </row>
    <row r="420" spans="52:53" x14ac:dyDescent="0.2">
      <c r="AZ420" s="193"/>
      <c r="BA420" s="193"/>
    </row>
    <row r="421" spans="52:53" x14ac:dyDescent="0.2">
      <c r="AZ421" s="193"/>
      <c r="BA421" s="193"/>
    </row>
    <row r="422" spans="52:53" x14ac:dyDescent="0.2">
      <c r="AZ422" s="193"/>
      <c r="BA422" s="193"/>
    </row>
    <row r="423" spans="52:53" x14ac:dyDescent="0.2">
      <c r="AZ423" s="193"/>
      <c r="BA423" s="193"/>
    </row>
    <row r="424" spans="52:53" x14ac:dyDescent="0.2">
      <c r="AZ424" s="193"/>
      <c r="BA424" s="193"/>
    </row>
    <row r="425" spans="52:53" x14ac:dyDescent="0.2">
      <c r="AZ425" s="193"/>
      <c r="BA425" s="193"/>
    </row>
    <row r="426" spans="52:53" x14ac:dyDescent="0.2">
      <c r="AZ426" s="203"/>
      <c r="BA426" s="203"/>
    </row>
    <row r="427" spans="52:53" x14ac:dyDescent="0.2">
      <c r="AZ427" s="209"/>
      <c r="BA427" s="209"/>
    </row>
    <row r="428" spans="52:53" x14ac:dyDescent="0.2">
      <c r="AZ428" s="209"/>
      <c r="BA428" s="209"/>
    </row>
    <row r="429" spans="52:53" x14ac:dyDescent="0.2">
      <c r="AZ429" s="193"/>
      <c r="BA429" s="193"/>
    </row>
    <row r="430" spans="52:53" x14ac:dyDescent="0.2">
      <c r="AZ430" s="193"/>
      <c r="BA430" s="193"/>
    </row>
  </sheetData>
  <sheetProtection sheet="1" objects="1" scenarios="1" formatCells="0" selectLockedCells="1"/>
  <mergeCells count="229">
    <mergeCell ref="A1:AI1"/>
    <mergeCell ref="AT1:AV1"/>
    <mergeCell ref="AX1:AY1"/>
    <mergeCell ref="A2:I2"/>
    <mergeCell ref="J2:X2"/>
    <mergeCell ref="Y2:AC2"/>
    <mergeCell ref="AD2:AI2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  <mergeCell ref="A8:A9"/>
    <mergeCell ref="B8:D8"/>
    <mergeCell ref="E8:K8"/>
    <mergeCell ref="L8:P9"/>
    <mergeCell ref="R8:V9"/>
    <mergeCell ref="W8:Y9"/>
    <mergeCell ref="Z8:AB9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AC8:AE9"/>
    <mergeCell ref="AF8:AF9"/>
    <mergeCell ref="AG8:AG9"/>
    <mergeCell ref="AH8:AI9"/>
    <mergeCell ref="AT8:AY9"/>
    <mergeCell ref="B9:D9"/>
    <mergeCell ref="E9:K9"/>
    <mergeCell ref="Z7:AB7"/>
    <mergeCell ref="AC7:AE7"/>
    <mergeCell ref="AH7:AI7"/>
    <mergeCell ref="Z10:AB11"/>
    <mergeCell ref="AC10:AE11"/>
    <mergeCell ref="AF10:AF11"/>
    <mergeCell ref="AG10:AG11"/>
    <mergeCell ref="AH10:AI11"/>
    <mergeCell ref="B11:D11"/>
    <mergeCell ref="E11:K11"/>
    <mergeCell ref="A10:A11"/>
    <mergeCell ref="B10:D10"/>
    <mergeCell ref="E10:K10"/>
    <mergeCell ref="L10:P11"/>
    <mergeCell ref="R10:V11"/>
    <mergeCell ref="W10:Y11"/>
    <mergeCell ref="Z12:AB13"/>
    <mergeCell ref="AC12:AE13"/>
    <mergeCell ref="AF12:AF13"/>
    <mergeCell ref="AG12:AG13"/>
    <mergeCell ref="AH12:AI13"/>
    <mergeCell ref="B13:D13"/>
    <mergeCell ref="E13:K13"/>
    <mergeCell ref="A12:A13"/>
    <mergeCell ref="B12:D12"/>
    <mergeCell ref="E12:K12"/>
    <mergeCell ref="L12:P13"/>
    <mergeCell ref="R12:V13"/>
    <mergeCell ref="W12:Y13"/>
    <mergeCell ref="Z14:AB15"/>
    <mergeCell ref="AC14:AE15"/>
    <mergeCell ref="AF14:AF15"/>
    <mergeCell ref="AG14:AG15"/>
    <mergeCell ref="AH14:AI15"/>
    <mergeCell ref="B15:D15"/>
    <mergeCell ref="E15:K15"/>
    <mergeCell ref="A14:A15"/>
    <mergeCell ref="B14:D14"/>
    <mergeCell ref="E14:K14"/>
    <mergeCell ref="L14:P15"/>
    <mergeCell ref="R14:V15"/>
    <mergeCell ref="W14:Y15"/>
    <mergeCell ref="Z16:AB17"/>
    <mergeCell ref="AC16:AE17"/>
    <mergeCell ref="AF16:AF17"/>
    <mergeCell ref="AG16:AG17"/>
    <mergeCell ref="AH16:AI17"/>
    <mergeCell ref="B17:D17"/>
    <mergeCell ref="E17:K17"/>
    <mergeCell ref="A16:A17"/>
    <mergeCell ref="B16:D16"/>
    <mergeCell ref="E16:K16"/>
    <mergeCell ref="L16:P17"/>
    <mergeCell ref="R16:V17"/>
    <mergeCell ref="W16:Y17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Z23:AB23"/>
    <mergeCell ref="AC23:AE23"/>
    <mergeCell ref="AG57:AK57"/>
    <mergeCell ref="A89:AM89"/>
    <mergeCell ref="AN89:AQ89"/>
    <mergeCell ref="A90:AQ90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A91:AQ91"/>
    <mergeCell ref="A92:A93"/>
    <mergeCell ref="B92:K92"/>
    <mergeCell ref="L92:U92"/>
    <mergeCell ref="V92:AE92"/>
    <mergeCell ref="AF92:AO92"/>
    <mergeCell ref="B93:G93"/>
    <mergeCell ref="H93:K93"/>
    <mergeCell ref="L93:Q93"/>
    <mergeCell ref="R93:U93"/>
    <mergeCell ref="AF94:AK94"/>
    <mergeCell ref="AL94:AO94"/>
    <mergeCell ref="A96:AQ96"/>
    <mergeCell ref="A97:AQ97"/>
    <mergeCell ref="A98:AQ98"/>
    <mergeCell ref="A99:AQ99"/>
    <mergeCell ref="V93:AA93"/>
    <mergeCell ref="AB93:AE93"/>
    <mergeCell ref="AF93:AK93"/>
    <mergeCell ref="AL93:AO93"/>
    <mergeCell ref="B94:G94"/>
    <mergeCell ref="H94:K94"/>
    <mergeCell ref="L94:Q94"/>
    <mergeCell ref="R94:U94"/>
    <mergeCell ref="V94:AA94"/>
    <mergeCell ref="AB94:AE94"/>
    <mergeCell ref="A108:E108"/>
    <mergeCell ref="F108:I108"/>
    <mergeCell ref="J108:M108"/>
    <mergeCell ref="A109:E109"/>
    <mergeCell ref="A110:E110"/>
    <mergeCell ref="F111:I111"/>
    <mergeCell ref="A100:K100"/>
    <mergeCell ref="A102:O102"/>
    <mergeCell ref="A104:E104"/>
    <mergeCell ref="A105:E105"/>
    <mergeCell ref="A107:D107"/>
    <mergeCell ref="F107:M107"/>
    <mergeCell ref="A116:D116"/>
    <mergeCell ref="F116:I116"/>
    <mergeCell ref="J116:M116"/>
    <mergeCell ref="A117:E117"/>
    <mergeCell ref="F117:M117"/>
    <mergeCell ref="A118:E118"/>
    <mergeCell ref="J112:P112"/>
    <mergeCell ref="A113:E113"/>
    <mergeCell ref="F113:I113"/>
    <mergeCell ref="J113:P113"/>
    <mergeCell ref="A114:E114"/>
    <mergeCell ref="J114:P114"/>
    <mergeCell ref="B125:J125"/>
    <mergeCell ref="K125:Q125"/>
    <mergeCell ref="B126:J126"/>
    <mergeCell ref="K126:Q126"/>
    <mergeCell ref="B127:J127"/>
    <mergeCell ref="K127:Q127"/>
    <mergeCell ref="A119:E119"/>
    <mergeCell ref="A122:J122"/>
    <mergeCell ref="B123:J123"/>
    <mergeCell ref="K123:Q123"/>
    <mergeCell ref="B124:J124"/>
    <mergeCell ref="K124:Q124"/>
    <mergeCell ref="K132:N132"/>
    <mergeCell ref="K137:N139"/>
    <mergeCell ref="A148:M148"/>
    <mergeCell ref="B129:D129"/>
    <mergeCell ref="E129:G129"/>
    <mergeCell ref="H129:J129"/>
    <mergeCell ref="K129:Q131"/>
    <mergeCell ref="B130:D130"/>
    <mergeCell ref="E130:G130"/>
    <mergeCell ref="H130:J130"/>
    <mergeCell ref="B131:D131"/>
    <mergeCell ref="E131:G131"/>
    <mergeCell ref="H131:J131"/>
  </mergeCells>
  <conditionalFormatting sqref="A8">
    <cfRule type="expression" dxfId="877" priority="6" stopIfTrue="1">
      <formula>IF(AK9&gt;0,0,1)</formula>
    </cfRule>
  </conditionalFormatting>
  <conditionalFormatting sqref="A10:A11">
    <cfRule type="expression" dxfId="876" priority="7" stopIfTrue="1">
      <formula>IF(AK9&gt;1,0,1)</formula>
    </cfRule>
  </conditionalFormatting>
  <conditionalFormatting sqref="A12:A13">
    <cfRule type="expression" dxfId="875" priority="8" stopIfTrue="1">
      <formula>IF(AK9&gt;2,0,1)</formula>
    </cfRule>
  </conditionalFormatting>
  <conditionalFormatting sqref="A14:A15">
    <cfRule type="expression" dxfId="874" priority="9" stopIfTrue="1">
      <formula>IF(AK9&gt;3,0,1)</formula>
    </cfRule>
  </conditionalFormatting>
  <conditionalFormatting sqref="A16:A17">
    <cfRule type="expression" dxfId="873" priority="10" stopIfTrue="1">
      <formula>IF(AK9&gt;4,0,1)</formula>
    </cfRule>
  </conditionalFormatting>
  <conditionalFormatting sqref="B8">
    <cfRule type="expression" dxfId="872" priority="11" stopIfTrue="1">
      <formula>IF(AK9&gt;0,0,1)</formula>
    </cfRule>
  </conditionalFormatting>
  <conditionalFormatting sqref="B9">
    <cfRule type="expression" dxfId="871" priority="12" stopIfTrue="1">
      <formula>IF(AK9&gt;0,0,1)</formula>
    </cfRule>
  </conditionalFormatting>
  <conditionalFormatting sqref="B10">
    <cfRule type="expression" dxfId="870" priority="13" stopIfTrue="1">
      <formula>IF(AK9&gt;1,0,1)</formula>
    </cfRule>
  </conditionalFormatting>
  <conditionalFormatting sqref="B11:D11">
    <cfRule type="expression" dxfId="869" priority="14" stopIfTrue="1">
      <formula>IF(AK9&gt;1,0,1)</formula>
    </cfRule>
  </conditionalFormatting>
  <conditionalFormatting sqref="B12:D12">
    <cfRule type="expression" dxfId="868" priority="15" stopIfTrue="1">
      <formula>IF(AK9&gt;2,0,1)</formula>
    </cfRule>
  </conditionalFormatting>
  <conditionalFormatting sqref="B13:D13">
    <cfRule type="expression" dxfId="867" priority="16" stopIfTrue="1">
      <formula>IF(AK9&gt;2,0,1)</formula>
    </cfRule>
  </conditionalFormatting>
  <conditionalFormatting sqref="B14:D14">
    <cfRule type="expression" dxfId="866" priority="17" stopIfTrue="1">
      <formula>IF(AK9&gt;3,0,1)</formula>
    </cfRule>
  </conditionalFormatting>
  <conditionalFormatting sqref="B15:D15">
    <cfRule type="expression" dxfId="865" priority="18" stopIfTrue="1">
      <formula>IF(AK9&gt;3,0,1)</formula>
    </cfRule>
  </conditionalFormatting>
  <conditionalFormatting sqref="B16:D16">
    <cfRule type="expression" dxfId="864" priority="19" stopIfTrue="1">
      <formula>IF(AK9&gt;4,0,1)</formula>
    </cfRule>
  </conditionalFormatting>
  <conditionalFormatting sqref="B17:D17">
    <cfRule type="expression" dxfId="863" priority="20" stopIfTrue="1">
      <formula>IF(AK9&gt;4,0,1)</formula>
    </cfRule>
  </conditionalFormatting>
  <conditionalFormatting sqref="AC8">
    <cfRule type="expression" dxfId="862" priority="21" stopIfTrue="1">
      <formula>IF(AK11=1,IF(AK9&gt;0,0,1),1)</formula>
    </cfRule>
  </conditionalFormatting>
  <conditionalFormatting sqref="AC10:AE11">
    <cfRule type="expression" dxfId="861" priority="22" stopIfTrue="1">
      <formula>IF(AK11=1,IF(AK9&gt;1,0,1),1)</formula>
    </cfRule>
  </conditionalFormatting>
  <conditionalFormatting sqref="AC12:AE13">
    <cfRule type="expression" dxfId="860" priority="23" stopIfTrue="1">
      <formula>IF(AK11=1,IF(AK9&gt;2,0,1),1)</formula>
    </cfRule>
  </conditionalFormatting>
  <conditionalFormatting sqref="AC14:AE15">
    <cfRule type="expression" dxfId="859" priority="24" stopIfTrue="1">
      <formula>IF(AK11=1,IF(AK9&gt;3,0,1),1)</formula>
    </cfRule>
  </conditionalFormatting>
  <conditionalFormatting sqref="AC16:AE17">
    <cfRule type="expression" dxfId="858" priority="25" stopIfTrue="1">
      <formula>IF(AK11=1,IF(AK9&gt;4,0,1),1)</formula>
    </cfRule>
  </conditionalFormatting>
  <conditionalFormatting sqref="AH8">
    <cfRule type="expression" dxfId="857" priority="26" stopIfTrue="1">
      <formula>IF(AK9&gt;0,0,1)</formula>
    </cfRule>
  </conditionalFormatting>
  <conditionalFormatting sqref="AH10:AI11">
    <cfRule type="expression" dxfId="856" priority="27" stopIfTrue="1">
      <formula>IF(AK9&gt;1,0,1)</formula>
    </cfRule>
  </conditionalFormatting>
  <conditionalFormatting sqref="AH12:AI13">
    <cfRule type="expression" dxfId="855" priority="28" stopIfTrue="1">
      <formula>IF(AK9&gt;2,0,1)</formula>
    </cfRule>
  </conditionalFormatting>
  <conditionalFormatting sqref="AH14:AI15">
    <cfRule type="expression" dxfId="854" priority="29" stopIfTrue="1">
      <formula>IF(AK9&gt;3,0,1)</formula>
    </cfRule>
  </conditionalFormatting>
  <conditionalFormatting sqref="AH16:AI17">
    <cfRule type="expression" dxfId="853" priority="30" stopIfTrue="1">
      <formula>IF(AK9&gt;4,0,1)</formula>
    </cfRule>
  </conditionalFormatting>
  <conditionalFormatting sqref="B19:D19">
    <cfRule type="expression" dxfId="852" priority="31" stopIfTrue="1">
      <formula>IF(AK8&gt;0,0,1)</formula>
    </cfRule>
  </conditionalFormatting>
  <conditionalFormatting sqref="E19:G19">
    <cfRule type="expression" dxfId="851" priority="32" stopIfTrue="1">
      <formula>IF(AK8&gt;1,0,1)</formula>
    </cfRule>
  </conditionalFormatting>
  <conditionalFormatting sqref="H19:J19">
    <cfRule type="expression" dxfId="850" priority="33" stopIfTrue="1">
      <formula>IF(AK8&gt;2,0,1)</formula>
    </cfRule>
  </conditionalFormatting>
  <conditionalFormatting sqref="K19:M19">
    <cfRule type="expression" dxfId="849" priority="34" stopIfTrue="1">
      <formula>IF(AK8&gt;3,0,1)</formula>
    </cfRule>
  </conditionalFormatting>
  <conditionalFormatting sqref="N19:P19">
    <cfRule type="expression" dxfId="848" priority="35" stopIfTrue="1">
      <formula>IF(AK8&gt;4,0,1)</formula>
    </cfRule>
  </conditionalFormatting>
  <conditionalFormatting sqref="Q19:S19">
    <cfRule type="expression" dxfId="847" priority="36" stopIfTrue="1">
      <formula>IF(AK8&gt;5,0,1)</formula>
    </cfRule>
  </conditionalFormatting>
  <conditionalFormatting sqref="T19:V19">
    <cfRule type="expression" dxfId="846" priority="37" stopIfTrue="1">
      <formula>IF(AK8&gt;6,0,1)</formula>
    </cfRule>
  </conditionalFormatting>
  <conditionalFormatting sqref="W19:Y19">
    <cfRule type="expression" dxfId="845" priority="38" stopIfTrue="1">
      <formula>IF(AK8&gt;7,0,1)</formula>
    </cfRule>
  </conditionalFormatting>
  <conditionalFormatting sqref="Z19:AB19">
    <cfRule type="expression" dxfId="844" priority="39" stopIfTrue="1">
      <formula>IF(AK8&gt;8,0,1)</formula>
    </cfRule>
  </conditionalFormatting>
  <conditionalFormatting sqref="AC19:AE19">
    <cfRule type="expression" dxfId="843" priority="40" stopIfTrue="1">
      <formula>IF(AK8&gt;9,0,1)</formula>
    </cfRule>
  </conditionalFormatting>
  <conditionalFormatting sqref="B20:D20">
    <cfRule type="expression" dxfId="842" priority="41" stopIfTrue="1">
      <formula>IF(AK8&gt;0,0,1)</formula>
    </cfRule>
  </conditionalFormatting>
  <conditionalFormatting sqref="E20:G20">
    <cfRule type="expression" dxfId="841" priority="42" stopIfTrue="1">
      <formula>IF(AK8&gt;1,0,1)</formula>
    </cfRule>
  </conditionalFormatting>
  <conditionalFormatting sqref="H20:J20">
    <cfRule type="expression" dxfId="840" priority="43" stopIfTrue="1">
      <formula>IF(AK8&gt;2,0,1)</formula>
    </cfRule>
  </conditionalFormatting>
  <conditionalFormatting sqref="K20:M20">
    <cfRule type="expression" dxfId="839" priority="44" stopIfTrue="1">
      <formula>IF(AK8&gt;3,0,1)</formula>
    </cfRule>
  </conditionalFormatting>
  <conditionalFormatting sqref="N20:P20">
    <cfRule type="expression" dxfId="838" priority="45" stopIfTrue="1">
      <formula>IF(AK8&gt;4,0,1)</formula>
    </cfRule>
  </conditionalFormatting>
  <conditionalFormatting sqref="Q20:S20">
    <cfRule type="expression" dxfId="837" priority="46" stopIfTrue="1">
      <formula>IF(AK8&gt;5,0,1)</formula>
    </cfRule>
  </conditionalFormatting>
  <conditionalFormatting sqref="T20:V20">
    <cfRule type="expression" dxfId="836" priority="47" stopIfTrue="1">
      <formula>IF(AK8&gt;6,0,1)</formula>
    </cfRule>
  </conditionalFormatting>
  <conditionalFormatting sqref="W20:Y20">
    <cfRule type="expression" dxfId="835" priority="48" stopIfTrue="1">
      <formula>IF(AK8&gt;7,0,1)</formula>
    </cfRule>
  </conditionalFormatting>
  <conditionalFormatting sqref="Z20:AB20">
    <cfRule type="expression" dxfId="834" priority="49" stopIfTrue="1">
      <formula>IF(AK8&gt;8,0,1)</formula>
    </cfRule>
  </conditionalFormatting>
  <conditionalFormatting sqref="AC20:AE20">
    <cfRule type="expression" dxfId="833" priority="50" stopIfTrue="1">
      <formula>IF(AK8&gt;9,0,1)</formula>
    </cfRule>
  </conditionalFormatting>
  <conditionalFormatting sqref="E22:G22">
    <cfRule type="expression" dxfId="832" priority="51" stopIfTrue="1">
      <formula>IF(AK8&gt;1,0,1)</formula>
    </cfRule>
  </conditionalFormatting>
  <conditionalFormatting sqref="H22:J22">
    <cfRule type="expression" dxfId="831" priority="52" stopIfTrue="1">
      <formula>IF(AK8&gt;2,0,1)</formula>
    </cfRule>
  </conditionalFormatting>
  <conditionalFormatting sqref="K22:M22">
    <cfRule type="expression" dxfId="830" priority="53" stopIfTrue="1">
      <formula>IF(AK8&gt;3,0,1)</formula>
    </cfRule>
  </conditionalFormatting>
  <conditionalFormatting sqref="N22:P22">
    <cfRule type="expression" dxfId="829" priority="54" stopIfTrue="1">
      <formula>IF(AK8&gt;4,0,1)</formula>
    </cfRule>
  </conditionalFormatting>
  <conditionalFormatting sqref="Q22:S22">
    <cfRule type="expression" dxfId="828" priority="55" stopIfTrue="1">
      <formula>IF(AK8&gt;5,0,1)</formula>
    </cfRule>
  </conditionalFormatting>
  <conditionalFormatting sqref="T22:V22">
    <cfRule type="expression" dxfId="827" priority="56" stopIfTrue="1">
      <formula>IF(AK8&gt;6,0,1)</formula>
    </cfRule>
  </conditionalFormatting>
  <conditionalFormatting sqref="W22:Y22">
    <cfRule type="expression" dxfId="826" priority="57" stopIfTrue="1">
      <formula>IF(AK8&gt;7,0,1)</formula>
    </cfRule>
  </conditionalFormatting>
  <conditionalFormatting sqref="Z22:AB22">
    <cfRule type="expression" dxfId="825" priority="58" stopIfTrue="1">
      <formula>IF(AK8&gt;8,0,1)</formula>
    </cfRule>
  </conditionalFormatting>
  <conditionalFormatting sqref="AC22:AE22">
    <cfRule type="expression" dxfId="824" priority="59" stopIfTrue="1">
      <formula>IF(AK8&gt;9,0,1)</formula>
    </cfRule>
  </conditionalFormatting>
  <conditionalFormatting sqref="E23:G23">
    <cfRule type="expression" dxfId="823" priority="60" stopIfTrue="1">
      <formula>IF(AK8&gt;1,0,1)</formula>
    </cfRule>
  </conditionalFormatting>
  <conditionalFormatting sqref="H23:J23">
    <cfRule type="expression" dxfId="822" priority="61" stopIfTrue="1">
      <formula>IF(AK8&gt;2,0,1)</formula>
    </cfRule>
  </conditionalFormatting>
  <conditionalFormatting sqref="K23:M23">
    <cfRule type="expression" dxfId="821" priority="62" stopIfTrue="1">
      <formula>IF(AK8&gt;3,0,1)</formula>
    </cfRule>
  </conditionalFormatting>
  <conditionalFormatting sqref="N23:P23">
    <cfRule type="expression" dxfId="820" priority="63" stopIfTrue="1">
      <formula>IF(AK8&gt;4,0,1)</formula>
    </cfRule>
  </conditionalFormatting>
  <conditionalFormatting sqref="Q23:S23">
    <cfRule type="expression" dxfId="819" priority="64" stopIfTrue="1">
      <formula>IF(AK8&gt;5,0,1)</formula>
    </cfRule>
  </conditionalFormatting>
  <conditionalFormatting sqref="T23:V23">
    <cfRule type="expression" dxfId="818" priority="65" stopIfTrue="1">
      <formula>IF(AK8&gt;6,0,1)</formula>
    </cfRule>
  </conditionalFormatting>
  <conditionalFormatting sqref="W23:Y23">
    <cfRule type="expression" dxfId="817" priority="66" stopIfTrue="1">
      <formula>IF(AK8&gt;7,0,1)</formula>
    </cfRule>
  </conditionalFormatting>
  <conditionalFormatting sqref="Z23:AB23">
    <cfRule type="expression" dxfId="816" priority="67" stopIfTrue="1">
      <formula>IF(AK8&gt;8,0,1)</formula>
    </cfRule>
  </conditionalFormatting>
  <conditionalFormatting sqref="AC23:AE23">
    <cfRule type="expression" dxfId="815" priority="68" stopIfTrue="1">
      <formula>IF(AK8&gt;9,0,1)</formula>
    </cfRule>
  </conditionalFormatting>
  <conditionalFormatting sqref="B24">
    <cfRule type="expression" dxfId="814" priority="69" stopIfTrue="1">
      <formula>IF(AK8&gt;0,0,1)</formula>
    </cfRule>
  </conditionalFormatting>
  <conditionalFormatting sqref="C24">
    <cfRule type="expression" dxfId="813" priority="70" stopIfTrue="1">
      <formula>IF(AK8&gt;0,0,1)</formula>
    </cfRule>
  </conditionalFormatting>
  <conditionalFormatting sqref="D24">
    <cfRule type="expression" dxfId="812" priority="71" stopIfTrue="1">
      <formula>IF(AK8&gt;0,0,1)</formula>
    </cfRule>
  </conditionalFormatting>
  <conditionalFormatting sqref="E24">
    <cfRule type="expression" dxfId="811" priority="72" stopIfTrue="1">
      <formula>IF(AK8&gt;1,0,1)</formula>
    </cfRule>
  </conditionalFormatting>
  <conditionalFormatting sqref="F24">
    <cfRule type="expression" dxfId="810" priority="73" stopIfTrue="1">
      <formula>IF(AK8&gt;1,0,1)</formula>
    </cfRule>
  </conditionalFormatting>
  <conditionalFormatting sqref="G24">
    <cfRule type="expression" dxfId="809" priority="74" stopIfTrue="1">
      <formula>IF(AK8&gt;1,0,1)</formula>
    </cfRule>
  </conditionalFormatting>
  <conditionalFormatting sqref="H24">
    <cfRule type="expression" dxfId="808" priority="75" stopIfTrue="1">
      <formula>IF(AK8&gt;2,0,1)</formula>
    </cfRule>
  </conditionalFormatting>
  <conditionalFormatting sqref="I24">
    <cfRule type="expression" dxfId="807" priority="76" stopIfTrue="1">
      <formula>IF(AK8&gt;2,0,1)</formula>
    </cfRule>
  </conditionalFormatting>
  <conditionalFormatting sqref="J24">
    <cfRule type="expression" dxfId="806" priority="77" stopIfTrue="1">
      <formula>IF(AK8&gt;2,0,1)</formula>
    </cfRule>
  </conditionalFormatting>
  <conditionalFormatting sqref="K24">
    <cfRule type="expression" dxfId="805" priority="78" stopIfTrue="1">
      <formula>IF(AK8&gt;3,0,1)</formula>
    </cfRule>
  </conditionalFormatting>
  <conditionalFormatting sqref="L24">
    <cfRule type="expression" dxfId="804" priority="79" stopIfTrue="1">
      <formula>IF(AK8&gt;3,0,1)</formula>
    </cfRule>
  </conditionalFormatting>
  <conditionalFormatting sqref="M24">
    <cfRule type="expression" dxfId="803" priority="80" stopIfTrue="1">
      <formula>IF(AK8&gt;3,0,1)</formula>
    </cfRule>
  </conditionalFormatting>
  <conditionalFormatting sqref="N24">
    <cfRule type="expression" dxfId="802" priority="81" stopIfTrue="1">
      <formula>IF(AK8&gt;4,0,1)</formula>
    </cfRule>
  </conditionalFormatting>
  <conditionalFormatting sqref="O24">
    <cfRule type="expression" dxfId="801" priority="82" stopIfTrue="1">
      <formula>IF(AK8&gt;4,0,1)</formula>
    </cfRule>
  </conditionalFormatting>
  <conditionalFormatting sqref="P24">
    <cfRule type="expression" dxfId="800" priority="83" stopIfTrue="1">
      <formula>IF(AK8&gt;4,0,1)</formula>
    </cfRule>
  </conditionalFormatting>
  <conditionalFormatting sqref="Q24">
    <cfRule type="expression" dxfId="799" priority="84" stopIfTrue="1">
      <formula>IF(AK8&gt;5,0,1)</formula>
    </cfRule>
  </conditionalFormatting>
  <conditionalFormatting sqref="R24">
    <cfRule type="expression" dxfId="798" priority="85" stopIfTrue="1">
      <formula>IF(AK8&gt;5,0,1)</formula>
    </cfRule>
  </conditionalFormatting>
  <conditionalFormatting sqref="S24">
    <cfRule type="expression" dxfId="797" priority="86" stopIfTrue="1">
      <formula>IF(AK8&gt;5,0,1)</formula>
    </cfRule>
  </conditionalFormatting>
  <conditionalFormatting sqref="T24">
    <cfRule type="expression" dxfId="796" priority="87" stopIfTrue="1">
      <formula>IF(AK8&gt;6,0,1)</formula>
    </cfRule>
  </conditionalFormatting>
  <conditionalFormatting sqref="U24">
    <cfRule type="expression" dxfId="795" priority="88" stopIfTrue="1">
      <formula>IF(AK8&gt;6,0,1)</formula>
    </cfRule>
  </conditionalFormatting>
  <conditionalFormatting sqref="V24">
    <cfRule type="expression" dxfId="794" priority="89" stopIfTrue="1">
      <formula>IF(AK8&gt;6,0,1)</formula>
    </cfRule>
  </conditionalFormatting>
  <conditionalFormatting sqref="W24">
    <cfRule type="expression" dxfId="793" priority="90" stopIfTrue="1">
      <formula>IF(AK8&gt;7,0,1)</formula>
    </cfRule>
  </conditionalFormatting>
  <conditionalFormatting sqref="X24">
    <cfRule type="expression" dxfId="792" priority="91" stopIfTrue="1">
      <formula>IF(AK8&gt;7,0,1)</formula>
    </cfRule>
  </conditionalFormatting>
  <conditionalFormatting sqref="Y24">
    <cfRule type="expression" dxfId="791" priority="92" stopIfTrue="1">
      <formula>IF(AK8&gt;7,0,1)</formula>
    </cfRule>
  </conditionalFormatting>
  <conditionalFormatting sqref="Z24">
    <cfRule type="expression" dxfId="790" priority="93" stopIfTrue="1">
      <formula>IF(AK8&gt;8,0,1)</formula>
    </cfRule>
  </conditionalFormatting>
  <conditionalFormatting sqref="AA24">
    <cfRule type="expression" dxfId="789" priority="94" stopIfTrue="1">
      <formula>IF(AK8&gt;8,0,1)</formula>
    </cfRule>
  </conditionalFormatting>
  <conditionalFormatting sqref="AB24">
    <cfRule type="expression" dxfId="788" priority="95" stopIfTrue="1">
      <formula>IF(AK8&gt;8,0,1)</formula>
    </cfRule>
  </conditionalFormatting>
  <conditionalFormatting sqref="AC24">
    <cfRule type="expression" dxfId="787" priority="96" stopIfTrue="1">
      <formula>IF(AK8&gt;9,0,1)</formula>
    </cfRule>
  </conditionalFormatting>
  <conditionalFormatting sqref="AD24">
    <cfRule type="expression" dxfId="786" priority="97" stopIfTrue="1">
      <formula>IF(AK8&gt;9,0,1)</formula>
    </cfRule>
  </conditionalFormatting>
  <conditionalFormatting sqref="AE24">
    <cfRule type="expression" dxfId="785" priority="98" stopIfTrue="1">
      <formula>IF(AK8&gt;9,0,1)</formula>
    </cfRule>
  </conditionalFormatting>
  <conditionalFormatting sqref="A26">
    <cfRule type="expression" dxfId="784" priority="99" stopIfTrue="1">
      <formula>IF(AK7&gt;1,0,1)</formula>
    </cfRule>
  </conditionalFormatting>
  <conditionalFormatting sqref="A27">
    <cfRule type="expression" dxfId="783" priority="100" stopIfTrue="1">
      <formula>IF(AK7&gt;2,0,1)</formula>
    </cfRule>
  </conditionalFormatting>
  <conditionalFormatting sqref="A28">
    <cfRule type="expression" dxfId="782" priority="101" stopIfTrue="1">
      <formula>IF(AK7&gt;3,0,1)</formula>
    </cfRule>
  </conditionalFormatting>
  <conditionalFormatting sqref="A29">
    <cfRule type="expression" dxfId="781" priority="102" stopIfTrue="1">
      <formula>IF(AK7&gt;4,0,1)</formula>
    </cfRule>
  </conditionalFormatting>
  <conditionalFormatting sqref="B25:D25">
    <cfRule type="expression" dxfId="780" priority="103" stopIfTrue="1">
      <formula>IF($AK8&gt;0,0,1)</formula>
    </cfRule>
  </conditionalFormatting>
  <conditionalFormatting sqref="B26:D26">
    <cfRule type="expression" dxfId="779" priority="104" stopIfTrue="1">
      <formula>IF($AK8&lt;1,1,IF($AK7&lt;2,1,0))</formula>
    </cfRule>
  </conditionalFormatting>
  <conditionalFormatting sqref="B27:D27">
    <cfRule type="expression" dxfId="778" priority="105" stopIfTrue="1">
      <formula>IF($AK8&lt;1,1,IF($AK7&lt;3,1,0))</formula>
    </cfRule>
  </conditionalFormatting>
  <conditionalFormatting sqref="B28:D28">
    <cfRule type="expression" dxfId="777" priority="106" stopIfTrue="1">
      <formula>IF($AK8&lt;1,1,IF($AK7&lt;4,1,0))</formula>
    </cfRule>
  </conditionalFormatting>
  <conditionalFormatting sqref="B29:D29">
    <cfRule type="expression" dxfId="776" priority="107" stopIfTrue="1">
      <formula>IF($AK8&lt;1,1,IF($AK7&lt;5,1,0))</formula>
    </cfRule>
  </conditionalFormatting>
  <conditionalFormatting sqref="AF26">
    <cfRule type="expression" dxfId="775" priority="108" stopIfTrue="1">
      <formula>IF($AK9&gt;2,0,1)</formula>
    </cfRule>
  </conditionalFormatting>
  <conditionalFormatting sqref="AF25">
    <cfRule type="expression" dxfId="774" priority="109" stopIfTrue="1">
      <formula>IF($AK9&gt;1,0,1)</formula>
    </cfRule>
  </conditionalFormatting>
  <conditionalFormatting sqref="AF24">
    <cfRule type="expression" dxfId="773" priority="110" stopIfTrue="1">
      <formula>IF($AK9&gt;0,0,1)</formula>
    </cfRule>
  </conditionalFormatting>
  <conditionalFormatting sqref="AF27">
    <cfRule type="expression" dxfId="772" priority="111" stopIfTrue="1">
      <formula>IF($AK9&gt;3,0,1)</formula>
    </cfRule>
  </conditionalFormatting>
  <conditionalFormatting sqref="AF28">
    <cfRule type="expression" dxfId="771" priority="112" stopIfTrue="1">
      <formula>IF($AK9&gt;4,0,1)</formula>
    </cfRule>
  </conditionalFormatting>
  <conditionalFormatting sqref="AG23">
    <cfRule type="expression" dxfId="770" priority="113" stopIfTrue="1">
      <formula>IF($AK8&lt;1,1,0)</formula>
    </cfRule>
  </conditionalFormatting>
  <conditionalFormatting sqref="AH23">
    <cfRule type="expression" dxfId="769" priority="114" stopIfTrue="1">
      <formula>IF($AK8&lt;2,1,0)</formula>
    </cfRule>
  </conditionalFormatting>
  <conditionalFormatting sqref="AI23">
    <cfRule type="expression" dxfId="768" priority="115" stopIfTrue="1">
      <formula>IF($AK8&lt;3,1,0)</formula>
    </cfRule>
  </conditionalFormatting>
  <conditionalFormatting sqref="AJ23">
    <cfRule type="expression" dxfId="767" priority="116" stopIfTrue="1">
      <formula>IF($AK8&lt;4,1,0)</formula>
    </cfRule>
  </conditionalFormatting>
  <conditionalFormatting sqref="AK23">
    <cfRule type="expression" dxfId="766" priority="117" stopIfTrue="1">
      <formula>IF($AK8&lt;5,1,0)</formula>
    </cfRule>
  </conditionalFormatting>
  <conditionalFormatting sqref="AL23">
    <cfRule type="expression" dxfId="765" priority="118" stopIfTrue="1">
      <formula>IF($AK8&lt;6,1,0)</formula>
    </cfRule>
  </conditionalFormatting>
  <conditionalFormatting sqref="AM23">
    <cfRule type="expression" dxfId="764" priority="119" stopIfTrue="1">
      <formula>IF($AK8&lt;7,1,0)</formula>
    </cfRule>
  </conditionalFormatting>
  <conditionalFormatting sqref="AN23">
    <cfRule type="expression" dxfId="763" priority="120" stopIfTrue="1">
      <formula>IF($AK8&lt;8,1,0)</formula>
    </cfRule>
  </conditionalFormatting>
  <conditionalFormatting sqref="AO23">
    <cfRule type="expression" dxfId="762" priority="121" stopIfTrue="1">
      <formula>IF($AK8&lt;9,1,0)</formula>
    </cfRule>
  </conditionalFormatting>
  <conditionalFormatting sqref="AP23">
    <cfRule type="expression" dxfId="761" priority="122" stopIfTrue="1">
      <formula>IF($AK8&lt;10,1,0)</formula>
    </cfRule>
  </conditionalFormatting>
  <conditionalFormatting sqref="AQ24">
    <cfRule type="expression" dxfId="760" priority="123" stopIfTrue="1">
      <formula>IF($AK9&gt;0,0,1)</formula>
    </cfRule>
  </conditionalFormatting>
  <conditionalFormatting sqref="AQ25">
    <cfRule type="expression" dxfId="759" priority="124" stopIfTrue="1">
      <formula>IF($AK9&gt;1,0,1)</formula>
    </cfRule>
  </conditionalFormatting>
  <conditionalFormatting sqref="AQ26 H25:J25">
    <cfRule type="expression" dxfId="758" priority="125" stopIfTrue="1">
      <formula>IF($AK8&gt;2,0,1)</formula>
    </cfRule>
  </conditionalFormatting>
  <conditionalFormatting sqref="AQ27">
    <cfRule type="expression" dxfId="757" priority="126" stopIfTrue="1">
      <formula>IF($AK9&gt;3,0,1)</formula>
    </cfRule>
  </conditionalFormatting>
  <conditionalFormatting sqref="AQ28">
    <cfRule type="expression" dxfId="756" priority="127" stopIfTrue="1">
      <formula>IF($AK9&gt;4,0,1)</formula>
    </cfRule>
  </conditionalFormatting>
  <conditionalFormatting sqref="E25:G25">
    <cfRule type="expression" dxfId="755" priority="128" stopIfTrue="1">
      <formula>IF($AK8&gt;1,0,1)</formula>
    </cfRule>
  </conditionalFormatting>
  <conditionalFormatting sqref="E26:G26">
    <cfRule type="expression" dxfId="754" priority="129" stopIfTrue="1">
      <formula>IF($AK8&lt;2,1,IF($AK7&lt;2,1,0))</formula>
    </cfRule>
  </conditionalFormatting>
  <conditionalFormatting sqref="E27:G27">
    <cfRule type="expression" dxfId="753" priority="130" stopIfTrue="1">
      <formula>IF($AK8&lt;2,1,IF($AK7&lt;3,1,0))</formula>
    </cfRule>
  </conditionalFormatting>
  <conditionalFormatting sqref="E28:G28">
    <cfRule type="expression" dxfId="752" priority="131" stopIfTrue="1">
      <formula>IF($AK8&lt;2,1,IF($AK7&lt;4,1,0))</formula>
    </cfRule>
  </conditionalFormatting>
  <conditionalFormatting sqref="E29:G29">
    <cfRule type="expression" dxfId="751" priority="132" stopIfTrue="1">
      <formula>IF($AK8&lt;2,1,IF($AK7&lt;5,1,0))</formula>
    </cfRule>
  </conditionalFormatting>
  <conditionalFormatting sqref="K25:M25">
    <cfRule type="expression" dxfId="750" priority="133" stopIfTrue="1">
      <formula>IF($AK8&gt;3,0,1)</formula>
    </cfRule>
  </conditionalFormatting>
  <conditionalFormatting sqref="N25:P25">
    <cfRule type="expression" dxfId="749" priority="134" stopIfTrue="1">
      <formula>IF($AK8&gt;4,0,1)</formula>
    </cfRule>
  </conditionalFormatting>
  <conditionalFormatting sqref="Q25:S25">
    <cfRule type="expression" dxfId="748" priority="135" stopIfTrue="1">
      <formula>IF($AK8&gt;5,0,1)</formula>
    </cfRule>
  </conditionalFormatting>
  <conditionalFormatting sqref="T25:V25">
    <cfRule type="expression" dxfId="747" priority="136" stopIfTrue="1">
      <formula>IF($AK8&gt;6,0,1)</formula>
    </cfRule>
  </conditionalFormatting>
  <conditionalFormatting sqref="W25:Y25">
    <cfRule type="expression" dxfId="746" priority="137" stopIfTrue="1">
      <formula>IF($AK8&gt;7,0,1)</formula>
    </cfRule>
  </conditionalFormatting>
  <conditionalFormatting sqref="Z25:AB25">
    <cfRule type="expression" dxfId="745" priority="138" stopIfTrue="1">
      <formula>IF($AK8&gt;8,0,1)</formula>
    </cfRule>
  </conditionalFormatting>
  <conditionalFormatting sqref="AC25:AE25">
    <cfRule type="expression" dxfId="744" priority="139" stopIfTrue="1">
      <formula>IF($AK8&gt;9,0,1)</formula>
    </cfRule>
  </conditionalFormatting>
  <conditionalFormatting sqref="H26:J26">
    <cfRule type="expression" dxfId="743" priority="140" stopIfTrue="1">
      <formula>IF($AK8&lt;3,1,IF($AK7&lt;2,1,0))</formula>
    </cfRule>
  </conditionalFormatting>
  <conditionalFormatting sqref="K26:M26">
    <cfRule type="expression" dxfId="742" priority="141" stopIfTrue="1">
      <formula>IF($AK8&lt;4,1,IF($AK7&lt;2,1,0))</formula>
    </cfRule>
  </conditionalFormatting>
  <conditionalFormatting sqref="N26:P26">
    <cfRule type="expression" dxfId="741" priority="142" stopIfTrue="1">
      <formula>IF($AK8&lt;5,1,IF($AK7&lt;2,1,0))</formula>
    </cfRule>
  </conditionalFormatting>
  <conditionalFormatting sqref="Q26:S26">
    <cfRule type="expression" dxfId="740" priority="143" stopIfTrue="1">
      <formula>IF($AK8&lt;6,1,IF($AK7&lt;2,1,0))</formula>
    </cfRule>
  </conditionalFormatting>
  <conditionalFormatting sqref="T26:V26">
    <cfRule type="expression" dxfId="739" priority="144" stopIfTrue="1">
      <formula>IF($AK8&lt;7,1,IF($AK7&lt;2,1,0))</formula>
    </cfRule>
  </conditionalFormatting>
  <conditionalFormatting sqref="W26:Y26">
    <cfRule type="expression" dxfId="738" priority="145" stopIfTrue="1">
      <formula>IF($AK8&lt;8,1,IF($AK7&lt;2,1,0))</formula>
    </cfRule>
  </conditionalFormatting>
  <conditionalFormatting sqref="Z26:AB26">
    <cfRule type="expression" dxfId="737" priority="146" stopIfTrue="1">
      <formula>IF($AK8&lt;9,1,IF($AK7&lt;2,1,0))</formula>
    </cfRule>
  </conditionalFormatting>
  <conditionalFormatting sqref="AC26:AE26">
    <cfRule type="expression" dxfId="736" priority="147" stopIfTrue="1">
      <formula>IF($AK8&lt;10,1,IF($AK7&lt;2,1,0))</formula>
    </cfRule>
  </conditionalFormatting>
  <conditionalFormatting sqref="H27:J27">
    <cfRule type="expression" dxfId="735" priority="148" stopIfTrue="1">
      <formula>IF($AK8&lt;3,1,IF($AK7&lt;3,1,0))</formula>
    </cfRule>
  </conditionalFormatting>
  <conditionalFormatting sqref="K27:M27">
    <cfRule type="expression" dxfId="734" priority="149" stopIfTrue="1">
      <formula>IF($AK8&lt;4,1,IF($AK7&lt;3,1,0))</formula>
    </cfRule>
  </conditionalFormatting>
  <conditionalFormatting sqref="N27:P27">
    <cfRule type="expression" dxfId="733" priority="150" stopIfTrue="1">
      <formula>IF($AK8&lt;5,1,IF($AK7&lt;3,1,0))</formula>
    </cfRule>
  </conditionalFormatting>
  <conditionalFormatting sqref="Q27:S27">
    <cfRule type="expression" dxfId="732" priority="151" stopIfTrue="1">
      <formula>IF($AK8&lt;6,1,IF($AK7&lt;3,1,0))</formula>
    </cfRule>
  </conditionalFormatting>
  <conditionalFormatting sqref="T27:V27">
    <cfRule type="expression" dxfId="731" priority="152" stopIfTrue="1">
      <formula>IF($AK8&lt;7,1,IF($AK7&lt;3,1,0))</formula>
    </cfRule>
  </conditionalFormatting>
  <conditionalFormatting sqref="W27:Y27">
    <cfRule type="expression" dxfId="730" priority="153" stopIfTrue="1">
      <formula>IF($AK8&lt;8,1,IF($AK7&lt;3,1,0))</formula>
    </cfRule>
  </conditionalFormatting>
  <conditionalFormatting sqref="Z27:AB27">
    <cfRule type="expression" dxfId="729" priority="154" stopIfTrue="1">
      <formula>IF($AK8&lt;9,1,IF($AK7&lt;3,1,0))</formula>
    </cfRule>
  </conditionalFormatting>
  <conditionalFormatting sqref="AC27:AE27">
    <cfRule type="expression" dxfId="728" priority="155" stopIfTrue="1">
      <formula>IF($AK8&lt;10,1,IF($AK7&lt;3,1,0))</formula>
    </cfRule>
  </conditionalFormatting>
  <conditionalFormatting sqref="H28:J28">
    <cfRule type="expression" dxfId="727" priority="156" stopIfTrue="1">
      <formula>IF($AK8&lt;3,1,IF($AK7&lt;4,1,0))</formula>
    </cfRule>
  </conditionalFormatting>
  <conditionalFormatting sqref="K28:M28">
    <cfRule type="expression" dxfId="726" priority="157" stopIfTrue="1">
      <formula>IF($AK8&lt;4,1,IF($AK7&lt;4,1,0))</formula>
    </cfRule>
  </conditionalFormatting>
  <conditionalFormatting sqref="N28:P28">
    <cfRule type="expression" dxfId="725" priority="158" stopIfTrue="1">
      <formula>IF($AK8&lt;5,1,IF($AK7&lt;4,1,0))</formula>
    </cfRule>
  </conditionalFormatting>
  <conditionalFormatting sqref="Q28:S28">
    <cfRule type="expression" dxfId="724" priority="159" stopIfTrue="1">
      <formula>IF($AK8&lt;6,1,IF($AK7&lt;4,1,0))</formula>
    </cfRule>
  </conditionalFormatting>
  <conditionalFormatting sqref="T28:V28">
    <cfRule type="expression" dxfId="723" priority="160" stopIfTrue="1">
      <formula>IF($AK8&lt;7,1,IF($AK7&lt;4,1,0))</formula>
    </cfRule>
  </conditionalFormatting>
  <conditionalFormatting sqref="W28:Y28">
    <cfRule type="expression" dxfId="722" priority="161" stopIfTrue="1">
      <formula>IF($AK8&lt;8,1,IF($AK7&lt;4,1,0))</formula>
    </cfRule>
  </conditionalFormatting>
  <conditionalFormatting sqref="Z28:AB28">
    <cfRule type="expression" dxfId="721" priority="162" stopIfTrue="1">
      <formula>IF($AK8&lt;9,1,IF($AK7&lt;4,1,0))</formula>
    </cfRule>
  </conditionalFormatting>
  <conditionalFormatting sqref="AC28:AE28">
    <cfRule type="expression" dxfId="720" priority="163" stopIfTrue="1">
      <formula>IF($AK8&lt;10,1,IF($AK7&lt;4,1,0))</formula>
    </cfRule>
  </conditionalFormatting>
  <conditionalFormatting sqref="H29:J29">
    <cfRule type="expression" dxfId="719" priority="164" stopIfTrue="1">
      <formula>IF($AK8&lt;3,1,IF($AK7&lt;5,1,0))</formula>
    </cfRule>
  </conditionalFormatting>
  <conditionalFormatting sqref="K29:M29">
    <cfRule type="expression" dxfId="718" priority="165" stopIfTrue="1">
      <formula>IF($AK8&lt;4,1,IF($AK7&lt;5,1,0))</formula>
    </cfRule>
  </conditionalFormatting>
  <conditionalFormatting sqref="N29:P29">
    <cfRule type="expression" dxfId="717" priority="166" stopIfTrue="1">
      <formula>IF($AK8&lt;5,1,IF($AK7&lt;5,1,0))</formula>
    </cfRule>
  </conditionalFormatting>
  <conditionalFormatting sqref="Q29:S29">
    <cfRule type="expression" dxfId="716" priority="167" stopIfTrue="1">
      <formula>IF($AK8&lt;6,1,IF($AK7&lt;5,1,0))</formula>
    </cfRule>
  </conditionalFormatting>
  <conditionalFormatting sqref="T29:V29">
    <cfRule type="expression" dxfId="715" priority="168" stopIfTrue="1">
      <formula>IF($AK8&lt;7,1,IF($AK7&lt;5,1,0))</formula>
    </cfRule>
  </conditionalFormatting>
  <conditionalFormatting sqref="W29:Y29">
    <cfRule type="expression" dxfId="714" priority="169" stopIfTrue="1">
      <formula>IF($AK8&lt;8,1,IF($AK7&lt;5,1,0))</formula>
    </cfRule>
  </conditionalFormatting>
  <conditionalFormatting sqref="Z29:AB29">
    <cfRule type="expression" dxfId="713" priority="170" stopIfTrue="1">
      <formula>IF($AK8&lt;9,1,IF($AK7&lt;5,1,0))</formula>
    </cfRule>
  </conditionalFormatting>
  <conditionalFormatting sqref="AC29:AE29">
    <cfRule type="expression" dxfId="712" priority="171" stopIfTrue="1">
      <formula>IF($AK8&lt;10,1,IF($AK7&lt;5,1,0))</formula>
    </cfRule>
  </conditionalFormatting>
  <conditionalFormatting sqref="R8:AB9 AF8:AF9 L8:P9 AG8">
    <cfRule type="expression" dxfId="711" priority="172" stopIfTrue="1">
      <formula>IF($AK9&gt;0,0,1)</formula>
    </cfRule>
  </conditionalFormatting>
  <conditionalFormatting sqref="R10:AB11 AF10:AF11 L10:P11 AG10">
    <cfRule type="expression" dxfId="710" priority="173" stopIfTrue="1">
      <formula>IF($AK9&gt;1,0,1)</formula>
    </cfRule>
  </conditionalFormatting>
  <conditionalFormatting sqref="R12:AB13 AF12:AF13 L12:P13 AG12">
    <cfRule type="expression" dxfId="709" priority="174" stopIfTrue="1">
      <formula>IF($AK9&gt;2,0,1)</formula>
    </cfRule>
  </conditionalFormatting>
  <conditionalFormatting sqref="R14:AB15 AF14:AF15 L14:P15 AG14">
    <cfRule type="expression" dxfId="708" priority="175" stopIfTrue="1">
      <formula>IF($AK9&gt;3,0,1)</formula>
    </cfRule>
  </conditionalFormatting>
  <conditionalFormatting sqref="R16:AB17 AF16:AF17 L16:P17 AG16">
    <cfRule type="expression" dxfId="707" priority="176" stopIfTrue="1">
      <formula>IF($AK9&gt;4,0,1)</formula>
    </cfRule>
  </conditionalFormatting>
  <conditionalFormatting sqref="E8">
    <cfRule type="expression" dxfId="706" priority="177" stopIfTrue="1">
      <formula>IF(AK9&gt;0,0,1)</formula>
    </cfRule>
  </conditionalFormatting>
  <conditionalFormatting sqref="E9">
    <cfRule type="expression" dxfId="705" priority="178" stopIfTrue="1">
      <formula>IF(AK9&gt;0,0,1)</formula>
    </cfRule>
  </conditionalFormatting>
  <conditionalFormatting sqref="E10">
    <cfRule type="expression" dxfId="704" priority="179" stopIfTrue="1">
      <formula>IF(AK9&gt;1,0,1)</formula>
    </cfRule>
  </conditionalFormatting>
  <conditionalFormatting sqref="E11">
    <cfRule type="expression" dxfId="703" priority="180" stopIfTrue="1">
      <formula>IF(AK9&gt;1,0,1)</formula>
    </cfRule>
  </conditionalFormatting>
  <conditionalFormatting sqref="E12">
    <cfRule type="expression" dxfId="702" priority="181" stopIfTrue="1">
      <formula>IF(AK9&gt;2,0,1)</formula>
    </cfRule>
  </conditionalFormatting>
  <conditionalFormatting sqref="E13">
    <cfRule type="expression" dxfId="701" priority="182" stopIfTrue="1">
      <formula>IF(AK9&gt;2,0,1)</formula>
    </cfRule>
  </conditionalFormatting>
  <conditionalFormatting sqref="E14">
    <cfRule type="expression" dxfId="700" priority="183" stopIfTrue="1">
      <formula>IF(AK9&gt;3,0,1)</formula>
    </cfRule>
  </conditionalFormatting>
  <conditionalFormatting sqref="E15">
    <cfRule type="expression" dxfId="699" priority="184" stopIfTrue="1">
      <formula>IF(AK9&gt;3,0,1)</formula>
    </cfRule>
  </conditionalFormatting>
  <conditionalFormatting sqref="E16">
    <cfRule type="expression" dxfId="698" priority="185" stopIfTrue="1">
      <formula>IF(AK9&gt;4,0,1)</formula>
    </cfRule>
  </conditionalFormatting>
  <conditionalFormatting sqref="E17">
    <cfRule type="expression" dxfId="697" priority="186" stopIfTrue="1">
      <formula>IF(AK9&gt;4,0,1)</formula>
    </cfRule>
  </conditionalFormatting>
  <conditionalFormatting sqref="B21:D21">
    <cfRule type="expression" dxfId="696" priority="187" stopIfTrue="1">
      <formula>IF(AK8&gt;0,0,1)</formula>
    </cfRule>
  </conditionalFormatting>
  <conditionalFormatting sqref="E21:G21">
    <cfRule type="expression" dxfId="695" priority="188" stopIfTrue="1">
      <formula>IF(AK8&gt;1,0,1)</formula>
    </cfRule>
  </conditionalFormatting>
  <conditionalFormatting sqref="H21:J21">
    <cfRule type="expression" dxfId="694" priority="189" stopIfTrue="1">
      <formula>IF(AK8&gt;2,0,1)</formula>
    </cfRule>
  </conditionalFormatting>
  <conditionalFormatting sqref="K21:M21">
    <cfRule type="expression" dxfId="693" priority="190" stopIfTrue="1">
      <formula>IF(AK8&gt;3,0,1)</formula>
    </cfRule>
  </conditionalFormatting>
  <conditionalFormatting sqref="N21:P21">
    <cfRule type="expression" dxfId="692" priority="191" stopIfTrue="1">
      <formula>IF(AK8&gt;4,0,1)</formula>
    </cfRule>
  </conditionalFormatting>
  <conditionalFormatting sqref="Q21:S21">
    <cfRule type="expression" dxfId="691" priority="192" stopIfTrue="1">
      <formula>IF(AK8&gt;5,0,1)</formula>
    </cfRule>
  </conditionalFormatting>
  <conditionalFormatting sqref="T21:V21">
    <cfRule type="expression" dxfId="690" priority="193" stopIfTrue="1">
      <formula>IF(AK8&gt;6,0,1)</formula>
    </cfRule>
  </conditionalFormatting>
  <conditionalFormatting sqref="W21:Y21">
    <cfRule type="expression" dxfId="689" priority="194" stopIfTrue="1">
      <formula>IF(AK8&gt;7,0,1)</formula>
    </cfRule>
  </conditionalFormatting>
  <conditionalFormatting sqref="Z21:AB21">
    <cfRule type="expression" dxfId="688" priority="195" stopIfTrue="1">
      <formula>IF(AK8&gt;8,0,1)</formula>
    </cfRule>
  </conditionalFormatting>
  <conditionalFormatting sqref="AC21:AE21">
    <cfRule type="expression" dxfId="687" priority="196" stopIfTrue="1">
      <formula>IF(AK8&gt;9,0,1)</formula>
    </cfRule>
  </conditionalFormatting>
  <conditionalFormatting sqref="X138:X139 W129:W130 X129:Y129 W132:Y137 Z133:AE136 AA137:AA139 I137:I139 C138:C139 B129:B130 C129:D129 B132:D137 E133:J136 F137:F139 AD137:AD139">
    <cfRule type="expression" dxfId="686" priority="197" stopIfTrue="1">
      <formula>IF(#REF!&gt;0,0,1)</formula>
    </cfRule>
  </conditionalFormatting>
  <conditionalFormatting sqref="AA129:AB129 AB137 AA132:AB132 Z137 Z129:Z132 F129:G129 G137 F132:G132 E137 E129:E132 T140:AE147">
    <cfRule type="expression" dxfId="685" priority="198" stopIfTrue="1">
      <formula>IF(#REF!&gt;1,0,1)</formula>
    </cfRule>
  </conditionalFormatting>
  <conditionalFormatting sqref="AC129:AC132 AD129:AE129 AE137 AD132:AE132 AC137 H137 H129:H132 I129:J129 J137 I132:J132">
    <cfRule type="expression" dxfId="684" priority="199" stopIfTrue="1">
      <formula>IF(#REF!&gt;2,0,1)</formula>
    </cfRule>
  </conditionalFormatting>
  <conditionalFormatting sqref="W138 Y138 B138 D138">
    <cfRule type="expression" dxfId="683" priority="200" stopIfTrue="1">
      <formula>IF(#REF!&lt;1,1,IF(#REF!&lt;2,1,0))</formula>
    </cfRule>
  </conditionalFormatting>
  <conditionalFormatting sqref="Z138 AB138 E138 G138">
    <cfRule type="expression" dxfId="682" priority="201" stopIfTrue="1">
      <formula>IF(#REF!&lt;2,1,IF(#REF!&lt;2,1,0))</formula>
    </cfRule>
  </conditionalFormatting>
  <conditionalFormatting sqref="AC138 AE138 H138 J138">
    <cfRule type="expression" dxfId="681" priority="202" stopIfTrue="1">
      <formula>IF(#REF!&lt;3,1,IF(#REF!&lt;2,1,0))</formula>
    </cfRule>
  </conditionalFormatting>
  <conditionalFormatting sqref="Y139 B139 D139 W139">
    <cfRule type="expression" dxfId="680" priority="203" stopIfTrue="1">
      <formula>IF(#REF!&lt;1,1,IF(#REF!&lt;3,1,0))</formula>
    </cfRule>
  </conditionalFormatting>
  <conditionalFormatting sqref="AB139 E139 G139 Z139">
    <cfRule type="expression" dxfId="679" priority="204" stopIfTrue="1">
      <formula>IF(#REF!&lt;2,1,IF(#REF!&lt;3,1,0))</formula>
    </cfRule>
  </conditionalFormatting>
  <conditionalFormatting sqref="AE139 H139 J139 AC139">
    <cfRule type="expression" dxfId="678" priority="205" stopIfTrue="1">
      <formula>IF(#REF!&lt;3,1,IF(#REF!&lt;3,1,0))</formula>
    </cfRule>
  </conditionalFormatting>
  <conditionalFormatting sqref="AG24:AP28">
    <cfRule type="cellIs" dxfId="677" priority="206" stopIfTrue="1" operator="notBetween">
      <formula>-9999</formula>
      <formula>9999</formula>
    </cfRule>
  </conditionalFormatting>
  <conditionalFormatting sqref="AC7">
    <cfRule type="expression" dxfId="676" priority="207" stopIfTrue="1">
      <formula>IF($AK$11=0,1,0)</formula>
    </cfRule>
  </conditionalFormatting>
  <conditionalFormatting sqref="B22:D23">
    <cfRule type="cellIs" dxfId="675" priority="208" stopIfTrue="1" operator="equal">
      <formula>99</formula>
    </cfRule>
  </conditionalFormatting>
  <conditionalFormatting sqref="C140 F140">
    <cfRule type="expression" dxfId="674" priority="209" stopIfTrue="1">
      <formula>IF(#REF!&gt;0,0,1)</formula>
    </cfRule>
  </conditionalFormatting>
  <conditionalFormatting sqref="K129">
    <cfRule type="expression" dxfId="673" priority="5" stopIfTrue="1">
      <formula>IF(#REF!&gt;2,0,1)</formula>
    </cfRule>
  </conditionalFormatting>
  <conditionalFormatting sqref="K129">
    <cfRule type="expression" dxfId="672" priority="4" stopIfTrue="1">
      <formula>IF(#REF!&gt;2,0,1)</formula>
    </cfRule>
  </conditionalFormatting>
  <conditionalFormatting sqref="K129">
    <cfRule type="expression" dxfId="671" priority="3" stopIfTrue="1">
      <formula>IF(#REF!&gt;2,0,1)</formula>
    </cfRule>
  </conditionalFormatting>
  <conditionalFormatting sqref="K129">
    <cfRule type="expression" dxfId="670" priority="2" stopIfTrue="1">
      <formula>IF(ISNUMBER(K137),0,1)</formula>
    </cfRule>
  </conditionalFormatting>
  <conditionalFormatting sqref="B18">
    <cfRule type="expression" dxfId="669" priority="1" stopIfTrue="1">
      <formula>IF($AK$9&gt;0,0,1)</formula>
    </cfRule>
  </conditionalFormatting>
  <pageMargins left="0.25" right="0.25" top="0.25" bottom="0.25" header="0" footer="0"/>
  <pageSetup scale="80" fitToHeight="3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49" r:id="rId4" name="Pool1RecalcFinish">
          <controlPr defaultSize="0" autoLine="0" r:id="rId5">
            <anchor moveWithCells="1" sizeWithCells="1">
              <from>
                <xdr:col>36</xdr:col>
                <xdr:colOff>104775</xdr:colOff>
                <xdr:row>13</xdr:row>
                <xdr:rowOff>9525</xdr:rowOff>
              </from>
              <to>
                <xdr:col>41</xdr:col>
                <xdr:colOff>228600</xdr:colOff>
                <xdr:row>16</xdr:row>
                <xdr:rowOff>104775</xdr:rowOff>
              </to>
            </anchor>
          </controlPr>
        </control>
      </mc:Choice>
      <mc:Fallback>
        <control shapeId="2049" r:id="rId4" name="Pool1RecalcFinish"/>
      </mc:Fallback>
    </mc:AlternateContent>
  </control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4"/>
  <sheetViews>
    <sheetView workbookViewId="0"/>
  </sheetViews>
  <sheetFormatPr defaultRowHeight="15" x14ac:dyDescent="0.25"/>
  <cols>
    <col min="1" max="1" width="25.5703125" bestFit="1" customWidth="1"/>
    <col min="2" max="2" width="26" bestFit="1" customWidth="1"/>
    <col min="3" max="3" width="12.5703125" bestFit="1" customWidth="1"/>
    <col min="4" max="4" width="14.28515625" bestFit="1" customWidth="1"/>
    <col min="5" max="5" width="9.7109375" bestFit="1" customWidth="1"/>
    <col min="6" max="6" width="7.5703125" bestFit="1" customWidth="1"/>
    <col min="8" max="8" width="23.42578125" bestFit="1" customWidth="1"/>
  </cols>
  <sheetData>
    <row r="1" spans="1:8" ht="15.75" thickBot="1" x14ac:dyDescent="0.3">
      <c r="A1" s="869" t="s">
        <v>9</v>
      </c>
      <c r="B1" s="870" t="s">
        <v>10</v>
      </c>
      <c r="C1" s="871" t="s">
        <v>11</v>
      </c>
      <c r="D1" s="872" t="s">
        <v>12</v>
      </c>
      <c r="E1" s="873" t="s">
        <v>13</v>
      </c>
      <c r="F1" s="872" t="s">
        <v>14</v>
      </c>
      <c r="H1" t="s">
        <v>1142</v>
      </c>
    </row>
    <row r="2" spans="1:8" x14ac:dyDescent="0.25">
      <c r="A2" s="892">
        <v>1</v>
      </c>
      <c r="B2" s="893" t="s">
        <v>338</v>
      </c>
      <c r="C2" s="894" t="s">
        <v>337</v>
      </c>
      <c r="D2" s="895">
        <v>1255.6934893512482</v>
      </c>
      <c r="E2" s="896">
        <v>1232.4333282362945</v>
      </c>
      <c r="F2" s="897">
        <v>1232.4333282362945</v>
      </c>
      <c r="H2" t="s">
        <v>1142</v>
      </c>
    </row>
    <row r="3" spans="1:8" x14ac:dyDescent="0.25">
      <c r="A3" s="912">
        <v>2</v>
      </c>
      <c r="B3" s="893" t="s">
        <v>342</v>
      </c>
      <c r="C3" s="913" t="s">
        <v>341</v>
      </c>
      <c r="D3" s="895">
        <v>1182.2811686333052</v>
      </c>
      <c r="E3" s="914">
        <v>1164.88819190138</v>
      </c>
      <c r="F3" s="897">
        <v>1164.88819190138</v>
      </c>
      <c r="H3" t="s">
        <v>1142</v>
      </c>
    </row>
    <row r="4" spans="1:8" x14ac:dyDescent="0.25">
      <c r="A4" s="912">
        <v>3</v>
      </c>
      <c r="B4" s="893" t="s">
        <v>1132</v>
      </c>
      <c r="C4" s="913" t="s">
        <v>339</v>
      </c>
      <c r="D4" s="895">
        <v>1116.8090840774478</v>
      </c>
      <c r="E4" s="914">
        <v>1107.1369587677066</v>
      </c>
      <c r="F4" s="897">
        <v>1107.1369587677066</v>
      </c>
      <c r="H4" t="s">
        <v>1142</v>
      </c>
    </row>
    <row r="5" spans="1:8" x14ac:dyDescent="0.25">
      <c r="A5" s="912">
        <v>4</v>
      </c>
      <c r="B5" s="929" t="s">
        <v>357</v>
      </c>
      <c r="C5" s="913" t="s">
        <v>356</v>
      </c>
      <c r="D5" s="895">
        <v>1314.2550386408398</v>
      </c>
      <c r="E5" s="914">
        <v>1332.4149795123046</v>
      </c>
      <c r="F5" s="897">
        <v>1332.4149795123046</v>
      </c>
      <c r="H5" t="s">
        <v>1142</v>
      </c>
    </row>
    <row r="6" spans="1:8" x14ac:dyDescent="0.25">
      <c r="A6" s="912">
        <v>5</v>
      </c>
      <c r="B6" s="929" t="s">
        <v>355</v>
      </c>
      <c r="C6" s="913" t="s">
        <v>354</v>
      </c>
      <c r="D6" s="895">
        <v>1210.7113361544355</v>
      </c>
      <c r="E6" s="914">
        <v>1206.7266798132362</v>
      </c>
      <c r="F6" s="897">
        <v>1206.7266798132362</v>
      </c>
      <c r="H6" t="s">
        <v>1142</v>
      </c>
    </row>
    <row r="7" spans="1:8" x14ac:dyDescent="0.25">
      <c r="A7" s="912">
        <v>6</v>
      </c>
      <c r="B7" s="929" t="s">
        <v>224</v>
      </c>
      <c r="C7" s="913" t="s">
        <v>222</v>
      </c>
      <c r="D7" s="895">
        <v>1189.7914904865811</v>
      </c>
      <c r="E7" s="914">
        <v>1216.8565925282476</v>
      </c>
      <c r="F7" s="897">
        <v>1216.8565925282476</v>
      </c>
      <c r="H7" t="s">
        <v>1142</v>
      </c>
    </row>
    <row r="8" spans="1:8" x14ac:dyDescent="0.25">
      <c r="A8" s="912">
        <v>7</v>
      </c>
      <c r="B8" s="929" t="s">
        <v>348</v>
      </c>
      <c r="C8" s="913" t="s">
        <v>347</v>
      </c>
      <c r="D8" s="895">
        <v>1243.8891049954495</v>
      </c>
      <c r="E8" s="914">
        <v>1252.9739815801377</v>
      </c>
      <c r="F8" s="897">
        <v>1252.9739815801377</v>
      </c>
      <c r="H8" t="s">
        <v>1142</v>
      </c>
    </row>
    <row r="9" spans="1:8" x14ac:dyDescent="0.25">
      <c r="A9" s="1068" t="s">
        <v>113</v>
      </c>
      <c r="B9" s="1065"/>
      <c r="C9" s="1065"/>
      <c r="D9" s="1069"/>
      <c r="E9" s="1065"/>
      <c r="F9" s="1065"/>
      <c r="H9" t="s">
        <v>1142</v>
      </c>
    </row>
    <row r="10" spans="1:8" x14ac:dyDescent="0.25">
      <c r="A10" s="1065" t="s">
        <v>338</v>
      </c>
      <c r="B10" s="1065">
        <v>1232.4333282362945</v>
      </c>
      <c r="C10" s="1065"/>
      <c r="D10" s="1069"/>
      <c r="E10" s="1065"/>
      <c r="F10" s="1065"/>
      <c r="H10" t="s">
        <v>1142</v>
      </c>
    </row>
    <row r="11" spans="1:8" x14ac:dyDescent="0.25">
      <c r="A11" s="1065" t="s">
        <v>357</v>
      </c>
      <c r="B11" s="1065">
        <v>1332.4149795123046</v>
      </c>
      <c r="C11" s="1065"/>
      <c r="D11" s="1069"/>
      <c r="E11" s="1065"/>
      <c r="F11" s="1065"/>
      <c r="H11" t="s">
        <v>1142</v>
      </c>
    </row>
    <row r="12" spans="1:8" x14ac:dyDescent="0.25">
      <c r="A12" s="1065" t="s">
        <v>355</v>
      </c>
      <c r="B12" s="1065">
        <v>1206.7266798132362</v>
      </c>
      <c r="C12" s="1065"/>
      <c r="D12" s="1069"/>
      <c r="E12" s="1065"/>
      <c r="F12" s="1065"/>
      <c r="H12" t="s">
        <v>1142</v>
      </c>
    </row>
    <row r="13" spans="1:8" x14ac:dyDescent="0.25">
      <c r="A13" s="1065" t="s">
        <v>348</v>
      </c>
      <c r="B13" s="1065">
        <v>1252.9739815801377</v>
      </c>
      <c r="C13" s="1065"/>
      <c r="D13" s="1069"/>
      <c r="E13" s="1065"/>
      <c r="F13" s="1065"/>
      <c r="H13" t="s">
        <v>1142</v>
      </c>
    </row>
    <row r="14" spans="1:8" ht="15.75" thickBot="1" x14ac:dyDescent="0.3">
      <c r="A14" s="1065">
        <v>0</v>
      </c>
      <c r="B14" s="1065" t="e">
        <v>#N/A</v>
      </c>
      <c r="C14" s="1065"/>
      <c r="D14" s="1069"/>
      <c r="E14" s="1065"/>
      <c r="F14" s="1065"/>
      <c r="H14" t="s">
        <v>1142</v>
      </c>
    </row>
    <row r="15" spans="1:8" ht="15.75" thickBot="1" x14ac:dyDescent="0.3">
      <c r="A15" s="869" t="s">
        <v>9</v>
      </c>
      <c r="B15" s="870" t="s">
        <v>10</v>
      </c>
      <c r="C15" s="871" t="s">
        <v>11</v>
      </c>
      <c r="D15" s="872" t="s">
        <v>12</v>
      </c>
      <c r="E15" s="873" t="s">
        <v>13</v>
      </c>
      <c r="F15" s="872" t="s">
        <v>14</v>
      </c>
      <c r="H15" t="s">
        <v>1143</v>
      </c>
    </row>
    <row r="16" spans="1:8" x14ac:dyDescent="0.25">
      <c r="A16" s="892">
        <v>1</v>
      </c>
      <c r="B16" s="893" t="s">
        <v>348</v>
      </c>
      <c r="C16" s="894" t="s">
        <v>347</v>
      </c>
      <c r="D16" s="147">
        <v>1231.7907169886246</v>
      </c>
      <c r="E16" s="896">
        <v>1243.8891049954495</v>
      </c>
      <c r="F16" s="897">
        <v>1243.8891049954495</v>
      </c>
      <c r="H16" t="s">
        <v>1143</v>
      </c>
    </row>
    <row r="17" spans="1:8" x14ac:dyDescent="0.25">
      <c r="A17" s="912">
        <v>2</v>
      </c>
      <c r="B17" s="929" t="s">
        <v>355</v>
      </c>
      <c r="C17" s="913" t="s">
        <v>354</v>
      </c>
      <c r="D17" s="147">
        <v>1210.0364093066682</v>
      </c>
      <c r="E17" s="914">
        <v>1210.7113361544355</v>
      </c>
      <c r="F17" s="897">
        <v>1210.7113361544355</v>
      </c>
      <c r="H17" t="s">
        <v>1143</v>
      </c>
    </row>
    <row r="18" spans="1:8" x14ac:dyDescent="0.25">
      <c r="A18" s="912">
        <v>3</v>
      </c>
      <c r="B18" s="929" t="s">
        <v>357</v>
      </c>
      <c r="C18" s="913" t="s">
        <v>356</v>
      </c>
      <c r="D18" s="147">
        <v>1268.8246362009256</v>
      </c>
      <c r="E18" s="914">
        <v>1314.2550386408398</v>
      </c>
      <c r="F18" s="897">
        <v>1314.2550386408398</v>
      </c>
      <c r="H18" t="s">
        <v>1143</v>
      </c>
    </row>
    <row r="19" spans="1:8" x14ac:dyDescent="0.25">
      <c r="A19" s="912">
        <v>4</v>
      </c>
      <c r="B19" s="929" t="s">
        <v>224</v>
      </c>
      <c r="C19" s="913" t="s">
        <v>222</v>
      </c>
      <c r="D19" s="147">
        <v>1240.2255380634294</v>
      </c>
      <c r="E19" s="914">
        <v>1189.7914904865811</v>
      </c>
      <c r="F19" s="897">
        <v>1189.7914904865811</v>
      </c>
      <c r="H19" t="s">
        <v>1143</v>
      </c>
    </row>
    <row r="20" spans="1:8" x14ac:dyDescent="0.25">
      <c r="A20" s="912">
        <v>5</v>
      </c>
      <c r="B20" s="929" t="s">
        <v>338</v>
      </c>
      <c r="C20" s="913" t="s">
        <v>337</v>
      </c>
      <c r="D20" s="147">
        <v>1207.2949680843783</v>
      </c>
      <c r="E20" s="914">
        <v>1255.6934893512482</v>
      </c>
      <c r="F20" s="897">
        <v>1255.6934893512482</v>
      </c>
      <c r="H20" t="s">
        <v>1143</v>
      </c>
    </row>
    <row r="21" spans="1:8" x14ac:dyDescent="0.25">
      <c r="A21" s="912">
        <v>6</v>
      </c>
      <c r="B21" s="929" t="s">
        <v>1132</v>
      </c>
      <c r="C21" s="913" t="s">
        <v>339</v>
      </c>
      <c r="D21" s="147">
        <v>1162.9144133651291</v>
      </c>
      <c r="E21" s="914">
        <v>1116.8090840774478</v>
      </c>
      <c r="F21" s="897">
        <v>1116.8090840774478</v>
      </c>
      <c r="H21" t="s">
        <v>1143</v>
      </c>
    </row>
    <row r="22" spans="1:8" x14ac:dyDescent="0.25">
      <c r="A22" s="912">
        <v>7</v>
      </c>
      <c r="B22" s="929" t="s">
        <v>342</v>
      </c>
      <c r="C22" s="913" t="s">
        <v>341</v>
      </c>
      <c r="D22" s="147">
        <v>1192.3440303301518</v>
      </c>
      <c r="E22" s="914">
        <v>1182.2811686333052</v>
      </c>
      <c r="F22" s="897">
        <v>1182.2811686333052</v>
      </c>
      <c r="H22" t="s">
        <v>1143</v>
      </c>
    </row>
    <row r="23" spans="1:8" x14ac:dyDescent="0.25">
      <c r="A23" s="1068" t="s">
        <v>113</v>
      </c>
      <c r="B23" s="1065"/>
      <c r="C23" s="1065"/>
      <c r="D23" s="1069"/>
      <c r="E23" s="1065"/>
      <c r="F23" s="1065"/>
      <c r="H23" t="s">
        <v>1143</v>
      </c>
    </row>
    <row r="24" spans="1:8" x14ac:dyDescent="0.25">
      <c r="A24" s="1065" t="s">
        <v>348</v>
      </c>
      <c r="B24" s="1065">
        <v>1243.8891049954495</v>
      </c>
      <c r="C24" s="1065"/>
      <c r="D24" s="1069"/>
      <c r="E24" s="1065"/>
      <c r="F24" s="1065"/>
      <c r="H24" t="s">
        <v>1143</v>
      </c>
    </row>
    <row r="25" spans="1:8" x14ac:dyDescent="0.25">
      <c r="A25" s="1065" t="s">
        <v>224</v>
      </c>
      <c r="B25" s="1065">
        <v>1189.7914904865811</v>
      </c>
      <c r="C25" s="1065"/>
      <c r="D25" s="1069"/>
      <c r="E25" s="1065"/>
      <c r="F25" s="1065"/>
      <c r="H25" t="s">
        <v>1143</v>
      </c>
    </row>
    <row r="26" spans="1:8" x14ac:dyDescent="0.25">
      <c r="A26" s="1065" t="s">
        <v>338</v>
      </c>
      <c r="B26" s="1065">
        <v>1255.6934893512482</v>
      </c>
      <c r="C26" s="1065"/>
      <c r="D26" s="1069"/>
      <c r="E26" s="1065"/>
      <c r="F26" s="1065"/>
      <c r="H26" t="s">
        <v>1143</v>
      </c>
    </row>
    <row r="27" spans="1:8" x14ac:dyDescent="0.25">
      <c r="A27" s="1065" t="s">
        <v>342</v>
      </c>
      <c r="B27" s="1065">
        <v>1182.2811686333052</v>
      </c>
      <c r="C27" s="1065"/>
      <c r="D27" s="1069"/>
      <c r="E27" s="1065"/>
      <c r="F27" s="1065"/>
      <c r="H27" t="s">
        <v>1143</v>
      </c>
    </row>
    <row r="28" spans="1:8" ht="15.75" thickBot="1" x14ac:dyDescent="0.3">
      <c r="A28" s="1065">
        <v>0</v>
      </c>
      <c r="B28" s="1065" t="e">
        <v>#N/A</v>
      </c>
      <c r="C28" s="1065"/>
      <c r="D28" s="1069"/>
      <c r="E28" s="1065"/>
      <c r="F28" s="1065"/>
      <c r="H28" t="s">
        <v>1143</v>
      </c>
    </row>
    <row r="29" spans="1:8" ht="15.75" thickBot="1" x14ac:dyDescent="0.3">
      <c r="A29" s="869" t="s">
        <v>9</v>
      </c>
      <c r="B29" s="870" t="s">
        <v>10</v>
      </c>
      <c r="C29" s="871" t="s">
        <v>11</v>
      </c>
      <c r="D29" s="872" t="s">
        <v>12</v>
      </c>
      <c r="E29" s="873" t="s">
        <v>13</v>
      </c>
      <c r="F29" s="872" t="s">
        <v>14</v>
      </c>
      <c r="H29" t="s">
        <v>1144</v>
      </c>
    </row>
    <row r="30" spans="1:8" x14ac:dyDescent="0.25">
      <c r="A30" s="892">
        <v>1</v>
      </c>
      <c r="B30" s="893" t="s">
        <v>235</v>
      </c>
      <c r="C30" s="894" t="s">
        <v>234</v>
      </c>
      <c r="D30" s="895">
        <v>1224.9630571345931</v>
      </c>
      <c r="E30" s="896">
        <v>1233.3466974331975</v>
      </c>
      <c r="F30" s="897">
        <v>1233.3466974331975</v>
      </c>
      <c r="H30" t="s">
        <v>1144</v>
      </c>
    </row>
    <row r="31" spans="1:8" x14ac:dyDescent="0.25">
      <c r="A31" s="912">
        <v>2</v>
      </c>
      <c r="B31" s="893" t="s">
        <v>237</v>
      </c>
      <c r="C31" s="913" t="s">
        <v>236</v>
      </c>
      <c r="D31" s="895">
        <v>1205.8047865865301</v>
      </c>
      <c r="E31" s="914">
        <v>1230.6391901737691</v>
      </c>
      <c r="F31" s="897">
        <v>1230.6391901737691</v>
      </c>
      <c r="H31" t="s">
        <v>1144</v>
      </c>
    </row>
    <row r="32" spans="1:8" x14ac:dyDescent="0.25">
      <c r="A32" s="912">
        <v>3</v>
      </c>
      <c r="B32" s="893" t="s">
        <v>362</v>
      </c>
      <c r="C32" s="913" t="s">
        <v>360</v>
      </c>
      <c r="D32" s="895">
        <v>1172.8444831041593</v>
      </c>
      <c r="E32" s="914">
        <v>1141.2104363370433</v>
      </c>
      <c r="F32" s="897">
        <v>1141.2104363370433</v>
      </c>
      <c r="H32" t="s">
        <v>1144</v>
      </c>
    </row>
    <row r="33" spans="1:8" x14ac:dyDescent="0.25">
      <c r="A33" s="912">
        <v>4</v>
      </c>
      <c r="B33" s="929" t="s">
        <v>233</v>
      </c>
      <c r="C33" s="913" t="s">
        <v>231</v>
      </c>
      <c r="D33" s="895">
        <v>1205.1953108001799</v>
      </c>
      <c r="E33" s="914">
        <v>1199.3436780073632</v>
      </c>
      <c r="F33" s="897">
        <v>1199.3436780073632</v>
      </c>
      <c r="H33" t="s">
        <v>1144</v>
      </c>
    </row>
    <row r="34" spans="1:8" x14ac:dyDescent="0.25">
      <c r="A34" s="912">
        <v>5</v>
      </c>
      <c r="B34" s="929" t="s">
        <v>346</v>
      </c>
      <c r="C34" s="913" t="s">
        <v>345</v>
      </c>
      <c r="D34" s="895">
        <v>1274.3440224645769</v>
      </c>
      <c r="E34" s="914">
        <v>1293.6267294435881</v>
      </c>
      <c r="F34" s="897">
        <v>1293.6267294435881</v>
      </c>
      <c r="H34" t="s">
        <v>1144</v>
      </c>
    </row>
    <row r="35" spans="1:8" x14ac:dyDescent="0.25">
      <c r="A35" s="912">
        <v>6</v>
      </c>
      <c r="B35" s="929" t="s">
        <v>344</v>
      </c>
      <c r="C35" s="913" t="s">
        <v>343</v>
      </c>
      <c r="D35" s="895">
        <v>1114.3349186624</v>
      </c>
      <c r="E35" s="914">
        <v>1121.134561842277</v>
      </c>
      <c r="F35" s="897">
        <v>1121.134561842277</v>
      </c>
      <c r="H35" t="s">
        <v>1144</v>
      </c>
    </row>
    <row r="36" spans="1:8" x14ac:dyDescent="0.25">
      <c r="A36" s="912">
        <v>7</v>
      </c>
      <c r="B36" s="929" t="s">
        <v>350</v>
      </c>
      <c r="C36" s="913" t="s">
        <v>349</v>
      </c>
      <c r="D36" s="895">
        <v>1212.6846745768064</v>
      </c>
      <c r="E36" s="914">
        <v>1190.8699600920074</v>
      </c>
      <c r="F36" s="897">
        <v>1190.8699600920074</v>
      </c>
      <c r="H36" t="s">
        <v>1144</v>
      </c>
    </row>
    <row r="37" spans="1:8" x14ac:dyDescent="0.25">
      <c r="A37" s="1068" t="s">
        <v>113</v>
      </c>
      <c r="B37" s="1065"/>
      <c r="C37" s="1065"/>
      <c r="D37" s="1069"/>
      <c r="E37" s="1065"/>
      <c r="F37" s="1065"/>
      <c r="H37" t="s">
        <v>1144</v>
      </c>
    </row>
    <row r="38" spans="1:8" x14ac:dyDescent="0.25">
      <c r="A38" s="1065" t="s">
        <v>235</v>
      </c>
      <c r="B38" s="1065">
        <v>1233.3466974331975</v>
      </c>
      <c r="C38" s="1065"/>
      <c r="D38" s="1069"/>
      <c r="E38" s="1065"/>
      <c r="F38" s="1065"/>
      <c r="H38" t="s">
        <v>1144</v>
      </c>
    </row>
    <row r="39" spans="1:8" x14ac:dyDescent="0.25">
      <c r="A39" s="1065" t="s">
        <v>233</v>
      </c>
      <c r="B39" s="1065">
        <v>1199.3436780073632</v>
      </c>
      <c r="C39" s="1065"/>
      <c r="D39" s="1069"/>
      <c r="E39" s="1065"/>
      <c r="F39" s="1065"/>
      <c r="H39" t="s">
        <v>1144</v>
      </c>
    </row>
    <row r="40" spans="1:8" x14ac:dyDescent="0.25">
      <c r="A40" s="1065" t="s">
        <v>346</v>
      </c>
      <c r="B40" s="1065">
        <v>1293.6267294435881</v>
      </c>
      <c r="C40" s="1065"/>
      <c r="D40" s="1069"/>
      <c r="E40" s="1065"/>
      <c r="F40" s="1065"/>
      <c r="H40" t="s">
        <v>1144</v>
      </c>
    </row>
    <row r="41" spans="1:8" x14ac:dyDescent="0.25">
      <c r="A41" s="1065" t="s">
        <v>350</v>
      </c>
      <c r="B41" s="1065">
        <v>1190.8699600920074</v>
      </c>
      <c r="C41" s="1065"/>
      <c r="D41" s="1069"/>
      <c r="E41" s="1065"/>
      <c r="F41" s="1065"/>
      <c r="H41" t="s">
        <v>1144</v>
      </c>
    </row>
    <row r="42" spans="1:8" ht="15.75" thickBot="1" x14ac:dyDescent="0.3">
      <c r="A42" s="1065">
        <v>0</v>
      </c>
      <c r="B42" s="1065" t="e">
        <v>#N/A</v>
      </c>
      <c r="C42" s="1065"/>
      <c r="D42" s="1069"/>
      <c r="E42" s="1065"/>
      <c r="F42" s="1065"/>
      <c r="H42" t="s">
        <v>1144</v>
      </c>
    </row>
    <row r="43" spans="1:8" ht="15.75" thickBot="1" x14ac:dyDescent="0.3">
      <c r="A43" s="869" t="s">
        <v>9</v>
      </c>
      <c r="B43" s="870" t="s">
        <v>10</v>
      </c>
      <c r="C43" s="871" t="s">
        <v>11</v>
      </c>
      <c r="D43" s="872" t="s">
        <v>12</v>
      </c>
      <c r="E43" s="873" t="s">
        <v>13</v>
      </c>
      <c r="F43" s="872" t="s">
        <v>14</v>
      </c>
      <c r="H43" t="s">
        <v>1145</v>
      </c>
    </row>
    <row r="44" spans="1:8" x14ac:dyDescent="0.25">
      <c r="A44" s="892">
        <v>1</v>
      </c>
      <c r="B44" s="893" t="s">
        <v>350</v>
      </c>
      <c r="C44" s="894" t="s">
        <v>349</v>
      </c>
      <c r="D44" s="147">
        <v>1200</v>
      </c>
      <c r="E44" s="896">
        <v>1212.6846745768064</v>
      </c>
      <c r="F44" s="897">
        <v>1212.6846745768064</v>
      </c>
      <c r="H44" t="s">
        <v>1145</v>
      </c>
    </row>
    <row r="45" spans="1:8" x14ac:dyDescent="0.25">
      <c r="A45" s="912">
        <v>2</v>
      </c>
      <c r="B45" s="929" t="s">
        <v>346</v>
      </c>
      <c r="C45" s="913" t="s">
        <v>345</v>
      </c>
      <c r="D45" s="147">
        <v>1250.6062258294207</v>
      </c>
      <c r="E45" s="914">
        <v>1274.3440224645769</v>
      </c>
      <c r="F45" s="897">
        <v>1274.3440224645769</v>
      </c>
      <c r="H45" t="s">
        <v>1145</v>
      </c>
    </row>
    <row r="46" spans="1:8" x14ac:dyDescent="0.25">
      <c r="A46" s="912">
        <v>3</v>
      </c>
      <c r="B46" s="929" t="s">
        <v>233</v>
      </c>
      <c r="C46" s="913" t="s">
        <v>231</v>
      </c>
      <c r="D46" s="147">
        <v>1165.8661889498064</v>
      </c>
      <c r="E46" s="914">
        <v>1205.1953108001799</v>
      </c>
      <c r="F46" s="897">
        <v>1205.1953108001799</v>
      </c>
      <c r="H46" t="s">
        <v>1145</v>
      </c>
    </row>
    <row r="47" spans="1:8" x14ac:dyDescent="0.25">
      <c r="A47" s="912">
        <v>4</v>
      </c>
      <c r="B47" s="929" t="s">
        <v>235</v>
      </c>
      <c r="C47" s="913" t="s">
        <v>234</v>
      </c>
      <c r="D47" s="147">
        <v>1176.0869382150693</v>
      </c>
      <c r="E47" s="914">
        <v>1224.9630571345931</v>
      </c>
      <c r="F47" s="897">
        <v>1224.9630571345931</v>
      </c>
      <c r="H47" t="s">
        <v>1145</v>
      </c>
    </row>
    <row r="48" spans="1:8" x14ac:dyDescent="0.25">
      <c r="A48" s="912">
        <v>5</v>
      </c>
      <c r="B48" s="929" t="s">
        <v>237</v>
      </c>
      <c r="C48" s="913" t="s">
        <v>236</v>
      </c>
      <c r="D48" s="147">
        <v>1226.8555378745032</v>
      </c>
      <c r="E48" s="914">
        <v>1205.8047865865301</v>
      </c>
      <c r="F48" s="897">
        <v>1205.8047865865301</v>
      </c>
      <c r="H48" t="s">
        <v>1145</v>
      </c>
    </row>
    <row r="49" spans="1:8" x14ac:dyDescent="0.25">
      <c r="A49" s="912">
        <v>6</v>
      </c>
      <c r="B49" s="929" t="s">
        <v>362</v>
      </c>
      <c r="C49" s="913" t="s">
        <v>360</v>
      </c>
      <c r="D49" s="147">
        <v>1235.9114015896889</v>
      </c>
      <c r="E49" s="914">
        <v>1172.8444831041593</v>
      </c>
      <c r="F49" s="897">
        <v>1172.8444831041593</v>
      </c>
      <c r="H49" t="s">
        <v>1145</v>
      </c>
    </row>
    <row r="50" spans="1:8" x14ac:dyDescent="0.25">
      <c r="A50" s="912">
        <v>7</v>
      </c>
      <c r="B50" s="929" t="s">
        <v>344</v>
      </c>
      <c r="C50" s="913" t="s">
        <v>343</v>
      </c>
      <c r="D50" s="147">
        <v>1154.8449608707572</v>
      </c>
      <c r="E50" s="914">
        <v>1114.3349186624</v>
      </c>
      <c r="F50" s="897">
        <v>1114.3349186624</v>
      </c>
      <c r="H50" t="s">
        <v>1145</v>
      </c>
    </row>
    <row r="51" spans="1:8" x14ac:dyDescent="0.25">
      <c r="A51" s="1068" t="s">
        <v>113</v>
      </c>
      <c r="B51" s="1065"/>
      <c r="C51" s="1065"/>
      <c r="D51" s="1069"/>
      <c r="E51" s="1065"/>
      <c r="F51" s="1065"/>
      <c r="H51" t="s">
        <v>1145</v>
      </c>
    </row>
    <row r="52" spans="1:8" x14ac:dyDescent="0.25">
      <c r="A52" s="1065" t="s">
        <v>350</v>
      </c>
      <c r="B52" s="1065">
        <v>1212.6846745768064</v>
      </c>
      <c r="C52" s="1065"/>
      <c r="D52" s="1069"/>
      <c r="E52" s="1065"/>
      <c r="F52" s="1065"/>
      <c r="H52" t="s">
        <v>1145</v>
      </c>
    </row>
    <row r="53" spans="1:8" x14ac:dyDescent="0.25">
      <c r="A53" s="1065" t="s">
        <v>235</v>
      </c>
      <c r="B53" s="1065">
        <v>1224.9630571345931</v>
      </c>
      <c r="C53" s="1065"/>
      <c r="D53" s="1069"/>
      <c r="E53" s="1065"/>
      <c r="F53" s="1065"/>
      <c r="H53" t="s">
        <v>1145</v>
      </c>
    </row>
    <row r="54" spans="1:8" x14ac:dyDescent="0.25">
      <c r="A54" s="1065" t="s">
        <v>237</v>
      </c>
      <c r="B54" s="1065">
        <v>1205.8047865865301</v>
      </c>
      <c r="C54" s="1065"/>
      <c r="D54" s="1069"/>
      <c r="E54" s="1065"/>
      <c r="F54" s="1065"/>
      <c r="H54" t="s">
        <v>1145</v>
      </c>
    </row>
    <row r="55" spans="1:8" x14ac:dyDescent="0.25">
      <c r="A55" s="1065" t="s">
        <v>344</v>
      </c>
      <c r="B55" s="1065">
        <v>1114.3349186624</v>
      </c>
      <c r="C55" s="1065"/>
      <c r="D55" s="1069"/>
      <c r="E55" s="1065"/>
      <c r="F55" s="1065"/>
      <c r="H55" t="s">
        <v>1145</v>
      </c>
    </row>
    <row r="56" spans="1:8" ht="15.75" thickBot="1" x14ac:dyDescent="0.3">
      <c r="A56" s="1065">
        <v>0</v>
      </c>
      <c r="B56" s="1065" t="e">
        <v>#N/A</v>
      </c>
      <c r="C56" s="1065"/>
      <c r="D56" s="1069"/>
      <c r="E56" s="1065"/>
      <c r="F56" s="1065"/>
      <c r="H56" t="s">
        <v>1145</v>
      </c>
    </row>
    <row r="57" spans="1:8" ht="15.75" thickBot="1" x14ac:dyDescent="0.3">
      <c r="A57" s="139" t="s">
        <v>9</v>
      </c>
      <c r="B57" s="140" t="s">
        <v>10</v>
      </c>
      <c r="C57" s="141" t="s">
        <v>11</v>
      </c>
      <c r="D57" s="142" t="s">
        <v>12</v>
      </c>
      <c r="E57" s="143" t="s">
        <v>13</v>
      </c>
      <c r="F57" s="142" t="s">
        <v>14</v>
      </c>
      <c r="H57" t="s">
        <v>1146</v>
      </c>
    </row>
    <row r="58" spans="1:8" ht="15.75" thickBot="1" x14ac:dyDescent="0.3">
      <c r="A58" s="145">
        <v>1</v>
      </c>
      <c r="B58" s="291" t="s">
        <v>269</v>
      </c>
      <c r="C58" s="291" t="s">
        <v>267</v>
      </c>
      <c r="D58" s="147">
        <v>1531.814236061155</v>
      </c>
      <c r="E58" s="148">
        <v>1595.6788293469422</v>
      </c>
      <c r="F58" s="149">
        <v>1584.5549621974531</v>
      </c>
      <c r="H58" t="s">
        <v>1146</v>
      </c>
    </row>
    <row r="59" spans="1:8" ht="15.75" thickBot="1" x14ac:dyDescent="0.3">
      <c r="A59" s="150">
        <v>2</v>
      </c>
      <c r="B59" s="291" t="s">
        <v>321</v>
      </c>
      <c r="C59" s="291" t="s">
        <v>320</v>
      </c>
      <c r="D59" s="147">
        <v>1450.3242032415919</v>
      </c>
      <c r="E59" s="151">
        <v>1442.9543012131753</v>
      </c>
      <c r="F59" s="152">
        <v>1438.2606481323326</v>
      </c>
      <c r="H59" t="s">
        <v>1146</v>
      </c>
    </row>
    <row r="60" spans="1:8" ht="15.75" thickBot="1" x14ac:dyDescent="0.3">
      <c r="A60" s="150">
        <v>3</v>
      </c>
      <c r="B60" s="291" t="s">
        <v>307</v>
      </c>
      <c r="C60" s="291" t="s">
        <v>306</v>
      </c>
      <c r="D60" s="147">
        <v>1400</v>
      </c>
      <c r="E60" s="151">
        <v>1475.835327254912</v>
      </c>
      <c r="F60" s="152">
        <v>1498.741500196315</v>
      </c>
      <c r="H60" t="s">
        <v>1146</v>
      </c>
    </row>
    <row r="61" spans="1:8" ht="15.75" thickBot="1" x14ac:dyDescent="0.3">
      <c r="A61" s="150">
        <v>4</v>
      </c>
      <c r="B61" s="291" t="s">
        <v>334</v>
      </c>
      <c r="C61" s="291" t="s">
        <v>332</v>
      </c>
      <c r="D61" s="147">
        <v>1420.369437083843</v>
      </c>
      <c r="E61" s="151">
        <v>1380.0237816476338</v>
      </c>
      <c r="F61" s="152">
        <v>1405.1025780622188</v>
      </c>
      <c r="H61" t="s">
        <v>1146</v>
      </c>
    </row>
    <row r="62" spans="1:8" ht="15.75" thickBot="1" x14ac:dyDescent="0.3">
      <c r="A62" s="150">
        <v>5</v>
      </c>
      <c r="B62" s="291" t="s">
        <v>285</v>
      </c>
      <c r="C62" s="291" t="s">
        <v>283</v>
      </c>
      <c r="D62" s="147">
        <v>1410.8128235954669</v>
      </c>
      <c r="E62" s="151">
        <v>1436.0834595325007</v>
      </c>
      <c r="F62" s="152">
        <v>1428.9948068214296</v>
      </c>
      <c r="H62" t="s">
        <v>1146</v>
      </c>
    </row>
    <row r="63" spans="1:8" ht="15.75" thickBot="1" x14ac:dyDescent="0.3">
      <c r="A63" s="150">
        <v>6</v>
      </c>
      <c r="B63" s="291" t="s">
        <v>316</v>
      </c>
      <c r="C63" s="291" t="s">
        <v>314</v>
      </c>
      <c r="D63" s="147">
        <v>1396.2263060585235</v>
      </c>
      <c r="E63" s="151">
        <v>1383.5239908864794</v>
      </c>
      <c r="F63" s="152">
        <v>1375.4433983168517</v>
      </c>
      <c r="H63" t="s">
        <v>1146</v>
      </c>
    </row>
    <row r="64" spans="1:8" ht="15.75" thickBot="1" x14ac:dyDescent="0.3">
      <c r="A64" s="150">
        <v>7</v>
      </c>
      <c r="B64" s="291" t="s">
        <v>302</v>
      </c>
      <c r="C64" s="291" t="s">
        <v>300</v>
      </c>
      <c r="D64" s="147">
        <v>1304.5564991499768</v>
      </c>
      <c r="E64" s="151">
        <v>1288.3037875875493</v>
      </c>
      <c r="F64" s="152">
        <v>1282.8814689298702</v>
      </c>
      <c r="H64" t="s">
        <v>1146</v>
      </c>
    </row>
    <row r="65" spans="1:8" ht="15.75" thickBot="1" x14ac:dyDescent="0.3">
      <c r="A65" s="150">
        <v>8</v>
      </c>
      <c r="B65" s="291" t="s">
        <v>313</v>
      </c>
      <c r="C65" s="291" t="s">
        <v>312</v>
      </c>
      <c r="D65" s="147">
        <v>1400</v>
      </c>
      <c r="E65" s="151">
        <v>1404.3859648000866</v>
      </c>
      <c r="F65" s="152">
        <v>1392.8100796128085</v>
      </c>
      <c r="H65" t="s">
        <v>1146</v>
      </c>
    </row>
    <row r="66" spans="1:8" ht="15.75" thickBot="1" x14ac:dyDescent="0.3">
      <c r="A66" s="150">
        <v>9</v>
      </c>
      <c r="B66" s="291" t="s">
        <v>294</v>
      </c>
      <c r="C66" s="291" t="s">
        <v>292</v>
      </c>
      <c r="D66" s="147">
        <v>1226.0702313271092</v>
      </c>
      <c r="E66" s="151">
        <v>1172.8946927404108</v>
      </c>
      <c r="F66" s="152">
        <v>1172.8946927404108</v>
      </c>
      <c r="H66" t="s">
        <v>1146</v>
      </c>
    </row>
    <row r="67" spans="1:8" ht="15.75" thickBot="1" x14ac:dyDescent="0.3">
      <c r="A67" s="162">
        <v>10</v>
      </c>
      <c r="B67" s="291" t="s">
        <v>288</v>
      </c>
      <c r="C67" s="291" t="s">
        <v>286</v>
      </c>
      <c r="D67" s="147">
        <v>1221.8365208689011</v>
      </c>
      <c r="E67" s="163">
        <v>1182.3261223768773</v>
      </c>
      <c r="F67" s="164">
        <v>1182.3261223768773</v>
      </c>
      <c r="H67" t="s">
        <v>1146</v>
      </c>
    </row>
    <row r="68" spans="1:8" x14ac:dyDescent="0.25">
      <c r="A68" s="196" t="s">
        <v>113</v>
      </c>
      <c r="B68" s="193"/>
      <c r="C68" s="193"/>
      <c r="D68" s="197"/>
      <c r="E68" s="193"/>
      <c r="F68" s="193"/>
      <c r="H68" t="s">
        <v>1146</v>
      </c>
    </row>
    <row r="69" spans="1:8" x14ac:dyDescent="0.25">
      <c r="A69" s="193" t="s">
        <v>269</v>
      </c>
      <c r="B69" s="193">
        <v>1595.6788293469422</v>
      </c>
      <c r="C69" s="193"/>
      <c r="D69" s="197"/>
      <c r="E69" s="193"/>
      <c r="F69" s="193"/>
      <c r="H69" t="s">
        <v>1146</v>
      </c>
    </row>
    <row r="70" spans="1:8" x14ac:dyDescent="0.25">
      <c r="A70" s="193" t="s">
        <v>334</v>
      </c>
      <c r="B70" s="193">
        <v>1380.0237816476338</v>
      </c>
      <c r="C70" s="193"/>
      <c r="D70" s="197"/>
      <c r="E70" s="193"/>
      <c r="F70" s="193"/>
      <c r="H70" t="s">
        <v>1146</v>
      </c>
    </row>
    <row r="71" spans="1:8" x14ac:dyDescent="0.25">
      <c r="A71" s="193" t="s">
        <v>285</v>
      </c>
      <c r="B71" s="193">
        <v>1436.0834595325007</v>
      </c>
      <c r="C71" s="193"/>
      <c r="D71" s="197"/>
      <c r="E71" s="193"/>
      <c r="F71" s="193"/>
      <c r="H71" t="s">
        <v>1146</v>
      </c>
    </row>
    <row r="72" spans="1:8" x14ac:dyDescent="0.25">
      <c r="A72" s="193" t="s">
        <v>313</v>
      </c>
      <c r="B72" s="193">
        <v>1404.3859648000866</v>
      </c>
      <c r="C72" s="193"/>
      <c r="D72" s="197"/>
      <c r="E72" s="193"/>
      <c r="F72" s="193"/>
      <c r="H72" t="s">
        <v>1146</v>
      </c>
    </row>
    <row r="73" spans="1:8" ht="15.75" thickBot="1" x14ac:dyDescent="0.3">
      <c r="A73" s="193" t="s">
        <v>294</v>
      </c>
      <c r="B73" s="193">
        <v>1172.8946927404108</v>
      </c>
      <c r="C73" s="193"/>
      <c r="D73" s="197"/>
      <c r="E73" s="193"/>
      <c r="F73" s="193"/>
      <c r="H73" t="s">
        <v>1146</v>
      </c>
    </row>
    <row r="74" spans="1:8" ht="15.75" thickBot="1" x14ac:dyDescent="0.3">
      <c r="A74" s="139" t="s">
        <v>9</v>
      </c>
      <c r="B74" s="140" t="s">
        <v>10</v>
      </c>
      <c r="C74" s="141" t="s">
        <v>11</v>
      </c>
      <c r="D74" s="142" t="s">
        <v>12</v>
      </c>
      <c r="E74" s="143" t="s">
        <v>13</v>
      </c>
      <c r="F74" s="142" t="s">
        <v>14</v>
      </c>
      <c r="H74" t="s">
        <v>1147</v>
      </c>
    </row>
    <row r="75" spans="1:8" ht="15.75" thickBot="1" x14ac:dyDescent="0.3">
      <c r="A75" s="145">
        <v>1</v>
      </c>
      <c r="B75" s="291" t="s">
        <v>435</v>
      </c>
      <c r="C75" s="291" t="s">
        <v>433</v>
      </c>
      <c r="D75" s="147">
        <v>1818.9402748303323</v>
      </c>
      <c r="E75" s="148">
        <v>1881.7631020478532</v>
      </c>
      <c r="F75" s="149">
        <v>1868.4106312164884</v>
      </c>
      <c r="H75" t="s">
        <v>1147</v>
      </c>
    </row>
    <row r="76" spans="1:8" ht="15.75" thickBot="1" x14ac:dyDescent="0.3">
      <c r="A76" s="150">
        <v>2</v>
      </c>
      <c r="B76" s="291" t="s">
        <v>515</v>
      </c>
      <c r="C76" s="291" t="s">
        <v>514</v>
      </c>
      <c r="D76" s="147">
        <v>1696.7395363532391</v>
      </c>
      <c r="E76" s="151">
        <v>1766.1664477901725</v>
      </c>
      <c r="F76" s="152">
        <v>1754.9535955038507</v>
      </c>
      <c r="H76" t="s">
        <v>1147</v>
      </c>
    </row>
    <row r="77" spans="1:8" ht="15.75" thickBot="1" x14ac:dyDescent="0.3">
      <c r="A77" s="150">
        <v>3</v>
      </c>
      <c r="B77" s="291" t="s">
        <v>481</v>
      </c>
      <c r="C77" s="291" t="s">
        <v>480</v>
      </c>
      <c r="D77" s="147">
        <v>1696.3067637980012</v>
      </c>
      <c r="E77" s="151">
        <v>1733.6228345206546</v>
      </c>
      <c r="F77" s="152">
        <v>1724.0595262997672</v>
      </c>
      <c r="H77" t="s">
        <v>1147</v>
      </c>
    </row>
    <row r="78" spans="1:8" ht="15.75" thickBot="1" x14ac:dyDescent="0.3">
      <c r="A78" s="150">
        <v>4</v>
      </c>
      <c r="B78" s="291" t="s">
        <v>458</v>
      </c>
      <c r="C78" s="291" t="s">
        <v>457</v>
      </c>
      <c r="D78" s="147">
        <v>1693.3818306474545</v>
      </c>
      <c r="E78" s="151">
        <v>1659.8628805971612</v>
      </c>
      <c r="F78" s="152">
        <v>1649.1598067006576</v>
      </c>
      <c r="H78" t="s">
        <v>1147</v>
      </c>
    </row>
    <row r="79" spans="1:8" ht="15.75" thickBot="1" x14ac:dyDescent="0.3">
      <c r="A79" s="150">
        <v>5</v>
      </c>
      <c r="B79" s="291" t="s">
        <v>467</v>
      </c>
      <c r="C79" s="291" t="s">
        <v>466</v>
      </c>
      <c r="D79" s="147">
        <v>1690.2861109118255</v>
      </c>
      <c r="E79" s="151">
        <v>1719.3747829432907</v>
      </c>
      <c r="F79" s="152">
        <v>1753.5034142818647</v>
      </c>
      <c r="H79" t="s">
        <v>1147</v>
      </c>
    </row>
    <row r="80" spans="1:8" ht="15.75" thickBot="1" x14ac:dyDescent="0.3">
      <c r="A80" s="150">
        <v>6</v>
      </c>
      <c r="B80" s="291" t="s">
        <v>471</v>
      </c>
      <c r="C80" s="291" t="s">
        <v>470</v>
      </c>
      <c r="D80" s="147">
        <v>1669.8390646286034</v>
      </c>
      <c r="E80" s="151">
        <v>1644.4117353404943</v>
      </c>
      <c r="F80" s="152">
        <v>1677.3980559149245</v>
      </c>
      <c r="H80" t="s">
        <v>1147</v>
      </c>
    </row>
    <row r="81" spans="1:8" ht="15.75" thickBot="1" x14ac:dyDescent="0.3">
      <c r="A81" s="150">
        <v>7</v>
      </c>
      <c r="B81" s="291" t="s">
        <v>517</v>
      </c>
      <c r="C81" s="291" t="s">
        <v>516</v>
      </c>
      <c r="D81" s="147">
        <v>1636.6616321677709</v>
      </c>
      <c r="E81" s="151">
        <v>1531.9857171026847</v>
      </c>
      <c r="F81" s="152">
        <v>1531.9857171026847</v>
      </c>
      <c r="H81" t="s">
        <v>1147</v>
      </c>
    </row>
    <row r="82" spans="1:8" ht="15.75" thickBot="1" x14ac:dyDescent="0.3">
      <c r="A82" s="150">
        <v>8</v>
      </c>
      <c r="B82" s="291" t="s">
        <v>621</v>
      </c>
      <c r="C82" s="291" t="s">
        <v>619</v>
      </c>
      <c r="D82" s="147">
        <v>1636.641799015636</v>
      </c>
      <c r="E82" s="151">
        <v>1661.7005174858473</v>
      </c>
      <c r="F82" s="152">
        <v>1644.9049961515773</v>
      </c>
      <c r="H82" t="s">
        <v>1147</v>
      </c>
    </row>
    <row r="83" spans="1:8" ht="15.75" thickBot="1" x14ac:dyDescent="0.3">
      <c r="A83" s="150">
        <v>9</v>
      </c>
      <c r="B83" s="291" t="s">
        <v>437</v>
      </c>
      <c r="C83" s="291" t="s">
        <v>436</v>
      </c>
      <c r="D83" s="147">
        <v>1615.8472257401343</v>
      </c>
      <c r="E83" s="151">
        <v>1532.3959580712301</v>
      </c>
      <c r="F83" s="152">
        <v>1532.3959580712301</v>
      </c>
      <c r="H83" t="s">
        <v>1147</v>
      </c>
    </row>
    <row r="84" spans="1:8" ht="15.75" thickBot="1" x14ac:dyDescent="0.3">
      <c r="A84" s="162">
        <v>10</v>
      </c>
      <c r="B84" s="291" t="s">
        <v>489</v>
      </c>
      <c r="C84" s="291" t="s">
        <v>488</v>
      </c>
      <c r="D84" s="147">
        <v>1600</v>
      </c>
      <c r="E84" s="163">
        <v>1623.3602621936086</v>
      </c>
      <c r="F84" s="164">
        <v>1617.872536849952</v>
      </c>
      <c r="H84" t="s">
        <v>1147</v>
      </c>
    </row>
    <row r="85" spans="1:8" x14ac:dyDescent="0.25">
      <c r="A85" s="196" t="s">
        <v>113</v>
      </c>
      <c r="B85" s="193"/>
      <c r="C85" s="193"/>
      <c r="D85" s="197"/>
      <c r="E85" s="193"/>
      <c r="F85" s="193"/>
      <c r="H85" t="s">
        <v>1147</v>
      </c>
    </row>
    <row r="86" spans="1:8" x14ac:dyDescent="0.25">
      <c r="A86" s="193" t="s">
        <v>435</v>
      </c>
      <c r="B86" s="193">
        <v>1881.7631020478532</v>
      </c>
      <c r="C86" s="193"/>
      <c r="D86" s="197"/>
      <c r="E86" s="193"/>
      <c r="F86" s="193"/>
      <c r="H86" t="s">
        <v>1147</v>
      </c>
    </row>
    <row r="87" spans="1:8" x14ac:dyDescent="0.25">
      <c r="A87" s="193" t="s">
        <v>458</v>
      </c>
      <c r="B87" s="193">
        <v>1659.8628805971612</v>
      </c>
      <c r="C87" s="193"/>
      <c r="D87" s="197"/>
      <c r="E87" s="193"/>
      <c r="F87" s="193"/>
      <c r="H87" t="s">
        <v>1147</v>
      </c>
    </row>
    <row r="88" spans="1:8" x14ac:dyDescent="0.25">
      <c r="A88" s="193" t="s">
        <v>467</v>
      </c>
      <c r="B88" s="193">
        <v>1719.3747829432907</v>
      </c>
      <c r="C88" s="193"/>
      <c r="D88" s="197"/>
      <c r="E88" s="193"/>
      <c r="F88" s="193"/>
      <c r="H88" t="s">
        <v>1147</v>
      </c>
    </row>
    <row r="89" spans="1:8" x14ac:dyDescent="0.25">
      <c r="A89" s="193" t="s">
        <v>621</v>
      </c>
      <c r="B89" s="193">
        <v>1661.7005174858473</v>
      </c>
      <c r="C89" s="193"/>
      <c r="D89" s="197"/>
      <c r="E89" s="193"/>
      <c r="F89" s="193"/>
      <c r="H89" t="s">
        <v>1147</v>
      </c>
    </row>
    <row r="90" spans="1:8" ht="15.75" thickBot="1" x14ac:dyDescent="0.3">
      <c r="A90" s="193" t="s">
        <v>437</v>
      </c>
      <c r="B90" s="193">
        <v>1532.3959580712301</v>
      </c>
      <c r="C90" s="193"/>
      <c r="D90" s="197"/>
      <c r="E90" s="193"/>
      <c r="F90" s="193"/>
      <c r="H90" t="s">
        <v>1147</v>
      </c>
    </row>
    <row r="91" spans="1:8" ht="15.75" thickBot="1" x14ac:dyDescent="0.3">
      <c r="A91" s="139" t="s">
        <v>9</v>
      </c>
      <c r="B91" s="140" t="s">
        <v>10</v>
      </c>
      <c r="C91" s="141" t="s">
        <v>11</v>
      </c>
      <c r="D91" s="142" t="s">
        <v>12</v>
      </c>
      <c r="E91" s="143" t="s">
        <v>13</v>
      </c>
      <c r="F91" s="142" t="s">
        <v>14</v>
      </c>
      <c r="H91" t="s">
        <v>1148</v>
      </c>
    </row>
    <row r="92" spans="1:8" x14ac:dyDescent="0.25">
      <c r="A92" s="145">
        <v>1</v>
      </c>
      <c r="B92" s="307" t="s">
        <v>469</v>
      </c>
      <c r="C92" s="306" t="s">
        <v>468</v>
      </c>
      <c r="D92" s="147">
        <v>1618.6634729877185</v>
      </c>
      <c r="E92" s="148">
        <v>1556.8834080920503</v>
      </c>
      <c r="F92" s="149">
        <v>1541.5139178594579</v>
      </c>
      <c r="H92" t="s">
        <v>1148</v>
      </c>
    </row>
    <row r="93" spans="1:8" x14ac:dyDescent="0.25">
      <c r="A93" s="150">
        <v>2</v>
      </c>
      <c r="B93" s="305" t="s">
        <v>460</v>
      </c>
      <c r="C93" s="304" t="s">
        <v>459</v>
      </c>
      <c r="D93" s="147">
        <v>1577.3037892908403</v>
      </c>
      <c r="E93" s="151">
        <v>1528.2348060355885</v>
      </c>
      <c r="F93" s="152">
        <v>1506.9929479813056</v>
      </c>
      <c r="H93" t="s">
        <v>1148</v>
      </c>
    </row>
    <row r="94" spans="1:8" x14ac:dyDescent="0.25">
      <c r="A94" s="150">
        <v>3</v>
      </c>
      <c r="B94" s="305" t="s">
        <v>504</v>
      </c>
      <c r="C94" s="304" t="s">
        <v>503</v>
      </c>
      <c r="D94" s="147">
        <v>1570.0470154155958</v>
      </c>
      <c r="E94" s="151">
        <v>1639.7633992606277</v>
      </c>
      <c r="F94" s="152">
        <v>1641.1631745399584</v>
      </c>
      <c r="H94" t="s">
        <v>1148</v>
      </c>
    </row>
    <row r="95" spans="1:8" x14ac:dyDescent="0.25">
      <c r="A95" s="150">
        <v>4</v>
      </c>
      <c r="B95" s="305" t="s">
        <v>513</v>
      </c>
      <c r="C95" s="304" t="s">
        <v>511</v>
      </c>
      <c r="D95" s="147">
        <v>1568.1003447488174</v>
      </c>
      <c r="E95" s="151">
        <v>1584.8176907475176</v>
      </c>
      <c r="F95" s="152">
        <v>1571.3271481700851</v>
      </c>
      <c r="H95" t="s">
        <v>1148</v>
      </c>
    </row>
    <row r="96" spans="1:8" x14ac:dyDescent="0.25">
      <c r="A96" s="150">
        <v>5</v>
      </c>
      <c r="B96" s="305" t="s">
        <v>448</v>
      </c>
      <c r="C96" s="304" t="s">
        <v>447</v>
      </c>
      <c r="D96" s="147">
        <v>1510.6135428350065</v>
      </c>
      <c r="E96" s="151">
        <v>1593.0145067615651</v>
      </c>
      <c r="F96" s="152">
        <v>1605.5410773854333</v>
      </c>
      <c r="H96" t="s">
        <v>1148</v>
      </c>
    </row>
    <row r="97" spans="1:8" x14ac:dyDescent="0.25">
      <c r="A97" s="150">
        <v>6</v>
      </c>
      <c r="B97" s="305" t="s">
        <v>506</v>
      </c>
      <c r="C97" s="304" t="s">
        <v>505</v>
      </c>
      <c r="D97" s="147">
        <v>1488.4874647585782</v>
      </c>
      <c r="E97" s="151">
        <v>1479.6529847563386</v>
      </c>
      <c r="F97" s="152">
        <v>1479.2171814305723</v>
      </c>
      <c r="H97" t="s">
        <v>1148</v>
      </c>
    </row>
    <row r="98" spans="1:8" x14ac:dyDescent="0.25">
      <c r="A98" s="150">
        <v>7</v>
      </c>
      <c r="B98" s="305" t="s">
        <v>446</v>
      </c>
      <c r="C98" s="304" t="s">
        <v>444</v>
      </c>
      <c r="D98" s="147">
        <v>1458.4555688261864</v>
      </c>
      <c r="E98" s="151">
        <v>1446.6426482386462</v>
      </c>
      <c r="F98" s="152">
        <v>1467.8957556218759</v>
      </c>
      <c r="H98" t="s">
        <v>1148</v>
      </c>
    </row>
    <row r="99" spans="1:8" x14ac:dyDescent="0.25">
      <c r="A99" s="150">
        <v>8</v>
      </c>
      <c r="B99" s="305" t="s">
        <v>508</v>
      </c>
      <c r="C99" s="304" t="s">
        <v>507</v>
      </c>
      <c r="D99" s="147">
        <v>1447.3909581757298</v>
      </c>
      <c r="E99" s="151">
        <v>1410.052713146139</v>
      </c>
      <c r="F99" s="152">
        <v>1425.4109540497846</v>
      </c>
      <c r="H99" t="s">
        <v>1148</v>
      </c>
    </row>
    <row r="100" spans="1:8" x14ac:dyDescent="0.25">
      <c r="A100" s="196" t="s">
        <v>113</v>
      </c>
      <c r="B100" s="193"/>
      <c r="C100" s="193"/>
      <c r="D100" s="197"/>
      <c r="E100" s="193"/>
      <c r="F100" s="193"/>
      <c r="H100" t="s">
        <v>1148</v>
      </c>
    </row>
    <row r="101" spans="1:8" x14ac:dyDescent="0.25">
      <c r="A101" s="193" t="s">
        <v>469</v>
      </c>
      <c r="B101" s="193">
        <v>1556.8834080920503</v>
      </c>
      <c r="C101" s="193"/>
      <c r="D101" s="197"/>
      <c r="E101" s="193"/>
      <c r="F101" s="193"/>
      <c r="H101" t="s">
        <v>1148</v>
      </c>
    </row>
    <row r="102" spans="1:8" x14ac:dyDescent="0.25">
      <c r="A102" s="193" t="s">
        <v>513</v>
      </c>
      <c r="B102" s="193">
        <v>1584.8176907475176</v>
      </c>
      <c r="C102" s="193"/>
      <c r="D102" s="197"/>
      <c r="E102" s="193"/>
      <c r="F102" s="193"/>
      <c r="H102" t="s">
        <v>1148</v>
      </c>
    </row>
    <row r="103" spans="1:8" x14ac:dyDescent="0.25">
      <c r="A103" s="193" t="s">
        <v>448</v>
      </c>
      <c r="B103" s="193">
        <v>1593.0145067615651</v>
      </c>
      <c r="C103" s="193"/>
      <c r="D103" s="197"/>
      <c r="E103" s="193"/>
      <c r="F103" s="193"/>
      <c r="H103" t="s">
        <v>1148</v>
      </c>
    </row>
    <row r="104" spans="1:8" x14ac:dyDescent="0.25">
      <c r="A104" s="193" t="s">
        <v>508</v>
      </c>
      <c r="B104" s="193">
        <v>1410.052713146139</v>
      </c>
      <c r="C104" s="193"/>
      <c r="D104" s="197"/>
      <c r="E104" s="193"/>
      <c r="F104" s="193"/>
      <c r="H104" t="s">
        <v>1148</v>
      </c>
    </row>
    <row r="105" spans="1:8" ht="15.75" thickBot="1" x14ac:dyDescent="0.3">
      <c r="A105" s="193">
        <v>0</v>
      </c>
      <c r="B105" s="193" t="e">
        <v>#N/A</v>
      </c>
      <c r="C105" s="193"/>
      <c r="D105" s="197"/>
      <c r="E105" s="193"/>
      <c r="F105" s="193"/>
      <c r="H105" t="s">
        <v>1148</v>
      </c>
    </row>
    <row r="106" spans="1:8" ht="15.75" thickBot="1" x14ac:dyDescent="0.3">
      <c r="A106" s="8" t="s">
        <v>9</v>
      </c>
      <c r="B106" s="9" t="s">
        <v>10</v>
      </c>
      <c r="C106" s="10" t="s">
        <v>11</v>
      </c>
      <c r="D106" s="11" t="s">
        <v>12</v>
      </c>
      <c r="E106" s="12" t="s">
        <v>13</v>
      </c>
      <c r="F106" s="11" t="s">
        <v>14</v>
      </c>
      <c r="H106" t="s">
        <v>1149</v>
      </c>
    </row>
    <row r="107" spans="1:8" ht="15.75" thickBot="1" x14ac:dyDescent="0.3">
      <c r="A107" s="14">
        <v>1</v>
      </c>
      <c r="B107" s="1245" t="s">
        <v>644</v>
      </c>
      <c r="C107" s="1245" t="s">
        <v>643</v>
      </c>
      <c r="D107" s="147">
        <v>1925.0434236172341</v>
      </c>
      <c r="E107" s="16">
        <v>1949.5189145317133</v>
      </c>
      <c r="F107" s="17">
        <v>1963.0509671228099</v>
      </c>
      <c r="H107" t="s">
        <v>1149</v>
      </c>
    </row>
    <row r="108" spans="1:8" ht="15.75" thickBot="1" x14ac:dyDescent="0.3">
      <c r="A108" s="18">
        <v>2</v>
      </c>
      <c r="B108" s="1245" t="s">
        <v>638</v>
      </c>
      <c r="C108" s="1245" t="s">
        <v>637</v>
      </c>
      <c r="D108" s="147">
        <v>1907.7374614602916</v>
      </c>
      <c r="E108" s="19">
        <v>1912.3556491393326</v>
      </c>
      <c r="F108" s="20">
        <v>1914.8405147891358</v>
      </c>
      <c r="H108" t="s">
        <v>1149</v>
      </c>
    </row>
    <row r="109" spans="1:8" ht="15.75" thickBot="1" x14ac:dyDescent="0.3">
      <c r="A109" s="18">
        <v>3</v>
      </c>
      <c r="B109" s="1245" t="s">
        <v>614</v>
      </c>
      <c r="C109" s="1245" t="s">
        <v>613</v>
      </c>
      <c r="D109" s="147">
        <v>1899.6480727597882</v>
      </c>
      <c r="E109" s="19">
        <v>1859.449024617413</v>
      </c>
      <c r="F109" s="20">
        <v>1850.7380858738534</v>
      </c>
      <c r="H109" t="s">
        <v>1149</v>
      </c>
    </row>
    <row r="110" spans="1:8" ht="15.75" thickBot="1" x14ac:dyDescent="0.3">
      <c r="A110" s="18">
        <v>4</v>
      </c>
      <c r="B110" s="1245" t="s">
        <v>654</v>
      </c>
      <c r="C110" s="1245" t="s">
        <v>653</v>
      </c>
      <c r="D110" s="147">
        <v>1800</v>
      </c>
      <c r="E110" s="19">
        <v>1908.6489005204339</v>
      </c>
      <c r="F110" s="20">
        <v>1900.734248323354</v>
      </c>
      <c r="H110" t="s">
        <v>1149</v>
      </c>
    </row>
    <row r="111" spans="1:8" ht="15.75" thickBot="1" x14ac:dyDescent="0.3">
      <c r="A111" s="18">
        <v>5</v>
      </c>
      <c r="B111" s="1245" t="s">
        <v>625</v>
      </c>
      <c r="C111" s="1245" t="s">
        <v>624</v>
      </c>
      <c r="D111" s="147">
        <v>1880.3757698226127</v>
      </c>
      <c r="E111" s="19">
        <v>1839.3904604185559</v>
      </c>
      <c r="F111" s="20">
        <v>1830.5436089119114</v>
      </c>
      <c r="H111" t="s">
        <v>1149</v>
      </c>
    </row>
    <row r="112" spans="1:8" ht="15.75" thickBot="1" x14ac:dyDescent="0.3">
      <c r="A112" s="18">
        <v>6</v>
      </c>
      <c r="B112" s="1245" t="s">
        <v>678</v>
      </c>
      <c r="C112" s="1245" t="s">
        <v>677</v>
      </c>
      <c r="D112" s="147">
        <v>1871.6837848905743</v>
      </c>
      <c r="E112" s="19">
        <v>1953.9605143302995</v>
      </c>
      <c r="F112" s="20">
        <v>1945.8582482864797</v>
      </c>
      <c r="H112" t="s">
        <v>1149</v>
      </c>
    </row>
    <row r="113" spans="1:8" ht="15.75" thickBot="1" x14ac:dyDescent="0.3">
      <c r="A113" s="18">
        <v>7</v>
      </c>
      <c r="B113" s="1245" t="s">
        <v>656</v>
      </c>
      <c r="C113" s="1245" t="s">
        <v>655</v>
      </c>
      <c r="D113" s="147">
        <v>1800</v>
      </c>
      <c r="E113" s="19">
        <v>1822.1765099891388</v>
      </c>
      <c r="F113" s="20">
        <v>1814.5725518335212</v>
      </c>
      <c r="H113" t="s">
        <v>1149</v>
      </c>
    </row>
    <row r="114" spans="1:8" ht="15.75" thickBot="1" x14ac:dyDescent="0.3">
      <c r="A114" s="18">
        <v>8</v>
      </c>
      <c r="B114" s="1245" t="s">
        <v>658</v>
      </c>
      <c r="C114" s="1245" t="s">
        <v>657</v>
      </c>
      <c r="D114" s="147">
        <v>1800</v>
      </c>
      <c r="E114" s="19">
        <v>1700.2368709686421</v>
      </c>
      <c r="F114" s="20">
        <v>1700.2368709686421</v>
      </c>
      <c r="H114" t="s">
        <v>1149</v>
      </c>
    </row>
    <row r="115" spans="1:8" ht="15.75" thickBot="1" x14ac:dyDescent="0.3">
      <c r="A115" s="18">
        <v>9</v>
      </c>
      <c r="B115" s="1245" t="s">
        <v>423</v>
      </c>
      <c r="C115" s="1245" t="s">
        <v>422</v>
      </c>
      <c r="D115" s="147">
        <v>1820.8676337248239</v>
      </c>
      <c r="E115" s="19">
        <v>1828.4916807253255</v>
      </c>
      <c r="F115" s="20">
        <v>1853.6534291311473</v>
      </c>
      <c r="H115" t="s">
        <v>1149</v>
      </c>
    </row>
    <row r="116" spans="1:8" ht="15.75" thickBot="1" x14ac:dyDescent="0.3">
      <c r="A116" s="32">
        <v>10</v>
      </c>
      <c r="B116" s="1245" t="s">
        <v>692</v>
      </c>
      <c r="C116" s="1245" t="s">
        <v>691</v>
      </c>
      <c r="D116" s="147">
        <v>1810.7634942276854</v>
      </c>
      <c r="E116" s="33">
        <v>1741.8911152621556</v>
      </c>
      <c r="F116" s="34">
        <v>1741.8911152621556</v>
      </c>
      <c r="H116" t="s">
        <v>1149</v>
      </c>
    </row>
    <row r="117" spans="1:8" x14ac:dyDescent="0.25">
      <c r="A117" s="64" t="s">
        <v>113</v>
      </c>
      <c r="B117" s="62"/>
      <c r="C117" s="62"/>
      <c r="D117" s="65"/>
      <c r="E117" s="62"/>
      <c r="F117" s="62"/>
      <c r="H117" t="s">
        <v>1149</v>
      </c>
    </row>
    <row r="118" spans="1:8" x14ac:dyDescent="0.25">
      <c r="A118" s="62" t="s">
        <v>644</v>
      </c>
      <c r="B118" s="62">
        <v>1949.5189145317133</v>
      </c>
      <c r="C118" s="62"/>
      <c r="D118" s="65"/>
      <c r="E118" s="62"/>
      <c r="F118" s="62"/>
      <c r="H118" t="s">
        <v>1149</v>
      </c>
    </row>
    <row r="119" spans="1:8" x14ac:dyDescent="0.25">
      <c r="A119" s="62" t="s">
        <v>654</v>
      </c>
      <c r="B119" s="62">
        <v>1908.6489005204339</v>
      </c>
      <c r="C119" s="62"/>
      <c r="D119" s="65"/>
      <c r="E119" s="62"/>
      <c r="F119" s="62"/>
      <c r="H119" t="s">
        <v>1149</v>
      </c>
    </row>
    <row r="120" spans="1:8" x14ac:dyDescent="0.25">
      <c r="A120" s="62" t="s">
        <v>625</v>
      </c>
      <c r="B120" s="62">
        <v>1839.3904604185559</v>
      </c>
      <c r="C120" s="62"/>
      <c r="D120" s="65"/>
      <c r="E120" s="62"/>
      <c r="F120" s="62"/>
      <c r="H120" t="s">
        <v>1149</v>
      </c>
    </row>
    <row r="121" spans="1:8" x14ac:dyDescent="0.25">
      <c r="A121" s="62" t="s">
        <v>658</v>
      </c>
      <c r="B121" s="62">
        <v>1700.2368709686421</v>
      </c>
      <c r="C121" s="62"/>
      <c r="D121" s="65"/>
      <c r="E121" s="62"/>
      <c r="F121" s="62"/>
      <c r="H121" t="s">
        <v>1149</v>
      </c>
    </row>
    <row r="122" spans="1:8" ht="15.75" thickBot="1" x14ac:dyDescent="0.3">
      <c r="A122" s="62" t="s">
        <v>423</v>
      </c>
      <c r="B122" s="62">
        <v>1828.4916807253255</v>
      </c>
      <c r="C122" s="62"/>
      <c r="D122" s="65"/>
      <c r="E122" s="62"/>
      <c r="F122" s="62"/>
      <c r="H122" t="s">
        <v>1149</v>
      </c>
    </row>
    <row r="123" spans="1:8" ht="15.75" thickBot="1" x14ac:dyDescent="0.3">
      <c r="A123" s="8" t="s">
        <v>9</v>
      </c>
      <c r="B123" s="9" t="s">
        <v>10</v>
      </c>
      <c r="C123" s="10" t="s">
        <v>11</v>
      </c>
      <c r="D123" s="11" t="s">
        <v>12</v>
      </c>
      <c r="E123" s="12" t="s">
        <v>13</v>
      </c>
      <c r="F123" s="11" t="s">
        <v>14</v>
      </c>
      <c r="H123" t="s">
        <v>1150</v>
      </c>
    </row>
    <row r="124" spans="1:8" ht="15.75" thickBot="1" x14ac:dyDescent="0.3">
      <c r="A124" s="14">
        <v>1</v>
      </c>
      <c r="B124" s="1245" t="s">
        <v>650</v>
      </c>
      <c r="C124" s="1245" t="s">
        <v>649</v>
      </c>
      <c r="D124" s="147">
        <v>1800.3848611781038</v>
      </c>
      <c r="E124" s="16">
        <v>1827.2319232972654</v>
      </c>
      <c r="F124" s="17">
        <v>1838.133719846739</v>
      </c>
      <c r="H124" t="s">
        <v>1150</v>
      </c>
    </row>
    <row r="125" spans="1:8" ht="15.75" thickBot="1" x14ac:dyDescent="0.3">
      <c r="A125" s="18">
        <v>2</v>
      </c>
      <c r="B125" s="1245" t="s">
        <v>1135</v>
      </c>
      <c r="C125" s="1245" t="s">
        <v>1136</v>
      </c>
      <c r="D125" s="147">
        <v>1800</v>
      </c>
      <c r="E125" s="19">
        <v>1889.1215582371156</v>
      </c>
      <c r="F125" s="20">
        <v>1879.1516419632358</v>
      </c>
      <c r="H125" t="s">
        <v>1150</v>
      </c>
    </row>
    <row r="126" spans="1:8" ht="15.75" thickBot="1" x14ac:dyDescent="0.3">
      <c r="A126" s="18">
        <v>3</v>
      </c>
      <c r="B126" s="1245" t="s">
        <v>664</v>
      </c>
      <c r="C126" s="1245" t="s">
        <v>663</v>
      </c>
      <c r="D126" s="147">
        <v>1800</v>
      </c>
      <c r="E126" s="19">
        <v>1744.4518270866665</v>
      </c>
      <c r="F126" s="20">
        <v>1734.7837101165069</v>
      </c>
      <c r="H126" t="s">
        <v>1150</v>
      </c>
    </row>
    <row r="127" spans="1:8" ht="15.75" thickBot="1" x14ac:dyDescent="0.3">
      <c r="A127" s="18">
        <v>4</v>
      </c>
      <c r="B127" s="1245" t="s">
        <v>685</v>
      </c>
      <c r="C127" s="1245" t="s">
        <v>684</v>
      </c>
      <c r="D127" s="147">
        <v>1799.9656310899888</v>
      </c>
      <c r="E127" s="19">
        <v>1801.7742906652861</v>
      </c>
      <c r="F127" s="20">
        <v>1805.1071930791211</v>
      </c>
      <c r="H127" t="s">
        <v>1150</v>
      </c>
    </row>
    <row r="128" spans="1:8" ht="15.75" thickBot="1" x14ac:dyDescent="0.3">
      <c r="A128" s="18">
        <v>5</v>
      </c>
      <c r="B128" s="1245" t="s">
        <v>670</v>
      </c>
      <c r="C128" s="1245" t="s">
        <v>669</v>
      </c>
      <c r="D128" s="147">
        <v>1706.7949714909773</v>
      </c>
      <c r="E128" s="19">
        <v>1715.8887380757503</v>
      </c>
      <c r="F128" s="20">
        <v>1741.3689204677482</v>
      </c>
      <c r="H128" t="s">
        <v>1150</v>
      </c>
    </row>
    <row r="129" spans="1:8" ht="15.75" thickBot="1" x14ac:dyDescent="0.3">
      <c r="A129" s="18">
        <v>6</v>
      </c>
      <c r="B129" s="1245" t="s">
        <v>672</v>
      </c>
      <c r="C129" s="1245" t="s">
        <v>671</v>
      </c>
      <c r="D129" s="147">
        <v>1697.8792064296672</v>
      </c>
      <c r="E129" s="19">
        <v>1724.3208126650675</v>
      </c>
      <c r="F129" s="20">
        <v>1716.1266950832369</v>
      </c>
      <c r="H129" t="s">
        <v>1150</v>
      </c>
    </row>
    <row r="130" spans="1:8" ht="15.75" thickBot="1" x14ac:dyDescent="0.3">
      <c r="A130" s="18">
        <v>7</v>
      </c>
      <c r="B130" s="1245" t="s">
        <v>662</v>
      </c>
      <c r="C130" s="1245" t="s">
        <v>661</v>
      </c>
      <c r="D130" s="147">
        <v>1800</v>
      </c>
      <c r="E130" s="19">
        <v>1694.6804953151775</v>
      </c>
      <c r="F130" s="20">
        <v>1694.6804953151775</v>
      </c>
      <c r="H130" t="s">
        <v>1150</v>
      </c>
    </row>
    <row r="131" spans="1:8" ht="15.75" thickBot="1" x14ac:dyDescent="0.3">
      <c r="A131" s="18">
        <v>8</v>
      </c>
      <c r="B131" s="1245" t="s">
        <v>676</v>
      </c>
      <c r="C131" s="1245" t="s">
        <v>675</v>
      </c>
      <c r="D131" s="147">
        <v>1684.852427864196</v>
      </c>
      <c r="E131" s="19">
        <v>1727.8468813603333</v>
      </c>
      <c r="F131" s="20">
        <v>1720.2289335203257</v>
      </c>
      <c r="H131" t="s">
        <v>1150</v>
      </c>
    </row>
    <row r="132" spans="1:8" ht="15.75" thickBot="1" x14ac:dyDescent="0.3">
      <c r="A132" s="18">
        <v>9</v>
      </c>
      <c r="B132" s="1245" t="s">
        <v>674</v>
      </c>
      <c r="C132" s="1245" t="s">
        <v>673</v>
      </c>
      <c r="D132" s="147">
        <v>1651.4456963857826</v>
      </c>
      <c r="E132" s="19">
        <v>1570.7017546104134</v>
      </c>
      <c r="F132" s="20">
        <v>1570.7017546104134</v>
      </c>
      <c r="H132" t="s">
        <v>1150</v>
      </c>
    </row>
    <row r="133" spans="1:8" ht="15.75" thickBot="1" x14ac:dyDescent="0.3">
      <c r="A133" s="32">
        <v>10</v>
      </c>
      <c r="B133" s="1245" t="s">
        <v>646</v>
      </c>
      <c r="C133" s="1245" t="s">
        <v>645</v>
      </c>
      <c r="D133" s="147">
        <v>1606.0897183893037</v>
      </c>
      <c r="E133" s="33">
        <v>1651.3942315149438</v>
      </c>
      <c r="F133" s="34">
        <v>1647.1294488255151</v>
      </c>
      <c r="H133" t="s">
        <v>1150</v>
      </c>
    </row>
    <row r="134" spans="1:8" x14ac:dyDescent="0.25">
      <c r="A134" s="64" t="s">
        <v>113</v>
      </c>
      <c r="B134" s="62"/>
      <c r="C134" s="62"/>
      <c r="D134" s="65"/>
      <c r="E134" s="62"/>
      <c r="F134" s="62"/>
      <c r="H134" t="s">
        <v>1150</v>
      </c>
    </row>
    <row r="135" spans="1:8" x14ac:dyDescent="0.25">
      <c r="A135" s="62" t="s">
        <v>650</v>
      </c>
      <c r="B135" s="62">
        <v>1827.2319232972654</v>
      </c>
      <c r="C135" s="62"/>
      <c r="D135" s="65"/>
      <c r="E135" s="62"/>
      <c r="F135" s="62"/>
      <c r="H135" t="s">
        <v>1150</v>
      </c>
    </row>
    <row r="136" spans="1:8" x14ac:dyDescent="0.25">
      <c r="A136" s="62" t="s">
        <v>685</v>
      </c>
      <c r="B136" s="62">
        <v>1801.7742906652861</v>
      </c>
      <c r="C136" s="62"/>
      <c r="D136" s="65"/>
      <c r="E136" s="62"/>
      <c r="F136" s="62"/>
      <c r="H136" t="s">
        <v>1150</v>
      </c>
    </row>
    <row r="137" spans="1:8" x14ac:dyDescent="0.25">
      <c r="A137" s="62" t="s">
        <v>670</v>
      </c>
      <c r="B137" s="62">
        <v>1715.8887380757503</v>
      </c>
      <c r="C137" s="62"/>
      <c r="D137" s="65"/>
      <c r="E137" s="62"/>
      <c r="F137" s="62"/>
      <c r="H137" t="s">
        <v>1150</v>
      </c>
    </row>
    <row r="138" spans="1:8" x14ac:dyDescent="0.25">
      <c r="A138" s="62" t="s">
        <v>676</v>
      </c>
      <c r="B138" s="62">
        <v>1727.8468813603333</v>
      </c>
      <c r="C138" s="62"/>
      <c r="D138" s="65"/>
      <c r="E138" s="62"/>
      <c r="F138" s="62"/>
      <c r="H138" t="s">
        <v>1150</v>
      </c>
    </row>
    <row r="139" spans="1:8" ht="15.75" thickBot="1" x14ac:dyDescent="0.3">
      <c r="A139" s="62" t="s">
        <v>674</v>
      </c>
      <c r="B139" s="62">
        <v>1570.7017546104134</v>
      </c>
      <c r="C139" s="62"/>
      <c r="D139" s="65"/>
      <c r="E139" s="62"/>
      <c r="F139" s="62"/>
      <c r="H139" t="s">
        <v>1150</v>
      </c>
    </row>
    <row r="140" spans="1:8" ht="15.75" thickBot="1" x14ac:dyDescent="0.3">
      <c r="A140" s="1271" t="s">
        <v>9</v>
      </c>
      <c r="B140" s="1272" t="s">
        <v>10</v>
      </c>
      <c r="C140" s="1273" t="s">
        <v>11</v>
      </c>
      <c r="D140" s="1274" t="s">
        <v>12</v>
      </c>
      <c r="E140" s="1275" t="s">
        <v>13</v>
      </c>
      <c r="F140" s="1274" t="s">
        <v>14</v>
      </c>
      <c r="H140" t="s">
        <v>1161</v>
      </c>
    </row>
    <row r="141" spans="1:8" ht="15.75" thickBot="1" x14ac:dyDescent="0.3">
      <c r="A141" s="1292">
        <v>1</v>
      </c>
      <c r="B141" s="1293" t="s">
        <v>600</v>
      </c>
      <c r="C141" s="1293" t="s">
        <v>599</v>
      </c>
      <c r="D141" s="147">
        <v>2224.1169108397717</v>
      </c>
      <c r="E141" s="1294">
        <v>2258.0684760828894</v>
      </c>
      <c r="F141" s="1295">
        <v>2253.0290632225715</v>
      </c>
      <c r="H141" t="s">
        <v>1161</v>
      </c>
    </row>
    <row r="142" spans="1:8" ht="15.75" thickBot="1" x14ac:dyDescent="0.3">
      <c r="A142" s="1303">
        <v>2</v>
      </c>
      <c r="B142" s="1293" t="s">
        <v>798</v>
      </c>
      <c r="C142" s="1293" t="s">
        <v>797</v>
      </c>
      <c r="D142" s="147">
        <v>2212.9846052971011</v>
      </c>
      <c r="E142" s="1304">
        <v>2249.0606644054383</v>
      </c>
      <c r="F142" s="1305">
        <v>2261.5141533158635</v>
      </c>
      <c r="H142" t="s">
        <v>1161</v>
      </c>
    </row>
    <row r="143" spans="1:8" ht="15.75" thickBot="1" x14ac:dyDescent="0.3">
      <c r="A143" s="1303">
        <v>3</v>
      </c>
      <c r="B143" s="1293" t="s">
        <v>808</v>
      </c>
      <c r="C143" s="1293" t="s">
        <v>806</v>
      </c>
      <c r="D143" s="147">
        <v>2125.6672368874802</v>
      </c>
      <c r="E143" s="1304">
        <v>2141.596293794672</v>
      </c>
      <c r="F143" s="1305">
        <v>2151.1670311235207</v>
      </c>
      <c r="H143" t="s">
        <v>1161</v>
      </c>
    </row>
    <row r="144" spans="1:8" ht="15.75" thickBot="1" x14ac:dyDescent="0.3">
      <c r="A144" s="1303">
        <v>4</v>
      </c>
      <c r="B144" s="1293" t="s">
        <v>801</v>
      </c>
      <c r="C144" s="1293" t="s">
        <v>799</v>
      </c>
      <c r="D144" s="147">
        <v>2068.7013691027805</v>
      </c>
      <c r="E144" s="1304">
        <v>2065.2268484925753</v>
      </c>
      <c r="F144" s="1305">
        <v>2058.9575360453096</v>
      </c>
      <c r="H144" t="s">
        <v>1161</v>
      </c>
    </row>
    <row r="145" spans="1:8" ht="15.75" thickBot="1" x14ac:dyDescent="0.3">
      <c r="A145" s="1303">
        <v>5</v>
      </c>
      <c r="B145" s="1293" t="s">
        <v>824</v>
      </c>
      <c r="C145" s="1293" t="s">
        <v>823</v>
      </c>
      <c r="D145" s="147">
        <v>2066.7296561866906</v>
      </c>
      <c r="E145" s="1304">
        <v>2072.0804009818239</v>
      </c>
      <c r="F145" s="1305">
        <v>2075.6557959024376</v>
      </c>
      <c r="H145" t="s">
        <v>1161</v>
      </c>
    </row>
    <row r="146" spans="1:8" ht="15.75" thickBot="1" x14ac:dyDescent="0.3">
      <c r="A146" s="1303">
        <v>6</v>
      </c>
      <c r="B146" s="1293" t="s">
        <v>832</v>
      </c>
      <c r="C146" s="1293" t="s">
        <v>831</v>
      </c>
      <c r="D146" s="147">
        <v>2058.6723054658987</v>
      </c>
      <c r="E146" s="1304">
        <v>1954.3026425151425</v>
      </c>
      <c r="F146" s="1305">
        <v>1954.3026425151425</v>
      </c>
      <c r="H146" t="s">
        <v>1161</v>
      </c>
    </row>
    <row r="147" spans="1:8" ht="15.75" thickBot="1" x14ac:dyDescent="0.3">
      <c r="A147" s="1303">
        <v>7</v>
      </c>
      <c r="B147" s="1293" t="s">
        <v>814</v>
      </c>
      <c r="C147" s="1293" t="s">
        <v>813</v>
      </c>
      <c r="D147" s="147">
        <v>2026.0099610120353</v>
      </c>
      <c r="E147" s="1304">
        <v>2022.9769575460887</v>
      </c>
      <c r="F147" s="1305">
        <v>2016.1001377438922</v>
      </c>
      <c r="H147" t="s">
        <v>1161</v>
      </c>
    </row>
    <row r="148" spans="1:8" ht="15.75" thickBot="1" x14ac:dyDescent="0.3">
      <c r="A148" s="1303">
        <v>8</v>
      </c>
      <c r="B148" s="1293" t="s">
        <v>1157</v>
      </c>
      <c r="C148" s="1293" t="s">
        <v>1158</v>
      </c>
      <c r="D148" s="147">
        <v>2000</v>
      </c>
      <c r="E148" s="1304">
        <v>1914.6799595739319</v>
      </c>
      <c r="F148" s="1305">
        <v>1914.6799595739319</v>
      </c>
      <c r="H148" t="s">
        <v>1161</v>
      </c>
    </row>
    <row r="149" spans="1:8" ht="15.75" thickBot="1" x14ac:dyDescent="0.3">
      <c r="A149" s="1303">
        <v>9</v>
      </c>
      <c r="B149" s="1293" t="s">
        <v>828</v>
      </c>
      <c r="C149" s="1293" t="s">
        <v>827</v>
      </c>
      <c r="D149" s="147">
        <v>2000</v>
      </c>
      <c r="E149" s="1304">
        <v>2049.4922509980224</v>
      </c>
      <c r="F149" s="1305">
        <v>2045.640941405906</v>
      </c>
      <c r="H149" t="s">
        <v>1161</v>
      </c>
    </row>
    <row r="150" spans="1:8" ht="15.75" thickBot="1" x14ac:dyDescent="0.3">
      <c r="A150" s="1378">
        <v>10</v>
      </c>
      <c r="B150" s="1293" t="s">
        <v>820</v>
      </c>
      <c r="C150" s="1293" t="s">
        <v>819</v>
      </c>
      <c r="D150" s="147">
        <v>1985.4963518902775</v>
      </c>
      <c r="E150" s="1379">
        <v>2040.893902291451</v>
      </c>
      <c r="F150" s="1380">
        <v>2037.3311358334597</v>
      </c>
      <c r="H150" t="s">
        <v>1161</v>
      </c>
    </row>
    <row r="151" spans="1:8" x14ac:dyDescent="0.25">
      <c r="A151" s="1454" t="s">
        <v>113</v>
      </c>
      <c r="B151" s="1452"/>
      <c r="C151" s="1452"/>
      <c r="D151" s="1455"/>
      <c r="E151" s="1452"/>
      <c r="F151" s="1452"/>
      <c r="H151" t="s">
        <v>1161</v>
      </c>
    </row>
    <row r="152" spans="1:8" x14ac:dyDescent="0.25">
      <c r="A152" s="1452" t="s">
        <v>600</v>
      </c>
      <c r="B152" s="1452">
        <v>2258.0684760828894</v>
      </c>
      <c r="C152" s="1452"/>
      <c r="D152" s="1455"/>
      <c r="E152" s="1452"/>
      <c r="F152" s="1452"/>
      <c r="H152" t="s">
        <v>1161</v>
      </c>
    </row>
    <row r="153" spans="1:8" x14ac:dyDescent="0.25">
      <c r="A153" s="1452" t="s">
        <v>801</v>
      </c>
      <c r="B153" s="1452">
        <v>2065.2268484925753</v>
      </c>
      <c r="C153" s="1452"/>
      <c r="D153" s="1455"/>
      <c r="E153" s="1452"/>
      <c r="F153" s="1452"/>
      <c r="H153" t="s">
        <v>1161</v>
      </c>
    </row>
    <row r="154" spans="1:8" x14ac:dyDescent="0.25">
      <c r="A154" s="1452" t="s">
        <v>824</v>
      </c>
      <c r="B154" s="1452">
        <v>2072.0804009818239</v>
      </c>
      <c r="C154" s="1452"/>
      <c r="D154" s="1455"/>
      <c r="E154" s="1452"/>
      <c r="F154" s="1452"/>
      <c r="H154" t="s">
        <v>1161</v>
      </c>
    </row>
    <row r="155" spans="1:8" x14ac:dyDescent="0.25">
      <c r="A155" s="1452" t="s">
        <v>1157</v>
      </c>
      <c r="B155" s="1452">
        <v>1914.6799595739319</v>
      </c>
      <c r="C155" s="1452"/>
      <c r="D155" s="1455"/>
      <c r="E155" s="1452"/>
      <c r="F155" s="1452"/>
      <c r="H155" t="s">
        <v>1161</v>
      </c>
    </row>
    <row r="156" spans="1:8" ht="15.75" thickBot="1" x14ac:dyDescent="0.3">
      <c r="A156" s="1452" t="s">
        <v>828</v>
      </c>
      <c r="B156" s="1452">
        <v>2049.4922509980224</v>
      </c>
      <c r="C156" s="1452"/>
      <c r="D156" s="1455"/>
      <c r="E156" s="1452"/>
      <c r="F156" s="1452"/>
      <c r="H156" t="s">
        <v>1161</v>
      </c>
    </row>
    <row r="157" spans="1:8" ht="15.75" thickBot="1" x14ac:dyDescent="0.3">
      <c r="A157" s="139" t="s">
        <v>9</v>
      </c>
      <c r="B157" s="140" t="s">
        <v>10</v>
      </c>
      <c r="C157" s="141" t="s">
        <v>11</v>
      </c>
      <c r="D157" s="142" t="s">
        <v>12</v>
      </c>
      <c r="E157" s="143" t="s">
        <v>13</v>
      </c>
      <c r="F157" s="142" t="s">
        <v>14</v>
      </c>
      <c r="H157" t="s">
        <v>1151</v>
      </c>
    </row>
    <row r="158" spans="1:8" ht="15.75" thickBot="1" x14ac:dyDescent="0.3">
      <c r="A158" s="145">
        <v>1</v>
      </c>
      <c r="B158" s="146" t="s">
        <v>186</v>
      </c>
      <c r="C158" s="146" t="s">
        <v>187</v>
      </c>
      <c r="D158" s="147">
        <v>1967.5899225540977</v>
      </c>
      <c r="E158" s="148">
        <v>1894.4161089397094</v>
      </c>
      <c r="F158" s="149">
        <v>1882.3588043028437</v>
      </c>
      <c r="H158" t="s">
        <v>1151</v>
      </c>
    </row>
    <row r="159" spans="1:8" ht="15.75" thickBot="1" x14ac:dyDescent="0.3">
      <c r="A159" s="150">
        <v>2</v>
      </c>
      <c r="B159" s="146" t="s">
        <v>188</v>
      </c>
      <c r="C159" s="146" t="s">
        <v>189</v>
      </c>
      <c r="D159" s="147">
        <v>1962.7309363652487</v>
      </c>
      <c r="E159" s="151">
        <v>1969.1203307647224</v>
      </c>
      <c r="F159" s="152">
        <v>1968.6719369166094</v>
      </c>
      <c r="H159" t="s">
        <v>1151</v>
      </c>
    </row>
    <row r="160" spans="1:8" ht="15.75" thickBot="1" x14ac:dyDescent="0.3">
      <c r="A160" s="150">
        <v>3</v>
      </c>
      <c r="B160" s="146" t="s">
        <v>190</v>
      </c>
      <c r="C160" s="146" t="s">
        <v>191</v>
      </c>
      <c r="D160" s="147">
        <v>1937.3837972359004</v>
      </c>
      <c r="E160" s="151">
        <v>1981.8295574852148</v>
      </c>
      <c r="F160" s="152">
        <v>2009.442133194488</v>
      </c>
      <c r="H160" t="s">
        <v>1151</v>
      </c>
    </row>
    <row r="161" spans="1:8" ht="15.75" thickBot="1" x14ac:dyDescent="0.3">
      <c r="A161" s="150">
        <v>4</v>
      </c>
      <c r="B161" s="146" t="s">
        <v>192</v>
      </c>
      <c r="C161" s="146" t="s">
        <v>193</v>
      </c>
      <c r="D161" s="147">
        <v>1881.9594079860281</v>
      </c>
      <c r="E161" s="151">
        <v>1949.7062352518919</v>
      </c>
      <c r="F161" s="152">
        <v>1934.5993580275974</v>
      </c>
      <c r="H161" t="s">
        <v>1151</v>
      </c>
    </row>
    <row r="162" spans="1:8" ht="15.75" thickBot="1" x14ac:dyDescent="0.3">
      <c r="A162" s="162">
        <v>5</v>
      </c>
      <c r="B162" s="146" t="s">
        <v>194</v>
      </c>
      <c r="C162" s="146" t="s">
        <v>195</v>
      </c>
      <c r="D162" s="147">
        <v>1815.1405956068922</v>
      </c>
      <c r="E162" s="163">
        <v>1769.7324273066286</v>
      </c>
      <c r="F162" s="164">
        <v>1769.7324273066286</v>
      </c>
      <c r="H162" t="s">
        <v>1151</v>
      </c>
    </row>
    <row r="163" spans="1:8" x14ac:dyDescent="0.25">
      <c r="A163" s="196" t="s">
        <v>113</v>
      </c>
      <c r="B163" s="193"/>
      <c r="C163" s="193"/>
      <c r="D163" s="197"/>
      <c r="E163" s="193"/>
      <c r="F163" s="193"/>
      <c r="H163" t="s">
        <v>1151</v>
      </c>
    </row>
    <row r="164" spans="1:8" x14ac:dyDescent="0.25">
      <c r="A164" s="193" t="s">
        <v>186</v>
      </c>
      <c r="B164" s="193">
        <v>1894.4161089397094</v>
      </c>
      <c r="C164" s="193"/>
      <c r="D164" s="197"/>
      <c r="E164" s="193"/>
      <c r="F164" s="193"/>
      <c r="H164" t="s">
        <v>1151</v>
      </c>
    </row>
    <row r="165" spans="1:8" x14ac:dyDescent="0.25">
      <c r="A165" s="193" t="s">
        <v>188</v>
      </c>
      <c r="B165" s="193">
        <v>1969.1203307647224</v>
      </c>
      <c r="C165" s="193"/>
      <c r="D165" s="197"/>
      <c r="E165" s="193"/>
      <c r="F165" s="193"/>
      <c r="H165" t="s">
        <v>1151</v>
      </c>
    </row>
    <row r="166" spans="1:8" x14ac:dyDescent="0.25">
      <c r="A166" s="193" t="s">
        <v>190</v>
      </c>
      <c r="B166" s="193">
        <v>1981.8295574852148</v>
      </c>
      <c r="C166" s="193"/>
      <c r="D166" s="197"/>
      <c r="E166" s="193"/>
      <c r="F166" s="193"/>
      <c r="H166" t="s">
        <v>1151</v>
      </c>
    </row>
    <row r="167" spans="1:8" x14ac:dyDescent="0.25">
      <c r="A167" s="193" t="s">
        <v>192</v>
      </c>
      <c r="B167" s="193">
        <v>1949.7062352518919</v>
      </c>
      <c r="C167" s="193"/>
      <c r="D167" s="197"/>
      <c r="E167" s="193"/>
      <c r="F167" s="193"/>
      <c r="H167" t="s">
        <v>1151</v>
      </c>
    </row>
    <row r="168" spans="1:8" ht="15.75" thickBot="1" x14ac:dyDescent="0.3">
      <c r="A168" s="193" t="s">
        <v>194</v>
      </c>
      <c r="B168" s="193">
        <v>1769.7324273066286</v>
      </c>
      <c r="C168" s="193"/>
      <c r="D168" s="197"/>
      <c r="E168" s="193"/>
      <c r="F168" s="193"/>
      <c r="H168" t="s">
        <v>1151</v>
      </c>
    </row>
    <row r="169" spans="1:8" ht="15.75" thickBot="1" x14ac:dyDescent="0.3">
      <c r="A169" s="8" t="s">
        <v>9</v>
      </c>
      <c r="B169" s="9" t="s">
        <v>10</v>
      </c>
      <c r="C169" s="10" t="s">
        <v>11</v>
      </c>
      <c r="D169" s="11" t="s">
        <v>12</v>
      </c>
      <c r="E169" s="12" t="s">
        <v>13</v>
      </c>
      <c r="F169" s="11" t="s">
        <v>14</v>
      </c>
      <c r="H169" t="s">
        <v>1152</v>
      </c>
    </row>
    <row r="170" spans="1:8" ht="15.75" thickBot="1" x14ac:dyDescent="0.3">
      <c r="A170" s="14">
        <v>1</v>
      </c>
      <c r="B170" s="1245" t="s">
        <v>945</v>
      </c>
      <c r="C170" s="1245" t="s">
        <v>944</v>
      </c>
      <c r="D170" s="147">
        <v>2310.9610496243463</v>
      </c>
      <c r="E170" s="16">
        <v>2385.0033796686489</v>
      </c>
      <c r="F170" s="17">
        <v>2402.3375292126752</v>
      </c>
      <c r="H170" t="s">
        <v>1152</v>
      </c>
    </row>
    <row r="171" spans="1:8" ht="15.75" thickBot="1" x14ac:dyDescent="0.3">
      <c r="A171" s="18">
        <v>2</v>
      </c>
      <c r="B171" s="1245" t="s">
        <v>905</v>
      </c>
      <c r="C171" s="1245" t="s">
        <v>904</v>
      </c>
      <c r="D171" s="147">
        <v>2308.3203044824509</v>
      </c>
      <c r="E171" s="19">
        <v>2290.0966754055007</v>
      </c>
      <c r="F171" s="20">
        <v>2284.2292031823108</v>
      </c>
      <c r="H171" t="s">
        <v>1152</v>
      </c>
    </row>
    <row r="172" spans="1:8" ht="15.75" thickBot="1" x14ac:dyDescent="0.3">
      <c r="A172" s="18">
        <v>3</v>
      </c>
      <c r="B172" s="1245" t="s">
        <v>912</v>
      </c>
      <c r="C172" s="1245" t="s">
        <v>910</v>
      </c>
      <c r="D172" s="147">
        <v>2276.1308192442684</v>
      </c>
      <c r="E172" s="19">
        <v>2284.1470297422529</v>
      </c>
      <c r="F172" s="20">
        <v>2278.1955182796933</v>
      </c>
      <c r="H172" t="s">
        <v>1152</v>
      </c>
    </row>
    <row r="173" spans="1:8" ht="15.75" thickBot="1" x14ac:dyDescent="0.3">
      <c r="A173" s="18">
        <v>4</v>
      </c>
      <c r="B173" s="1245" t="s">
        <v>914</v>
      </c>
      <c r="C173" s="1245" t="s">
        <v>913</v>
      </c>
      <c r="D173" s="147">
        <v>2239.1016155301213</v>
      </c>
      <c r="E173" s="19">
        <v>2245.8480710664699</v>
      </c>
      <c r="F173" s="20">
        <v>2266.7639928315944</v>
      </c>
      <c r="H173" t="s">
        <v>1152</v>
      </c>
    </row>
    <row r="174" spans="1:8" ht="15.75" thickBot="1" x14ac:dyDescent="0.3">
      <c r="A174" s="18">
        <v>5</v>
      </c>
      <c r="B174" s="1245" t="s">
        <v>696</v>
      </c>
      <c r="C174" s="1245" t="s">
        <v>695</v>
      </c>
      <c r="D174" s="147">
        <v>2140.9672825573971</v>
      </c>
      <c r="E174" s="19">
        <v>2043.4409293967788</v>
      </c>
      <c r="F174" s="20">
        <v>2043.4409293967788</v>
      </c>
      <c r="H174" t="s">
        <v>1152</v>
      </c>
    </row>
    <row r="175" spans="1:8" ht="15.75" thickBot="1" x14ac:dyDescent="0.3">
      <c r="A175" s="18">
        <v>6</v>
      </c>
      <c r="B175" s="1245" t="s">
        <v>936</v>
      </c>
      <c r="C175" s="1245" t="s">
        <v>935</v>
      </c>
      <c r="D175" s="147">
        <v>2222.3068225794136</v>
      </c>
      <c r="E175" s="19">
        <v>2228.3137729922109</v>
      </c>
      <c r="F175" s="20">
        <v>2218.4199647772912</v>
      </c>
      <c r="H175" t="s">
        <v>1152</v>
      </c>
    </row>
    <row r="176" spans="1:8" ht="15.75" thickBot="1" x14ac:dyDescent="0.3">
      <c r="A176" s="18">
        <v>7</v>
      </c>
      <c r="B176" s="1245" t="s">
        <v>955</v>
      </c>
      <c r="C176" s="1245" t="s">
        <v>954</v>
      </c>
      <c r="D176" s="147">
        <v>2148.4247333494636</v>
      </c>
      <c r="E176" s="19">
        <v>2145.14887459797</v>
      </c>
      <c r="F176" s="20">
        <v>2139.4047424288392</v>
      </c>
      <c r="H176" t="s">
        <v>1152</v>
      </c>
    </row>
    <row r="177" spans="1:8" ht="15.75" thickBot="1" x14ac:dyDescent="0.3">
      <c r="A177" s="18">
        <v>8</v>
      </c>
      <c r="B177" s="1245" t="s">
        <v>938</v>
      </c>
      <c r="C177" s="1245" t="s">
        <v>937</v>
      </c>
      <c r="D177" s="147">
        <v>2138.5872760572856</v>
      </c>
      <c r="E177" s="19">
        <v>2105.1902917103066</v>
      </c>
      <c r="F177" s="20">
        <v>2099.9123103292327</v>
      </c>
      <c r="H177" t="s">
        <v>1152</v>
      </c>
    </row>
    <row r="178" spans="1:8" ht="15.75" thickBot="1" x14ac:dyDescent="0.3">
      <c r="A178" s="18">
        <v>9</v>
      </c>
      <c r="B178" s="1245" t="s">
        <v>918</v>
      </c>
      <c r="C178" s="1245" t="s">
        <v>917</v>
      </c>
      <c r="D178" s="147">
        <v>2122.4112829190817</v>
      </c>
      <c r="E178" s="19">
        <v>2172.5458348460279</v>
      </c>
      <c r="F178" s="20">
        <v>2167.0306689877511</v>
      </c>
      <c r="H178" t="s">
        <v>1152</v>
      </c>
    </row>
    <row r="179" spans="1:8" ht="15.75" thickBot="1" x14ac:dyDescent="0.3">
      <c r="A179" s="32">
        <v>10</v>
      </c>
      <c r="B179" s="1246" t="s">
        <v>947</v>
      </c>
      <c r="C179" s="1245" t="s">
        <v>946</v>
      </c>
      <c r="D179" s="147">
        <v>2098.9025643154096</v>
      </c>
      <c r="E179" s="33">
        <v>2106.3788912330715</v>
      </c>
      <c r="F179" s="34">
        <v>2106.3788912330715</v>
      </c>
      <c r="H179" t="s">
        <v>1152</v>
      </c>
    </row>
    <row r="180" spans="1:8" x14ac:dyDescent="0.25">
      <c r="A180" s="64" t="s">
        <v>113</v>
      </c>
      <c r="B180" s="62"/>
      <c r="C180" s="62"/>
      <c r="D180" s="65"/>
      <c r="E180" s="62"/>
      <c r="F180" s="62"/>
      <c r="H180" t="s">
        <v>1152</v>
      </c>
    </row>
    <row r="181" spans="1:8" x14ac:dyDescent="0.25">
      <c r="A181" s="62" t="s">
        <v>945</v>
      </c>
      <c r="B181" s="62">
        <v>2385.0033796686489</v>
      </c>
      <c r="C181" s="62"/>
      <c r="D181" s="65"/>
      <c r="E181" s="62"/>
      <c r="F181" s="62"/>
      <c r="H181" t="s">
        <v>1152</v>
      </c>
    </row>
    <row r="182" spans="1:8" x14ac:dyDescent="0.25">
      <c r="A182" s="62" t="s">
        <v>914</v>
      </c>
      <c r="B182" s="62">
        <v>2245.8480710664699</v>
      </c>
      <c r="C182" s="62"/>
      <c r="D182" s="65"/>
      <c r="E182" s="62"/>
      <c r="F182" s="62"/>
      <c r="H182" t="s">
        <v>1152</v>
      </c>
    </row>
    <row r="183" spans="1:8" x14ac:dyDescent="0.25">
      <c r="A183" s="62" t="s">
        <v>696</v>
      </c>
      <c r="B183" s="62">
        <v>2043.4409293967788</v>
      </c>
      <c r="C183" s="62"/>
      <c r="D183" s="65"/>
      <c r="E183" s="62"/>
      <c r="F183" s="62"/>
      <c r="H183" t="s">
        <v>1152</v>
      </c>
    </row>
    <row r="184" spans="1:8" x14ac:dyDescent="0.25">
      <c r="A184" s="62" t="s">
        <v>938</v>
      </c>
      <c r="B184" s="62">
        <v>2105.1902917103066</v>
      </c>
      <c r="C184" s="62"/>
      <c r="D184" s="65"/>
      <c r="E184" s="62"/>
      <c r="F184" s="62"/>
      <c r="H184" t="s">
        <v>1152</v>
      </c>
    </row>
    <row r="185" spans="1:8" ht="15.75" thickBot="1" x14ac:dyDescent="0.3">
      <c r="A185" s="62" t="s">
        <v>918</v>
      </c>
      <c r="B185" s="62">
        <v>2172.5458348460279</v>
      </c>
      <c r="C185" s="62"/>
      <c r="D185" s="65"/>
      <c r="E185" s="62"/>
      <c r="F185" s="62"/>
      <c r="H185" t="s">
        <v>1152</v>
      </c>
    </row>
    <row r="186" spans="1:8" ht="15.75" thickBot="1" x14ac:dyDescent="0.3">
      <c r="A186" s="8" t="s">
        <v>9</v>
      </c>
      <c r="B186" s="9" t="s">
        <v>10</v>
      </c>
      <c r="C186" s="10" t="s">
        <v>11</v>
      </c>
      <c r="D186" s="11" t="s">
        <v>12</v>
      </c>
      <c r="E186" s="12" t="s">
        <v>13</v>
      </c>
      <c r="F186" s="11" t="s">
        <v>14</v>
      </c>
      <c r="H186" t="s">
        <v>1153</v>
      </c>
    </row>
    <row r="187" spans="1:8" ht="15.75" thickBot="1" x14ac:dyDescent="0.3">
      <c r="A187" s="14">
        <v>1</v>
      </c>
      <c r="B187" s="15" t="s">
        <v>22</v>
      </c>
      <c r="C187" s="15" t="s">
        <v>23</v>
      </c>
      <c r="D187" s="147">
        <v>2562.1064003900715</v>
      </c>
      <c r="E187" s="16">
        <v>2501.3499753223941</v>
      </c>
      <c r="F187" s="17">
        <v>2490.7546597563824</v>
      </c>
      <c r="H187" t="s">
        <v>1153</v>
      </c>
    </row>
    <row r="188" spans="1:8" ht="15.75" thickBot="1" x14ac:dyDescent="0.3">
      <c r="A188" s="18">
        <v>2</v>
      </c>
      <c r="B188" s="15" t="s">
        <v>28</v>
      </c>
      <c r="C188" s="15" t="s">
        <v>29</v>
      </c>
      <c r="D188" s="147">
        <v>2503.2179928017745</v>
      </c>
      <c r="E188" s="19">
        <v>2469.0199397386018</v>
      </c>
      <c r="F188" s="20">
        <v>2461.1682047986947</v>
      </c>
      <c r="H188" t="s">
        <v>1153</v>
      </c>
    </row>
    <row r="189" spans="1:8" ht="15.75" thickBot="1" x14ac:dyDescent="0.3">
      <c r="A189" s="18">
        <v>3</v>
      </c>
      <c r="B189" s="15" t="s">
        <v>31</v>
      </c>
      <c r="C189" s="15" t="s">
        <v>32</v>
      </c>
      <c r="D189" s="147">
        <v>2483.9011013183376</v>
      </c>
      <c r="E189" s="19">
        <v>2521.723704804047</v>
      </c>
      <c r="F189" s="20">
        <v>2534.2184179573715</v>
      </c>
      <c r="H189" t="s">
        <v>1153</v>
      </c>
    </row>
    <row r="190" spans="1:8" ht="15.75" thickBot="1" x14ac:dyDescent="0.3">
      <c r="A190" s="18">
        <v>4</v>
      </c>
      <c r="B190" s="15" t="s">
        <v>36</v>
      </c>
      <c r="C190" s="15" t="s">
        <v>37</v>
      </c>
      <c r="D190" s="147">
        <v>2462.5038673672475</v>
      </c>
      <c r="E190" s="19">
        <v>2477.5655110911916</v>
      </c>
      <c r="F190" s="20">
        <v>2470.5768512788477</v>
      </c>
      <c r="H190" t="s">
        <v>1153</v>
      </c>
    </row>
    <row r="191" spans="1:8" ht="15.75" thickBot="1" x14ac:dyDescent="0.3">
      <c r="A191" s="18">
        <v>5</v>
      </c>
      <c r="B191" s="15" t="s">
        <v>45</v>
      </c>
      <c r="C191" s="15" t="s">
        <v>46</v>
      </c>
      <c r="D191" s="147">
        <v>2418.2277960489441</v>
      </c>
      <c r="E191" s="19">
        <v>2486.1708786393397</v>
      </c>
      <c r="F191" s="20">
        <v>2486.9719356907308</v>
      </c>
      <c r="H191" t="s">
        <v>1153</v>
      </c>
    </row>
    <row r="192" spans="1:8" ht="15.75" thickBot="1" x14ac:dyDescent="0.3">
      <c r="A192" s="18">
        <v>6</v>
      </c>
      <c r="B192" s="15" t="s">
        <v>48</v>
      </c>
      <c r="C192" s="15" t="s">
        <v>49</v>
      </c>
      <c r="D192" s="147">
        <v>2400</v>
      </c>
      <c r="E192" s="19">
        <v>2357.6436227783074</v>
      </c>
      <c r="F192" s="20">
        <v>2357.6436227783074</v>
      </c>
      <c r="H192" t="s">
        <v>1153</v>
      </c>
    </row>
    <row r="193" spans="1:8" ht="15.75" thickBot="1" x14ac:dyDescent="0.3">
      <c r="A193" s="18">
        <v>7</v>
      </c>
      <c r="B193" s="15" t="s">
        <v>51</v>
      </c>
      <c r="C193" s="15" t="s">
        <v>52</v>
      </c>
      <c r="D193" s="147">
        <v>2400</v>
      </c>
      <c r="E193" s="19">
        <v>2384.4125535599082</v>
      </c>
      <c r="F193" s="20">
        <v>2408.4097346410776</v>
      </c>
      <c r="H193" t="s">
        <v>1153</v>
      </c>
    </row>
    <row r="194" spans="1:8" ht="15.75" thickBot="1" x14ac:dyDescent="0.3">
      <c r="A194" s="18">
        <v>8</v>
      </c>
      <c r="B194" s="15" t="s">
        <v>54</v>
      </c>
      <c r="C194" s="15" t="s">
        <v>55</v>
      </c>
      <c r="D194" s="147">
        <v>2355.6429300299578</v>
      </c>
      <c r="E194" s="19">
        <v>2359.0968744907545</v>
      </c>
      <c r="F194" s="20">
        <v>2353.5467439155041</v>
      </c>
      <c r="H194" t="s">
        <v>1153</v>
      </c>
    </row>
    <row r="195" spans="1:8" ht="15.75" thickBot="1" x14ac:dyDescent="0.3">
      <c r="A195" s="18">
        <v>9</v>
      </c>
      <c r="B195" s="15" t="s">
        <v>57</v>
      </c>
      <c r="C195" s="15" t="s">
        <v>58</v>
      </c>
      <c r="D195" s="147">
        <v>2355.4932684736682</v>
      </c>
      <c r="E195" s="19">
        <v>2329.7910227662092</v>
      </c>
      <c r="F195" s="20">
        <v>2329.7910227662092</v>
      </c>
      <c r="H195" t="s">
        <v>1153</v>
      </c>
    </row>
    <row r="196" spans="1:8" ht="15.75" thickBot="1" x14ac:dyDescent="0.3">
      <c r="A196" s="32">
        <v>10</v>
      </c>
      <c r="B196" s="15" t="s">
        <v>60</v>
      </c>
      <c r="C196" s="15" t="s">
        <v>61</v>
      </c>
      <c r="D196" s="147">
        <v>2357.2024717461968</v>
      </c>
      <c r="E196" s="33">
        <v>2411.521744985444</v>
      </c>
      <c r="F196" s="34">
        <v>2405.2146345930723</v>
      </c>
      <c r="H196" t="s">
        <v>1153</v>
      </c>
    </row>
    <row r="197" spans="1:8" x14ac:dyDescent="0.25">
      <c r="A197" s="64" t="s">
        <v>113</v>
      </c>
      <c r="B197" s="62"/>
      <c r="C197" s="62"/>
      <c r="D197" s="65"/>
      <c r="E197" s="62"/>
      <c r="F197" s="62"/>
      <c r="H197" t="s">
        <v>1153</v>
      </c>
    </row>
    <row r="198" spans="1:8" x14ac:dyDescent="0.25">
      <c r="A198" s="62" t="s">
        <v>22</v>
      </c>
      <c r="B198" s="62">
        <v>2501.3499753223941</v>
      </c>
      <c r="C198" s="62"/>
      <c r="D198" s="65"/>
      <c r="E198" s="62"/>
      <c r="F198" s="62"/>
      <c r="H198" t="s">
        <v>1153</v>
      </c>
    </row>
    <row r="199" spans="1:8" x14ac:dyDescent="0.25">
      <c r="A199" s="62" t="s">
        <v>36</v>
      </c>
      <c r="B199" s="62">
        <v>2477.5655110911916</v>
      </c>
      <c r="C199" s="62"/>
      <c r="D199" s="65"/>
      <c r="E199" s="62"/>
      <c r="F199" s="62"/>
      <c r="H199" t="s">
        <v>1153</v>
      </c>
    </row>
    <row r="200" spans="1:8" x14ac:dyDescent="0.25">
      <c r="A200" s="62" t="s">
        <v>45</v>
      </c>
      <c r="B200" s="62">
        <v>2486.1708786393397</v>
      </c>
      <c r="C200" s="62"/>
      <c r="D200" s="65"/>
      <c r="E200" s="62"/>
      <c r="F200" s="62"/>
      <c r="H200" t="s">
        <v>1153</v>
      </c>
    </row>
    <row r="201" spans="1:8" x14ac:dyDescent="0.25">
      <c r="A201" s="62" t="s">
        <v>54</v>
      </c>
      <c r="B201" s="62">
        <v>2359.0968744907545</v>
      </c>
      <c r="C201" s="62"/>
      <c r="D201" s="65"/>
      <c r="E201" s="62"/>
      <c r="F201" s="62"/>
      <c r="H201" t="s">
        <v>1153</v>
      </c>
    </row>
    <row r="202" spans="1:8" ht="15.75" thickBot="1" x14ac:dyDescent="0.3">
      <c r="A202" s="62" t="s">
        <v>57</v>
      </c>
      <c r="B202" s="62">
        <v>2329.7910227662092</v>
      </c>
      <c r="C202" s="62"/>
      <c r="D202" s="65"/>
      <c r="E202" s="62"/>
      <c r="F202" s="62"/>
      <c r="H202" t="s">
        <v>1153</v>
      </c>
    </row>
    <row r="203" spans="1:8" ht="15.75" thickBot="1" x14ac:dyDescent="0.3">
      <c r="A203" s="139" t="s">
        <v>9</v>
      </c>
      <c r="B203" s="140" t="s">
        <v>10</v>
      </c>
      <c r="C203" s="141" t="s">
        <v>11</v>
      </c>
      <c r="D203" s="142" t="s">
        <v>12</v>
      </c>
      <c r="E203" s="143" t="s">
        <v>13</v>
      </c>
      <c r="F203" s="142" t="s">
        <v>14</v>
      </c>
      <c r="H203" t="s">
        <v>1154</v>
      </c>
    </row>
    <row r="204" spans="1:8" ht="15.75" thickBot="1" x14ac:dyDescent="0.3">
      <c r="A204" s="145">
        <v>1</v>
      </c>
      <c r="B204" s="146" t="s">
        <v>170</v>
      </c>
      <c r="C204" s="146" t="s">
        <v>171</v>
      </c>
      <c r="D204" s="147">
        <v>2695.8819375084886</v>
      </c>
      <c r="E204" s="148">
        <v>2746.3357508323948</v>
      </c>
      <c r="F204" s="149">
        <v>2729.9711784317674</v>
      </c>
      <c r="H204" t="s">
        <v>1154</v>
      </c>
    </row>
    <row r="205" spans="1:8" ht="15.75" thickBot="1" x14ac:dyDescent="0.3">
      <c r="A205" s="150">
        <v>2</v>
      </c>
      <c r="B205" s="146" t="s">
        <v>172</v>
      </c>
      <c r="C205" s="146" t="s">
        <v>173</v>
      </c>
      <c r="D205" s="147">
        <v>2607.9641530366357</v>
      </c>
      <c r="E205" s="151">
        <v>2664.0563656298405</v>
      </c>
      <c r="F205" s="152">
        <v>2679.7684181029094</v>
      </c>
      <c r="H205" t="s">
        <v>1154</v>
      </c>
    </row>
    <row r="206" spans="1:8" ht="15.75" thickBot="1" x14ac:dyDescent="0.3">
      <c r="A206" s="150">
        <v>3</v>
      </c>
      <c r="B206" s="146" t="s">
        <v>174</v>
      </c>
      <c r="C206" s="146" t="s">
        <v>175</v>
      </c>
      <c r="D206" s="147">
        <v>2604.5313523756722</v>
      </c>
      <c r="E206" s="151">
        <v>2571.4156432282916</v>
      </c>
      <c r="F206" s="152">
        <v>2574.5716672740141</v>
      </c>
      <c r="H206" t="s">
        <v>1154</v>
      </c>
    </row>
    <row r="207" spans="1:8" ht="15.75" thickBot="1" x14ac:dyDescent="0.3">
      <c r="A207" s="150">
        <v>4</v>
      </c>
      <c r="B207" s="146" t="s">
        <v>176</v>
      </c>
      <c r="C207" s="146" t="s">
        <v>177</v>
      </c>
      <c r="D207" s="147">
        <v>2601.7693263635874</v>
      </c>
      <c r="E207" s="151">
        <v>2583.049787744505</v>
      </c>
      <c r="F207" s="152">
        <v>2580.5462836263409</v>
      </c>
      <c r="H207" t="s">
        <v>1154</v>
      </c>
    </row>
    <row r="208" spans="1:8" ht="15.75" thickBot="1" x14ac:dyDescent="0.3">
      <c r="A208" s="162">
        <v>5</v>
      </c>
      <c r="B208" s="146" t="s">
        <v>178</v>
      </c>
      <c r="C208" s="146" t="s">
        <v>179</v>
      </c>
      <c r="D208" s="147">
        <v>2533.5380243836562</v>
      </c>
      <c r="E208" s="163">
        <v>2478.8272462330083</v>
      </c>
      <c r="F208" s="164">
        <v>2478.8272462330083</v>
      </c>
      <c r="H208" t="s">
        <v>1154</v>
      </c>
    </row>
    <row r="209" spans="1:8" x14ac:dyDescent="0.25">
      <c r="A209" s="196" t="s">
        <v>113</v>
      </c>
      <c r="B209" s="193"/>
      <c r="C209" s="193"/>
      <c r="D209" s="197"/>
      <c r="E209" s="193"/>
      <c r="F209" s="193"/>
      <c r="H209" t="s">
        <v>1154</v>
      </c>
    </row>
    <row r="210" spans="1:8" x14ac:dyDescent="0.25">
      <c r="A210" s="193" t="s">
        <v>170</v>
      </c>
      <c r="B210" s="193">
        <v>2746.3357508323948</v>
      </c>
      <c r="C210" s="193"/>
      <c r="D210" s="197"/>
      <c r="E210" s="193"/>
      <c r="F210" s="193"/>
      <c r="H210" t="s">
        <v>1154</v>
      </c>
    </row>
    <row r="211" spans="1:8" x14ac:dyDescent="0.25">
      <c r="A211" s="193" t="s">
        <v>172</v>
      </c>
      <c r="B211" s="193">
        <v>2664.0563656298405</v>
      </c>
      <c r="C211" s="193"/>
      <c r="D211" s="197"/>
      <c r="E211" s="193"/>
      <c r="F211" s="193"/>
      <c r="H211" t="s">
        <v>1154</v>
      </c>
    </row>
    <row r="212" spans="1:8" x14ac:dyDescent="0.25">
      <c r="A212" s="193" t="s">
        <v>174</v>
      </c>
      <c r="B212" s="193">
        <v>2571.4156432282916</v>
      </c>
      <c r="C212" s="193"/>
      <c r="D212" s="197"/>
      <c r="E212" s="193"/>
      <c r="F212" s="193"/>
      <c r="H212" t="s">
        <v>1154</v>
      </c>
    </row>
    <row r="213" spans="1:8" x14ac:dyDescent="0.25">
      <c r="A213" s="193" t="s">
        <v>176</v>
      </c>
      <c r="B213" s="193">
        <v>2583.049787744505</v>
      </c>
      <c r="C213" s="193"/>
      <c r="D213" s="197"/>
      <c r="E213" s="193"/>
      <c r="F213" s="193"/>
      <c r="H213" t="s">
        <v>1154</v>
      </c>
    </row>
    <row r="214" spans="1:8" x14ac:dyDescent="0.25">
      <c r="A214" s="193" t="s">
        <v>178</v>
      </c>
      <c r="B214" s="193">
        <v>2478.8272462330083</v>
      </c>
      <c r="C214" s="193"/>
      <c r="D214" s="197"/>
      <c r="E214" s="193"/>
      <c r="F214" s="193"/>
      <c r="H214" t="s">
        <v>1154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33"/>
  <sheetViews>
    <sheetView workbookViewId="0">
      <pane ySplit="1" topLeftCell="A415" activePane="bottomLeft" state="frozen"/>
      <selection pane="bottomLeft" activeCell="I436" sqref="I436"/>
    </sheetView>
  </sheetViews>
  <sheetFormatPr defaultRowHeight="15" x14ac:dyDescent="0.25"/>
  <cols>
    <col min="1" max="2" width="2.42578125" style="278" customWidth="1"/>
    <col min="3" max="4" width="5.85546875" style="278" bestFit="1" customWidth="1"/>
    <col min="5" max="5" width="4.28515625" style="278" bestFit="1" customWidth="1"/>
    <col min="6" max="6" width="8.42578125" style="278" bestFit="1" customWidth="1"/>
    <col min="7" max="7" width="13.140625" style="278" bestFit="1" customWidth="1"/>
    <col min="8" max="8" width="28.85546875" style="278" bestFit="1" customWidth="1"/>
    <col min="9" max="9" width="25.85546875" style="278" bestFit="1" customWidth="1"/>
    <col min="10" max="10" width="6.140625" style="278" bestFit="1" customWidth="1"/>
    <col min="11" max="11" width="13.85546875" style="279" bestFit="1" customWidth="1"/>
    <col min="12" max="12" width="11.42578125" style="278" bestFit="1" customWidth="1"/>
    <col min="13" max="13" width="10" style="279" bestFit="1" customWidth="1"/>
    <col min="14" max="15" width="6.7109375" style="278" bestFit="1" customWidth="1"/>
    <col min="16" max="16" width="6.7109375" style="278" customWidth="1"/>
    <col min="17" max="17" width="7.7109375" style="278" bestFit="1" customWidth="1"/>
    <col min="18" max="18" width="8.42578125" style="278" bestFit="1" customWidth="1"/>
    <col min="19" max="19" width="7.7109375" style="278" bestFit="1" customWidth="1"/>
    <col min="20" max="20" width="6.7109375" style="278" bestFit="1" customWidth="1"/>
    <col min="21" max="23" width="7.7109375" style="278" bestFit="1" customWidth="1"/>
    <col min="24" max="24" width="6.7109375" style="278" bestFit="1" customWidth="1"/>
    <col min="25" max="27" width="7.7109375" style="278" bestFit="1" customWidth="1"/>
    <col min="28" max="33" width="9.140625" style="278"/>
    <col min="35" max="35" width="12" bestFit="1" customWidth="1"/>
    <col min="36" max="36" width="12" style="278" bestFit="1" customWidth="1"/>
    <col min="37" max="16384" width="9.140625" style="278"/>
  </cols>
  <sheetData>
    <row r="1" spans="1:35" s="275" customFormat="1" ht="30" x14ac:dyDescent="0.25">
      <c r="A1" s="275" t="s">
        <v>196</v>
      </c>
      <c r="C1" s="275" t="s">
        <v>197</v>
      </c>
      <c r="D1" s="275" t="s">
        <v>198</v>
      </c>
      <c r="E1" s="275" t="s">
        <v>18</v>
      </c>
      <c r="F1" s="275" t="s">
        <v>199</v>
      </c>
      <c r="G1" s="275" t="s">
        <v>200</v>
      </c>
      <c r="H1" s="275" t="s">
        <v>201</v>
      </c>
      <c r="I1" s="275" t="s">
        <v>10</v>
      </c>
      <c r="K1" s="276" t="s">
        <v>202</v>
      </c>
      <c r="M1" s="276" t="s">
        <v>114</v>
      </c>
      <c r="N1" s="277" t="s">
        <v>203</v>
      </c>
      <c r="O1" s="277" t="s">
        <v>204</v>
      </c>
      <c r="P1" s="277" t="s">
        <v>204</v>
      </c>
      <c r="Q1" s="277" t="s">
        <v>205</v>
      </c>
      <c r="R1" s="277"/>
      <c r="S1" s="277" t="s">
        <v>206</v>
      </c>
      <c r="T1" s="277" t="s">
        <v>207</v>
      </c>
      <c r="U1" s="277" t="s">
        <v>208</v>
      </c>
      <c r="V1" s="277" t="s">
        <v>209</v>
      </c>
      <c r="W1" s="277" t="s">
        <v>210</v>
      </c>
      <c r="X1" s="277" t="s">
        <v>211</v>
      </c>
      <c r="Y1" s="277" t="s">
        <v>212</v>
      </c>
      <c r="Z1" s="277" t="s">
        <v>213</v>
      </c>
      <c r="AA1" s="277" t="s">
        <v>214</v>
      </c>
      <c r="AB1" s="277" t="s">
        <v>215</v>
      </c>
      <c r="AH1"/>
      <c r="AI1"/>
    </row>
    <row r="2" spans="1:35" x14ac:dyDescent="0.25">
      <c r="A2" s="278">
        <v>3</v>
      </c>
      <c r="C2" s="278">
        <f t="shared" ref="C2:C65" si="0">IF(E2=E1,C1+1,1)</f>
        <v>1</v>
      </c>
      <c r="D2" s="278">
        <f t="shared" ref="D2:D65" si="1">IF(M2=M1,D1,C2)</f>
        <v>1</v>
      </c>
      <c r="E2" s="278">
        <f t="shared" ref="E2:E65" si="2">10+VALUE(RIGHT(LEFT(G2,3),1))</f>
        <v>11</v>
      </c>
      <c r="F2" s="278" t="str">
        <f t="shared" ref="F2:F65" si="3">RIGHT(G2,2) &amp; IF(A2&lt;2,"x","")</f>
        <v>pm</v>
      </c>
      <c r="G2" s="278" t="s">
        <v>216</v>
      </c>
      <c r="H2" s="278" t="s">
        <v>217</v>
      </c>
      <c r="I2" s="278" t="s">
        <v>218</v>
      </c>
      <c r="K2" s="279">
        <f t="shared" ref="K2:K65" si="4">LOOKUP(1E+100,M2:AC2)</f>
        <v>1369.8984600179906</v>
      </c>
      <c r="M2" s="279">
        <v>1400</v>
      </c>
      <c r="R2" s="278" t="str">
        <f>IF(AND((J2="This"),(L2="Only")),VLOOKUP(G2,#REF!,7,FALSE),"")</f>
        <v/>
      </c>
      <c r="S2" s="278">
        <v>1437.9335235749238</v>
      </c>
      <c r="T2" s="278">
        <v>1369.8984600179906</v>
      </c>
    </row>
    <row r="3" spans="1:35" x14ac:dyDescent="0.25">
      <c r="A3" s="278">
        <v>1</v>
      </c>
      <c r="C3" s="278">
        <f t="shared" si="0"/>
        <v>2</v>
      </c>
      <c r="D3" s="278">
        <f t="shared" si="1"/>
        <v>1</v>
      </c>
      <c r="E3" s="278">
        <f t="shared" si="2"/>
        <v>11</v>
      </c>
      <c r="F3" s="278" t="str">
        <f t="shared" si="3"/>
        <v>pmx</v>
      </c>
      <c r="G3" s="278" t="s">
        <v>219</v>
      </c>
      <c r="H3" s="278" t="s">
        <v>220</v>
      </c>
      <c r="I3" s="278" t="s">
        <v>221</v>
      </c>
      <c r="K3" s="279">
        <f t="shared" si="4"/>
        <v>1424.6516343084484</v>
      </c>
      <c r="M3" s="279">
        <v>1400</v>
      </c>
      <c r="O3" s="278">
        <v>1424.6516343084484</v>
      </c>
      <c r="R3" s="278" t="str">
        <f>IF(AND((J3="This"),(L3="Only")),VLOOKUP(G3,#REF!,7,FALSE),"")</f>
        <v/>
      </c>
    </row>
    <row r="4" spans="1:35" x14ac:dyDescent="0.25">
      <c r="A4" s="278">
        <v>4</v>
      </c>
      <c r="C4" s="278">
        <f t="shared" si="0"/>
        <v>3</v>
      </c>
      <c r="D4" s="278">
        <f t="shared" si="1"/>
        <v>3</v>
      </c>
      <c r="E4" s="278">
        <f t="shared" si="2"/>
        <v>11</v>
      </c>
      <c r="F4" s="278" t="str">
        <f t="shared" si="3"/>
        <v>pm</v>
      </c>
      <c r="G4" s="278" t="s">
        <v>222</v>
      </c>
      <c r="H4" s="278" t="s">
        <v>223</v>
      </c>
      <c r="I4" s="278" t="s">
        <v>224</v>
      </c>
      <c r="K4" s="279">
        <f t="shared" si="4"/>
        <v>1240.2255380634294</v>
      </c>
      <c r="M4" s="279">
        <v>1300</v>
      </c>
      <c r="O4" s="278">
        <v>1220.3883471899449</v>
      </c>
      <c r="R4" s="278" t="str">
        <f>IF(AND((J4="This"),(L4="Only")),VLOOKUP(G4,#REF!,7,FALSE),"")</f>
        <v/>
      </c>
      <c r="S4" s="278">
        <v>1240.2255380634294</v>
      </c>
    </row>
    <row r="5" spans="1:35" x14ac:dyDescent="0.25">
      <c r="A5" s="278">
        <v>3</v>
      </c>
      <c r="C5" s="278">
        <f t="shared" si="0"/>
        <v>4</v>
      </c>
      <c r="D5" s="278">
        <f t="shared" si="1"/>
        <v>4</v>
      </c>
      <c r="E5" s="278">
        <f t="shared" si="2"/>
        <v>11</v>
      </c>
      <c r="F5" s="278" t="str">
        <f t="shared" si="3"/>
        <v>pm</v>
      </c>
      <c r="G5" s="278" t="s">
        <v>225</v>
      </c>
      <c r="H5" s="278" t="s">
        <v>226</v>
      </c>
      <c r="I5" s="278" t="s">
        <v>227</v>
      </c>
      <c r="K5" s="279">
        <f t="shared" si="4"/>
        <v>1214.9940196953432</v>
      </c>
      <c r="M5" s="279">
        <v>1266.6666666666667</v>
      </c>
      <c r="R5" s="278" t="str">
        <f>IF(AND((J5="This"),(L5="Only")),VLOOKUP(G5,#REF!,7,FALSE),"")</f>
        <v/>
      </c>
      <c r="S5" s="278">
        <v>1214.9940196953432</v>
      </c>
    </row>
    <row r="6" spans="1:35" x14ac:dyDescent="0.25">
      <c r="A6" s="278">
        <v>1</v>
      </c>
      <c r="C6" s="278">
        <f t="shared" si="0"/>
        <v>5</v>
      </c>
      <c r="D6" s="278">
        <f t="shared" si="1"/>
        <v>5</v>
      </c>
      <c r="E6" s="278">
        <f t="shared" si="2"/>
        <v>11</v>
      </c>
      <c r="F6" s="278" t="str">
        <f t="shared" si="3"/>
        <v>crx</v>
      </c>
      <c r="G6" s="278" t="s">
        <v>228</v>
      </c>
      <c r="H6" s="278" t="s">
        <v>229</v>
      </c>
      <c r="I6" s="278" t="s">
        <v>230</v>
      </c>
      <c r="K6" s="279">
        <f t="shared" si="4"/>
        <v>1209.7648192472977</v>
      </c>
      <c r="M6" s="279">
        <v>1200</v>
      </c>
      <c r="R6" s="278" t="str">
        <f>IF(AND((J6="This"),(L6="Only")),VLOOKUP(G6,#REF!,7,FALSE),"")</f>
        <v/>
      </c>
      <c r="S6" s="278">
        <v>1209.7648192472977</v>
      </c>
    </row>
    <row r="7" spans="1:35" x14ac:dyDescent="0.25">
      <c r="A7" s="278">
        <v>4</v>
      </c>
      <c r="C7" s="278">
        <f t="shared" si="0"/>
        <v>6</v>
      </c>
      <c r="D7" s="278">
        <f t="shared" si="1"/>
        <v>5</v>
      </c>
      <c r="E7" s="278">
        <f t="shared" si="2"/>
        <v>11</v>
      </c>
      <c r="F7" s="278" t="str">
        <f t="shared" si="3"/>
        <v>pm</v>
      </c>
      <c r="G7" s="278" t="s">
        <v>231</v>
      </c>
      <c r="H7" s="278" t="s">
        <v>232</v>
      </c>
      <c r="I7" s="278" t="s">
        <v>233</v>
      </c>
      <c r="K7" s="279">
        <f t="shared" si="4"/>
        <v>1165.8661889498064</v>
      </c>
      <c r="M7" s="279">
        <v>1200</v>
      </c>
      <c r="R7" s="278" t="str">
        <f>IF(AND((J7="This"),(L7="Only")),VLOOKUP(G7,#REF!,7,FALSE),"")</f>
        <v/>
      </c>
      <c r="S7" s="278">
        <v>1165.8661889498064</v>
      </c>
    </row>
    <row r="8" spans="1:35" x14ac:dyDescent="0.25">
      <c r="A8" s="278">
        <v>4</v>
      </c>
      <c r="C8" s="278">
        <f t="shared" si="0"/>
        <v>7</v>
      </c>
      <c r="D8" s="278">
        <f t="shared" si="1"/>
        <v>5</v>
      </c>
      <c r="E8" s="278">
        <f t="shared" si="2"/>
        <v>11</v>
      </c>
      <c r="F8" s="278" t="str">
        <f t="shared" si="3"/>
        <v>pm</v>
      </c>
      <c r="G8" s="278" t="s">
        <v>234</v>
      </c>
      <c r="H8" s="278" t="s">
        <v>232</v>
      </c>
      <c r="I8" s="278" t="s">
        <v>235</v>
      </c>
      <c r="K8" s="279">
        <f t="shared" si="4"/>
        <v>1176.0869382150693</v>
      </c>
      <c r="M8" s="279">
        <v>1200</v>
      </c>
      <c r="R8" s="278" t="str">
        <f>IF(AND((J8="This"),(L8="Only")),VLOOKUP(G8,#REF!,7,FALSE),"")</f>
        <v/>
      </c>
      <c r="S8" s="278">
        <v>1176.0869382150693</v>
      </c>
    </row>
    <row r="9" spans="1:35" x14ac:dyDescent="0.25">
      <c r="A9" s="278">
        <v>4</v>
      </c>
      <c r="C9" s="278">
        <f t="shared" si="0"/>
        <v>8</v>
      </c>
      <c r="D9" s="278">
        <f t="shared" si="1"/>
        <v>5</v>
      </c>
      <c r="E9" s="278">
        <f t="shared" si="2"/>
        <v>11</v>
      </c>
      <c r="F9" s="278" t="str">
        <f t="shared" si="3"/>
        <v>pm</v>
      </c>
      <c r="G9" s="278" t="s">
        <v>236</v>
      </c>
      <c r="H9" s="278" t="s">
        <v>232</v>
      </c>
      <c r="I9" s="278" t="s">
        <v>237</v>
      </c>
      <c r="K9" s="279">
        <f t="shared" si="4"/>
        <v>1226.8555378745032</v>
      </c>
      <c r="M9" s="279">
        <v>1200</v>
      </c>
      <c r="R9" s="278" t="str">
        <f>IF(AND((J9="This"),(L9="Only")),VLOOKUP(G9,#REF!,7,FALSE),"")</f>
        <v/>
      </c>
      <c r="S9" s="278">
        <v>1226.8555378745032</v>
      </c>
    </row>
    <row r="10" spans="1:35" x14ac:dyDescent="0.25">
      <c r="A10" s="278">
        <v>1</v>
      </c>
      <c r="C10" s="278">
        <f t="shared" si="0"/>
        <v>1</v>
      </c>
      <c r="D10" s="278">
        <f t="shared" si="1"/>
        <v>1</v>
      </c>
      <c r="E10" s="278">
        <f t="shared" si="2"/>
        <v>12</v>
      </c>
      <c r="F10" s="278" t="str">
        <f t="shared" si="3"/>
        <v>pmx</v>
      </c>
      <c r="G10" s="278" t="s">
        <v>238</v>
      </c>
      <c r="H10" s="278" t="s">
        <v>239</v>
      </c>
      <c r="I10" s="278" t="s">
        <v>240</v>
      </c>
      <c r="K10" s="279">
        <f t="shared" si="4"/>
        <v>2000</v>
      </c>
      <c r="M10" s="279">
        <v>2000</v>
      </c>
      <c r="R10" s="278" t="str">
        <f>IF(AND((J10="This"),(L10="Only")),VLOOKUP(G10,#REF!,7,FALSE),"")</f>
        <v/>
      </c>
    </row>
    <row r="11" spans="1:35" x14ac:dyDescent="0.25">
      <c r="A11" s="278">
        <v>1</v>
      </c>
      <c r="C11" s="278">
        <f t="shared" si="0"/>
        <v>2</v>
      </c>
      <c r="D11" s="278">
        <f t="shared" si="1"/>
        <v>2</v>
      </c>
      <c r="E11" s="278">
        <f t="shared" si="2"/>
        <v>12</v>
      </c>
      <c r="F11" s="278" t="str">
        <f t="shared" si="3"/>
        <v>pmx</v>
      </c>
      <c r="G11" s="278" t="s">
        <v>241</v>
      </c>
      <c r="H11" s="278" t="s">
        <v>220</v>
      </c>
      <c r="I11" s="278" t="s">
        <v>242</v>
      </c>
      <c r="K11" s="279">
        <f t="shared" si="4"/>
        <v>1784.2304146196925</v>
      </c>
      <c r="M11" s="279">
        <v>1800</v>
      </c>
      <c r="O11" s="278">
        <v>1784.2304146196925</v>
      </c>
      <c r="R11" s="278" t="str">
        <f>IF(AND((J11="This"),(L11="Only")),VLOOKUP(G11,#REF!,7,FALSE),"")</f>
        <v/>
      </c>
    </row>
    <row r="12" spans="1:35" x14ac:dyDescent="0.25">
      <c r="A12" s="278">
        <v>1</v>
      </c>
      <c r="C12" s="278">
        <f t="shared" si="0"/>
        <v>3</v>
      </c>
      <c r="D12" s="278">
        <f t="shared" si="1"/>
        <v>3</v>
      </c>
      <c r="E12" s="278">
        <f t="shared" si="2"/>
        <v>12</v>
      </c>
      <c r="F12" s="278" t="str">
        <f t="shared" si="3"/>
        <v>sox</v>
      </c>
      <c r="G12" s="280" t="s">
        <v>243</v>
      </c>
      <c r="H12" s="278" t="s">
        <v>244</v>
      </c>
      <c r="I12" s="278" t="s">
        <v>245</v>
      </c>
      <c r="K12" s="279">
        <f t="shared" si="4"/>
        <v>1581.3689376475111</v>
      </c>
      <c r="M12" s="279">
        <v>1600</v>
      </c>
      <c r="R12" s="278" t="str">
        <f>IF(AND((J12="This"),(L12="Only")),VLOOKUP(G12,#REF!,7,FALSE),"")</f>
        <v/>
      </c>
      <c r="U12" s="278">
        <v>1581.3689376475111</v>
      </c>
    </row>
    <row r="13" spans="1:35" x14ac:dyDescent="0.25">
      <c r="A13" s="278">
        <v>1</v>
      </c>
      <c r="C13" s="278">
        <f t="shared" si="0"/>
        <v>4</v>
      </c>
      <c r="D13" s="278">
        <f t="shared" si="1"/>
        <v>3</v>
      </c>
      <c r="E13" s="278">
        <f t="shared" si="2"/>
        <v>12</v>
      </c>
      <c r="F13" s="278" t="str">
        <f t="shared" si="3"/>
        <v>pmx</v>
      </c>
      <c r="G13" s="278" t="s">
        <v>246</v>
      </c>
      <c r="H13" s="278" t="s">
        <v>247</v>
      </c>
      <c r="I13" s="278" t="s">
        <v>248</v>
      </c>
      <c r="K13" s="279">
        <f t="shared" si="4"/>
        <v>1614.2711162149969</v>
      </c>
      <c r="M13" s="279">
        <v>1600</v>
      </c>
      <c r="O13" s="278">
        <v>1614.2711162149969</v>
      </c>
      <c r="R13" s="278" t="str">
        <f>IF(AND((J13="This"),(L13="Only")),VLOOKUP(G13,#REF!,7,FALSE),"")</f>
        <v/>
      </c>
    </row>
    <row r="14" spans="1:35" x14ac:dyDescent="0.25">
      <c r="A14" s="278">
        <v>3</v>
      </c>
      <c r="C14" s="278">
        <f t="shared" si="0"/>
        <v>5</v>
      </c>
      <c r="D14" s="278">
        <f t="shared" si="1"/>
        <v>3</v>
      </c>
      <c r="E14" s="278">
        <f t="shared" si="2"/>
        <v>12</v>
      </c>
      <c r="F14" s="278" t="str">
        <f t="shared" si="3"/>
        <v>pm</v>
      </c>
      <c r="G14" s="278" t="s">
        <v>249</v>
      </c>
      <c r="H14" s="278" t="s">
        <v>217</v>
      </c>
      <c r="I14" s="278" t="s">
        <v>250</v>
      </c>
      <c r="K14" s="279">
        <f t="shared" si="4"/>
        <v>1552.399145092096</v>
      </c>
      <c r="M14" s="279">
        <v>1600</v>
      </c>
      <c r="R14" s="278" t="str">
        <f>IF(AND((J14="This"),(L14="Only")),VLOOKUP(G14,#REF!,7,FALSE),"")</f>
        <v/>
      </c>
      <c r="S14" s="278">
        <v>1545.0658002022537</v>
      </c>
      <c r="T14" s="278">
        <v>1552.399145092096</v>
      </c>
    </row>
    <row r="15" spans="1:35" x14ac:dyDescent="0.25">
      <c r="A15" s="278">
        <v>4</v>
      </c>
      <c r="C15" s="278">
        <f t="shared" si="0"/>
        <v>6</v>
      </c>
      <c r="D15" s="278">
        <f t="shared" si="1"/>
        <v>3</v>
      </c>
      <c r="E15" s="278">
        <f t="shared" si="2"/>
        <v>12</v>
      </c>
      <c r="F15" s="278" t="str">
        <f t="shared" si="3"/>
        <v>pm</v>
      </c>
      <c r="G15" s="278" t="s">
        <v>251</v>
      </c>
      <c r="H15" s="278" t="s">
        <v>252</v>
      </c>
      <c r="I15" s="278" t="s">
        <v>253</v>
      </c>
      <c r="K15" s="279">
        <f t="shared" si="4"/>
        <v>1594.5351714058854</v>
      </c>
      <c r="M15" s="279">
        <v>1600</v>
      </c>
      <c r="R15" s="278" t="str">
        <f>IF(AND((J15="This"),(L15="Only")),VLOOKUP(G15,#REF!,7,FALSE),"")</f>
        <v/>
      </c>
      <c r="S15" s="278">
        <v>1594.5351714058854</v>
      </c>
    </row>
    <row r="16" spans="1:35" x14ac:dyDescent="0.25">
      <c r="A16" s="278">
        <v>1</v>
      </c>
      <c r="C16" s="278">
        <f t="shared" si="0"/>
        <v>7</v>
      </c>
      <c r="D16" s="278">
        <f t="shared" si="1"/>
        <v>3</v>
      </c>
      <c r="E16" s="278">
        <f t="shared" si="2"/>
        <v>12</v>
      </c>
      <c r="F16" s="278" t="str">
        <f t="shared" si="3"/>
        <v>pmx</v>
      </c>
      <c r="G16" s="278" t="s">
        <v>254</v>
      </c>
      <c r="H16" s="278" t="s">
        <v>220</v>
      </c>
      <c r="I16" s="278" t="s">
        <v>255</v>
      </c>
      <c r="K16" s="279">
        <f t="shared" si="4"/>
        <v>1637.1751345319028</v>
      </c>
      <c r="M16" s="279">
        <v>1600</v>
      </c>
      <c r="O16" s="278">
        <v>1637.1751345319028</v>
      </c>
      <c r="R16" s="278" t="str">
        <f>IF(AND((J16="This"),(L16="Only")),VLOOKUP(G16,#REF!,7,FALSE),"")</f>
        <v/>
      </c>
    </row>
    <row r="17" spans="1:20" x14ac:dyDescent="0.25">
      <c r="A17" s="278">
        <v>4</v>
      </c>
      <c r="C17" s="278">
        <f t="shared" si="0"/>
        <v>8</v>
      </c>
      <c r="D17" s="278">
        <f t="shared" si="1"/>
        <v>8</v>
      </c>
      <c r="E17" s="278">
        <f t="shared" si="2"/>
        <v>12</v>
      </c>
      <c r="F17" s="278" t="str">
        <f t="shared" si="3"/>
        <v>pm</v>
      </c>
      <c r="G17" s="278" t="s">
        <v>256</v>
      </c>
      <c r="H17" s="278" t="s">
        <v>226</v>
      </c>
      <c r="I17" s="278" t="s">
        <v>257</v>
      </c>
      <c r="K17" s="279">
        <f t="shared" si="4"/>
        <v>1588.7121935660714</v>
      </c>
      <c r="M17" s="279">
        <v>1500</v>
      </c>
      <c r="R17" s="278" t="str">
        <f>IF(AND((J17="This"),(L17="Only")),VLOOKUP(G17,#REF!,7,FALSE),"")</f>
        <v/>
      </c>
      <c r="S17" s="278">
        <v>1588.7121935660714</v>
      </c>
    </row>
    <row r="18" spans="1:20" x14ac:dyDescent="0.25">
      <c r="A18" s="278">
        <v>5</v>
      </c>
      <c r="C18" s="278">
        <f t="shared" si="0"/>
        <v>9</v>
      </c>
      <c r="D18" s="278">
        <f t="shared" si="1"/>
        <v>9</v>
      </c>
      <c r="E18" s="278">
        <f t="shared" si="2"/>
        <v>12</v>
      </c>
      <c r="F18" s="278" t="str">
        <f t="shared" si="3"/>
        <v>pm</v>
      </c>
      <c r="G18" s="280" t="s">
        <v>258</v>
      </c>
      <c r="H18" s="278" t="s">
        <v>259</v>
      </c>
      <c r="I18" s="278" t="s">
        <v>260</v>
      </c>
      <c r="K18" s="279">
        <f t="shared" si="4"/>
        <v>1442.8319701170221</v>
      </c>
      <c r="M18" s="279">
        <v>1400</v>
      </c>
      <c r="O18" s="278">
        <v>1359.8313547797393</v>
      </c>
      <c r="R18" s="278" t="str">
        <f>IF(AND((J18="This"),(L18="Only")),VLOOKUP(G18,#REF!,7,FALSE),"")</f>
        <v/>
      </c>
      <c r="S18" s="278">
        <v>1376.9109943231629</v>
      </c>
      <c r="T18" s="278">
        <v>1442.8319701170221</v>
      </c>
    </row>
    <row r="19" spans="1:20" x14ac:dyDescent="0.25">
      <c r="A19" s="278">
        <v>2</v>
      </c>
      <c r="C19" s="278">
        <f t="shared" si="0"/>
        <v>10</v>
      </c>
      <c r="D19" s="278">
        <f t="shared" si="1"/>
        <v>9</v>
      </c>
      <c r="E19" s="278">
        <f t="shared" si="2"/>
        <v>12</v>
      </c>
      <c r="F19" s="278" t="str">
        <f t="shared" si="3"/>
        <v>cr</v>
      </c>
      <c r="G19" s="278" t="s">
        <v>261</v>
      </c>
      <c r="H19" s="278" t="s">
        <v>229</v>
      </c>
      <c r="I19" s="278" t="s">
        <v>262</v>
      </c>
      <c r="K19" s="279">
        <f t="shared" si="4"/>
        <v>1413.9007393424706</v>
      </c>
      <c r="M19" s="279">
        <v>1400</v>
      </c>
      <c r="R19" s="278" t="str">
        <f>IF(AND((J19="This"),(L19="Only")),VLOOKUP(G19,#REF!,7,FALSE),"")</f>
        <v/>
      </c>
      <c r="S19" s="278">
        <v>1413.9007393424706</v>
      </c>
    </row>
    <row r="20" spans="1:20" x14ac:dyDescent="0.25">
      <c r="A20" s="278">
        <v>1</v>
      </c>
      <c r="C20" s="278">
        <f t="shared" si="0"/>
        <v>11</v>
      </c>
      <c r="D20" s="278">
        <f t="shared" si="1"/>
        <v>9</v>
      </c>
      <c r="E20" s="278">
        <f t="shared" si="2"/>
        <v>12</v>
      </c>
      <c r="F20" s="278" t="str">
        <f t="shared" si="3"/>
        <v>pmx</v>
      </c>
      <c r="G20" s="278" t="s">
        <v>263</v>
      </c>
      <c r="H20" s="278" t="s">
        <v>247</v>
      </c>
      <c r="I20" s="278" t="s">
        <v>264</v>
      </c>
      <c r="K20" s="279">
        <f t="shared" si="4"/>
        <v>1379.3213417745701</v>
      </c>
      <c r="M20" s="279">
        <v>1400</v>
      </c>
      <c r="O20" s="278">
        <v>1379.3213417745701</v>
      </c>
      <c r="R20" s="278" t="str">
        <f>IF(AND((J20="This"),(L20="Only")),VLOOKUP(G20,#REF!,7,FALSE),"")</f>
        <v/>
      </c>
    </row>
    <row r="21" spans="1:20" x14ac:dyDescent="0.25">
      <c r="A21" s="278">
        <v>1</v>
      </c>
      <c r="C21" s="278">
        <f t="shared" si="0"/>
        <v>12</v>
      </c>
      <c r="D21" s="278">
        <f t="shared" si="1"/>
        <v>9</v>
      </c>
      <c r="E21" s="278">
        <f t="shared" si="2"/>
        <v>12</v>
      </c>
      <c r="F21" s="278" t="str">
        <f t="shared" si="3"/>
        <v>pmx</v>
      </c>
      <c r="G21" s="278" t="s">
        <v>265</v>
      </c>
      <c r="H21" s="278" t="s">
        <v>247</v>
      </c>
      <c r="I21" s="278" t="s">
        <v>266</v>
      </c>
      <c r="K21" s="279">
        <f t="shared" si="4"/>
        <v>1356.8915347774796</v>
      </c>
      <c r="M21" s="279">
        <v>1400</v>
      </c>
      <c r="O21" s="278">
        <v>1356.8915347774796</v>
      </c>
      <c r="R21" s="278" t="str">
        <f>IF(AND((J21="This"),(L21="Only")),VLOOKUP(G21,#REF!,7,FALSE),"")</f>
        <v/>
      </c>
    </row>
    <row r="22" spans="1:20" x14ac:dyDescent="0.25">
      <c r="A22" s="278">
        <v>4</v>
      </c>
      <c r="C22" s="278">
        <f t="shared" si="0"/>
        <v>13</v>
      </c>
      <c r="D22" s="278">
        <f t="shared" si="1"/>
        <v>9</v>
      </c>
      <c r="E22" s="278">
        <f t="shared" si="2"/>
        <v>12</v>
      </c>
      <c r="F22" s="278" t="str">
        <f t="shared" si="3"/>
        <v>pm</v>
      </c>
      <c r="G22" s="278" t="s">
        <v>267</v>
      </c>
      <c r="H22" s="278" t="s">
        <v>268</v>
      </c>
      <c r="I22" s="278" t="s">
        <v>269</v>
      </c>
      <c r="K22" s="279">
        <f t="shared" si="4"/>
        <v>1531.814236061155</v>
      </c>
      <c r="M22" s="279">
        <v>1400</v>
      </c>
      <c r="O22" s="278">
        <v>1424.8014199287991</v>
      </c>
      <c r="R22" s="278" t="str">
        <f>IF(AND((J22="This"),(L22="Only")),VLOOKUP(G22,#REF!,7,FALSE),"")</f>
        <v/>
      </c>
      <c r="T22" s="278">
        <v>1531.814236061155</v>
      </c>
    </row>
    <row r="23" spans="1:20" x14ac:dyDescent="0.25">
      <c r="A23" s="278">
        <v>3</v>
      </c>
      <c r="C23" s="278">
        <f t="shared" si="0"/>
        <v>14</v>
      </c>
      <c r="D23" s="278">
        <f t="shared" si="1"/>
        <v>9</v>
      </c>
      <c r="E23" s="278">
        <f t="shared" si="2"/>
        <v>12</v>
      </c>
      <c r="F23" s="278" t="str">
        <f t="shared" si="3"/>
        <v>pm</v>
      </c>
      <c r="G23" s="278" t="s">
        <v>270</v>
      </c>
      <c r="H23" s="278" t="s">
        <v>217</v>
      </c>
      <c r="I23" s="278" t="s">
        <v>271</v>
      </c>
      <c r="K23" s="279">
        <f t="shared" si="4"/>
        <v>1547.6054388640575</v>
      </c>
      <c r="M23" s="279">
        <v>1400</v>
      </c>
      <c r="O23" s="278">
        <v>1474.9258546035371</v>
      </c>
      <c r="R23" s="278" t="str">
        <f>IF(AND((J23="This"),(L23="Only")),VLOOKUP(G23,#REF!,7,FALSE),"")</f>
        <v/>
      </c>
      <c r="S23" s="278">
        <v>1547.6054388640575</v>
      </c>
    </row>
    <row r="24" spans="1:20" x14ac:dyDescent="0.25">
      <c r="A24" s="278">
        <v>3</v>
      </c>
      <c r="C24" s="278">
        <f t="shared" si="0"/>
        <v>15</v>
      </c>
      <c r="D24" s="278">
        <f t="shared" si="1"/>
        <v>9</v>
      </c>
      <c r="E24" s="278">
        <f t="shared" si="2"/>
        <v>12</v>
      </c>
      <c r="F24" s="278" t="str">
        <f t="shared" si="3"/>
        <v>pm</v>
      </c>
      <c r="G24" s="278" t="s">
        <v>272</v>
      </c>
      <c r="H24" s="278" t="s">
        <v>217</v>
      </c>
      <c r="I24" s="278" t="s">
        <v>273</v>
      </c>
      <c r="K24" s="279">
        <f t="shared" si="4"/>
        <v>1597.0988941571195</v>
      </c>
      <c r="M24" s="279">
        <v>1400</v>
      </c>
      <c r="O24" s="278">
        <v>1490.8936464090691</v>
      </c>
      <c r="R24" s="278" t="str">
        <f>IF(AND((J24="This"),(L24="Only")),VLOOKUP(G24,#REF!,7,FALSE),"")</f>
        <v/>
      </c>
      <c r="S24" s="278">
        <v>1597.0988941571195</v>
      </c>
    </row>
    <row r="25" spans="1:20" x14ac:dyDescent="0.25">
      <c r="A25" s="278">
        <v>3</v>
      </c>
      <c r="C25" s="278">
        <f t="shared" si="0"/>
        <v>16</v>
      </c>
      <c r="D25" s="278">
        <f t="shared" si="1"/>
        <v>9</v>
      </c>
      <c r="E25" s="278">
        <f t="shared" si="2"/>
        <v>12</v>
      </c>
      <c r="F25" s="278" t="str">
        <f t="shared" si="3"/>
        <v>pm</v>
      </c>
      <c r="G25" s="278" t="s">
        <v>274</v>
      </c>
      <c r="H25" s="278" t="s">
        <v>217</v>
      </c>
      <c r="I25" s="278" t="s">
        <v>275</v>
      </c>
      <c r="K25" s="279">
        <f t="shared" si="4"/>
        <v>1552.5217618694735</v>
      </c>
      <c r="M25" s="279">
        <v>1400</v>
      </c>
      <c r="O25" s="278">
        <v>1470.8271049211355</v>
      </c>
      <c r="R25" s="278" t="str">
        <f>IF(AND((J25="This"),(L25="Only")),VLOOKUP(G25,#REF!,7,FALSE),"")</f>
        <v/>
      </c>
      <c r="S25" s="278">
        <v>1552.5217618694735</v>
      </c>
    </row>
    <row r="26" spans="1:20" x14ac:dyDescent="0.25">
      <c r="A26" s="278">
        <v>3</v>
      </c>
      <c r="C26" s="278">
        <f t="shared" si="0"/>
        <v>17</v>
      </c>
      <c r="D26" s="278">
        <f t="shared" si="1"/>
        <v>9</v>
      </c>
      <c r="E26" s="278">
        <f t="shared" si="2"/>
        <v>12</v>
      </c>
      <c r="F26" s="278" t="str">
        <f t="shared" si="3"/>
        <v>pm</v>
      </c>
      <c r="G26" s="278" t="s">
        <v>276</v>
      </c>
      <c r="H26" s="278" t="s">
        <v>217</v>
      </c>
      <c r="I26" s="278" t="s">
        <v>277</v>
      </c>
      <c r="K26" s="279">
        <f t="shared" si="4"/>
        <v>1314.8627941243271</v>
      </c>
      <c r="M26" s="279">
        <v>1400</v>
      </c>
      <c r="R26" s="278" t="str">
        <f>IF(AND((J26="This"),(L26="Only")),VLOOKUP(G26,#REF!,7,FALSE),"")</f>
        <v/>
      </c>
      <c r="S26" s="278">
        <v>1395.3301340799349</v>
      </c>
      <c r="T26" s="278">
        <v>1314.8627941243271</v>
      </c>
    </row>
    <row r="27" spans="1:20" x14ac:dyDescent="0.25">
      <c r="A27" s="278">
        <v>3</v>
      </c>
      <c r="C27" s="278">
        <f t="shared" si="0"/>
        <v>18</v>
      </c>
      <c r="D27" s="278">
        <f t="shared" si="1"/>
        <v>9</v>
      </c>
      <c r="E27" s="278">
        <f t="shared" si="2"/>
        <v>12</v>
      </c>
      <c r="F27" s="278" t="str">
        <f t="shared" si="3"/>
        <v>pm</v>
      </c>
      <c r="G27" s="278" t="s">
        <v>278</v>
      </c>
      <c r="H27" s="278" t="s">
        <v>217</v>
      </c>
      <c r="I27" s="278" t="s">
        <v>279</v>
      </c>
      <c r="K27" s="279">
        <f t="shared" si="4"/>
        <v>1344.0894005280031</v>
      </c>
      <c r="M27" s="279">
        <v>1400</v>
      </c>
      <c r="R27" s="278" t="str">
        <f>IF(AND((J27="This"),(L27="Only")),VLOOKUP(G27,#REF!,7,FALSE),"")</f>
        <v/>
      </c>
      <c r="S27" s="278">
        <v>1313.5677811716366</v>
      </c>
      <c r="T27" s="278">
        <v>1344.0894005280031</v>
      </c>
    </row>
    <row r="28" spans="1:20" x14ac:dyDescent="0.25">
      <c r="A28" s="278">
        <v>4</v>
      </c>
      <c r="C28" s="278">
        <f t="shared" si="0"/>
        <v>19</v>
      </c>
      <c r="D28" s="278">
        <f t="shared" si="1"/>
        <v>9</v>
      </c>
      <c r="E28" s="278">
        <f t="shared" si="2"/>
        <v>12</v>
      </c>
      <c r="F28" s="278" t="str">
        <f t="shared" si="3"/>
        <v>pm</v>
      </c>
      <c r="G28" s="278" t="s">
        <v>280</v>
      </c>
      <c r="H28" s="278" t="s">
        <v>281</v>
      </c>
      <c r="I28" s="278" t="s">
        <v>282</v>
      </c>
      <c r="K28" s="279">
        <f t="shared" si="4"/>
        <v>1482.7085948011659</v>
      </c>
      <c r="M28" s="279">
        <v>1400</v>
      </c>
      <c r="R28" s="278" t="str">
        <f>IF(AND((J28="This"),(L28="Only")),VLOOKUP(G28,#REF!,7,FALSE),"")</f>
        <v/>
      </c>
      <c r="S28" s="278">
        <v>1481.9064108927323</v>
      </c>
      <c r="T28" s="278">
        <v>1482.7085948011659</v>
      </c>
    </row>
    <row r="29" spans="1:20" x14ac:dyDescent="0.25">
      <c r="A29" s="278">
        <v>5</v>
      </c>
      <c r="C29" s="278">
        <f t="shared" si="0"/>
        <v>20</v>
      </c>
      <c r="D29" s="278">
        <f t="shared" si="1"/>
        <v>9</v>
      </c>
      <c r="E29" s="278">
        <f t="shared" si="2"/>
        <v>12</v>
      </c>
      <c r="F29" s="278" t="str">
        <f t="shared" si="3"/>
        <v>pm</v>
      </c>
      <c r="G29" s="278" t="s">
        <v>283</v>
      </c>
      <c r="H29" s="278" t="s">
        <v>284</v>
      </c>
      <c r="I29" s="278" t="s">
        <v>285</v>
      </c>
      <c r="K29" s="279">
        <f t="shared" si="4"/>
        <v>1410.8128235954669</v>
      </c>
      <c r="M29" s="279">
        <v>1400</v>
      </c>
      <c r="R29" s="278" t="str">
        <f>IF(AND((J29="This"),(L29="Only")),VLOOKUP(G29,#REF!,7,FALSE),"")</f>
        <v/>
      </c>
      <c r="S29" s="278">
        <v>1439.3040279119832</v>
      </c>
      <c r="T29" s="278">
        <v>1410.8128235954669</v>
      </c>
    </row>
    <row r="30" spans="1:20" x14ac:dyDescent="0.25">
      <c r="A30" s="278">
        <v>4</v>
      </c>
      <c r="C30" s="278">
        <f t="shared" si="0"/>
        <v>21</v>
      </c>
      <c r="D30" s="278">
        <f t="shared" si="1"/>
        <v>9</v>
      </c>
      <c r="E30" s="278">
        <f t="shared" si="2"/>
        <v>12</v>
      </c>
      <c r="F30" s="278" t="str">
        <f t="shared" si="3"/>
        <v>pm</v>
      </c>
      <c r="G30" s="278" t="s">
        <v>286</v>
      </c>
      <c r="H30" s="278" t="s">
        <v>287</v>
      </c>
      <c r="I30" s="278" t="s">
        <v>288</v>
      </c>
      <c r="K30" s="279">
        <f t="shared" si="4"/>
        <v>1221.8365208689011</v>
      </c>
      <c r="M30" s="279">
        <v>1400</v>
      </c>
      <c r="R30" s="278" t="str">
        <f>IF(AND((J30="This"),(L30="Only")),VLOOKUP(G30,#REF!,7,FALSE),"")</f>
        <v/>
      </c>
      <c r="S30" s="278">
        <v>1296.3634893108842</v>
      </c>
      <c r="T30" s="278">
        <v>1221.8365208689011</v>
      </c>
    </row>
    <row r="31" spans="1:20" x14ac:dyDescent="0.25">
      <c r="A31" s="278">
        <v>2</v>
      </c>
      <c r="C31" s="278">
        <f t="shared" si="0"/>
        <v>22</v>
      </c>
      <c r="D31" s="278">
        <f t="shared" si="1"/>
        <v>9</v>
      </c>
      <c r="E31" s="278">
        <f t="shared" si="2"/>
        <v>12</v>
      </c>
      <c r="F31" s="278" t="str">
        <f t="shared" si="3"/>
        <v>pm</v>
      </c>
      <c r="G31" s="278" t="s">
        <v>289</v>
      </c>
      <c r="H31" s="278" t="s">
        <v>290</v>
      </c>
      <c r="I31" s="278" t="s">
        <v>291</v>
      </c>
      <c r="K31" s="279">
        <f t="shared" si="4"/>
        <v>1457.5420336558111</v>
      </c>
      <c r="M31" s="279">
        <v>1400</v>
      </c>
      <c r="R31" s="278" t="str">
        <f>IF(AND((J31="This"),(L31="Only")),VLOOKUP(G31,#REF!,7,FALSE),"")</f>
        <v/>
      </c>
      <c r="T31" s="278">
        <v>1457.5420336558111</v>
      </c>
    </row>
    <row r="32" spans="1:20" x14ac:dyDescent="0.25">
      <c r="A32" s="278">
        <v>6</v>
      </c>
      <c r="C32" s="278">
        <f t="shared" si="0"/>
        <v>23</v>
      </c>
      <c r="D32" s="278">
        <f t="shared" si="1"/>
        <v>9</v>
      </c>
      <c r="E32" s="278">
        <f t="shared" si="2"/>
        <v>12</v>
      </c>
      <c r="F32" s="278" t="str">
        <f t="shared" si="3"/>
        <v>pm</v>
      </c>
      <c r="G32" s="278" t="s">
        <v>292</v>
      </c>
      <c r="H32" s="278" t="s">
        <v>293</v>
      </c>
      <c r="I32" s="278" t="s">
        <v>294</v>
      </c>
      <c r="K32" s="279">
        <f t="shared" si="4"/>
        <v>1226.0702313271092</v>
      </c>
      <c r="M32" s="279">
        <v>1400</v>
      </c>
      <c r="O32" s="278">
        <v>1301.6735721662928</v>
      </c>
      <c r="R32" s="278" t="str">
        <f>IF(AND((J32="This"),(L32="Only")),VLOOKUP(G32,#REF!,7,FALSE),"")</f>
        <v/>
      </c>
      <c r="S32" s="278">
        <v>1246.3111984541233</v>
      </c>
      <c r="T32" s="278">
        <v>1226.0702313271092</v>
      </c>
    </row>
    <row r="33" spans="1:20" x14ac:dyDescent="0.25">
      <c r="A33" s="278">
        <v>4</v>
      </c>
      <c r="C33" s="278">
        <f t="shared" si="0"/>
        <v>24</v>
      </c>
      <c r="D33" s="278">
        <f t="shared" si="1"/>
        <v>9</v>
      </c>
      <c r="E33" s="278">
        <f t="shared" si="2"/>
        <v>12</v>
      </c>
      <c r="F33" s="278" t="str">
        <f t="shared" si="3"/>
        <v>pm</v>
      </c>
      <c r="G33" s="278" t="s">
        <v>295</v>
      </c>
      <c r="H33" s="278" t="s">
        <v>296</v>
      </c>
      <c r="I33" s="278" t="s">
        <v>297</v>
      </c>
      <c r="K33" s="279">
        <f t="shared" si="4"/>
        <v>1354.0026826130036</v>
      </c>
      <c r="M33" s="279">
        <v>1400</v>
      </c>
      <c r="R33" s="278" t="str">
        <f>IF(AND((J33="This"),(L33="Only")),VLOOKUP(G33,#REF!,7,FALSE),"")</f>
        <v/>
      </c>
      <c r="S33" s="278">
        <v>1339.4461517631892</v>
      </c>
      <c r="T33" s="278">
        <v>1354.0026826130036</v>
      </c>
    </row>
    <row r="34" spans="1:20" x14ac:dyDescent="0.25">
      <c r="A34" s="278">
        <v>3</v>
      </c>
      <c r="C34" s="278">
        <f t="shared" si="0"/>
        <v>25</v>
      </c>
      <c r="D34" s="278">
        <f t="shared" si="1"/>
        <v>9</v>
      </c>
      <c r="E34" s="278">
        <f t="shared" si="2"/>
        <v>12</v>
      </c>
      <c r="F34" s="278" t="str">
        <f t="shared" si="3"/>
        <v>pm</v>
      </c>
      <c r="G34" s="278" t="s">
        <v>298</v>
      </c>
      <c r="H34" s="278" t="s">
        <v>296</v>
      </c>
      <c r="I34" s="278" t="s">
        <v>299</v>
      </c>
      <c r="K34" s="279">
        <f t="shared" si="4"/>
        <v>1262.2688698980021</v>
      </c>
      <c r="M34" s="279">
        <v>1400</v>
      </c>
      <c r="R34" s="278" t="str">
        <f>IF(AND((J34="This"),(L34="Only")),VLOOKUP(G34,#REF!,7,FALSE),"")</f>
        <v/>
      </c>
      <c r="T34" s="278">
        <v>1262.2688698980021</v>
      </c>
    </row>
    <row r="35" spans="1:20" x14ac:dyDescent="0.25">
      <c r="A35" s="278">
        <v>4</v>
      </c>
      <c r="C35" s="278">
        <f t="shared" si="0"/>
        <v>26</v>
      </c>
      <c r="D35" s="278">
        <f t="shared" si="1"/>
        <v>9</v>
      </c>
      <c r="E35" s="278">
        <f t="shared" si="2"/>
        <v>12</v>
      </c>
      <c r="F35" s="278" t="str">
        <f t="shared" si="3"/>
        <v>pm</v>
      </c>
      <c r="G35" s="278" t="s">
        <v>300</v>
      </c>
      <c r="H35" s="278" t="s">
        <v>301</v>
      </c>
      <c r="I35" s="278" t="s">
        <v>302</v>
      </c>
      <c r="K35" s="279">
        <f t="shared" si="4"/>
        <v>1304.5564991499768</v>
      </c>
      <c r="M35" s="279">
        <v>1400</v>
      </c>
      <c r="R35" s="278" t="str">
        <f>IF(AND((J35="This"),(L35="Only")),VLOOKUP(G35,#REF!,7,FALSE),"")</f>
        <v/>
      </c>
      <c r="T35" s="278">
        <v>1304.5564991499768</v>
      </c>
    </row>
    <row r="36" spans="1:20" x14ac:dyDescent="0.25">
      <c r="A36" s="278">
        <v>2</v>
      </c>
      <c r="C36" s="278">
        <f t="shared" si="0"/>
        <v>27</v>
      </c>
      <c r="D36" s="278">
        <f t="shared" si="1"/>
        <v>9</v>
      </c>
      <c r="E36" s="278">
        <f t="shared" si="2"/>
        <v>12</v>
      </c>
      <c r="F36" s="278" t="str">
        <f t="shared" si="3"/>
        <v>cr</v>
      </c>
      <c r="G36" s="278" t="s">
        <v>303</v>
      </c>
      <c r="H36" s="278" t="s">
        <v>304</v>
      </c>
      <c r="I36" s="278" t="s">
        <v>305</v>
      </c>
      <c r="K36" s="279">
        <f t="shared" si="4"/>
        <v>1453.7727056479055</v>
      </c>
      <c r="M36" s="279">
        <v>1400</v>
      </c>
      <c r="R36" s="278" t="str">
        <f>IF(AND((J36="This"),(L36="Only")),VLOOKUP(G36,#REF!,7,FALSE),"")</f>
        <v/>
      </c>
      <c r="T36" s="278">
        <v>1453.7727056479055</v>
      </c>
    </row>
    <row r="37" spans="1:20" x14ac:dyDescent="0.25">
      <c r="A37" s="278">
        <v>3</v>
      </c>
      <c r="C37" s="278">
        <f t="shared" si="0"/>
        <v>28</v>
      </c>
      <c r="D37" s="278">
        <f t="shared" si="1"/>
        <v>9</v>
      </c>
      <c r="E37" s="278">
        <f t="shared" si="2"/>
        <v>12</v>
      </c>
      <c r="F37" s="278" t="str">
        <f t="shared" si="3"/>
        <v>pm</v>
      </c>
      <c r="G37" s="278" t="s">
        <v>306</v>
      </c>
      <c r="H37" s="278" t="s">
        <v>226</v>
      </c>
      <c r="I37" s="278" t="s">
        <v>307</v>
      </c>
      <c r="K37" s="279">
        <f t="shared" si="4"/>
        <v>1400</v>
      </c>
      <c r="M37" s="279">
        <v>1400</v>
      </c>
      <c r="R37" s="278" t="str">
        <f>IF(AND((J37="This"),(L37="Only")),VLOOKUP(G37,#REF!,7,FALSE),"")</f>
        <v/>
      </c>
    </row>
    <row r="38" spans="1:20" x14ac:dyDescent="0.25">
      <c r="A38" s="278">
        <v>3</v>
      </c>
      <c r="C38" s="278">
        <f t="shared" si="0"/>
        <v>29</v>
      </c>
      <c r="D38" s="278">
        <f t="shared" si="1"/>
        <v>9</v>
      </c>
      <c r="E38" s="278">
        <f t="shared" si="2"/>
        <v>12</v>
      </c>
      <c r="F38" s="278" t="str">
        <f t="shared" si="3"/>
        <v>pm</v>
      </c>
      <c r="G38" s="278" t="s">
        <v>308</v>
      </c>
      <c r="H38" s="278" t="s">
        <v>226</v>
      </c>
      <c r="I38" s="278" t="s">
        <v>309</v>
      </c>
      <c r="K38" s="279">
        <f t="shared" si="4"/>
        <v>1298.9950797310169</v>
      </c>
      <c r="M38" s="279">
        <v>1400</v>
      </c>
      <c r="R38" s="278" t="str">
        <f>IF(AND((J38="This"),(L38="Only")),VLOOKUP(G38,#REF!,7,FALSE),"")</f>
        <v/>
      </c>
      <c r="S38" s="278">
        <v>1298.9950797310169</v>
      </c>
    </row>
    <row r="39" spans="1:20" x14ac:dyDescent="0.25">
      <c r="A39" s="278">
        <v>3</v>
      </c>
      <c r="C39" s="278">
        <f t="shared" si="0"/>
        <v>30</v>
      </c>
      <c r="D39" s="278">
        <f t="shared" si="1"/>
        <v>9</v>
      </c>
      <c r="E39" s="278">
        <f t="shared" si="2"/>
        <v>12</v>
      </c>
      <c r="F39" s="278" t="str">
        <f t="shared" si="3"/>
        <v>pm</v>
      </c>
      <c r="G39" s="278" t="s">
        <v>310</v>
      </c>
      <c r="H39" s="278" t="s">
        <v>226</v>
      </c>
      <c r="I39" s="278" t="s">
        <v>311</v>
      </c>
      <c r="K39" s="279">
        <f t="shared" si="4"/>
        <v>1363.4627166828639</v>
      </c>
      <c r="M39" s="279">
        <v>1400</v>
      </c>
      <c r="R39" s="278" t="str">
        <f>IF(AND((J39="This"),(L39="Only")),VLOOKUP(G39,#REF!,7,FALSE),"")</f>
        <v/>
      </c>
      <c r="S39" s="278">
        <v>1363.4627166828639</v>
      </c>
    </row>
    <row r="40" spans="1:20" x14ac:dyDescent="0.25">
      <c r="A40" s="278">
        <v>3</v>
      </c>
      <c r="C40" s="278">
        <f t="shared" si="0"/>
        <v>31</v>
      </c>
      <c r="D40" s="278">
        <f t="shared" si="1"/>
        <v>9</v>
      </c>
      <c r="E40" s="278">
        <f t="shared" si="2"/>
        <v>12</v>
      </c>
      <c r="F40" s="278" t="str">
        <f t="shared" si="3"/>
        <v>pm</v>
      </c>
      <c r="G40" s="278" t="s">
        <v>312</v>
      </c>
      <c r="H40" s="278" t="s">
        <v>226</v>
      </c>
      <c r="I40" s="278" t="s">
        <v>313</v>
      </c>
      <c r="K40" s="279">
        <f t="shared" si="4"/>
        <v>1400</v>
      </c>
      <c r="M40" s="279">
        <v>1400</v>
      </c>
      <c r="R40" s="278" t="str">
        <f>IF(AND((J40="This"),(L40="Only")),VLOOKUP(G40,#REF!,7,FALSE),"")</f>
        <v/>
      </c>
    </row>
    <row r="41" spans="1:20" x14ac:dyDescent="0.25">
      <c r="A41" s="278">
        <v>5</v>
      </c>
      <c r="C41" s="278">
        <f t="shared" si="0"/>
        <v>32</v>
      </c>
      <c r="D41" s="278">
        <f t="shared" si="1"/>
        <v>9</v>
      </c>
      <c r="E41" s="278">
        <f t="shared" si="2"/>
        <v>12</v>
      </c>
      <c r="F41" s="278" t="str">
        <f t="shared" si="3"/>
        <v>pm</v>
      </c>
      <c r="G41" s="278" t="s">
        <v>314</v>
      </c>
      <c r="H41" s="278" t="s">
        <v>315</v>
      </c>
      <c r="I41" s="278" t="s">
        <v>316</v>
      </c>
      <c r="K41" s="279">
        <f t="shared" si="4"/>
        <v>1396.2263060585235</v>
      </c>
      <c r="M41" s="279">
        <v>1400</v>
      </c>
      <c r="O41" s="278">
        <v>1317.0177436725585</v>
      </c>
      <c r="R41" s="278" t="str">
        <f>IF(AND((J41="This"),(L41="Only")),VLOOKUP(G41,#REF!,7,FALSE),"")</f>
        <v/>
      </c>
      <c r="T41" s="278">
        <v>1396.2263060585235</v>
      </c>
    </row>
    <row r="42" spans="1:20" x14ac:dyDescent="0.25">
      <c r="A42" s="278">
        <v>5</v>
      </c>
      <c r="C42" s="278">
        <f t="shared" si="0"/>
        <v>33</v>
      </c>
      <c r="D42" s="278">
        <f t="shared" si="1"/>
        <v>9</v>
      </c>
      <c r="E42" s="278">
        <f t="shared" si="2"/>
        <v>12</v>
      </c>
      <c r="F42" s="278" t="str">
        <f t="shared" si="3"/>
        <v>pm</v>
      </c>
      <c r="G42" s="278" t="s">
        <v>317</v>
      </c>
      <c r="H42" s="278" t="s">
        <v>318</v>
      </c>
      <c r="I42" s="278" t="s">
        <v>319</v>
      </c>
      <c r="K42" s="279">
        <f t="shared" si="4"/>
        <v>1439.4176887113954</v>
      </c>
      <c r="M42" s="279">
        <v>1400</v>
      </c>
      <c r="R42" s="278" t="str">
        <f>IF(AND((J42="This"),(L42="Only")),VLOOKUP(G42,#REF!,7,FALSE),"")</f>
        <v/>
      </c>
      <c r="S42" s="278">
        <v>1420.6812562153646</v>
      </c>
      <c r="T42" s="278">
        <v>1439.4176887113954</v>
      </c>
    </row>
    <row r="43" spans="1:20" x14ac:dyDescent="0.25">
      <c r="A43" s="278">
        <v>5</v>
      </c>
      <c r="C43" s="278">
        <f t="shared" si="0"/>
        <v>34</v>
      </c>
      <c r="D43" s="278">
        <f t="shared" si="1"/>
        <v>9</v>
      </c>
      <c r="E43" s="278">
        <f t="shared" si="2"/>
        <v>12</v>
      </c>
      <c r="F43" s="278" t="str">
        <f t="shared" si="3"/>
        <v>pm</v>
      </c>
      <c r="G43" s="278" t="s">
        <v>320</v>
      </c>
      <c r="H43" s="278" t="s">
        <v>232</v>
      </c>
      <c r="I43" s="278" t="s">
        <v>321</v>
      </c>
      <c r="K43" s="279">
        <f t="shared" si="4"/>
        <v>1450.3242032415919</v>
      </c>
      <c r="M43" s="279">
        <v>1400</v>
      </c>
      <c r="R43" s="278" t="str">
        <f>IF(AND((J43="This"),(L43="Only")),VLOOKUP(G43,#REF!,7,FALSE),"")</f>
        <v/>
      </c>
      <c r="S43" s="278">
        <v>1394.6922807192168</v>
      </c>
      <c r="T43" s="278">
        <v>1450.3242032415919</v>
      </c>
    </row>
    <row r="44" spans="1:20" x14ac:dyDescent="0.25">
      <c r="A44" s="278">
        <v>4</v>
      </c>
      <c r="C44" s="278">
        <f t="shared" si="0"/>
        <v>35</v>
      </c>
      <c r="D44" s="278">
        <f t="shared" si="1"/>
        <v>9</v>
      </c>
      <c r="E44" s="278">
        <f t="shared" si="2"/>
        <v>12</v>
      </c>
      <c r="F44" s="278" t="str">
        <f t="shared" si="3"/>
        <v>pm</v>
      </c>
      <c r="G44" s="278" t="s">
        <v>322</v>
      </c>
      <c r="H44" s="278" t="s">
        <v>323</v>
      </c>
      <c r="I44" s="278" t="s">
        <v>324</v>
      </c>
      <c r="K44" s="279">
        <f t="shared" si="4"/>
        <v>1411.3842368219443</v>
      </c>
      <c r="M44" s="279">
        <v>1400</v>
      </c>
      <c r="R44" s="278" t="str">
        <f>IF(AND((J44="This"),(L44="Only")),VLOOKUP(G44,#REF!,7,FALSE),"")</f>
        <v/>
      </c>
      <c r="S44" s="278">
        <v>1365.2789041780873</v>
      </c>
      <c r="T44" s="278">
        <v>1411.3842368219443</v>
      </c>
    </row>
    <row r="45" spans="1:20" x14ac:dyDescent="0.25">
      <c r="A45" s="278">
        <v>4</v>
      </c>
      <c r="C45" s="278">
        <f t="shared" si="0"/>
        <v>36</v>
      </c>
      <c r="D45" s="278">
        <f t="shared" si="1"/>
        <v>9</v>
      </c>
      <c r="E45" s="278">
        <f t="shared" si="2"/>
        <v>12</v>
      </c>
      <c r="F45" s="278" t="str">
        <f t="shared" si="3"/>
        <v>pm</v>
      </c>
      <c r="G45" s="278" t="s">
        <v>325</v>
      </c>
      <c r="H45" s="278" t="s">
        <v>323</v>
      </c>
      <c r="I45" s="278" t="s">
        <v>326</v>
      </c>
      <c r="K45" s="279">
        <f t="shared" si="4"/>
        <v>1340.443133695343</v>
      </c>
      <c r="M45" s="279">
        <v>1400</v>
      </c>
      <c r="R45" s="278" t="str">
        <f>IF(AND((J45="This"),(L45="Only")),VLOOKUP(G45,#REF!,7,FALSE),"")</f>
        <v/>
      </c>
      <c r="S45" s="278">
        <v>1441.9714593347824</v>
      </c>
      <c r="T45" s="278">
        <v>1340.443133695343</v>
      </c>
    </row>
    <row r="46" spans="1:20" x14ac:dyDescent="0.25">
      <c r="A46" s="278">
        <v>1</v>
      </c>
      <c r="C46" s="278">
        <f t="shared" si="0"/>
        <v>37</v>
      </c>
      <c r="D46" s="278">
        <f t="shared" si="1"/>
        <v>9</v>
      </c>
      <c r="E46" s="278">
        <f t="shared" si="2"/>
        <v>12</v>
      </c>
      <c r="F46" s="278" t="str">
        <f t="shared" si="3"/>
        <v>crx</v>
      </c>
      <c r="G46" s="278" t="s">
        <v>327</v>
      </c>
      <c r="H46" s="278" t="s">
        <v>328</v>
      </c>
      <c r="I46" s="278" t="s">
        <v>329</v>
      </c>
      <c r="K46" s="279">
        <f t="shared" si="4"/>
        <v>1400</v>
      </c>
      <c r="M46" s="279">
        <v>1400</v>
      </c>
      <c r="R46" s="278" t="str">
        <f>IF(AND((J46="This"),(L46="Only")),VLOOKUP(G46,#REF!,7,FALSE),"")</f>
        <v/>
      </c>
    </row>
    <row r="47" spans="1:20" x14ac:dyDescent="0.25">
      <c r="A47" s="278">
        <v>1</v>
      </c>
      <c r="C47" s="278">
        <f t="shared" si="0"/>
        <v>38</v>
      </c>
      <c r="D47" s="278">
        <f t="shared" si="1"/>
        <v>9</v>
      </c>
      <c r="E47" s="278">
        <f t="shared" si="2"/>
        <v>12</v>
      </c>
      <c r="F47" s="278" t="str">
        <f t="shared" si="3"/>
        <v>crx</v>
      </c>
      <c r="G47" s="278" t="s">
        <v>330</v>
      </c>
      <c r="H47" s="278" t="s">
        <v>328</v>
      </c>
      <c r="I47" s="278" t="s">
        <v>331</v>
      </c>
      <c r="K47" s="279">
        <f t="shared" si="4"/>
        <v>1400</v>
      </c>
      <c r="M47" s="279">
        <v>1400</v>
      </c>
      <c r="R47" s="278" t="str">
        <f>IF(AND((J47="This"),(L47="Only")),VLOOKUP(G47,#REF!,7,FALSE),"")</f>
        <v/>
      </c>
    </row>
    <row r="48" spans="1:20" x14ac:dyDescent="0.25">
      <c r="A48" s="278">
        <v>6</v>
      </c>
      <c r="C48" s="278">
        <f t="shared" si="0"/>
        <v>39</v>
      </c>
      <c r="D48" s="278">
        <f t="shared" si="1"/>
        <v>39</v>
      </c>
      <c r="E48" s="278">
        <f t="shared" si="2"/>
        <v>12</v>
      </c>
      <c r="F48" s="278" t="str">
        <f t="shared" si="3"/>
        <v>pm</v>
      </c>
      <c r="G48" s="278" t="s">
        <v>332</v>
      </c>
      <c r="H48" s="278" t="s">
        <v>333</v>
      </c>
      <c r="I48" s="278" t="s">
        <v>334</v>
      </c>
      <c r="K48" s="279">
        <f t="shared" si="4"/>
        <v>1420.369437083843</v>
      </c>
      <c r="M48" s="279">
        <v>1366.6666666666667</v>
      </c>
      <c r="O48" s="278">
        <v>1368.846762184352</v>
      </c>
      <c r="R48" s="278" t="str">
        <f>IF(AND((J48="This"),(L48="Only")),VLOOKUP(G48,#REF!,7,FALSE),"")</f>
        <v/>
      </c>
      <c r="S48" s="278">
        <v>1343.7160524871026</v>
      </c>
      <c r="T48" s="278">
        <v>1420.369437083843</v>
      </c>
    </row>
    <row r="49" spans="1:21" x14ac:dyDescent="0.25">
      <c r="A49" s="278">
        <v>3</v>
      </c>
      <c r="C49" s="278">
        <f t="shared" si="0"/>
        <v>40</v>
      </c>
      <c r="D49" s="278">
        <f t="shared" si="1"/>
        <v>40</v>
      </c>
      <c r="E49" s="278">
        <f t="shared" si="2"/>
        <v>12</v>
      </c>
      <c r="F49" s="278" t="str">
        <f t="shared" si="3"/>
        <v>pm</v>
      </c>
      <c r="G49" s="280" t="s">
        <v>335</v>
      </c>
      <c r="H49" s="278" t="s">
        <v>259</v>
      </c>
      <c r="I49" s="278" t="s">
        <v>336</v>
      </c>
      <c r="K49" s="279">
        <f t="shared" si="4"/>
        <v>1138.6942092454178</v>
      </c>
      <c r="M49" s="279">
        <v>1200</v>
      </c>
      <c r="R49" s="278" t="str">
        <f>IF(AND((J49="This"),(L49="Only")),VLOOKUP(G49,#REF!,7,FALSE),"")</f>
        <v/>
      </c>
      <c r="S49" s="278">
        <v>1159.5990105628869</v>
      </c>
      <c r="T49" s="278">
        <v>1138.6942092454178</v>
      </c>
    </row>
    <row r="50" spans="1:21" x14ac:dyDescent="0.25">
      <c r="A50" s="278">
        <v>3</v>
      </c>
      <c r="C50" s="278">
        <f t="shared" si="0"/>
        <v>41</v>
      </c>
      <c r="D50" s="278">
        <f t="shared" si="1"/>
        <v>40</v>
      </c>
      <c r="E50" s="278">
        <f t="shared" si="2"/>
        <v>12</v>
      </c>
      <c r="F50" s="278" t="str">
        <f t="shared" si="3"/>
        <v>pm</v>
      </c>
      <c r="G50" s="278" t="s">
        <v>337</v>
      </c>
      <c r="H50" s="278" t="s">
        <v>217</v>
      </c>
      <c r="I50" s="278" t="s">
        <v>338</v>
      </c>
      <c r="K50" s="279">
        <f t="shared" si="4"/>
        <v>1207.2949680843783</v>
      </c>
      <c r="M50" s="279">
        <v>1200</v>
      </c>
      <c r="R50" s="278" t="str">
        <f>IF(AND((J50="This"),(L50="Only")),VLOOKUP(G50,#REF!,7,FALSE),"")</f>
        <v/>
      </c>
      <c r="S50" s="278">
        <v>1198.7332252889023</v>
      </c>
      <c r="T50" s="278">
        <v>1207.2949680843783</v>
      </c>
    </row>
    <row r="51" spans="1:21" x14ac:dyDescent="0.25">
      <c r="A51" s="278">
        <v>3</v>
      </c>
      <c r="C51" s="278">
        <f t="shared" si="0"/>
        <v>42</v>
      </c>
      <c r="D51" s="278">
        <f t="shared" si="1"/>
        <v>40</v>
      </c>
      <c r="E51" s="278">
        <f t="shared" si="2"/>
        <v>12</v>
      </c>
      <c r="F51" s="278" t="str">
        <f t="shared" si="3"/>
        <v>pm</v>
      </c>
      <c r="G51" s="278" t="s">
        <v>339</v>
      </c>
      <c r="H51" s="278" t="s">
        <v>217</v>
      </c>
      <c r="I51" s="278" t="s">
        <v>340</v>
      </c>
      <c r="K51" s="279">
        <f t="shared" si="4"/>
        <v>1162.9144133651291</v>
      </c>
      <c r="M51" s="279">
        <v>1200</v>
      </c>
      <c r="R51" s="278" t="str">
        <f>IF(AND((J51="This"),(L51="Only")),VLOOKUP(G51,#REF!,7,FALSE),"")</f>
        <v/>
      </c>
      <c r="S51" s="278">
        <v>1164.9127778263323</v>
      </c>
      <c r="T51" s="278">
        <v>1162.9144133651291</v>
      </c>
    </row>
    <row r="52" spans="1:21" x14ac:dyDescent="0.25">
      <c r="A52" s="278">
        <v>1</v>
      </c>
      <c r="C52" s="278">
        <f t="shared" si="0"/>
        <v>43</v>
      </c>
      <c r="D52" s="278">
        <f t="shared" si="1"/>
        <v>40</v>
      </c>
      <c r="E52" s="278">
        <f t="shared" si="2"/>
        <v>12</v>
      </c>
      <c r="F52" s="278" t="str">
        <f t="shared" si="3"/>
        <v>pmx</v>
      </c>
      <c r="G52" s="278" t="s">
        <v>341</v>
      </c>
      <c r="H52" s="278" t="s">
        <v>287</v>
      </c>
      <c r="I52" s="278" t="s">
        <v>342</v>
      </c>
      <c r="K52" s="279">
        <f t="shared" si="4"/>
        <v>1192.3440303301518</v>
      </c>
      <c r="M52" s="279">
        <v>1200</v>
      </c>
      <c r="R52" s="278" t="str">
        <f>IF(AND((J52="This"),(L52="Only")),VLOOKUP(G52,#REF!,7,FALSE),"")</f>
        <v/>
      </c>
      <c r="S52" s="278">
        <v>1208.7030381965719</v>
      </c>
      <c r="T52" s="278">
        <v>1192.3440303301518</v>
      </c>
    </row>
    <row r="53" spans="1:21" x14ac:dyDescent="0.25">
      <c r="A53" s="278">
        <v>1</v>
      </c>
      <c r="C53" s="278">
        <f t="shared" si="0"/>
        <v>44</v>
      </c>
      <c r="D53" s="278">
        <f t="shared" si="1"/>
        <v>40</v>
      </c>
      <c r="E53" s="278">
        <f t="shared" si="2"/>
        <v>12</v>
      </c>
      <c r="F53" s="278" t="str">
        <f t="shared" si="3"/>
        <v>pmx</v>
      </c>
      <c r="G53" s="278" t="s">
        <v>343</v>
      </c>
      <c r="H53" s="278" t="s">
        <v>287</v>
      </c>
      <c r="I53" s="278" t="s">
        <v>344</v>
      </c>
      <c r="K53" s="279">
        <f t="shared" si="4"/>
        <v>1154.8449608707572</v>
      </c>
      <c r="M53" s="279">
        <v>1200</v>
      </c>
      <c r="R53" s="278" t="str">
        <f>IF(AND((J53="This"),(L53="Only")),VLOOKUP(G53,#REF!,7,FALSE),"")</f>
        <v/>
      </c>
      <c r="S53" s="278">
        <v>1206.6525831479435</v>
      </c>
      <c r="T53" s="278">
        <v>1154.8449608707572</v>
      </c>
    </row>
    <row r="54" spans="1:21" x14ac:dyDescent="0.25">
      <c r="A54" s="278">
        <v>3</v>
      </c>
      <c r="C54" s="278">
        <f t="shared" si="0"/>
        <v>45</v>
      </c>
      <c r="D54" s="278">
        <f t="shared" si="1"/>
        <v>40</v>
      </c>
      <c r="E54" s="278">
        <f t="shared" si="2"/>
        <v>12</v>
      </c>
      <c r="F54" s="278" t="str">
        <f t="shared" si="3"/>
        <v>pm</v>
      </c>
      <c r="G54" s="278" t="s">
        <v>345</v>
      </c>
      <c r="H54" s="278" t="s">
        <v>252</v>
      </c>
      <c r="I54" s="278" t="s">
        <v>346</v>
      </c>
      <c r="K54" s="279">
        <f t="shared" si="4"/>
        <v>1250.6062258294207</v>
      </c>
      <c r="M54" s="279">
        <v>1200</v>
      </c>
      <c r="R54" s="278" t="str">
        <f>IF(AND((J54="This"),(L54="Only")),VLOOKUP(G54,#REF!,7,FALSE),"")</f>
        <v/>
      </c>
      <c r="S54" s="278">
        <v>1222.3604297626539</v>
      </c>
      <c r="T54" s="278">
        <v>1250.6062258294207</v>
      </c>
    </row>
    <row r="55" spans="1:21" x14ac:dyDescent="0.25">
      <c r="A55" s="278">
        <v>2</v>
      </c>
      <c r="C55" s="278">
        <f t="shared" si="0"/>
        <v>46</v>
      </c>
      <c r="D55" s="278">
        <f t="shared" si="1"/>
        <v>40</v>
      </c>
      <c r="E55" s="278">
        <f t="shared" si="2"/>
        <v>12</v>
      </c>
      <c r="F55" s="278" t="str">
        <f t="shared" si="3"/>
        <v>pm</v>
      </c>
      <c r="G55" s="278" t="s">
        <v>347</v>
      </c>
      <c r="H55" s="278" t="s">
        <v>252</v>
      </c>
      <c r="I55" s="278" t="s">
        <v>348</v>
      </c>
      <c r="K55" s="279">
        <f t="shared" si="4"/>
        <v>1231.7907169886246</v>
      </c>
      <c r="M55" s="279">
        <v>1200</v>
      </c>
      <c r="R55" s="278" t="str">
        <f>IF(AND((J55="This"),(L55="Only")),VLOOKUP(G55,#REF!,7,FALSE),"")</f>
        <v/>
      </c>
      <c r="S55" s="278">
        <v>1177.5284599285887</v>
      </c>
      <c r="T55" s="278">
        <v>1231.7907169886246</v>
      </c>
    </row>
    <row r="56" spans="1:21" x14ac:dyDescent="0.25">
      <c r="A56" s="278">
        <v>2</v>
      </c>
      <c r="C56" s="278">
        <f t="shared" si="0"/>
        <v>47</v>
      </c>
      <c r="D56" s="278">
        <f t="shared" si="1"/>
        <v>40</v>
      </c>
      <c r="E56" s="278">
        <f t="shared" si="2"/>
        <v>12</v>
      </c>
      <c r="F56" s="278" t="str">
        <f t="shared" si="3"/>
        <v>pm</v>
      </c>
      <c r="G56" s="278" t="s">
        <v>349</v>
      </c>
      <c r="H56" s="278" t="s">
        <v>296</v>
      </c>
      <c r="I56" s="278" t="s">
        <v>350</v>
      </c>
      <c r="K56" s="279">
        <f t="shared" si="4"/>
        <v>1200</v>
      </c>
      <c r="M56" s="279">
        <v>1200</v>
      </c>
      <c r="R56" s="278" t="str">
        <f>IF(AND((J56="This"),(L56="Only")),VLOOKUP(G56,#REF!,7,FALSE),"")</f>
        <v/>
      </c>
    </row>
    <row r="57" spans="1:21" x14ac:dyDescent="0.25">
      <c r="A57" s="278">
        <v>1</v>
      </c>
      <c r="C57" s="278">
        <f t="shared" si="0"/>
        <v>48</v>
      </c>
      <c r="D57" s="278">
        <f t="shared" si="1"/>
        <v>40</v>
      </c>
      <c r="E57" s="278">
        <f t="shared" si="2"/>
        <v>12</v>
      </c>
      <c r="F57" s="278" t="str">
        <f t="shared" si="3"/>
        <v>sox</v>
      </c>
      <c r="G57" s="278" t="s">
        <v>351</v>
      </c>
      <c r="H57" s="278" t="s">
        <v>352</v>
      </c>
      <c r="I57" s="278" t="s">
        <v>353</v>
      </c>
      <c r="K57" s="279">
        <f t="shared" si="4"/>
        <v>1200</v>
      </c>
      <c r="M57" s="279">
        <v>1200</v>
      </c>
      <c r="R57" s="278" t="str">
        <f>IF(AND((J57="This"),(L57="Only")),VLOOKUP(G57,#REF!,7,FALSE),"")</f>
        <v/>
      </c>
    </row>
    <row r="58" spans="1:21" x14ac:dyDescent="0.25">
      <c r="A58" s="278">
        <v>4</v>
      </c>
      <c r="C58" s="278">
        <f t="shared" si="0"/>
        <v>49</v>
      </c>
      <c r="D58" s="278">
        <f t="shared" si="1"/>
        <v>40</v>
      </c>
      <c r="E58" s="278">
        <f t="shared" si="2"/>
        <v>12</v>
      </c>
      <c r="F58" s="278" t="str">
        <f t="shared" si="3"/>
        <v>pm</v>
      </c>
      <c r="G58" s="278" t="s">
        <v>354</v>
      </c>
      <c r="H58" s="278" t="s">
        <v>232</v>
      </c>
      <c r="I58" s="278" t="s">
        <v>355</v>
      </c>
      <c r="K58" s="279">
        <f t="shared" si="4"/>
        <v>1210.0364093066682</v>
      </c>
      <c r="M58" s="279">
        <v>1200</v>
      </c>
      <c r="R58" s="278" t="str">
        <f>IF(AND((J58="This"),(L58="Only")),VLOOKUP(G58,#REF!,7,FALSE),"")</f>
        <v/>
      </c>
      <c r="S58" s="278">
        <v>1210.0364093066682</v>
      </c>
    </row>
    <row r="59" spans="1:21" x14ac:dyDescent="0.25">
      <c r="A59" s="278">
        <v>4</v>
      </c>
      <c r="C59" s="278">
        <f t="shared" si="0"/>
        <v>50</v>
      </c>
      <c r="D59" s="278">
        <f t="shared" si="1"/>
        <v>40</v>
      </c>
      <c r="E59" s="278">
        <f t="shared" si="2"/>
        <v>12</v>
      </c>
      <c r="F59" s="278" t="str">
        <f t="shared" si="3"/>
        <v>pm</v>
      </c>
      <c r="G59" s="278" t="s">
        <v>356</v>
      </c>
      <c r="H59" s="278" t="s">
        <v>232</v>
      </c>
      <c r="I59" s="278" t="s">
        <v>357</v>
      </c>
      <c r="K59" s="279">
        <f t="shared" si="4"/>
        <v>1268.8246362009256</v>
      </c>
      <c r="M59" s="279">
        <v>1200</v>
      </c>
      <c r="R59" s="278" t="str">
        <f>IF(AND((J59="This"),(L59="Only")),VLOOKUP(G59,#REF!,7,FALSE),"")</f>
        <v/>
      </c>
      <c r="S59" s="278">
        <v>1268.8246362009256</v>
      </c>
    </row>
    <row r="60" spans="1:21" x14ac:dyDescent="0.25">
      <c r="A60" s="278">
        <v>1</v>
      </c>
      <c r="C60" s="278">
        <f t="shared" si="0"/>
        <v>51</v>
      </c>
      <c r="D60" s="278">
        <f t="shared" si="1"/>
        <v>40</v>
      </c>
      <c r="E60" s="278">
        <f t="shared" si="2"/>
        <v>12</v>
      </c>
      <c r="F60" s="278" t="str">
        <f t="shared" si="3"/>
        <v>pmx</v>
      </c>
      <c r="G60" s="278" t="s">
        <v>358</v>
      </c>
      <c r="H60" s="278" t="s">
        <v>232</v>
      </c>
      <c r="I60" s="278" t="s">
        <v>359</v>
      </c>
      <c r="K60" s="279">
        <f t="shared" si="4"/>
        <v>1200</v>
      </c>
      <c r="M60" s="279">
        <v>1200</v>
      </c>
      <c r="R60" s="278" t="str">
        <f>IF(AND((J60="This"),(L60="Only")),VLOOKUP(G60,#REF!,7,FALSE),"")</f>
        <v/>
      </c>
    </row>
    <row r="61" spans="1:21" x14ac:dyDescent="0.25">
      <c r="A61" s="278">
        <v>4</v>
      </c>
      <c r="C61" s="278">
        <f t="shared" si="0"/>
        <v>52</v>
      </c>
      <c r="D61" s="278">
        <f t="shared" si="1"/>
        <v>40</v>
      </c>
      <c r="E61" s="278">
        <f t="shared" si="2"/>
        <v>12</v>
      </c>
      <c r="F61" s="278" t="str">
        <f t="shared" si="3"/>
        <v>pm</v>
      </c>
      <c r="G61" s="278" t="s">
        <v>360</v>
      </c>
      <c r="H61" s="278" t="s">
        <v>361</v>
      </c>
      <c r="I61" s="278" t="s">
        <v>362</v>
      </c>
      <c r="K61" s="279">
        <f t="shared" si="4"/>
        <v>1235.9114015896889</v>
      </c>
      <c r="M61" s="279">
        <v>1200</v>
      </c>
      <c r="R61" s="278" t="str">
        <f>IF(AND((J61="This"),(L61="Only")),VLOOKUP(G61,#REF!,7,FALSE),"")</f>
        <v/>
      </c>
      <c r="S61" s="278">
        <v>1235.9114015896889</v>
      </c>
    </row>
    <row r="62" spans="1:21" x14ac:dyDescent="0.25">
      <c r="A62" s="278">
        <v>0</v>
      </c>
      <c r="C62" s="278">
        <f t="shared" si="0"/>
        <v>53</v>
      </c>
      <c r="D62" s="278">
        <f t="shared" si="1"/>
        <v>40</v>
      </c>
      <c r="E62" s="278">
        <f t="shared" si="2"/>
        <v>12</v>
      </c>
      <c r="F62" s="278" t="str">
        <f t="shared" si="3"/>
        <v>pmx</v>
      </c>
      <c r="G62" s="278" t="s">
        <v>363</v>
      </c>
      <c r="H62" s="278" t="s">
        <v>247</v>
      </c>
      <c r="I62" s="278" t="s">
        <v>364</v>
      </c>
      <c r="K62" s="279">
        <f t="shared" si="4"/>
        <v>1276.5963499507407</v>
      </c>
      <c r="M62" s="279">
        <v>1200</v>
      </c>
      <c r="O62" s="278">
        <v>1276.5963499507407</v>
      </c>
      <c r="R62" s="278" t="str">
        <f>IF(AND((J62="This"),(L62="Only")),VLOOKUP(G62,#REF!,7,FALSE),"")</f>
        <v/>
      </c>
    </row>
    <row r="63" spans="1:21" x14ac:dyDescent="0.25">
      <c r="A63" s="278">
        <v>2</v>
      </c>
      <c r="C63" s="278">
        <f t="shared" si="0"/>
        <v>1</v>
      </c>
      <c r="D63" s="278">
        <f t="shared" si="1"/>
        <v>1</v>
      </c>
      <c r="E63" s="278">
        <f t="shared" si="2"/>
        <v>13</v>
      </c>
      <c r="F63" s="278" t="str">
        <f t="shared" si="3"/>
        <v>cr</v>
      </c>
      <c r="G63" s="280" t="s">
        <v>365</v>
      </c>
      <c r="H63" s="278" t="s">
        <v>366</v>
      </c>
      <c r="I63" s="278" t="s">
        <v>367</v>
      </c>
      <c r="K63" s="279">
        <f t="shared" si="4"/>
        <v>2111.8344007482601</v>
      </c>
      <c r="M63" s="279">
        <v>2100</v>
      </c>
      <c r="P63" s="278">
        <v>2111.1803947450967</v>
      </c>
      <c r="R63" s="278" t="str">
        <f>IF(AND((J63="This"),(L63="Only")),VLOOKUP(G63,#REF!,7,FALSE),"")</f>
        <v/>
      </c>
      <c r="S63" s="278">
        <v>2111.8344007482601</v>
      </c>
    </row>
    <row r="64" spans="1:21" x14ac:dyDescent="0.25">
      <c r="A64" s="278">
        <v>1</v>
      </c>
      <c r="C64" s="278">
        <f t="shared" si="0"/>
        <v>2</v>
      </c>
      <c r="D64" s="278">
        <f t="shared" si="1"/>
        <v>2</v>
      </c>
      <c r="E64" s="278">
        <f t="shared" si="2"/>
        <v>13</v>
      </c>
      <c r="F64" s="278" t="str">
        <f t="shared" si="3"/>
        <v>sox</v>
      </c>
      <c r="G64" s="278" t="s">
        <v>368</v>
      </c>
      <c r="H64" s="278" t="s">
        <v>244</v>
      </c>
      <c r="I64" s="278" t="s">
        <v>369</v>
      </c>
      <c r="K64" s="279">
        <f t="shared" si="4"/>
        <v>1923.4584917001632</v>
      </c>
      <c r="M64" s="279">
        <v>2000</v>
      </c>
      <c r="R64" s="278" t="str">
        <f>IF(AND((J64="This"),(L64="Only")),VLOOKUP(G64,#REF!,7,FALSE),"")</f>
        <v/>
      </c>
      <c r="U64" s="278">
        <v>1923.4584917001632</v>
      </c>
    </row>
    <row r="65" spans="1:21" x14ac:dyDescent="0.25">
      <c r="A65" s="278">
        <v>2</v>
      </c>
      <c r="C65" s="278">
        <f t="shared" si="0"/>
        <v>3</v>
      </c>
      <c r="D65" s="278">
        <f t="shared" si="1"/>
        <v>2</v>
      </c>
      <c r="E65" s="278">
        <f t="shared" si="2"/>
        <v>13</v>
      </c>
      <c r="F65" s="278" t="str">
        <f t="shared" si="3"/>
        <v>pm</v>
      </c>
      <c r="G65" s="278" t="s">
        <v>370</v>
      </c>
      <c r="H65" s="278" t="s">
        <v>268</v>
      </c>
      <c r="I65" s="278" t="s">
        <v>371</v>
      </c>
      <c r="K65" s="279">
        <f t="shared" si="4"/>
        <v>1957.4424167884204</v>
      </c>
      <c r="M65" s="279">
        <v>2000</v>
      </c>
      <c r="N65" s="278">
        <v>1957.4424167884204</v>
      </c>
      <c r="R65" s="278" t="str">
        <f>IF(AND((J65="This"),(L65="Only")),VLOOKUP(G65,#REF!,7,FALSE),"")</f>
        <v/>
      </c>
    </row>
    <row r="66" spans="1:21" x14ac:dyDescent="0.25">
      <c r="A66" s="278">
        <v>1</v>
      </c>
      <c r="C66" s="278">
        <f t="shared" ref="C66:C129" si="5">IF(E66=E65,C65+1,1)</f>
        <v>4</v>
      </c>
      <c r="D66" s="278">
        <f t="shared" ref="D66:D129" si="6">IF(M66=M65,D65,C66)</f>
        <v>2</v>
      </c>
      <c r="E66" s="278">
        <f t="shared" ref="E66:E129" si="7">10+VALUE(RIGHT(LEFT(G66,3),1))</f>
        <v>13</v>
      </c>
      <c r="F66" s="278" t="str">
        <f t="shared" ref="F66:F129" si="8">RIGHT(G66,2) &amp; IF(A66&lt;2,"x","")</f>
        <v>crx</v>
      </c>
      <c r="G66" s="278" t="s">
        <v>372</v>
      </c>
      <c r="H66" s="278" t="s">
        <v>373</v>
      </c>
      <c r="I66" s="278" t="s">
        <v>374</v>
      </c>
      <c r="K66" s="279">
        <f t="shared" ref="K66:K129" si="9">LOOKUP(1E+100,M66:AC66)</f>
        <v>2019.1725953669204</v>
      </c>
      <c r="M66" s="279">
        <v>2000</v>
      </c>
      <c r="N66" s="278">
        <v>2019.1725953669204</v>
      </c>
      <c r="R66" s="278" t="str">
        <f>IF(AND((J66="This"),(L66="Only")),VLOOKUP(G66,#REF!,7,FALSE),"")</f>
        <v/>
      </c>
    </row>
    <row r="67" spans="1:21" x14ac:dyDescent="0.25">
      <c r="A67" s="278">
        <v>4</v>
      </c>
      <c r="C67" s="278">
        <f t="shared" si="5"/>
        <v>5</v>
      </c>
      <c r="D67" s="278">
        <f t="shared" si="6"/>
        <v>2</v>
      </c>
      <c r="E67" s="278">
        <f t="shared" si="7"/>
        <v>13</v>
      </c>
      <c r="F67" s="278" t="str">
        <f t="shared" si="8"/>
        <v>pm</v>
      </c>
      <c r="G67" s="278" t="s">
        <v>375</v>
      </c>
      <c r="H67" s="278" t="s">
        <v>217</v>
      </c>
      <c r="I67" s="278" t="s">
        <v>376</v>
      </c>
      <c r="K67" s="279">
        <f t="shared" si="9"/>
        <v>2179.8632995599451</v>
      </c>
      <c r="M67" s="279">
        <v>2000</v>
      </c>
      <c r="N67" s="278">
        <v>2136.3174765642048</v>
      </c>
      <c r="R67" s="278" t="str">
        <f>IF(AND((J67="This"),(L67="Only")),VLOOKUP(G67,#REF!,7,FALSE),"")</f>
        <v/>
      </c>
      <c r="U67" s="278">
        <v>2179.8632995599451</v>
      </c>
    </row>
    <row r="68" spans="1:21" x14ac:dyDescent="0.25">
      <c r="A68" s="278">
        <v>6</v>
      </c>
      <c r="C68" s="278">
        <f t="shared" si="5"/>
        <v>6</v>
      </c>
      <c r="D68" s="278">
        <f t="shared" si="6"/>
        <v>2</v>
      </c>
      <c r="E68" s="278">
        <f t="shared" si="7"/>
        <v>13</v>
      </c>
      <c r="F68" s="278" t="str">
        <f t="shared" si="8"/>
        <v>pm</v>
      </c>
      <c r="G68" s="278" t="s">
        <v>377</v>
      </c>
      <c r="H68" s="278" t="s">
        <v>284</v>
      </c>
      <c r="I68" s="278" t="s">
        <v>378</v>
      </c>
      <c r="K68" s="279">
        <f t="shared" si="9"/>
        <v>2056.8719586490975</v>
      </c>
      <c r="M68" s="279">
        <v>2000</v>
      </c>
      <c r="N68" s="278">
        <v>2121.6308368759796</v>
      </c>
      <c r="P68" s="278">
        <v>2175.8772912480499</v>
      </c>
      <c r="R68" s="278" t="str">
        <f>IF(AND((J68="This"),(L68="Only")),VLOOKUP(G68,#REF!,7,FALSE),"")</f>
        <v/>
      </c>
      <c r="S68" s="278">
        <v>2102.4237747330426</v>
      </c>
      <c r="U68" s="278">
        <v>2056.8719586490975</v>
      </c>
    </row>
    <row r="69" spans="1:21" x14ac:dyDescent="0.25">
      <c r="A69" s="278">
        <v>3</v>
      </c>
      <c r="C69" s="278">
        <f t="shared" si="5"/>
        <v>7</v>
      </c>
      <c r="D69" s="278">
        <f t="shared" si="6"/>
        <v>2</v>
      </c>
      <c r="E69" s="278">
        <f t="shared" si="7"/>
        <v>13</v>
      </c>
      <c r="F69" s="278" t="str">
        <f t="shared" si="8"/>
        <v>pm</v>
      </c>
      <c r="G69" s="278" t="s">
        <v>379</v>
      </c>
      <c r="H69" s="278" t="s">
        <v>290</v>
      </c>
      <c r="I69" s="278" t="s">
        <v>380</v>
      </c>
      <c r="K69" s="279">
        <f t="shared" si="9"/>
        <v>2032.4693952819664</v>
      </c>
      <c r="M69" s="279">
        <v>2000</v>
      </c>
      <c r="R69" s="278" t="str">
        <f>IF(AND((J69="This"),(L69="Only")),VLOOKUP(G69,#REF!,7,FALSE),"")</f>
        <v/>
      </c>
      <c r="S69" s="278">
        <v>2019.5944937514193</v>
      </c>
      <c r="U69" s="278">
        <v>2032.4693952819664</v>
      </c>
    </row>
    <row r="70" spans="1:21" x14ac:dyDescent="0.25">
      <c r="A70" s="278">
        <v>1</v>
      </c>
      <c r="C70" s="278">
        <f t="shared" si="5"/>
        <v>8</v>
      </c>
      <c r="D70" s="278">
        <f t="shared" si="6"/>
        <v>2</v>
      </c>
      <c r="E70" s="278">
        <f t="shared" si="7"/>
        <v>13</v>
      </c>
      <c r="F70" s="278" t="str">
        <f t="shared" si="8"/>
        <v>pmx</v>
      </c>
      <c r="G70" s="278" t="s">
        <v>381</v>
      </c>
      <c r="H70" s="278" t="s">
        <v>382</v>
      </c>
      <c r="I70" s="278" t="s">
        <v>383</v>
      </c>
      <c r="K70" s="279">
        <f t="shared" si="9"/>
        <v>2103.1493812409949</v>
      </c>
      <c r="M70" s="279">
        <v>2000</v>
      </c>
      <c r="R70" s="278" t="str">
        <f>IF(AND((J70="This"),(L70="Only")),VLOOKUP(G70,#REF!,7,FALSE),"")</f>
        <v/>
      </c>
      <c r="U70" s="278">
        <v>2103.1493812409949</v>
      </c>
    </row>
    <row r="71" spans="1:21" x14ac:dyDescent="0.25">
      <c r="A71" s="278">
        <v>3</v>
      </c>
      <c r="C71" s="278">
        <f t="shared" si="5"/>
        <v>9</v>
      </c>
      <c r="D71" s="278">
        <f t="shared" si="6"/>
        <v>2</v>
      </c>
      <c r="E71" s="278">
        <f t="shared" si="7"/>
        <v>13</v>
      </c>
      <c r="F71" s="278" t="str">
        <f t="shared" si="8"/>
        <v>pm</v>
      </c>
      <c r="G71" s="278" t="s">
        <v>384</v>
      </c>
      <c r="H71" s="278" t="s">
        <v>385</v>
      </c>
      <c r="I71" s="278" t="s">
        <v>386</v>
      </c>
      <c r="K71" s="279">
        <f t="shared" si="9"/>
        <v>2126.7732935713634</v>
      </c>
      <c r="M71" s="279">
        <v>2000</v>
      </c>
      <c r="N71" s="278">
        <v>2068.8673410456058</v>
      </c>
      <c r="R71" s="278" t="str">
        <f>IF(AND((J71="This"),(L71="Only")),VLOOKUP(G71,#REF!,7,FALSE),"")</f>
        <v/>
      </c>
      <c r="U71" s="278">
        <v>2126.7732935713634</v>
      </c>
    </row>
    <row r="72" spans="1:21" x14ac:dyDescent="0.25">
      <c r="A72" s="278">
        <v>2</v>
      </c>
      <c r="C72" s="278">
        <f t="shared" si="5"/>
        <v>10</v>
      </c>
      <c r="D72" s="278">
        <f t="shared" si="6"/>
        <v>2</v>
      </c>
      <c r="E72" s="278">
        <f t="shared" si="7"/>
        <v>13</v>
      </c>
      <c r="F72" s="278" t="str">
        <f t="shared" si="8"/>
        <v>pm</v>
      </c>
      <c r="G72" s="278" t="s">
        <v>387</v>
      </c>
      <c r="H72" s="278" t="s">
        <v>226</v>
      </c>
      <c r="I72" s="278" t="s">
        <v>388</v>
      </c>
      <c r="K72" s="279">
        <f t="shared" si="9"/>
        <v>2070.7625433400967</v>
      </c>
      <c r="M72" s="279">
        <v>2000</v>
      </c>
      <c r="R72" s="278" t="str">
        <f>IF(AND((J72="This"),(L72="Only")),VLOOKUP(G72,#REF!,7,FALSE),"")</f>
        <v/>
      </c>
      <c r="S72" s="278">
        <v>2070.7625433400967</v>
      </c>
    </row>
    <row r="73" spans="1:21" x14ac:dyDescent="0.25">
      <c r="A73" s="278">
        <v>2</v>
      </c>
      <c r="C73" s="278">
        <f t="shared" si="5"/>
        <v>11</v>
      </c>
      <c r="D73" s="278">
        <f t="shared" si="6"/>
        <v>2</v>
      </c>
      <c r="E73" s="278">
        <f t="shared" si="7"/>
        <v>13</v>
      </c>
      <c r="F73" s="278" t="str">
        <f t="shared" si="8"/>
        <v>pm</v>
      </c>
      <c r="G73" s="278" t="s">
        <v>389</v>
      </c>
      <c r="H73" s="278" t="s">
        <v>226</v>
      </c>
      <c r="I73" s="278" t="s">
        <v>390</v>
      </c>
      <c r="K73" s="279">
        <f t="shared" si="9"/>
        <v>1981.8462673264924</v>
      </c>
      <c r="M73" s="279">
        <v>2000</v>
      </c>
      <c r="R73" s="278" t="str">
        <f>IF(AND((J73="This"),(L73="Only")),VLOOKUP(G73,#REF!,7,FALSE),"")</f>
        <v/>
      </c>
      <c r="S73" s="278">
        <v>1981.8462673264924</v>
      </c>
    </row>
    <row r="74" spans="1:21" x14ac:dyDescent="0.25">
      <c r="A74" s="278">
        <v>2</v>
      </c>
      <c r="C74" s="278">
        <f t="shared" si="5"/>
        <v>12</v>
      </c>
      <c r="D74" s="278">
        <f t="shared" si="6"/>
        <v>2</v>
      </c>
      <c r="E74" s="278">
        <f t="shared" si="7"/>
        <v>13</v>
      </c>
      <c r="F74" s="278" t="str">
        <f t="shared" si="8"/>
        <v>pm</v>
      </c>
      <c r="G74" s="278" t="s">
        <v>391</v>
      </c>
      <c r="H74" s="278" t="s">
        <v>226</v>
      </c>
      <c r="I74" s="278" t="s">
        <v>392</v>
      </c>
      <c r="K74" s="279">
        <f t="shared" si="9"/>
        <v>2000</v>
      </c>
      <c r="M74" s="279">
        <v>2000</v>
      </c>
      <c r="R74" s="278" t="str">
        <f>IF(AND((J74="This"),(L74="Only")),VLOOKUP(G74,#REF!,7,FALSE),"")</f>
        <v/>
      </c>
    </row>
    <row r="75" spans="1:21" x14ac:dyDescent="0.25">
      <c r="A75" s="278">
        <v>3</v>
      </c>
      <c r="C75" s="278">
        <f t="shared" si="5"/>
        <v>13</v>
      </c>
      <c r="D75" s="278">
        <f t="shared" si="6"/>
        <v>2</v>
      </c>
      <c r="E75" s="278">
        <f t="shared" si="7"/>
        <v>13</v>
      </c>
      <c r="F75" s="278" t="str">
        <f t="shared" si="8"/>
        <v>pm</v>
      </c>
      <c r="G75" s="278" t="s">
        <v>393</v>
      </c>
      <c r="H75" s="278" t="s">
        <v>315</v>
      </c>
      <c r="I75" s="278" t="s">
        <v>394</v>
      </c>
      <c r="K75" s="279">
        <f t="shared" si="9"/>
        <v>1890.178619221768</v>
      </c>
      <c r="M75" s="279">
        <v>2000</v>
      </c>
      <c r="P75" s="278">
        <v>1982.4597396585023</v>
      </c>
      <c r="R75" s="278" t="str">
        <f>IF(AND((J75="This"),(L75="Only")),VLOOKUP(G75,#REF!,7,FALSE),"")</f>
        <v/>
      </c>
      <c r="S75" s="278">
        <v>1890.178619221768</v>
      </c>
    </row>
    <row r="76" spans="1:21" x14ac:dyDescent="0.25">
      <c r="A76" s="278">
        <v>3</v>
      </c>
      <c r="C76" s="278">
        <f t="shared" si="5"/>
        <v>14</v>
      </c>
      <c r="D76" s="278">
        <f t="shared" si="6"/>
        <v>2</v>
      </c>
      <c r="E76" s="278">
        <f t="shared" si="7"/>
        <v>13</v>
      </c>
      <c r="F76" s="278" t="str">
        <f t="shared" si="8"/>
        <v>pm</v>
      </c>
      <c r="G76" s="278" t="s">
        <v>395</v>
      </c>
      <c r="H76" s="278" t="s">
        <v>315</v>
      </c>
      <c r="I76" s="278" t="s">
        <v>396</v>
      </c>
      <c r="K76" s="279">
        <f t="shared" si="9"/>
        <v>1903.1806533714757</v>
      </c>
      <c r="M76" s="279">
        <v>2000</v>
      </c>
      <c r="P76" s="278">
        <v>1955.7555748936616</v>
      </c>
      <c r="R76" s="278" t="str">
        <f>IF(AND((J76="This"),(L76="Only")),VLOOKUP(G76,#REF!,7,FALSE),"")</f>
        <v/>
      </c>
      <c r="S76" s="278">
        <v>1903.1806533714757</v>
      </c>
    </row>
    <row r="77" spans="1:21" x14ac:dyDescent="0.25">
      <c r="A77" s="278">
        <v>1</v>
      </c>
      <c r="C77" s="278">
        <f t="shared" si="5"/>
        <v>15</v>
      </c>
      <c r="D77" s="278">
        <f t="shared" si="6"/>
        <v>2</v>
      </c>
      <c r="E77" s="278">
        <f t="shared" si="7"/>
        <v>13</v>
      </c>
      <c r="F77" s="278" t="str">
        <f t="shared" si="8"/>
        <v>odx</v>
      </c>
      <c r="G77" s="278" t="s">
        <v>397</v>
      </c>
      <c r="H77" s="278" t="s">
        <v>398</v>
      </c>
      <c r="I77" s="278" t="s">
        <v>399</v>
      </c>
      <c r="K77" s="279">
        <f t="shared" si="9"/>
        <v>1968.9126868555159</v>
      </c>
      <c r="M77" s="279">
        <v>2000</v>
      </c>
      <c r="R77" s="278" t="str">
        <f>IF(AND((J77="This"),(L77="Only")),VLOOKUP(G77,#REF!,7,FALSE),"")</f>
        <v/>
      </c>
      <c r="U77" s="278">
        <v>1968.9126868555159</v>
      </c>
    </row>
    <row r="78" spans="1:21" x14ac:dyDescent="0.25">
      <c r="A78" s="278">
        <v>2</v>
      </c>
      <c r="C78" s="278">
        <f t="shared" si="5"/>
        <v>16</v>
      </c>
      <c r="D78" s="278">
        <f t="shared" si="6"/>
        <v>2</v>
      </c>
      <c r="E78" s="278">
        <f t="shared" si="7"/>
        <v>13</v>
      </c>
      <c r="F78" s="278" t="str">
        <f t="shared" si="8"/>
        <v>pm</v>
      </c>
      <c r="G78" s="278" t="s">
        <v>400</v>
      </c>
      <c r="H78" s="278" t="s">
        <v>232</v>
      </c>
      <c r="I78" s="278" t="s">
        <v>401</v>
      </c>
      <c r="K78" s="279">
        <f t="shared" si="9"/>
        <v>1993.5078969377387</v>
      </c>
      <c r="M78" s="279">
        <v>2000</v>
      </c>
      <c r="R78" s="278" t="str">
        <f>IF(AND((J78="This"),(L78="Only")),VLOOKUP(G78,#REF!,7,FALSE),"")</f>
        <v/>
      </c>
      <c r="U78" s="278">
        <v>1993.5078969377387</v>
      </c>
    </row>
    <row r="79" spans="1:21" x14ac:dyDescent="0.25">
      <c r="A79" s="278">
        <v>1</v>
      </c>
      <c r="C79" s="278">
        <f t="shared" si="5"/>
        <v>17</v>
      </c>
      <c r="D79" s="278">
        <f t="shared" si="6"/>
        <v>2</v>
      </c>
      <c r="E79" s="278">
        <f t="shared" si="7"/>
        <v>13</v>
      </c>
      <c r="F79" s="278" t="str">
        <f t="shared" si="8"/>
        <v>crx</v>
      </c>
      <c r="G79" s="278" t="s">
        <v>402</v>
      </c>
      <c r="H79" s="278" t="s">
        <v>403</v>
      </c>
      <c r="I79" s="278" t="s">
        <v>404</v>
      </c>
      <c r="K79" s="279">
        <f t="shared" si="9"/>
        <v>1965.1680982309992</v>
      </c>
      <c r="M79" s="279">
        <v>2000</v>
      </c>
      <c r="R79" s="278" t="str">
        <f>IF(AND((J79="This"),(L79="Only")),VLOOKUP(G79,#REF!,7,FALSE),"")</f>
        <v/>
      </c>
      <c r="U79" s="278">
        <v>1965.1680982309992</v>
      </c>
    </row>
    <row r="80" spans="1:21" x14ac:dyDescent="0.25">
      <c r="A80" s="278">
        <v>1</v>
      </c>
      <c r="C80" s="278">
        <f t="shared" si="5"/>
        <v>18</v>
      </c>
      <c r="D80" s="278">
        <f t="shared" si="6"/>
        <v>2</v>
      </c>
      <c r="E80" s="278">
        <f t="shared" si="7"/>
        <v>13</v>
      </c>
      <c r="F80" s="278" t="str">
        <f t="shared" si="8"/>
        <v>crx</v>
      </c>
      <c r="G80" s="278" t="s">
        <v>405</v>
      </c>
      <c r="H80" s="278" t="s">
        <v>328</v>
      </c>
      <c r="I80" s="278" t="s">
        <v>406</v>
      </c>
      <c r="K80" s="279">
        <f t="shared" si="9"/>
        <v>1940.6695289847978</v>
      </c>
      <c r="M80" s="279">
        <v>2000</v>
      </c>
      <c r="P80" s="278">
        <v>1940.6695289847978</v>
      </c>
      <c r="R80" s="278" t="str">
        <f>IF(AND((J80="This"),(L80="Only")),VLOOKUP(G80,#REF!,7,FALSE),"")</f>
        <v/>
      </c>
    </row>
    <row r="81" spans="1:21" x14ac:dyDescent="0.25">
      <c r="A81" s="278">
        <v>1</v>
      </c>
      <c r="C81" s="278">
        <f t="shared" si="5"/>
        <v>19</v>
      </c>
      <c r="D81" s="278">
        <f t="shared" si="6"/>
        <v>2</v>
      </c>
      <c r="E81" s="278">
        <f t="shared" si="7"/>
        <v>13</v>
      </c>
      <c r="F81" s="278" t="str">
        <f t="shared" si="8"/>
        <v>pmx</v>
      </c>
      <c r="G81" s="278" t="s">
        <v>407</v>
      </c>
      <c r="H81" s="278" t="s">
        <v>239</v>
      </c>
      <c r="I81" s="278" t="s">
        <v>408</v>
      </c>
      <c r="K81" s="279">
        <f t="shared" si="9"/>
        <v>2000</v>
      </c>
      <c r="M81" s="279">
        <v>2000</v>
      </c>
      <c r="R81" s="278" t="str">
        <f>IF(AND((J81="This"),(L81="Only")),VLOOKUP(G81,#REF!,7,FALSE),"")</f>
        <v/>
      </c>
    </row>
    <row r="82" spans="1:21" x14ac:dyDescent="0.25">
      <c r="A82" s="278">
        <v>1</v>
      </c>
      <c r="C82" s="278">
        <f t="shared" si="5"/>
        <v>20</v>
      </c>
      <c r="D82" s="278">
        <f t="shared" si="6"/>
        <v>2</v>
      </c>
      <c r="E82" s="278">
        <f t="shared" si="7"/>
        <v>13</v>
      </c>
      <c r="F82" s="278" t="str">
        <f t="shared" si="8"/>
        <v>pmx</v>
      </c>
      <c r="G82" s="278" t="s">
        <v>409</v>
      </c>
      <c r="H82" s="278" t="s">
        <v>239</v>
      </c>
      <c r="I82" s="278" t="s">
        <v>410</v>
      </c>
      <c r="K82" s="279">
        <f t="shared" si="9"/>
        <v>2000</v>
      </c>
      <c r="M82" s="279">
        <v>2000</v>
      </c>
      <c r="R82" s="278" t="str">
        <f>IF(AND((J82="This"),(L82="Only")),VLOOKUP(G82,#REF!,7,FALSE),"")</f>
        <v/>
      </c>
    </row>
    <row r="83" spans="1:21" x14ac:dyDescent="0.25">
      <c r="A83" s="278">
        <v>1</v>
      </c>
      <c r="C83" s="278">
        <f t="shared" si="5"/>
        <v>21</v>
      </c>
      <c r="D83" s="278">
        <f t="shared" si="6"/>
        <v>2</v>
      </c>
      <c r="E83" s="278">
        <f t="shared" si="7"/>
        <v>13</v>
      </c>
      <c r="F83" s="278" t="str">
        <f t="shared" si="8"/>
        <v>pmx</v>
      </c>
      <c r="G83" s="278" t="s">
        <v>411</v>
      </c>
      <c r="H83" s="278" t="s">
        <v>239</v>
      </c>
      <c r="I83" s="278" t="s">
        <v>412</v>
      </c>
      <c r="K83" s="279">
        <f t="shared" si="9"/>
        <v>2000</v>
      </c>
      <c r="M83" s="279">
        <v>2000</v>
      </c>
      <c r="R83" s="278" t="str">
        <f>IF(AND((J83="This"),(L83="Only")),VLOOKUP(G83,#REF!,7,FALSE),"")</f>
        <v/>
      </c>
    </row>
    <row r="84" spans="1:21" x14ac:dyDescent="0.25">
      <c r="A84" s="278">
        <v>1</v>
      </c>
      <c r="C84" s="278">
        <f t="shared" si="5"/>
        <v>22</v>
      </c>
      <c r="D84" s="278">
        <f t="shared" si="6"/>
        <v>2</v>
      </c>
      <c r="E84" s="278">
        <f t="shared" si="7"/>
        <v>13</v>
      </c>
      <c r="F84" s="278" t="str">
        <f t="shared" si="8"/>
        <v>pmx</v>
      </c>
      <c r="G84" s="278" t="s">
        <v>413</v>
      </c>
      <c r="H84" s="278" t="s">
        <v>239</v>
      </c>
      <c r="I84" s="278" t="s">
        <v>414</v>
      </c>
      <c r="K84" s="279">
        <f t="shared" si="9"/>
        <v>2000</v>
      </c>
      <c r="M84" s="279">
        <v>2000</v>
      </c>
      <c r="R84" s="278" t="str">
        <f>IF(AND((J84="This"),(L84="Only")),VLOOKUP(G84,#REF!,7,FALSE),"")</f>
        <v/>
      </c>
    </row>
    <row r="85" spans="1:21" x14ac:dyDescent="0.25">
      <c r="A85" s="278">
        <v>3</v>
      </c>
      <c r="C85" s="278">
        <f t="shared" si="5"/>
        <v>23</v>
      </c>
      <c r="D85" s="278">
        <f t="shared" si="6"/>
        <v>2</v>
      </c>
      <c r="E85" s="278">
        <f t="shared" si="7"/>
        <v>13</v>
      </c>
      <c r="F85" s="278" t="str">
        <f t="shared" si="8"/>
        <v>pm</v>
      </c>
      <c r="G85" s="278" t="s">
        <v>415</v>
      </c>
      <c r="H85" s="278" t="s">
        <v>416</v>
      </c>
      <c r="I85" s="278" t="s">
        <v>417</v>
      </c>
      <c r="K85" s="279">
        <f t="shared" si="9"/>
        <v>2108.9668891287279</v>
      </c>
      <c r="M85" s="279">
        <v>2000</v>
      </c>
      <c r="P85" s="278">
        <v>2108.9668891287279</v>
      </c>
      <c r="R85" s="278" t="str">
        <f>IF(AND((J85="This"),(L85="Only")),VLOOKUP(G85,#REF!,7,FALSE),"")</f>
        <v/>
      </c>
    </row>
    <row r="86" spans="1:21" x14ac:dyDescent="0.25">
      <c r="A86" s="278">
        <v>4</v>
      </c>
      <c r="C86" s="278">
        <f t="shared" si="5"/>
        <v>24</v>
      </c>
      <c r="D86" s="278">
        <f t="shared" si="6"/>
        <v>24</v>
      </c>
      <c r="E86" s="278">
        <f t="shared" si="7"/>
        <v>13</v>
      </c>
      <c r="F86" s="278" t="str">
        <f t="shared" si="8"/>
        <v>pm</v>
      </c>
      <c r="G86" s="278" t="s">
        <v>418</v>
      </c>
      <c r="H86" s="278" t="s">
        <v>252</v>
      </c>
      <c r="I86" s="278" t="s">
        <v>419</v>
      </c>
      <c r="K86" s="279">
        <f t="shared" si="9"/>
        <v>2043.9635883050619</v>
      </c>
      <c r="M86" s="279">
        <v>1950</v>
      </c>
      <c r="R86" s="278" t="str">
        <f>IF(AND((J86="This"),(L86="Only")),VLOOKUP(G86,#REF!,7,FALSE),"")</f>
        <v/>
      </c>
      <c r="S86" s="278">
        <v>2043.9635883050619</v>
      </c>
    </row>
    <row r="87" spans="1:21" x14ac:dyDescent="0.25">
      <c r="A87" s="278">
        <v>5</v>
      </c>
      <c r="C87" s="278">
        <f t="shared" si="5"/>
        <v>25</v>
      </c>
      <c r="D87" s="278">
        <f t="shared" si="6"/>
        <v>25</v>
      </c>
      <c r="E87" s="278">
        <f t="shared" si="7"/>
        <v>13</v>
      </c>
      <c r="F87" s="278" t="str">
        <f t="shared" si="8"/>
        <v>pm</v>
      </c>
      <c r="G87" s="278" t="s">
        <v>420</v>
      </c>
      <c r="H87" s="278" t="s">
        <v>252</v>
      </c>
      <c r="I87" s="278" t="s">
        <v>421</v>
      </c>
      <c r="K87" s="279">
        <f t="shared" si="9"/>
        <v>1725.6641033884546</v>
      </c>
      <c r="M87" s="279">
        <v>1920</v>
      </c>
      <c r="P87" s="278">
        <v>1850.7216154182379</v>
      </c>
      <c r="R87" s="278" t="str">
        <f>IF(AND((J87="This"),(L87="Only")),VLOOKUP(G87,#REF!,7,FALSE),"")</f>
        <v/>
      </c>
      <c r="S87" s="278">
        <v>1725.6641033884546</v>
      </c>
    </row>
    <row r="88" spans="1:21" x14ac:dyDescent="0.25">
      <c r="A88" s="278">
        <v>3</v>
      </c>
      <c r="C88" s="278">
        <f t="shared" si="5"/>
        <v>26</v>
      </c>
      <c r="D88" s="278">
        <f t="shared" si="6"/>
        <v>26</v>
      </c>
      <c r="E88" s="278">
        <f t="shared" si="7"/>
        <v>13</v>
      </c>
      <c r="F88" s="278" t="str">
        <f t="shared" si="8"/>
        <v>pm</v>
      </c>
      <c r="G88" s="278" t="s">
        <v>422</v>
      </c>
      <c r="H88" s="278" t="s">
        <v>423</v>
      </c>
      <c r="I88" s="278" t="s">
        <v>423</v>
      </c>
      <c r="K88" s="279">
        <f t="shared" si="9"/>
        <v>1820.8676337248239</v>
      </c>
      <c r="M88" s="279">
        <v>1800</v>
      </c>
      <c r="O88" s="278">
        <v>1834.3577946522198</v>
      </c>
      <c r="R88" s="278" t="str">
        <f>IF(AND((J88="This"),(L88="Only")),VLOOKUP(G88,#REF!,7,FALSE),"")</f>
        <v/>
      </c>
      <c r="S88" s="278">
        <v>1820.8676337248239</v>
      </c>
    </row>
    <row r="89" spans="1:21" x14ac:dyDescent="0.25">
      <c r="A89" s="278">
        <v>1</v>
      </c>
      <c r="C89" s="278">
        <f t="shared" si="5"/>
        <v>27</v>
      </c>
      <c r="D89" s="278">
        <f t="shared" si="6"/>
        <v>26</v>
      </c>
      <c r="E89" s="278">
        <f t="shared" si="7"/>
        <v>13</v>
      </c>
      <c r="F89" s="278" t="str">
        <f t="shared" si="8"/>
        <v>crx</v>
      </c>
      <c r="G89" s="278" t="s">
        <v>424</v>
      </c>
      <c r="H89" s="278" t="s">
        <v>425</v>
      </c>
      <c r="I89" s="278" t="s">
        <v>426</v>
      </c>
      <c r="K89" s="279">
        <f t="shared" si="9"/>
        <v>1860.0180291254051</v>
      </c>
      <c r="M89" s="279">
        <v>1800</v>
      </c>
      <c r="O89" s="278">
        <v>1860.0180291254051</v>
      </c>
      <c r="R89" s="278" t="str">
        <f>IF(AND((J89="This"),(L89="Only")),VLOOKUP(G89,#REF!,7,FALSE),"")</f>
        <v/>
      </c>
    </row>
    <row r="90" spans="1:21" x14ac:dyDescent="0.25">
      <c r="A90" s="278">
        <v>5</v>
      </c>
      <c r="C90" s="278">
        <f t="shared" si="5"/>
        <v>28</v>
      </c>
      <c r="D90" s="278">
        <f t="shared" si="6"/>
        <v>28</v>
      </c>
      <c r="E90" s="278">
        <f t="shared" si="7"/>
        <v>13</v>
      </c>
      <c r="F90" s="278" t="str">
        <f t="shared" si="8"/>
        <v>pm</v>
      </c>
      <c r="G90" s="278" t="s">
        <v>427</v>
      </c>
      <c r="H90" s="278" t="s">
        <v>223</v>
      </c>
      <c r="I90" s="278" t="s">
        <v>428</v>
      </c>
      <c r="K90" s="279">
        <f t="shared" si="9"/>
        <v>1795.4888670336384</v>
      </c>
      <c r="M90" s="279">
        <v>1760</v>
      </c>
      <c r="O90" s="278">
        <v>1754.0671620760272</v>
      </c>
      <c r="R90" s="278" t="str">
        <f>IF(AND((J90="This"),(L90="Only")),VLOOKUP(G90,#REF!,7,FALSE),"")</f>
        <v/>
      </c>
      <c r="S90" s="278">
        <v>1795.4888670336384</v>
      </c>
    </row>
    <row r="91" spans="1:21" x14ac:dyDescent="0.25">
      <c r="A91" s="278">
        <v>3</v>
      </c>
      <c r="C91" s="278">
        <f t="shared" si="5"/>
        <v>29</v>
      </c>
      <c r="D91" s="278">
        <f t="shared" si="6"/>
        <v>29</v>
      </c>
      <c r="E91" s="278">
        <f t="shared" si="7"/>
        <v>13</v>
      </c>
      <c r="F91" s="278" t="str">
        <f t="shared" si="8"/>
        <v>pm</v>
      </c>
      <c r="G91" s="278" t="s">
        <v>429</v>
      </c>
      <c r="H91" s="278" t="s">
        <v>268</v>
      </c>
      <c r="I91" s="278" t="s">
        <v>430</v>
      </c>
      <c r="K91" s="279">
        <f t="shared" si="9"/>
        <v>1800.3799320591111</v>
      </c>
      <c r="M91" s="279">
        <v>1733.3333333333333</v>
      </c>
      <c r="O91" s="278">
        <v>1800.3799320591111</v>
      </c>
      <c r="R91" s="278" t="str">
        <f>IF(AND((J91="This"),(L91="Only")),VLOOKUP(G91,#REF!,7,FALSE),"")</f>
        <v/>
      </c>
    </row>
    <row r="92" spans="1:21" x14ac:dyDescent="0.25">
      <c r="A92" s="278">
        <v>3</v>
      </c>
      <c r="C92" s="278">
        <f t="shared" si="5"/>
        <v>30</v>
      </c>
      <c r="D92" s="278">
        <f t="shared" si="6"/>
        <v>29</v>
      </c>
      <c r="E92" s="278">
        <f t="shared" si="7"/>
        <v>13</v>
      </c>
      <c r="F92" s="278" t="str">
        <f t="shared" si="8"/>
        <v>pm</v>
      </c>
      <c r="G92" s="278" t="s">
        <v>431</v>
      </c>
      <c r="H92" s="278" t="s">
        <v>226</v>
      </c>
      <c r="I92" s="278" t="s">
        <v>432</v>
      </c>
      <c r="K92" s="279">
        <f t="shared" si="9"/>
        <v>1767.6030214270597</v>
      </c>
      <c r="M92" s="279">
        <v>1733.3333333333333</v>
      </c>
      <c r="R92" s="278" t="str">
        <f>IF(AND((J92="This"),(L92="Only")),VLOOKUP(G92,#REF!,7,FALSE),"")</f>
        <v/>
      </c>
      <c r="S92" s="278">
        <v>1767.6030214270597</v>
      </c>
    </row>
    <row r="93" spans="1:21" x14ac:dyDescent="0.25">
      <c r="A93" s="278">
        <v>5</v>
      </c>
      <c r="C93" s="278">
        <f t="shared" si="5"/>
        <v>31</v>
      </c>
      <c r="D93" s="278">
        <f t="shared" si="6"/>
        <v>31</v>
      </c>
      <c r="E93" s="278">
        <f t="shared" si="7"/>
        <v>13</v>
      </c>
      <c r="F93" s="278" t="str">
        <f t="shared" si="8"/>
        <v>pm</v>
      </c>
      <c r="G93" s="278" t="s">
        <v>433</v>
      </c>
      <c r="H93" s="278" t="s">
        <v>434</v>
      </c>
      <c r="I93" s="278" t="s">
        <v>435</v>
      </c>
      <c r="K93" s="279">
        <f t="shared" si="9"/>
        <v>1818.9402748303323</v>
      </c>
      <c r="M93" s="279">
        <v>1680</v>
      </c>
      <c r="O93" s="278">
        <v>1727.4141373732955</v>
      </c>
      <c r="R93" s="278" t="str">
        <f>IF(AND((J93="This"),(L93="Only")),VLOOKUP(G93,#REF!,7,FALSE),"")</f>
        <v/>
      </c>
      <c r="S93" s="278">
        <v>1802.3707013759865</v>
      </c>
      <c r="U93" s="278">
        <v>1818.9402748303323</v>
      </c>
    </row>
    <row r="94" spans="1:21" x14ac:dyDescent="0.25">
      <c r="A94" s="278">
        <v>5</v>
      </c>
      <c r="C94" s="278">
        <f t="shared" si="5"/>
        <v>32</v>
      </c>
      <c r="D94" s="278">
        <f t="shared" si="6"/>
        <v>31</v>
      </c>
      <c r="E94" s="278">
        <f t="shared" si="7"/>
        <v>13</v>
      </c>
      <c r="F94" s="278" t="str">
        <f t="shared" si="8"/>
        <v>pm</v>
      </c>
      <c r="G94" s="278" t="s">
        <v>436</v>
      </c>
      <c r="H94" s="278" t="s">
        <v>434</v>
      </c>
      <c r="I94" s="278" t="s">
        <v>437</v>
      </c>
      <c r="K94" s="279">
        <f t="shared" si="9"/>
        <v>1615.8472257401343</v>
      </c>
      <c r="M94" s="279">
        <v>1680</v>
      </c>
      <c r="O94" s="278">
        <v>1638.9266878949168</v>
      </c>
      <c r="R94" s="278" t="str">
        <f>IF(AND((J94="This"),(L94="Only")),VLOOKUP(G94,#REF!,7,FALSE),"")</f>
        <v/>
      </c>
      <c r="S94" s="278">
        <v>1615.8472257401343</v>
      </c>
    </row>
    <row r="95" spans="1:21" x14ac:dyDescent="0.25">
      <c r="A95" s="278">
        <v>2</v>
      </c>
      <c r="C95" s="278">
        <f t="shared" si="5"/>
        <v>33</v>
      </c>
      <c r="D95" s="278">
        <f t="shared" si="6"/>
        <v>33</v>
      </c>
      <c r="E95" s="278">
        <f t="shared" si="7"/>
        <v>13</v>
      </c>
      <c r="F95" s="278" t="str">
        <f t="shared" si="8"/>
        <v>cr</v>
      </c>
      <c r="G95" s="278" t="s">
        <v>438</v>
      </c>
      <c r="H95" s="278" t="s">
        <v>229</v>
      </c>
      <c r="I95" s="278" t="s">
        <v>439</v>
      </c>
      <c r="K95" s="279">
        <f t="shared" si="9"/>
        <v>1600</v>
      </c>
      <c r="M95" s="279">
        <v>1600</v>
      </c>
      <c r="R95" s="278" t="str">
        <f>IF(AND((J95="This"),(L95="Only")),VLOOKUP(G95,#REF!,7,FALSE),"")</f>
        <v/>
      </c>
    </row>
    <row r="96" spans="1:21" x14ac:dyDescent="0.25">
      <c r="A96" s="278">
        <v>3</v>
      </c>
      <c r="C96" s="278">
        <f t="shared" si="5"/>
        <v>34</v>
      </c>
      <c r="D96" s="278">
        <f t="shared" si="6"/>
        <v>33</v>
      </c>
      <c r="E96" s="278">
        <f t="shared" si="7"/>
        <v>13</v>
      </c>
      <c r="F96" s="278" t="str">
        <f t="shared" si="8"/>
        <v>cr</v>
      </c>
      <c r="G96" s="278" t="s">
        <v>440</v>
      </c>
      <c r="H96" s="278" t="s">
        <v>229</v>
      </c>
      <c r="I96" s="278" t="s">
        <v>441</v>
      </c>
      <c r="K96" s="279">
        <f t="shared" si="9"/>
        <v>1637.3083549280275</v>
      </c>
      <c r="M96" s="279">
        <v>1600</v>
      </c>
      <c r="R96" s="278" t="str">
        <f>IF(AND((J96="This"),(L96="Only")),VLOOKUP(G96,#REF!,7,FALSE),"")</f>
        <v/>
      </c>
      <c r="S96" s="278">
        <v>1637.3083549280275</v>
      </c>
    </row>
    <row r="97" spans="1:20" x14ac:dyDescent="0.25">
      <c r="A97" s="278">
        <v>1</v>
      </c>
      <c r="C97" s="278">
        <f t="shared" si="5"/>
        <v>35</v>
      </c>
      <c r="D97" s="278">
        <f t="shared" si="6"/>
        <v>33</v>
      </c>
      <c r="E97" s="278">
        <f t="shared" si="7"/>
        <v>13</v>
      </c>
      <c r="F97" s="278" t="str">
        <f t="shared" si="8"/>
        <v>crx</v>
      </c>
      <c r="G97" s="278" t="s">
        <v>442</v>
      </c>
      <c r="H97" s="278" t="s">
        <v>229</v>
      </c>
      <c r="I97" s="278" t="s">
        <v>443</v>
      </c>
      <c r="K97" s="279">
        <f t="shared" si="9"/>
        <v>1523.7931400751718</v>
      </c>
      <c r="M97" s="279">
        <v>1600</v>
      </c>
      <c r="R97" s="278" t="str">
        <f>IF(AND((J97="This"),(L97="Only")),VLOOKUP(G97,#REF!,7,FALSE),"")</f>
        <v/>
      </c>
      <c r="S97" s="278">
        <v>1523.7931400751718</v>
      </c>
    </row>
    <row r="98" spans="1:20" x14ac:dyDescent="0.25">
      <c r="A98" s="278">
        <v>5</v>
      </c>
      <c r="C98" s="278">
        <f t="shared" si="5"/>
        <v>36</v>
      </c>
      <c r="D98" s="278">
        <f t="shared" si="6"/>
        <v>33</v>
      </c>
      <c r="E98" s="278">
        <f t="shared" si="7"/>
        <v>13</v>
      </c>
      <c r="F98" s="278" t="str">
        <f t="shared" si="8"/>
        <v>pm</v>
      </c>
      <c r="G98" s="278" t="s">
        <v>444</v>
      </c>
      <c r="H98" s="278" t="s">
        <v>445</v>
      </c>
      <c r="I98" s="278" t="s">
        <v>446</v>
      </c>
      <c r="K98" s="279">
        <f t="shared" si="9"/>
        <v>1458.4555688261864</v>
      </c>
      <c r="M98" s="279">
        <v>1600</v>
      </c>
      <c r="O98" s="278">
        <v>1543.1379599637289</v>
      </c>
      <c r="R98" s="278" t="str">
        <f>IF(AND((J98="This"),(L98="Only")),VLOOKUP(G98,#REF!,7,FALSE),"")</f>
        <v/>
      </c>
      <c r="T98" s="278">
        <v>1458.4555688261864</v>
      </c>
    </row>
    <row r="99" spans="1:20" x14ac:dyDescent="0.25">
      <c r="A99" s="278">
        <v>4</v>
      </c>
      <c r="C99" s="278">
        <f t="shared" si="5"/>
        <v>37</v>
      </c>
      <c r="D99" s="278">
        <f t="shared" si="6"/>
        <v>33</v>
      </c>
      <c r="E99" s="278">
        <f t="shared" si="7"/>
        <v>13</v>
      </c>
      <c r="F99" s="278" t="str">
        <f t="shared" si="8"/>
        <v>pm</v>
      </c>
      <c r="G99" s="278" t="s">
        <v>447</v>
      </c>
      <c r="H99" s="278" t="s">
        <v>268</v>
      </c>
      <c r="I99" s="278" t="s">
        <v>448</v>
      </c>
      <c r="K99" s="279">
        <f t="shared" si="9"/>
        <v>1510.6135428350065</v>
      </c>
      <c r="M99" s="279">
        <v>1600</v>
      </c>
      <c r="O99" s="278">
        <v>1510.6135428350065</v>
      </c>
      <c r="R99" s="278" t="str">
        <f>IF(AND((J99="This"),(L99="Only")),VLOOKUP(G99,#REF!,7,FALSE),"")</f>
        <v/>
      </c>
    </row>
    <row r="100" spans="1:20" x14ac:dyDescent="0.25">
      <c r="A100" s="278">
        <v>3</v>
      </c>
      <c r="C100" s="278">
        <f t="shared" si="5"/>
        <v>38</v>
      </c>
      <c r="D100" s="278">
        <f t="shared" si="6"/>
        <v>33</v>
      </c>
      <c r="E100" s="278">
        <f t="shared" si="7"/>
        <v>13</v>
      </c>
      <c r="F100" s="278" t="str">
        <f t="shared" si="8"/>
        <v>pm</v>
      </c>
      <c r="G100" s="278" t="s">
        <v>449</v>
      </c>
      <c r="H100" s="278" t="s">
        <v>217</v>
      </c>
      <c r="I100" s="278" t="s">
        <v>450</v>
      </c>
      <c r="K100" s="279">
        <f t="shared" si="9"/>
        <v>1718.3151948204377</v>
      </c>
      <c r="M100" s="279">
        <v>1600</v>
      </c>
      <c r="O100" s="278">
        <v>1640.5992668477998</v>
      </c>
      <c r="R100" s="278" t="str">
        <f>IF(AND((J100="This"),(L100="Only")),VLOOKUP(G100,#REF!,7,FALSE),"")</f>
        <v/>
      </c>
      <c r="S100" s="278">
        <v>1718.3151948204377</v>
      </c>
    </row>
    <row r="101" spans="1:20" x14ac:dyDescent="0.25">
      <c r="A101" s="278">
        <v>3</v>
      </c>
      <c r="C101" s="278">
        <f t="shared" si="5"/>
        <v>39</v>
      </c>
      <c r="D101" s="278">
        <f t="shared" si="6"/>
        <v>33</v>
      </c>
      <c r="E101" s="278">
        <f t="shared" si="7"/>
        <v>13</v>
      </c>
      <c r="F101" s="278" t="str">
        <f t="shared" si="8"/>
        <v>pm</v>
      </c>
      <c r="G101" s="278" t="s">
        <v>451</v>
      </c>
      <c r="H101" s="278" t="s">
        <v>217</v>
      </c>
      <c r="I101" s="278" t="s">
        <v>452</v>
      </c>
      <c r="K101" s="279">
        <f t="shared" si="9"/>
        <v>1592.2302498222155</v>
      </c>
      <c r="M101" s="279">
        <v>1600</v>
      </c>
      <c r="R101" s="278" t="str">
        <f>IF(AND((J101="This"),(L101="Only")),VLOOKUP(G101,#REF!,7,FALSE),"")</f>
        <v/>
      </c>
      <c r="S101" s="278">
        <v>1612.3030183432836</v>
      </c>
      <c r="T101" s="278">
        <v>1592.2302498222155</v>
      </c>
    </row>
    <row r="102" spans="1:20" x14ac:dyDescent="0.25">
      <c r="A102" s="278">
        <v>3</v>
      </c>
      <c r="C102" s="278">
        <f t="shared" si="5"/>
        <v>40</v>
      </c>
      <c r="D102" s="278">
        <f t="shared" si="6"/>
        <v>33</v>
      </c>
      <c r="E102" s="278">
        <f t="shared" si="7"/>
        <v>13</v>
      </c>
      <c r="F102" s="278" t="str">
        <f t="shared" si="8"/>
        <v>pm</v>
      </c>
      <c r="G102" s="278" t="s">
        <v>453</v>
      </c>
      <c r="H102" s="278" t="s">
        <v>217</v>
      </c>
      <c r="I102" s="278" t="s">
        <v>454</v>
      </c>
      <c r="K102" s="279">
        <f t="shared" si="9"/>
        <v>1559.0584600733771</v>
      </c>
      <c r="M102" s="279">
        <v>1600</v>
      </c>
      <c r="R102" s="278" t="str">
        <f>IF(AND((J102="This"),(L102="Only")),VLOOKUP(G102,#REF!,7,FALSE),"")</f>
        <v/>
      </c>
      <c r="S102" s="278">
        <v>1673.4893306775402</v>
      </c>
      <c r="T102" s="278">
        <v>1559.0584600733771</v>
      </c>
    </row>
    <row r="103" spans="1:20" x14ac:dyDescent="0.25">
      <c r="A103" s="278">
        <v>5</v>
      </c>
      <c r="C103" s="278">
        <f t="shared" si="5"/>
        <v>41</v>
      </c>
      <c r="D103" s="278">
        <f t="shared" si="6"/>
        <v>33</v>
      </c>
      <c r="E103" s="278">
        <f t="shared" si="7"/>
        <v>13</v>
      </c>
      <c r="F103" s="278" t="str">
        <f t="shared" si="8"/>
        <v>pm</v>
      </c>
      <c r="G103" s="278" t="s">
        <v>455</v>
      </c>
      <c r="H103" s="278" t="s">
        <v>281</v>
      </c>
      <c r="I103" s="278" t="s">
        <v>456</v>
      </c>
      <c r="K103" s="279">
        <f t="shared" si="9"/>
        <v>1880.9536423839288</v>
      </c>
      <c r="M103" s="279">
        <v>1600</v>
      </c>
      <c r="O103" s="278">
        <v>1728.897291095632</v>
      </c>
      <c r="R103" s="278" t="str">
        <f>IF(AND((J103="This"),(L103="Only")),VLOOKUP(G103,#REF!,7,FALSE),"")</f>
        <v/>
      </c>
      <c r="S103" s="278">
        <v>1819.6471570862507</v>
      </c>
      <c r="T103" s="278">
        <v>1880.9536423839288</v>
      </c>
    </row>
    <row r="104" spans="1:20" x14ac:dyDescent="0.25">
      <c r="A104" s="278">
        <v>6</v>
      </c>
      <c r="C104" s="278">
        <f t="shared" si="5"/>
        <v>42</v>
      </c>
      <c r="D104" s="278">
        <f t="shared" si="6"/>
        <v>33</v>
      </c>
      <c r="E104" s="278">
        <f t="shared" si="7"/>
        <v>13</v>
      </c>
      <c r="F104" s="278" t="str">
        <f t="shared" si="8"/>
        <v>pm</v>
      </c>
      <c r="G104" s="278" t="s">
        <v>457</v>
      </c>
      <c r="H104" s="278" t="s">
        <v>284</v>
      </c>
      <c r="I104" s="278" t="s">
        <v>458</v>
      </c>
      <c r="K104" s="279">
        <f t="shared" si="9"/>
        <v>1693.3818306474545</v>
      </c>
      <c r="M104" s="279">
        <v>1600</v>
      </c>
      <c r="O104" s="278">
        <v>1625.3262917022503</v>
      </c>
      <c r="R104" s="278" t="str">
        <f>IF(AND((J104="This"),(L104="Only")),VLOOKUP(G104,#REF!,7,FALSE),"")</f>
        <v/>
      </c>
      <c r="S104" s="278">
        <v>1619.5179443157126</v>
      </c>
      <c r="T104" s="278">
        <v>1693.3818306474545</v>
      </c>
    </row>
    <row r="105" spans="1:20" x14ac:dyDescent="0.25">
      <c r="A105" s="278">
        <v>5</v>
      </c>
      <c r="C105" s="278">
        <f t="shared" si="5"/>
        <v>43</v>
      </c>
      <c r="D105" s="278">
        <f t="shared" si="6"/>
        <v>33</v>
      </c>
      <c r="E105" s="278">
        <f t="shared" si="7"/>
        <v>13</v>
      </c>
      <c r="F105" s="278" t="str">
        <f t="shared" si="8"/>
        <v>pm</v>
      </c>
      <c r="G105" s="278" t="s">
        <v>459</v>
      </c>
      <c r="H105" s="278" t="s">
        <v>284</v>
      </c>
      <c r="I105" s="278" t="s">
        <v>460</v>
      </c>
      <c r="K105" s="279">
        <f t="shared" si="9"/>
        <v>1577.3037892908403</v>
      </c>
      <c r="M105" s="279">
        <v>1600</v>
      </c>
      <c r="R105" s="278" t="str">
        <f>IF(AND((J105="This"),(L105="Only")),VLOOKUP(G105,#REF!,7,FALSE),"")</f>
        <v/>
      </c>
      <c r="S105" s="278">
        <v>1521.1076517388424</v>
      </c>
      <c r="T105" s="278">
        <v>1577.3037892908403</v>
      </c>
    </row>
    <row r="106" spans="1:20" x14ac:dyDescent="0.25">
      <c r="A106" s="278">
        <v>1</v>
      </c>
      <c r="C106" s="278">
        <f t="shared" si="5"/>
        <v>44</v>
      </c>
      <c r="D106" s="278">
        <f t="shared" si="6"/>
        <v>33</v>
      </c>
      <c r="E106" s="278">
        <f t="shared" si="7"/>
        <v>13</v>
      </c>
      <c r="F106" s="278" t="str">
        <f t="shared" si="8"/>
        <v>sox</v>
      </c>
      <c r="G106" s="278" t="s">
        <v>461</v>
      </c>
      <c r="H106" s="278" t="s">
        <v>462</v>
      </c>
      <c r="I106" s="278" t="s">
        <v>463</v>
      </c>
      <c r="K106" s="279">
        <f t="shared" si="9"/>
        <v>1600</v>
      </c>
      <c r="M106" s="279">
        <v>1600</v>
      </c>
      <c r="R106" s="278" t="str">
        <f>IF(AND((J106="This"),(L106="Only")),VLOOKUP(G106,#REF!,7,FALSE),"")</f>
        <v/>
      </c>
    </row>
    <row r="107" spans="1:20" x14ac:dyDescent="0.25">
      <c r="A107" s="278">
        <v>2</v>
      </c>
      <c r="C107" s="278">
        <f t="shared" si="5"/>
        <v>45</v>
      </c>
      <c r="D107" s="278">
        <f t="shared" si="6"/>
        <v>33</v>
      </c>
      <c r="E107" s="278">
        <f t="shared" si="7"/>
        <v>13</v>
      </c>
      <c r="F107" s="278" t="str">
        <f t="shared" si="8"/>
        <v>so</v>
      </c>
      <c r="G107" s="278" t="s">
        <v>464</v>
      </c>
      <c r="H107" s="278" t="s">
        <v>462</v>
      </c>
      <c r="I107" s="278" t="s">
        <v>465</v>
      </c>
      <c r="K107" s="279">
        <f t="shared" si="9"/>
        <v>1565.2223545511395</v>
      </c>
      <c r="M107" s="279">
        <v>1600</v>
      </c>
      <c r="R107" s="278" t="str">
        <f>IF(AND((J107="This"),(L107="Only")),VLOOKUP(G107,#REF!,7,FALSE),"")</f>
        <v/>
      </c>
      <c r="S107" s="278">
        <v>1565.2223545511395</v>
      </c>
    </row>
    <row r="108" spans="1:20" x14ac:dyDescent="0.25">
      <c r="A108" s="278">
        <v>5</v>
      </c>
      <c r="C108" s="278">
        <f t="shared" si="5"/>
        <v>46</v>
      </c>
      <c r="D108" s="278">
        <f t="shared" si="6"/>
        <v>33</v>
      </c>
      <c r="E108" s="278">
        <f t="shared" si="7"/>
        <v>13</v>
      </c>
      <c r="F108" s="278" t="str">
        <f t="shared" si="8"/>
        <v>pm</v>
      </c>
      <c r="G108" s="278" t="s">
        <v>466</v>
      </c>
      <c r="H108" s="278" t="s">
        <v>287</v>
      </c>
      <c r="I108" s="278" t="s">
        <v>467</v>
      </c>
      <c r="K108" s="279">
        <f t="shared" si="9"/>
        <v>1690.2861109118255</v>
      </c>
      <c r="M108" s="279">
        <v>1600</v>
      </c>
      <c r="O108" s="278">
        <v>1605.2989833259981</v>
      </c>
      <c r="R108" s="278" t="str">
        <f>IF(AND((J108="This"),(L108="Only")),VLOOKUP(G108,#REF!,7,FALSE),"")</f>
        <v/>
      </c>
      <c r="S108" s="278">
        <v>1690.2861109118255</v>
      </c>
    </row>
    <row r="109" spans="1:20" x14ac:dyDescent="0.25">
      <c r="A109" s="278">
        <v>6</v>
      </c>
      <c r="C109" s="278">
        <f t="shared" si="5"/>
        <v>47</v>
      </c>
      <c r="D109" s="278">
        <f t="shared" si="6"/>
        <v>33</v>
      </c>
      <c r="E109" s="278">
        <f t="shared" si="7"/>
        <v>13</v>
      </c>
      <c r="F109" s="278" t="str">
        <f t="shared" si="8"/>
        <v>pm</v>
      </c>
      <c r="G109" s="278" t="s">
        <v>468</v>
      </c>
      <c r="H109" s="278" t="s">
        <v>293</v>
      </c>
      <c r="I109" s="278" t="s">
        <v>469</v>
      </c>
      <c r="K109" s="279">
        <f t="shared" si="9"/>
        <v>1618.6634729877185</v>
      </c>
      <c r="M109" s="279">
        <v>1600</v>
      </c>
      <c r="O109" s="278">
        <v>1508.2672187375808</v>
      </c>
      <c r="R109" s="278" t="str">
        <f>IF(AND((J109="This"),(L109="Only")),VLOOKUP(G109,#REF!,7,FALSE),"")</f>
        <v/>
      </c>
      <c r="S109" s="278">
        <v>1540.7626731767975</v>
      </c>
      <c r="T109" s="278">
        <v>1618.6634729877185</v>
      </c>
    </row>
    <row r="110" spans="1:20" x14ac:dyDescent="0.25">
      <c r="A110" s="278">
        <v>4</v>
      </c>
      <c r="C110" s="278">
        <f t="shared" si="5"/>
        <v>48</v>
      </c>
      <c r="D110" s="278">
        <f t="shared" si="6"/>
        <v>33</v>
      </c>
      <c r="E110" s="278">
        <f t="shared" si="7"/>
        <v>13</v>
      </c>
      <c r="F110" s="278" t="str">
        <f t="shared" si="8"/>
        <v>pm</v>
      </c>
      <c r="G110" s="278" t="s">
        <v>470</v>
      </c>
      <c r="H110" s="278" t="s">
        <v>296</v>
      </c>
      <c r="I110" s="278" t="s">
        <v>471</v>
      </c>
      <c r="K110" s="279">
        <f t="shared" si="9"/>
        <v>1669.8390646286034</v>
      </c>
      <c r="M110" s="279">
        <v>1600</v>
      </c>
      <c r="R110" s="278" t="str">
        <f>IF(AND((J110="This"),(L110="Only")),VLOOKUP(G110,#REF!,7,FALSE),"")</f>
        <v/>
      </c>
      <c r="T110" s="278">
        <v>1669.8390646286034</v>
      </c>
    </row>
    <row r="111" spans="1:20" x14ac:dyDescent="0.25">
      <c r="A111" s="278">
        <v>3</v>
      </c>
      <c r="C111" s="278">
        <f t="shared" si="5"/>
        <v>49</v>
      </c>
      <c r="D111" s="278">
        <f t="shared" si="6"/>
        <v>33</v>
      </c>
      <c r="E111" s="278">
        <f t="shared" si="7"/>
        <v>13</v>
      </c>
      <c r="F111" s="278" t="str">
        <f t="shared" si="8"/>
        <v>pm</v>
      </c>
      <c r="G111" s="278" t="s">
        <v>472</v>
      </c>
      <c r="H111" s="278" t="s">
        <v>473</v>
      </c>
      <c r="I111" s="278" t="s">
        <v>474</v>
      </c>
      <c r="K111" s="279">
        <f t="shared" si="9"/>
        <v>1604.6972640134418</v>
      </c>
      <c r="M111" s="279">
        <v>1600</v>
      </c>
      <c r="R111" s="278" t="str">
        <f>IF(AND((J111="This"),(L111="Only")),VLOOKUP(G111,#REF!,7,FALSE),"")</f>
        <v/>
      </c>
      <c r="T111" s="278">
        <v>1604.6972640134418</v>
      </c>
    </row>
    <row r="112" spans="1:20" x14ac:dyDescent="0.25">
      <c r="A112" s="278">
        <v>1</v>
      </c>
      <c r="C112" s="278">
        <f t="shared" si="5"/>
        <v>50</v>
      </c>
      <c r="D112" s="278">
        <f t="shared" si="6"/>
        <v>33</v>
      </c>
      <c r="E112" s="278">
        <f t="shared" si="7"/>
        <v>13</v>
      </c>
      <c r="F112" s="278" t="str">
        <f t="shared" si="8"/>
        <v>sox</v>
      </c>
      <c r="G112" s="278" t="s">
        <v>475</v>
      </c>
      <c r="H112" s="278" t="s">
        <v>476</v>
      </c>
      <c r="I112" s="278" t="s">
        <v>477</v>
      </c>
      <c r="K112" s="279">
        <f t="shared" si="9"/>
        <v>1600</v>
      </c>
      <c r="M112" s="279">
        <v>1600</v>
      </c>
      <c r="R112" s="278" t="str">
        <f>IF(AND((J112="This"),(L112="Only")),VLOOKUP(G112,#REF!,7,FALSE),"")</f>
        <v/>
      </c>
    </row>
    <row r="113" spans="1:20" x14ac:dyDescent="0.25">
      <c r="A113" s="278">
        <v>5</v>
      </c>
      <c r="C113" s="278">
        <f t="shared" si="5"/>
        <v>51</v>
      </c>
      <c r="D113" s="278">
        <f t="shared" si="6"/>
        <v>33</v>
      </c>
      <c r="E113" s="278">
        <f t="shared" si="7"/>
        <v>13</v>
      </c>
      <c r="F113" s="278" t="str">
        <f t="shared" si="8"/>
        <v>pm</v>
      </c>
      <c r="G113" s="278" t="s">
        <v>478</v>
      </c>
      <c r="H113" s="278" t="s">
        <v>301</v>
      </c>
      <c r="I113" s="278" t="s">
        <v>479</v>
      </c>
      <c r="K113" s="279">
        <f t="shared" si="9"/>
        <v>1600</v>
      </c>
      <c r="M113" s="279">
        <v>1600</v>
      </c>
      <c r="R113" s="278" t="str">
        <f>IF(AND((J113="This"),(L113="Only")),VLOOKUP(G113,#REF!,7,FALSE),"")</f>
        <v/>
      </c>
    </row>
    <row r="114" spans="1:20" x14ac:dyDescent="0.25">
      <c r="A114" s="278">
        <v>6</v>
      </c>
      <c r="C114" s="278">
        <f t="shared" si="5"/>
        <v>52</v>
      </c>
      <c r="D114" s="278">
        <f t="shared" si="6"/>
        <v>33</v>
      </c>
      <c r="E114" s="278">
        <f t="shared" si="7"/>
        <v>13</v>
      </c>
      <c r="F114" s="278" t="str">
        <f t="shared" si="8"/>
        <v>pm</v>
      </c>
      <c r="G114" s="278" t="s">
        <v>480</v>
      </c>
      <c r="H114" s="278" t="s">
        <v>333</v>
      </c>
      <c r="I114" s="278" t="s">
        <v>481</v>
      </c>
      <c r="K114" s="279">
        <f t="shared" si="9"/>
        <v>1696.3067637980012</v>
      </c>
      <c r="M114" s="279">
        <v>1600</v>
      </c>
      <c r="O114" s="278">
        <v>1645.408006056949</v>
      </c>
      <c r="R114" s="278" t="str">
        <f>IF(AND((J114="This"),(L114="Only")),VLOOKUP(G114,#REF!,7,FALSE),"")</f>
        <v/>
      </c>
      <c r="S114" s="278">
        <v>1656.4894223319777</v>
      </c>
      <c r="T114" s="278">
        <v>1696.3067637980012</v>
      </c>
    </row>
    <row r="115" spans="1:20" x14ac:dyDescent="0.25">
      <c r="A115" s="278">
        <v>2</v>
      </c>
      <c r="C115" s="278">
        <f t="shared" si="5"/>
        <v>53</v>
      </c>
      <c r="D115" s="278">
        <f t="shared" si="6"/>
        <v>33</v>
      </c>
      <c r="E115" s="278">
        <f t="shared" si="7"/>
        <v>13</v>
      </c>
      <c r="F115" s="278" t="str">
        <f t="shared" si="8"/>
        <v>cr</v>
      </c>
      <c r="G115" s="278" t="s">
        <v>482</v>
      </c>
      <c r="H115" s="278" t="s">
        <v>304</v>
      </c>
      <c r="I115" s="278" t="s">
        <v>483</v>
      </c>
      <c r="K115" s="279">
        <f t="shared" si="9"/>
        <v>1694.6591687633331</v>
      </c>
      <c r="M115" s="279">
        <v>1600</v>
      </c>
      <c r="R115" s="278" t="str">
        <f>IF(AND((J115="This"),(L115="Only")),VLOOKUP(G115,#REF!,7,FALSE),"")</f>
        <v/>
      </c>
      <c r="T115" s="278">
        <v>1694.6591687633331</v>
      </c>
    </row>
    <row r="116" spans="1:20" x14ac:dyDescent="0.25">
      <c r="A116" s="278">
        <v>2</v>
      </c>
      <c r="C116" s="278">
        <f t="shared" si="5"/>
        <v>54</v>
      </c>
      <c r="D116" s="278">
        <f t="shared" si="6"/>
        <v>33</v>
      </c>
      <c r="E116" s="278">
        <f t="shared" si="7"/>
        <v>13</v>
      </c>
      <c r="F116" s="278" t="str">
        <f t="shared" si="8"/>
        <v>cr</v>
      </c>
      <c r="G116" s="278" t="s">
        <v>484</v>
      </c>
      <c r="H116" s="278" t="s">
        <v>304</v>
      </c>
      <c r="I116" s="278" t="s">
        <v>485</v>
      </c>
      <c r="K116" s="279">
        <f t="shared" si="9"/>
        <v>1582.7925814313389</v>
      </c>
      <c r="M116" s="279">
        <v>1600</v>
      </c>
      <c r="R116" s="278" t="str">
        <f>IF(AND((J116="This"),(L116="Only")),VLOOKUP(G116,#REF!,7,FALSE),"")</f>
        <v/>
      </c>
      <c r="T116" s="278">
        <v>1582.7925814313389</v>
      </c>
    </row>
    <row r="117" spans="1:20" x14ac:dyDescent="0.25">
      <c r="A117" s="278">
        <v>2</v>
      </c>
      <c r="C117" s="278">
        <f t="shared" si="5"/>
        <v>55</v>
      </c>
      <c r="D117" s="278">
        <f t="shared" si="6"/>
        <v>33</v>
      </c>
      <c r="E117" s="278">
        <f t="shared" si="7"/>
        <v>13</v>
      </c>
      <c r="F117" s="278" t="str">
        <f t="shared" si="8"/>
        <v>pm</v>
      </c>
      <c r="G117" s="278" t="s">
        <v>486</v>
      </c>
      <c r="H117" s="278" t="s">
        <v>226</v>
      </c>
      <c r="I117" s="278" t="s">
        <v>487</v>
      </c>
      <c r="K117" s="279">
        <f t="shared" si="9"/>
        <v>1660.7607370584117</v>
      </c>
      <c r="M117" s="279">
        <v>1600</v>
      </c>
      <c r="R117" s="278" t="str">
        <f>IF(AND((J117="This"),(L117="Only")),VLOOKUP(G117,#REF!,7,FALSE),"")</f>
        <v/>
      </c>
      <c r="S117" s="278">
        <v>1660.7607370584117</v>
      </c>
    </row>
    <row r="118" spans="1:20" x14ac:dyDescent="0.25">
      <c r="A118" s="278">
        <v>2</v>
      </c>
      <c r="C118" s="278">
        <f t="shared" si="5"/>
        <v>56</v>
      </c>
      <c r="D118" s="278">
        <f t="shared" si="6"/>
        <v>33</v>
      </c>
      <c r="E118" s="278">
        <f t="shared" si="7"/>
        <v>13</v>
      </c>
      <c r="F118" s="278" t="str">
        <f t="shared" si="8"/>
        <v>pm</v>
      </c>
      <c r="G118" s="278" t="s">
        <v>488</v>
      </c>
      <c r="H118" s="278" t="s">
        <v>226</v>
      </c>
      <c r="I118" s="278" t="s">
        <v>489</v>
      </c>
      <c r="K118" s="279">
        <f t="shared" si="9"/>
        <v>1600</v>
      </c>
      <c r="M118" s="279">
        <v>1600</v>
      </c>
      <c r="R118" s="278" t="str">
        <f>IF(AND((J118="This"),(L118="Only")),VLOOKUP(G118,#REF!,7,FALSE),"")</f>
        <v/>
      </c>
    </row>
    <row r="119" spans="1:20" x14ac:dyDescent="0.25">
      <c r="A119" s="278">
        <v>2</v>
      </c>
      <c r="C119" s="278">
        <f t="shared" si="5"/>
        <v>57</v>
      </c>
      <c r="D119" s="278">
        <f t="shared" si="6"/>
        <v>33</v>
      </c>
      <c r="E119" s="278">
        <f t="shared" si="7"/>
        <v>13</v>
      </c>
      <c r="F119" s="278" t="str">
        <f t="shared" si="8"/>
        <v>pm</v>
      </c>
      <c r="G119" s="278" t="s">
        <v>490</v>
      </c>
      <c r="H119" s="278" t="s">
        <v>226</v>
      </c>
      <c r="I119" s="278" t="s">
        <v>491</v>
      </c>
      <c r="K119" s="279">
        <f t="shared" si="9"/>
        <v>1520.584890435453</v>
      </c>
      <c r="M119" s="279">
        <v>1600</v>
      </c>
      <c r="R119" s="278" t="str">
        <f>IF(AND((J119="This"),(L119="Only")),VLOOKUP(G119,#REF!,7,FALSE),"")</f>
        <v/>
      </c>
      <c r="S119" s="278">
        <v>1520.584890435453</v>
      </c>
    </row>
    <row r="120" spans="1:20" x14ac:dyDescent="0.25">
      <c r="A120" s="278">
        <v>2</v>
      </c>
      <c r="C120" s="278">
        <f t="shared" si="5"/>
        <v>58</v>
      </c>
      <c r="D120" s="278">
        <f t="shared" si="6"/>
        <v>33</v>
      </c>
      <c r="E120" s="278">
        <f t="shared" si="7"/>
        <v>13</v>
      </c>
      <c r="F120" s="278" t="str">
        <f t="shared" si="8"/>
        <v>pm</v>
      </c>
      <c r="G120" s="278" t="s">
        <v>492</v>
      </c>
      <c r="H120" s="278" t="s">
        <v>226</v>
      </c>
      <c r="I120" s="278" t="s">
        <v>493</v>
      </c>
      <c r="K120" s="279">
        <f t="shared" si="9"/>
        <v>1554.3863321425481</v>
      </c>
      <c r="M120" s="279">
        <v>1600</v>
      </c>
      <c r="R120" s="278" t="str">
        <f>IF(AND((J120="This"),(L120="Only")),VLOOKUP(G120,#REF!,7,FALSE),"")</f>
        <v/>
      </c>
      <c r="S120" s="278">
        <v>1554.3863321425481</v>
      </c>
    </row>
    <row r="121" spans="1:20" x14ac:dyDescent="0.25">
      <c r="A121" s="278">
        <v>5</v>
      </c>
      <c r="C121" s="278">
        <f t="shared" si="5"/>
        <v>59</v>
      </c>
      <c r="D121" s="278">
        <f t="shared" si="6"/>
        <v>33</v>
      </c>
      <c r="E121" s="278">
        <f t="shared" si="7"/>
        <v>13</v>
      </c>
      <c r="F121" s="278" t="str">
        <f t="shared" si="8"/>
        <v>pm</v>
      </c>
      <c r="G121" s="278" t="s">
        <v>494</v>
      </c>
      <c r="H121" s="278" t="s">
        <v>223</v>
      </c>
      <c r="I121" s="278" t="s">
        <v>495</v>
      </c>
      <c r="K121" s="279">
        <f t="shared" si="9"/>
        <v>1420.2404492297683</v>
      </c>
      <c r="M121" s="279">
        <v>1600</v>
      </c>
      <c r="O121" s="278">
        <v>1496.0605297120387</v>
      </c>
      <c r="R121" s="278" t="str">
        <f>IF(AND((J121="This"),(L121="Only")),VLOOKUP(G121,#REF!,7,FALSE),"")</f>
        <v/>
      </c>
      <c r="T121" s="278">
        <v>1420.2404492297683</v>
      </c>
    </row>
    <row r="122" spans="1:20" x14ac:dyDescent="0.25">
      <c r="A122" s="278">
        <v>2</v>
      </c>
      <c r="C122" s="278">
        <f t="shared" si="5"/>
        <v>60</v>
      </c>
      <c r="D122" s="278">
        <f t="shared" si="6"/>
        <v>33</v>
      </c>
      <c r="E122" s="278">
        <f t="shared" si="7"/>
        <v>13</v>
      </c>
      <c r="F122" s="278" t="str">
        <f t="shared" si="8"/>
        <v>pm</v>
      </c>
      <c r="G122" s="278" t="s">
        <v>496</v>
      </c>
      <c r="H122" s="278" t="s">
        <v>497</v>
      </c>
      <c r="I122" s="278" t="s">
        <v>498</v>
      </c>
      <c r="K122" s="279">
        <f t="shared" si="9"/>
        <v>1510.9636495195373</v>
      </c>
      <c r="M122" s="279">
        <v>1600</v>
      </c>
      <c r="R122" s="278" t="str">
        <f>IF(AND((J122="This"),(L122="Only")),VLOOKUP(G122,#REF!,7,FALSE),"")</f>
        <v/>
      </c>
      <c r="S122" s="278">
        <v>1510.9636495195373</v>
      </c>
    </row>
    <row r="123" spans="1:20" x14ac:dyDescent="0.25">
      <c r="A123" s="278">
        <v>1</v>
      </c>
      <c r="C123" s="278">
        <f t="shared" si="5"/>
        <v>61</v>
      </c>
      <c r="D123" s="278">
        <f t="shared" si="6"/>
        <v>33</v>
      </c>
      <c r="E123" s="278">
        <f t="shared" si="7"/>
        <v>13</v>
      </c>
      <c r="F123" s="278" t="str">
        <f t="shared" si="8"/>
        <v>sox</v>
      </c>
      <c r="G123" s="278" t="s">
        <v>499</v>
      </c>
      <c r="H123" s="278" t="s">
        <v>352</v>
      </c>
      <c r="I123" s="278" t="s">
        <v>500</v>
      </c>
      <c r="K123" s="279">
        <f t="shared" si="9"/>
        <v>1677.9066198304924</v>
      </c>
      <c r="M123" s="279">
        <v>1600</v>
      </c>
      <c r="R123" s="278" t="str">
        <f>IF(AND((J123="This"),(L123="Only")),VLOOKUP(G123,#REF!,7,FALSE),"")</f>
        <v/>
      </c>
      <c r="T123" s="278">
        <v>1677.9066198304924</v>
      </c>
    </row>
    <row r="124" spans="1:20" x14ac:dyDescent="0.25">
      <c r="A124" s="278">
        <v>2</v>
      </c>
      <c r="C124" s="278">
        <f t="shared" si="5"/>
        <v>62</v>
      </c>
      <c r="D124" s="278">
        <f t="shared" si="6"/>
        <v>33</v>
      </c>
      <c r="E124" s="278">
        <f t="shared" si="7"/>
        <v>13</v>
      </c>
      <c r="F124" s="278" t="str">
        <f t="shared" si="8"/>
        <v>so</v>
      </c>
      <c r="G124" s="278" t="s">
        <v>501</v>
      </c>
      <c r="H124" s="278" t="s">
        <v>352</v>
      </c>
      <c r="I124" s="278" t="s">
        <v>502</v>
      </c>
      <c r="K124" s="279">
        <f t="shared" si="9"/>
        <v>1578.5432678949517</v>
      </c>
      <c r="M124" s="279">
        <v>1600</v>
      </c>
      <c r="R124" s="278" t="str">
        <f>IF(AND((J124="This"),(L124="Only")),VLOOKUP(G124,#REF!,7,FALSE),"")</f>
        <v/>
      </c>
      <c r="T124" s="278">
        <v>1578.5432678949517</v>
      </c>
    </row>
    <row r="125" spans="1:20" x14ac:dyDescent="0.25">
      <c r="A125" s="278">
        <v>7</v>
      </c>
      <c r="C125" s="278">
        <f t="shared" si="5"/>
        <v>63</v>
      </c>
      <c r="D125" s="278">
        <f t="shared" si="6"/>
        <v>33</v>
      </c>
      <c r="E125" s="278">
        <f t="shared" si="7"/>
        <v>13</v>
      </c>
      <c r="F125" s="278" t="str">
        <f t="shared" si="8"/>
        <v>pm</v>
      </c>
      <c r="G125" s="278" t="s">
        <v>503</v>
      </c>
      <c r="H125" s="278" t="s">
        <v>318</v>
      </c>
      <c r="I125" s="278" t="s">
        <v>504</v>
      </c>
      <c r="K125" s="279">
        <f t="shared" si="9"/>
        <v>1570.0470154155958</v>
      </c>
      <c r="M125" s="279">
        <v>1600</v>
      </c>
      <c r="O125" s="278">
        <v>1577.4900729060989</v>
      </c>
      <c r="R125" s="278" t="str">
        <f>IF(AND((J125="This"),(L125="Only")),VLOOKUP(G125,#REF!,7,FALSE),"")</f>
        <v/>
      </c>
      <c r="S125" s="278">
        <v>1551.9367302009932</v>
      </c>
      <c r="T125" s="278">
        <v>1570.0470154155958</v>
      </c>
    </row>
    <row r="126" spans="1:20" x14ac:dyDescent="0.25">
      <c r="A126" s="278">
        <v>5</v>
      </c>
      <c r="C126" s="278">
        <f t="shared" si="5"/>
        <v>64</v>
      </c>
      <c r="D126" s="278">
        <f t="shared" si="6"/>
        <v>33</v>
      </c>
      <c r="E126" s="278">
        <f t="shared" si="7"/>
        <v>13</v>
      </c>
      <c r="F126" s="278" t="str">
        <f t="shared" si="8"/>
        <v>pm</v>
      </c>
      <c r="G126" s="278" t="s">
        <v>505</v>
      </c>
      <c r="H126" s="278" t="s">
        <v>232</v>
      </c>
      <c r="I126" s="278" t="s">
        <v>506</v>
      </c>
      <c r="K126" s="279">
        <f t="shared" si="9"/>
        <v>1488.4874647585782</v>
      </c>
      <c r="M126" s="279">
        <v>1600</v>
      </c>
      <c r="R126" s="278" t="str">
        <f>IF(AND((J126="This"),(L126="Only")),VLOOKUP(G126,#REF!,7,FALSE),"")</f>
        <v/>
      </c>
      <c r="S126" s="278">
        <v>1501.4152753915264</v>
      </c>
      <c r="T126" s="278">
        <v>1488.4874647585782</v>
      </c>
    </row>
    <row r="127" spans="1:20" x14ac:dyDescent="0.25">
      <c r="A127" s="278">
        <v>5</v>
      </c>
      <c r="C127" s="278">
        <f t="shared" si="5"/>
        <v>65</v>
      </c>
      <c r="D127" s="278">
        <f t="shared" si="6"/>
        <v>33</v>
      </c>
      <c r="E127" s="278">
        <f t="shared" si="7"/>
        <v>13</v>
      </c>
      <c r="F127" s="278" t="str">
        <f t="shared" si="8"/>
        <v>pm</v>
      </c>
      <c r="G127" s="278" t="s">
        <v>507</v>
      </c>
      <c r="H127" s="278" t="s">
        <v>232</v>
      </c>
      <c r="I127" s="278" t="s">
        <v>508</v>
      </c>
      <c r="K127" s="279">
        <f t="shared" si="9"/>
        <v>1447.3909581757298</v>
      </c>
      <c r="M127" s="279">
        <v>1600</v>
      </c>
      <c r="R127" s="278" t="str">
        <f>IF(AND((J127="This"),(L127="Only")),VLOOKUP(G127,#REF!,7,FALSE),"")</f>
        <v/>
      </c>
      <c r="S127" s="278">
        <v>1526.5577404254093</v>
      </c>
      <c r="T127" s="278">
        <v>1447.3909581757298</v>
      </c>
    </row>
    <row r="128" spans="1:20" x14ac:dyDescent="0.25">
      <c r="A128" s="278">
        <v>3</v>
      </c>
      <c r="C128" s="278">
        <f t="shared" si="5"/>
        <v>66</v>
      </c>
      <c r="D128" s="278">
        <f t="shared" si="6"/>
        <v>33</v>
      </c>
      <c r="E128" s="278">
        <f t="shared" si="7"/>
        <v>13</v>
      </c>
      <c r="F128" s="278" t="str">
        <f t="shared" si="8"/>
        <v>pm</v>
      </c>
      <c r="G128" s="278" t="s">
        <v>509</v>
      </c>
      <c r="H128" s="278" t="s">
        <v>323</v>
      </c>
      <c r="I128" s="278" t="s">
        <v>510</v>
      </c>
      <c r="K128" s="279">
        <f t="shared" si="9"/>
        <v>1672.8922772837741</v>
      </c>
      <c r="M128" s="279">
        <v>1600</v>
      </c>
      <c r="R128" s="278" t="str">
        <f>IF(AND((J128="This"),(L128="Only")),VLOOKUP(G128,#REF!,7,FALSE),"")</f>
        <v/>
      </c>
      <c r="S128" s="278">
        <v>1663.3222275324013</v>
      </c>
      <c r="T128" s="278">
        <v>1672.8922772837741</v>
      </c>
    </row>
    <row r="129" spans="1:21" x14ac:dyDescent="0.25">
      <c r="A129" s="278">
        <v>5</v>
      </c>
      <c r="C129" s="278">
        <f t="shared" si="5"/>
        <v>67</v>
      </c>
      <c r="D129" s="278">
        <f t="shared" si="6"/>
        <v>33</v>
      </c>
      <c r="E129" s="278">
        <f t="shared" si="7"/>
        <v>13</v>
      </c>
      <c r="F129" s="278" t="str">
        <f t="shared" si="8"/>
        <v>pm</v>
      </c>
      <c r="G129" s="278" t="s">
        <v>511</v>
      </c>
      <c r="H129" s="278" t="s">
        <v>512</v>
      </c>
      <c r="I129" s="278" t="s">
        <v>513</v>
      </c>
      <c r="K129" s="279">
        <f t="shared" si="9"/>
        <v>1568.1003447488174</v>
      </c>
      <c r="M129" s="279">
        <v>1600</v>
      </c>
      <c r="R129" s="278" t="str">
        <f>IF(AND((J129="This"),(L129="Only")),VLOOKUP(G129,#REF!,7,FALSE),"")</f>
        <v/>
      </c>
      <c r="S129" s="278">
        <v>1571.3618286035594</v>
      </c>
      <c r="T129" s="278">
        <v>1568.1003447488174</v>
      </c>
    </row>
    <row r="130" spans="1:21" x14ac:dyDescent="0.25">
      <c r="A130" s="278">
        <v>4</v>
      </c>
      <c r="C130" s="278">
        <f t="shared" ref="C130:C193" si="10">IF(E130=E129,C129+1,1)</f>
        <v>68</v>
      </c>
      <c r="D130" s="278">
        <f t="shared" ref="D130:D193" si="11">IF(M130=M129,D129,C130)</f>
        <v>33</v>
      </c>
      <c r="E130" s="278">
        <f t="shared" ref="E130:E193" si="12">10+VALUE(RIGHT(LEFT(G130,3),1))</f>
        <v>13</v>
      </c>
      <c r="F130" s="278" t="str">
        <f t="shared" ref="F130:F193" si="13">RIGHT(G130,2) &amp; IF(A130&lt;2,"x","")</f>
        <v>pm</v>
      </c>
      <c r="G130" s="278" t="s">
        <v>514</v>
      </c>
      <c r="H130" s="278" t="s">
        <v>416</v>
      </c>
      <c r="I130" s="278" t="s">
        <v>515</v>
      </c>
      <c r="K130" s="279">
        <f t="shared" ref="K130:K193" si="14">LOOKUP(1E+100,M130:AC130)</f>
        <v>1696.7395363532391</v>
      </c>
      <c r="M130" s="279">
        <v>1600</v>
      </c>
      <c r="R130" s="278" t="str">
        <f>IF(AND((J130="This"),(L130="Only")),VLOOKUP(G130,#REF!,7,FALSE),"")</f>
        <v/>
      </c>
      <c r="S130" s="278">
        <v>1696.7395363532391</v>
      </c>
    </row>
    <row r="131" spans="1:21" x14ac:dyDescent="0.25">
      <c r="A131" s="278">
        <v>4</v>
      </c>
      <c r="C131" s="278">
        <f t="shared" si="10"/>
        <v>69</v>
      </c>
      <c r="D131" s="278">
        <f t="shared" si="11"/>
        <v>33</v>
      </c>
      <c r="E131" s="278">
        <f t="shared" si="12"/>
        <v>13</v>
      </c>
      <c r="F131" s="278" t="str">
        <f t="shared" si="13"/>
        <v>pm</v>
      </c>
      <c r="G131" s="278" t="s">
        <v>516</v>
      </c>
      <c r="H131" s="278" t="s">
        <v>416</v>
      </c>
      <c r="I131" s="278" t="s">
        <v>517</v>
      </c>
      <c r="K131" s="279">
        <f t="shared" si="14"/>
        <v>1636.6616321677709</v>
      </c>
      <c r="M131" s="279">
        <v>1600</v>
      </c>
      <c r="R131" s="278" t="str">
        <f>IF(AND((J131="This"),(L131="Only")),VLOOKUP(G131,#REF!,7,FALSE),"")</f>
        <v/>
      </c>
      <c r="S131" s="278">
        <v>1636.6616321677709</v>
      </c>
    </row>
    <row r="132" spans="1:21" x14ac:dyDescent="0.25">
      <c r="A132" s="278">
        <v>1</v>
      </c>
      <c r="C132" s="278">
        <f t="shared" si="10"/>
        <v>1</v>
      </c>
      <c r="D132" s="278">
        <f t="shared" si="11"/>
        <v>1</v>
      </c>
      <c r="E132" s="278">
        <f t="shared" si="12"/>
        <v>14</v>
      </c>
      <c r="F132" s="278" t="str">
        <f t="shared" si="13"/>
        <v>sox</v>
      </c>
      <c r="G132" s="278" t="s">
        <v>518</v>
      </c>
      <c r="H132" s="278" t="s">
        <v>519</v>
      </c>
      <c r="I132" s="278" t="s">
        <v>520</v>
      </c>
      <c r="K132" s="279">
        <f t="shared" si="14"/>
        <v>2200</v>
      </c>
      <c r="M132" s="279">
        <v>2200</v>
      </c>
      <c r="R132" s="278" t="str">
        <f>IF(AND((J132="This"),(L132="Only")),VLOOKUP(G132,#REF!,7,FALSE),"")</f>
        <v/>
      </c>
    </row>
    <row r="133" spans="1:21" x14ac:dyDescent="0.25">
      <c r="A133" s="278">
        <v>1</v>
      </c>
      <c r="C133" s="278">
        <f t="shared" si="10"/>
        <v>2</v>
      </c>
      <c r="D133" s="278">
        <f t="shared" si="11"/>
        <v>1</v>
      </c>
      <c r="E133" s="278">
        <f t="shared" si="12"/>
        <v>14</v>
      </c>
      <c r="F133" s="278" t="str">
        <f t="shared" si="13"/>
        <v>sox</v>
      </c>
      <c r="G133" s="278" t="s">
        <v>521</v>
      </c>
      <c r="H133" s="278" t="s">
        <v>244</v>
      </c>
      <c r="I133" s="278" t="s">
        <v>522</v>
      </c>
      <c r="K133" s="279">
        <f t="shared" si="14"/>
        <v>2200</v>
      </c>
      <c r="M133" s="279">
        <v>2200</v>
      </c>
      <c r="R133" s="278" t="str">
        <f>IF(AND((J133="This"),(L133="Only")),VLOOKUP(G133,#REF!,7,FALSE),"")</f>
        <v/>
      </c>
    </row>
    <row r="134" spans="1:21" x14ac:dyDescent="0.25">
      <c r="A134" s="278">
        <v>2</v>
      </c>
      <c r="C134" s="278">
        <f t="shared" si="10"/>
        <v>3</v>
      </c>
      <c r="D134" s="278">
        <f t="shared" si="11"/>
        <v>1</v>
      </c>
      <c r="E134" s="278">
        <f t="shared" si="12"/>
        <v>14</v>
      </c>
      <c r="F134" s="278" t="str">
        <f t="shared" si="13"/>
        <v>cr</v>
      </c>
      <c r="G134" s="278" t="s">
        <v>523</v>
      </c>
      <c r="H134" s="278" t="s">
        <v>229</v>
      </c>
      <c r="I134" s="278" t="s">
        <v>524</v>
      </c>
      <c r="K134" s="279">
        <f t="shared" si="14"/>
        <v>2256.4726642229521</v>
      </c>
      <c r="M134" s="279">
        <v>2200</v>
      </c>
      <c r="P134" s="278">
        <v>2256.4726642229521</v>
      </c>
      <c r="R134" s="278" t="str">
        <f>IF(AND((J134="This"),(L134="Only")),VLOOKUP(G134,#REF!,7,FALSE),"")</f>
        <v/>
      </c>
    </row>
    <row r="135" spans="1:21" x14ac:dyDescent="0.25">
      <c r="A135" s="278">
        <v>2</v>
      </c>
      <c r="C135" s="278">
        <f t="shared" si="10"/>
        <v>4</v>
      </c>
      <c r="D135" s="278">
        <f t="shared" si="11"/>
        <v>1</v>
      </c>
      <c r="E135" s="278">
        <f t="shared" si="12"/>
        <v>14</v>
      </c>
      <c r="F135" s="278" t="str">
        <f t="shared" si="13"/>
        <v>pm</v>
      </c>
      <c r="G135" s="278" t="s">
        <v>525</v>
      </c>
      <c r="H135" s="278" t="s">
        <v>268</v>
      </c>
      <c r="I135" s="278" t="s">
        <v>526</v>
      </c>
      <c r="K135" s="279">
        <f t="shared" si="14"/>
        <v>2242.8082264482937</v>
      </c>
      <c r="M135" s="279">
        <v>2200</v>
      </c>
      <c r="N135" s="278">
        <v>2242.8082264482937</v>
      </c>
      <c r="R135" s="278" t="str">
        <f>IF(AND((J135="This"),(L135="Only")),VLOOKUP(G135,#REF!,7,FALSE),"")</f>
        <v/>
      </c>
    </row>
    <row r="136" spans="1:21" x14ac:dyDescent="0.25">
      <c r="A136" s="278">
        <v>2</v>
      </c>
      <c r="C136" s="278">
        <f t="shared" si="10"/>
        <v>5</v>
      </c>
      <c r="D136" s="278">
        <f t="shared" si="11"/>
        <v>1</v>
      </c>
      <c r="E136" s="278">
        <f t="shared" si="12"/>
        <v>14</v>
      </c>
      <c r="F136" s="278" t="str">
        <f t="shared" si="13"/>
        <v>pm</v>
      </c>
      <c r="G136" s="278" t="s">
        <v>527</v>
      </c>
      <c r="H136" s="278" t="s">
        <v>268</v>
      </c>
      <c r="I136" s="278" t="s">
        <v>528</v>
      </c>
      <c r="K136" s="279">
        <f t="shared" si="14"/>
        <v>2148.0572046490697</v>
      </c>
      <c r="M136" s="279">
        <v>2200</v>
      </c>
      <c r="N136" s="278">
        <v>2148.0572046490697</v>
      </c>
      <c r="R136" s="278" t="str">
        <f>IF(AND((J136="This"),(L136="Only")),VLOOKUP(G136,#REF!,7,FALSE),"")</f>
        <v/>
      </c>
    </row>
    <row r="137" spans="1:21" x14ac:dyDescent="0.25">
      <c r="A137" s="278">
        <v>3</v>
      </c>
      <c r="C137" s="278">
        <f t="shared" si="10"/>
        <v>6</v>
      </c>
      <c r="D137" s="278">
        <f t="shared" si="11"/>
        <v>1</v>
      </c>
      <c r="E137" s="278">
        <f t="shared" si="12"/>
        <v>14</v>
      </c>
      <c r="F137" s="278" t="str">
        <f t="shared" si="13"/>
        <v>pm</v>
      </c>
      <c r="G137" s="278" t="s">
        <v>529</v>
      </c>
      <c r="H137" s="278" t="s">
        <v>217</v>
      </c>
      <c r="I137" s="278" t="s">
        <v>530</v>
      </c>
      <c r="K137" s="279">
        <f t="shared" si="14"/>
        <v>2360.4440637068092</v>
      </c>
      <c r="M137" s="279">
        <v>2200</v>
      </c>
      <c r="N137" s="278">
        <v>2306.5141993458815</v>
      </c>
      <c r="R137" s="278" t="str">
        <f>IF(AND((J137="This"),(L137="Only")),VLOOKUP(G137,#REF!,7,FALSE),"")</f>
        <v/>
      </c>
      <c r="U137" s="278">
        <v>2360.4440637068092</v>
      </c>
    </row>
    <row r="138" spans="1:21" x14ac:dyDescent="0.25">
      <c r="A138" s="278">
        <v>4</v>
      </c>
      <c r="C138" s="278">
        <f t="shared" si="10"/>
        <v>7</v>
      </c>
      <c r="D138" s="278">
        <f t="shared" si="11"/>
        <v>1</v>
      </c>
      <c r="E138" s="278">
        <f t="shared" si="12"/>
        <v>14</v>
      </c>
      <c r="F138" s="278" t="str">
        <f t="shared" si="13"/>
        <v>pm</v>
      </c>
      <c r="G138" s="278" t="s">
        <v>531</v>
      </c>
      <c r="H138" s="278" t="s">
        <v>217</v>
      </c>
      <c r="I138" s="278" t="s">
        <v>532</v>
      </c>
      <c r="K138" s="279">
        <f t="shared" si="14"/>
        <v>2295.955969587601</v>
      </c>
      <c r="M138" s="279">
        <v>2200</v>
      </c>
      <c r="N138" s="278">
        <v>2234.317086556041</v>
      </c>
      <c r="R138" s="278" t="str">
        <f>IF(AND((J138="This"),(L138="Only")),VLOOKUP(G138,#REF!,7,FALSE),"")</f>
        <v/>
      </c>
      <c r="U138" s="278">
        <v>2295.955969587601</v>
      </c>
    </row>
    <row r="139" spans="1:21" x14ac:dyDescent="0.25">
      <c r="A139" s="278">
        <v>4</v>
      </c>
      <c r="C139" s="278">
        <f t="shared" si="10"/>
        <v>8</v>
      </c>
      <c r="D139" s="278">
        <f t="shared" si="11"/>
        <v>1</v>
      </c>
      <c r="E139" s="278">
        <f t="shared" si="12"/>
        <v>14</v>
      </c>
      <c r="F139" s="278" t="str">
        <f t="shared" si="13"/>
        <v>pm</v>
      </c>
      <c r="G139" s="278" t="s">
        <v>533</v>
      </c>
      <c r="H139" s="278" t="s">
        <v>217</v>
      </c>
      <c r="I139" s="278" t="s">
        <v>534</v>
      </c>
      <c r="K139" s="279">
        <f t="shared" si="14"/>
        <v>2148.9859090201348</v>
      </c>
      <c r="M139" s="279">
        <v>2200</v>
      </c>
      <c r="N139" s="278">
        <v>2160.6945874992289</v>
      </c>
      <c r="R139" s="278" t="str">
        <f>IF(AND((J139="This"),(L139="Only")),VLOOKUP(G139,#REF!,7,FALSE),"")</f>
        <v/>
      </c>
      <c r="U139" s="278">
        <v>2148.9859090201348</v>
      </c>
    </row>
    <row r="140" spans="1:21" x14ac:dyDescent="0.25">
      <c r="A140" s="278">
        <v>6</v>
      </c>
      <c r="C140" s="278">
        <f t="shared" si="10"/>
        <v>9</v>
      </c>
      <c r="D140" s="278">
        <f t="shared" si="11"/>
        <v>1</v>
      </c>
      <c r="E140" s="278">
        <f t="shared" si="12"/>
        <v>14</v>
      </c>
      <c r="F140" s="278" t="str">
        <f t="shared" si="13"/>
        <v>pm</v>
      </c>
      <c r="G140" s="278" t="s">
        <v>535</v>
      </c>
      <c r="H140" s="278" t="s">
        <v>284</v>
      </c>
      <c r="I140" s="278" t="s">
        <v>536</v>
      </c>
      <c r="K140" s="279">
        <f t="shared" si="14"/>
        <v>2153.2095704362496</v>
      </c>
      <c r="M140" s="279">
        <v>2200</v>
      </c>
      <c r="N140" s="278">
        <v>2142.6540778770523</v>
      </c>
      <c r="P140" s="278">
        <v>2105.2510909599187</v>
      </c>
      <c r="R140" s="278" t="str">
        <f>IF(AND((J140="This"),(L140="Only")),VLOOKUP(G140,#REF!,7,FALSE),"")</f>
        <v/>
      </c>
      <c r="S140" s="278">
        <v>2097.7644613858624</v>
      </c>
      <c r="U140" s="278">
        <v>2153.2095704362496</v>
      </c>
    </row>
    <row r="141" spans="1:21" x14ac:dyDescent="0.25">
      <c r="A141" s="278">
        <v>2</v>
      </c>
      <c r="C141" s="278">
        <f t="shared" si="10"/>
        <v>10</v>
      </c>
      <c r="D141" s="278">
        <f t="shared" si="11"/>
        <v>1</v>
      </c>
      <c r="E141" s="278">
        <f t="shared" si="12"/>
        <v>14</v>
      </c>
      <c r="F141" s="278" t="str">
        <f t="shared" si="13"/>
        <v>pm</v>
      </c>
      <c r="G141" s="278" t="s">
        <v>537</v>
      </c>
      <c r="H141" s="278" t="s">
        <v>259</v>
      </c>
      <c r="I141" s="278" t="s">
        <v>538</v>
      </c>
      <c r="K141" s="279">
        <f t="shared" si="14"/>
        <v>2335.7533430560889</v>
      </c>
      <c r="M141" s="279">
        <v>2200</v>
      </c>
      <c r="N141" s="278">
        <v>2248.7430591333896</v>
      </c>
      <c r="R141" s="278" t="str">
        <f>IF(AND((J141="This"),(L141="Only")),VLOOKUP(G141,#REF!,7,FALSE),"")</f>
        <v/>
      </c>
      <c r="S141" s="278">
        <v>2335.7533430560889</v>
      </c>
    </row>
    <row r="142" spans="1:21" x14ac:dyDescent="0.25">
      <c r="A142" s="278">
        <v>1</v>
      </c>
      <c r="C142" s="278">
        <f t="shared" si="10"/>
        <v>11</v>
      </c>
      <c r="D142" s="278">
        <f t="shared" si="11"/>
        <v>1</v>
      </c>
      <c r="E142" s="278">
        <f t="shared" si="12"/>
        <v>14</v>
      </c>
      <c r="F142" s="278" t="str">
        <f t="shared" si="13"/>
        <v>pmx</v>
      </c>
      <c r="G142" s="278" t="s">
        <v>539</v>
      </c>
      <c r="H142" s="278" t="s">
        <v>382</v>
      </c>
      <c r="I142" s="278" t="s">
        <v>540</v>
      </c>
      <c r="K142" s="279">
        <f t="shared" si="14"/>
        <v>2249.9246776686837</v>
      </c>
      <c r="M142" s="279">
        <v>2200</v>
      </c>
      <c r="R142" s="278" t="str">
        <f>IF(AND((J142="This"),(L142="Only")),VLOOKUP(G142,#REF!,7,FALSE),"")</f>
        <v/>
      </c>
      <c r="U142" s="278">
        <v>2249.9246776686837</v>
      </c>
    </row>
    <row r="143" spans="1:21" x14ac:dyDescent="0.25">
      <c r="A143" s="278">
        <v>1</v>
      </c>
      <c r="C143" s="278">
        <f t="shared" si="10"/>
        <v>12</v>
      </c>
      <c r="D143" s="278">
        <f t="shared" si="11"/>
        <v>1</v>
      </c>
      <c r="E143" s="278">
        <f t="shared" si="12"/>
        <v>14</v>
      </c>
      <c r="F143" s="278" t="str">
        <f t="shared" si="13"/>
        <v>pmx</v>
      </c>
      <c r="G143" s="278" t="s">
        <v>541</v>
      </c>
      <c r="H143" s="278" t="s">
        <v>382</v>
      </c>
      <c r="I143" s="278" t="s">
        <v>542</v>
      </c>
      <c r="K143" s="279">
        <f t="shared" si="14"/>
        <v>2103.2414788342721</v>
      </c>
      <c r="M143" s="279">
        <v>2200</v>
      </c>
      <c r="R143" s="278" t="str">
        <f>IF(AND((J143="This"),(L143="Only")),VLOOKUP(G143,#REF!,7,FALSE),"")</f>
        <v/>
      </c>
      <c r="U143" s="278">
        <v>2103.2414788342721</v>
      </c>
    </row>
    <row r="144" spans="1:21" x14ac:dyDescent="0.25">
      <c r="A144" s="278">
        <v>1</v>
      </c>
      <c r="C144" s="278">
        <f t="shared" si="10"/>
        <v>13</v>
      </c>
      <c r="D144" s="278">
        <f t="shared" si="11"/>
        <v>1</v>
      </c>
      <c r="E144" s="278">
        <f t="shared" si="12"/>
        <v>14</v>
      </c>
      <c r="F144" s="278" t="str">
        <f t="shared" si="13"/>
        <v>crx</v>
      </c>
      <c r="G144" s="278" t="s">
        <v>543</v>
      </c>
      <c r="H144" s="278" t="s">
        <v>544</v>
      </c>
      <c r="I144" s="278" t="s">
        <v>545</v>
      </c>
      <c r="K144" s="279">
        <f t="shared" si="14"/>
        <v>2200</v>
      </c>
      <c r="M144" s="279">
        <v>2200</v>
      </c>
      <c r="R144" s="278" t="str">
        <f>IF(AND((J144="This"),(L144="Only")),VLOOKUP(G144,#REF!,7,FALSE),"")</f>
        <v/>
      </c>
    </row>
    <row r="145" spans="1:21" x14ac:dyDescent="0.25">
      <c r="A145" s="278">
        <v>1</v>
      </c>
      <c r="C145" s="278">
        <f t="shared" si="10"/>
        <v>14</v>
      </c>
      <c r="D145" s="278">
        <f t="shared" si="11"/>
        <v>1</v>
      </c>
      <c r="E145" s="278">
        <f t="shared" si="12"/>
        <v>14</v>
      </c>
      <c r="F145" s="278" t="str">
        <f t="shared" si="13"/>
        <v>crx</v>
      </c>
      <c r="G145" s="278" t="s">
        <v>546</v>
      </c>
      <c r="H145" s="278" t="s">
        <v>544</v>
      </c>
      <c r="I145" s="278" t="s">
        <v>547</v>
      </c>
      <c r="K145" s="279">
        <f t="shared" si="14"/>
        <v>2200</v>
      </c>
      <c r="M145" s="279">
        <v>2200</v>
      </c>
      <c r="R145" s="278" t="str">
        <f>IF(AND((J145="This"),(L145="Only")),VLOOKUP(G145,#REF!,7,FALSE),"")</f>
        <v/>
      </c>
    </row>
    <row r="146" spans="1:21" x14ac:dyDescent="0.25">
      <c r="A146" s="278">
        <v>4</v>
      </c>
      <c r="C146" s="278">
        <f t="shared" si="10"/>
        <v>15</v>
      </c>
      <c r="D146" s="278">
        <f t="shared" si="11"/>
        <v>1</v>
      </c>
      <c r="E146" s="278">
        <f t="shared" si="12"/>
        <v>14</v>
      </c>
      <c r="F146" s="278" t="str">
        <f t="shared" si="13"/>
        <v>pm</v>
      </c>
      <c r="G146" s="278" t="s">
        <v>548</v>
      </c>
      <c r="H146" s="278" t="s">
        <v>296</v>
      </c>
      <c r="I146" s="278" t="s">
        <v>549</v>
      </c>
      <c r="K146" s="279">
        <f t="shared" si="14"/>
        <v>2174.4435664290072</v>
      </c>
      <c r="M146" s="279">
        <v>2200</v>
      </c>
      <c r="P146" s="278">
        <v>2233.7867329179321</v>
      </c>
      <c r="R146" s="278" t="str">
        <f>IF(AND((J146="This"),(L146="Only")),VLOOKUP(G146,#REF!,7,FALSE),"")</f>
        <v/>
      </c>
      <c r="S146" s="278">
        <v>2194.7898785702087</v>
      </c>
      <c r="U146" s="278">
        <v>2174.4435664290072</v>
      </c>
    </row>
    <row r="147" spans="1:21" x14ac:dyDescent="0.25">
      <c r="A147" s="278">
        <v>6</v>
      </c>
      <c r="C147" s="278">
        <f t="shared" si="10"/>
        <v>16</v>
      </c>
      <c r="D147" s="278">
        <f t="shared" si="11"/>
        <v>1</v>
      </c>
      <c r="E147" s="278">
        <f t="shared" si="12"/>
        <v>14</v>
      </c>
      <c r="F147" s="278" t="str">
        <f t="shared" si="13"/>
        <v>pm</v>
      </c>
      <c r="G147" s="278" t="s">
        <v>550</v>
      </c>
      <c r="H147" s="278" t="s">
        <v>333</v>
      </c>
      <c r="I147" s="278" t="s">
        <v>551</v>
      </c>
      <c r="K147" s="279">
        <f t="shared" si="14"/>
        <v>2276.7378483263374</v>
      </c>
      <c r="M147" s="279">
        <v>2200</v>
      </c>
      <c r="N147" s="278">
        <v>2235.4451064009868</v>
      </c>
      <c r="P147" s="278">
        <v>2278.4614151352116</v>
      </c>
      <c r="R147" s="278" t="str">
        <f>IF(AND((J147="This"),(L147="Only")),VLOOKUP(G147,#REF!,7,FALSE),"")</f>
        <v/>
      </c>
      <c r="S147" s="278">
        <v>2248.6070344959771</v>
      </c>
      <c r="U147" s="278">
        <v>2276.7378483263374</v>
      </c>
    </row>
    <row r="148" spans="1:21" x14ac:dyDescent="0.25">
      <c r="A148" s="278">
        <v>5</v>
      </c>
      <c r="C148" s="278">
        <f t="shared" si="10"/>
        <v>17</v>
      </c>
      <c r="D148" s="278">
        <f t="shared" si="11"/>
        <v>1</v>
      </c>
      <c r="E148" s="278">
        <f t="shared" si="12"/>
        <v>14</v>
      </c>
      <c r="F148" s="278" t="str">
        <f t="shared" si="13"/>
        <v>pm</v>
      </c>
      <c r="G148" s="278" t="s">
        <v>552</v>
      </c>
      <c r="H148" s="278" t="s">
        <v>385</v>
      </c>
      <c r="I148" s="278" t="s">
        <v>553</v>
      </c>
      <c r="K148" s="279">
        <f t="shared" si="14"/>
        <v>2117.4442736423839</v>
      </c>
      <c r="M148" s="279">
        <v>2200</v>
      </c>
      <c r="N148" s="278">
        <v>2158.7277915153195</v>
      </c>
      <c r="R148" s="278" t="str">
        <f>IF(AND((J148="This"),(L148="Only")),VLOOKUP(G148,#REF!,7,FALSE),"")</f>
        <v/>
      </c>
      <c r="U148" s="278">
        <v>2117.4442736423839</v>
      </c>
    </row>
    <row r="149" spans="1:21" x14ac:dyDescent="0.25">
      <c r="A149" s="278">
        <v>2</v>
      </c>
      <c r="C149" s="278">
        <f t="shared" si="10"/>
        <v>18</v>
      </c>
      <c r="D149" s="278">
        <f t="shared" si="11"/>
        <v>1</v>
      </c>
      <c r="E149" s="278">
        <f t="shared" si="12"/>
        <v>14</v>
      </c>
      <c r="F149" s="278" t="str">
        <f t="shared" si="13"/>
        <v>pm</v>
      </c>
      <c r="G149" s="278" t="s">
        <v>554</v>
      </c>
      <c r="H149" s="278" t="s">
        <v>226</v>
      </c>
      <c r="I149" s="278" t="s">
        <v>555</v>
      </c>
      <c r="K149" s="279">
        <f t="shared" si="14"/>
        <v>2234.955109981981</v>
      </c>
      <c r="M149" s="279">
        <v>2200</v>
      </c>
      <c r="R149" s="278" t="str">
        <f>IF(AND((J149="This"),(L149="Only")),VLOOKUP(G149,#REF!,7,FALSE),"")</f>
        <v/>
      </c>
      <c r="S149" s="278">
        <v>2234.955109981981</v>
      </c>
    </row>
    <row r="150" spans="1:21" x14ac:dyDescent="0.25">
      <c r="A150" s="278">
        <v>2</v>
      </c>
      <c r="C150" s="278">
        <f t="shared" si="10"/>
        <v>19</v>
      </c>
      <c r="D150" s="278">
        <f t="shared" si="11"/>
        <v>1</v>
      </c>
      <c r="E150" s="278">
        <f t="shared" si="12"/>
        <v>14</v>
      </c>
      <c r="F150" s="278" t="str">
        <f t="shared" si="13"/>
        <v>pm</v>
      </c>
      <c r="G150" s="278" t="s">
        <v>556</v>
      </c>
      <c r="H150" s="278" t="s">
        <v>226</v>
      </c>
      <c r="I150" s="278" t="s">
        <v>557</v>
      </c>
      <c r="K150" s="279">
        <f t="shared" si="14"/>
        <v>2262.6255966977401</v>
      </c>
      <c r="M150" s="279">
        <v>2200</v>
      </c>
      <c r="R150" s="278" t="str">
        <f>IF(AND((J150="This"),(L150="Only")),VLOOKUP(G150,#REF!,7,FALSE),"")</f>
        <v/>
      </c>
      <c r="S150" s="278">
        <v>2262.6255966977401</v>
      </c>
    </row>
    <row r="151" spans="1:21" x14ac:dyDescent="0.25">
      <c r="A151" s="278">
        <v>2</v>
      </c>
      <c r="C151" s="278">
        <f t="shared" si="10"/>
        <v>20</v>
      </c>
      <c r="D151" s="278">
        <f t="shared" si="11"/>
        <v>1</v>
      </c>
      <c r="E151" s="278">
        <f t="shared" si="12"/>
        <v>14</v>
      </c>
      <c r="F151" s="278" t="str">
        <f t="shared" si="13"/>
        <v>pm</v>
      </c>
      <c r="G151" s="278" t="s">
        <v>558</v>
      </c>
      <c r="H151" s="278" t="s">
        <v>226</v>
      </c>
      <c r="I151" s="278" t="s">
        <v>559</v>
      </c>
      <c r="K151" s="279">
        <f t="shared" si="14"/>
        <v>2200</v>
      </c>
      <c r="M151" s="279">
        <v>2200</v>
      </c>
      <c r="R151" s="278" t="str">
        <f>IF(AND((J151="This"),(L151="Only")),VLOOKUP(G151,#REF!,7,FALSE),"")</f>
        <v/>
      </c>
    </row>
    <row r="152" spans="1:21" x14ac:dyDescent="0.25">
      <c r="A152" s="278">
        <v>1</v>
      </c>
      <c r="C152" s="278">
        <f t="shared" si="10"/>
        <v>21</v>
      </c>
      <c r="D152" s="278">
        <f t="shared" si="11"/>
        <v>1</v>
      </c>
      <c r="E152" s="278">
        <f t="shared" si="12"/>
        <v>14</v>
      </c>
      <c r="F152" s="278" t="str">
        <f t="shared" si="13"/>
        <v>sox</v>
      </c>
      <c r="G152" s="278" t="s">
        <v>560</v>
      </c>
      <c r="H152" s="278" t="s">
        <v>561</v>
      </c>
      <c r="I152" s="278" t="s">
        <v>562</v>
      </c>
      <c r="K152" s="279">
        <f t="shared" si="14"/>
        <v>2163.8222309199368</v>
      </c>
      <c r="M152" s="279">
        <v>2200</v>
      </c>
      <c r="R152" s="278" t="str">
        <f>IF(AND((J152="This"),(L152="Only")),VLOOKUP(G152,#REF!,7,FALSE),"")</f>
        <v/>
      </c>
      <c r="U152" s="278">
        <v>2163.8222309199368</v>
      </c>
    </row>
    <row r="153" spans="1:21" x14ac:dyDescent="0.25">
      <c r="A153" s="278">
        <v>1</v>
      </c>
      <c r="C153" s="278">
        <f t="shared" si="10"/>
        <v>22</v>
      </c>
      <c r="D153" s="278">
        <f t="shared" si="11"/>
        <v>1</v>
      </c>
      <c r="E153" s="278">
        <f t="shared" si="12"/>
        <v>14</v>
      </c>
      <c r="F153" s="278" t="str">
        <f t="shared" si="13"/>
        <v>sox</v>
      </c>
      <c r="G153" s="278" t="s">
        <v>563</v>
      </c>
      <c r="H153" s="278" t="s">
        <v>352</v>
      </c>
      <c r="I153" s="278" t="s">
        <v>564</v>
      </c>
      <c r="K153" s="279">
        <f t="shared" si="14"/>
        <v>2110.2833451779379</v>
      </c>
      <c r="M153" s="279">
        <v>2200</v>
      </c>
      <c r="P153" s="278">
        <v>2110.2833451779379</v>
      </c>
      <c r="R153" s="278" t="str">
        <f>IF(AND((J153="This"),(L153="Only")),VLOOKUP(G153,#REF!,7,FALSE),"")</f>
        <v/>
      </c>
    </row>
    <row r="154" spans="1:21" x14ac:dyDescent="0.25">
      <c r="A154" s="278">
        <v>1</v>
      </c>
      <c r="C154" s="278">
        <f t="shared" si="10"/>
        <v>23</v>
      </c>
      <c r="D154" s="278">
        <f t="shared" si="11"/>
        <v>1</v>
      </c>
      <c r="E154" s="278">
        <f t="shared" si="12"/>
        <v>14</v>
      </c>
      <c r="F154" s="278" t="str">
        <f t="shared" si="13"/>
        <v>odx</v>
      </c>
      <c r="G154" s="278" t="s">
        <v>565</v>
      </c>
      <c r="H154" s="278" t="s">
        <v>566</v>
      </c>
      <c r="I154" s="278" t="s">
        <v>567</v>
      </c>
      <c r="K154" s="279">
        <f t="shared" si="14"/>
        <v>2200</v>
      </c>
      <c r="M154" s="279">
        <v>2200</v>
      </c>
      <c r="R154" s="278" t="str">
        <f>IF(AND((J154="This"),(L154="Only")),VLOOKUP(G154,#REF!,7,FALSE),"")</f>
        <v/>
      </c>
    </row>
    <row r="155" spans="1:21" x14ac:dyDescent="0.25">
      <c r="A155" s="278">
        <v>3</v>
      </c>
      <c r="C155" s="278">
        <f t="shared" si="10"/>
        <v>24</v>
      </c>
      <c r="D155" s="278">
        <f t="shared" si="11"/>
        <v>1</v>
      </c>
      <c r="E155" s="278">
        <f t="shared" si="12"/>
        <v>14</v>
      </c>
      <c r="F155" s="278" t="str">
        <f t="shared" si="13"/>
        <v>pm</v>
      </c>
      <c r="G155" s="278" t="s">
        <v>568</v>
      </c>
      <c r="H155" s="278" t="s">
        <v>434</v>
      </c>
      <c r="I155" s="278" t="s">
        <v>569</v>
      </c>
      <c r="K155" s="279">
        <f t="shared" si="14"/>
        <v>1962.4290924555107</v>
      </c>
      <c r="M155" s="279">
        <v>2200</v>
      </c>
      <c r="N155" s="278">
        <v>2089.6484920282369</v>
      </c>
      <c r="R155" s="278" t="str">
        <f>IF(AND((J155="This"),(L155="Only")),VLOOKUP(G155,#REF!,7,FALSE),"")</f>
        <v/>
      </c>
      <c r="S155" s="278">
        <v>2006.2959936375398</v>
      </c>
      <c r="U155" s="278">
        <v>1962.4290924555107</v>
      </c>
    </row>
    <row r="156" spans="1:21" x14ac:dyDescent="0.25">
      <c r="A156" s="278">
        <v>3</v>
      </c>
      <c r="C156" s="278">
        <f t="shared" si="10"/>
        <v>25</v>
      </c>
      <c r="D156" s="278">
        <f t="shared" si="11"/>
        <v>1</v>
      </c>
      <c r="E156" s="278">
        <f t="shared" si="12"/>
        <v>14</v>
      </c>
      <c r="F156" s="278" t="str">
        <f t="shared" si="13"/>
        <v>pm</v>
      </c>
      <c r="G156" s="278" t="s">
        <v>570</v>
      </c>
      <c r="H156" s="278" t="s">
        <v>315</v>
      </c>
      <c r="I156" s="278" t="s">
        <v>571</v>
      </c>
      <c r="K156" s="279">
        <f t="shared" si="14"/>
        <v>2071.4063032898539</v>
      </c>
      <c r="M156" s="279">
        <v>2200</v>
      </c>
      <c r="P156" s="278">
        <v>2078.3089119158358</v>
      </c>
      <c r="R156" s="278" t="str">
        <f>IF(AND((J156="This"),(L156="Only")),VLOOKUP(G156,#REF!,7,FALSE),"")</f>
        <v/>
      </c>
      <c r="S156" s="278">
        <v>2071.4063032898539</v>
      </c>
    </row>
    <row r="157" spans="1:21" x14ac:dyDescent="0.25">
      <c r="A157" s="278">
        <v>7</v>
      </c>
      <c r="C157" s="278">
        <f t="shared" si="10"/>
        <v>26</v>
      </c>
      <c r="D157" s="278">
        <f t="shared" si="11"/>
        <v>1</v>
      </c>
      <c r="E157" s="278">
        <f t="shared" si="12"/>
        <v>14</v>
      </c>
      <c r="F157" s="278" t="str">
        <f t="shared" si="13"/>
        <v>pm</v>
      </c>
      <c r="G157" s="278" t="s">
        <v>572</v>
      </c>
      <c r="H157" s="278" t="s">
        <v>318</v>
      </c>
      <c r="I157" s="278" t="s">
        <v>573</v>
      </c>
      <c r="K157" s="279">
        <f t="shared" si="14"/>
        <v>2051.882735573779</v>
      </c>
      <c r="M157" s="279">
        <v>2200</v>
      </c>
      <c r="N157" s="278">
        <v>2083.9994997349372</v>
      </c>
      <c r="P157" s="278">
        <v>2109.776316100691</v>
      </c>
      <c r="R157" s="278" t="str">
        <f>IF(AND((J157="This"),(L157="Only")),VLOOKUP(G157,#REF!,7,FALSE),"")</f>
        <v/>
      </c>
      <c r="S157" s="278">
        <v>2072.4598338911765</v>
      </c>
      <c r="U157" s="278">
        <v>2051.882735573779</v>
      </c>
    </row>
    <row r="158" spans="1:21" x14ac:dyDescent="0.25">
      <c r="A158" s="278">
        <v>2</v>
      </c>
      <c r="C158" s="278">
        <f t="shared" si="10"/>
        <v>27</v>
      </c>
      <c r="D158" s="278">
        <f t="shared" si="11"/>
        <v>1</v>
      </c>
      <c r="E158" s="278">
        <f t="shared" si="12"/>
        <v>14</v>
      </c>
      <c r="F158" s="278" t="str">
        <f t="shared" si="13"/>
        <v>pm</v>
      </c>
      <c r="G158" s="278" t="s">
        <v>574</v>
      </c>
      <c r="H158" s="278" t="s">
        <v>232</v>
      </c>
      <c r="I158" s="278" t="s">
        <v>575</v>
      </c>
      <c r="K158" s="279">
        <f t="shared" si="14"/>
        <v>2326.0573699748429</v>
      </c>
      <c r="M158" s="279">
        <v>2200</v>
      </c>
      <c r="R158" s="278" t="str">
        <f>IF(AND((J158="This"),(L158="Only")),VLOOKUP(G158,#REF!,7,FALSE),"")</f>
        <v/>
      </c>
      <c r="U158" s="278">
        <v>2326.0573699748429</v>
      </c>
    </row>
    <row r="159" spans="1:21" x14ac:dyDescent="0.25">
      <c r="A159" s="278">
        <v>4</v>
      </c>
      <c r="C159" s="278">
        <f t="shared" si="10"/>
        <v>28</v>
      </c>
      <c r="D159" s="278">
        <f t="shared" si="11"/>
        <v>1</v>
      </c>
      <c r="E159" s="278">
        <f t="shared" si="12"/>
        <v>14</v>
      </c>
      <c r="F159" s="278" t="str">
        <f t="shared" si="13"/>
        <v>pm</v>
      </c>
      <c r="G159" s="278" t="s">
        <v>576</v>
      </c>
      <c r="H159" s="278" t="s">
        <v>232</v>
      </c>
      <c r="I159" s="278" t="s">
        <v>577</v>
      </c>
      <c r="K159" s="279">
        <f t="shared" si="14"/>
        <v>2163.1779238560807</v>
      </c>
      <c r="M159" s="279">
        <v>2200</v>
      </c>
      <c r="P159" s="278">
        <v>2181.4831126580739</v>
      </c>
      <c r="R159" s="278" t="str">
        <f>IF(AND((J159="This"),(L159="Only")),VLOOKUP(G159,#REF!,7,FALSE),"")</f>
        <v/>
      </c>
      <c r="U159" s="278">
        <v>2163.1779238560807</v>
      </c>
    </row>
    <row r="160" spans="1:21" x14ac:dyDescent="0.25">
      <c r="A160" s="278">
        <v>1</v>
      </c>
      <c r="C160" s="278">
        <f t="shared" si="10"/>
        <v>29</v>
      </c>
      <c r="D160" s="278">
        <f t="shared" si="11"/>
        <v>1</v>
      </c>
      <c r="E160" s="278">
        <f t="shared" si="12"/>
        <v>14</v>
      </c>
      <c r="F160" s="278" t="str">
        <f t="shared" si="13"/>
        <v>crx</v>
      </c>
      <c r="G160" s="278" t="s">
        <v>578</v>
      </c>
      <c r="H160" s="278" t="s">
        <v>403</v>
      </c>
      <c r="I160" s="278" t="s">
        <v>579</v>
      </c>
      <c r="K160" s="279">
        <f t="shared" si="14"/>
        <v>2223.720133126676</v>
      </c>
      <c r="M160" s="279">
        <v>2200</v>
      </c>
      <c r="R160" s="278" t="str">
        <f>IF(AND((J160="This"),(L160="Only")),VLOOKUP(G160,#REF!,7,FALSE),"")</f>
        <v/>
      </c>
      <c r="U160" s="278">
        <v>2223.720133126676</v>
      </c>
    </row>
    <row r="161" spans="1:21" x14ac:dyDescent="0.25">
      <c r="A161" s="278">
        <v>1</v>
      </c>
      <c r="C161" s="278">
        <f t="shared" si="10"/>
        <v>30</v>
      </c>
      <c r="D161" s="278">
        <f t="shared" si="11"/>
        <v>1</v>
      </c>
      <c r="E161" s="278">
        <f t="shared" si="12"/>
        <v>14</v>
      </c>
      <c r="F161" s="278" t="str">
        <f t="shared" si="13"/>
        <v>crx</v>
      </c>
      <c r="G161" s="278" t="s">
        <v>580</v>
      </c>
      <c r="H161" s="278" t="s">
        <v>403</v>
      </c>
      <c r="I161" s="278" t="s">
        <v>581</v>
      </c>
      <c r="K161" s="279">
        <f t="shared" si="14"/>
        <v>2150.1762617273243</v>
      </c>
      <c r="M161" s="279">
        <v>2200</v>
      </c>
      <c r="R161" s="278" t="str">
        <f>IF(AND((J161="This"),(L161="Only")),VLOOKUP(G161,#REF!,7,FALSE),"")</f>
        <v/>
      </c>
      <c r="U161" s="278">
        <v>2150.1762617273243</v>
      </c>
    </row>
    <row r="162" spans="1:21" x14ac:dyDescent="0.25">
      <c r="A162" s="278">
        <v>1</v>
      </c>
      <c r="C162" s="278">
        <f t="shared" si="10"/>
        <v>31</v>
      </c>
      <c r="D162" s="278">
        <f t="shared" si="11"/>
        <v>1</v>
      </c>
      <c r="E162" s="278">
        <f t="shared" si="12"/>
        <v>14</v>
      </c>
      <c r="F162" s="278" t="str">
        <f t="shared" si="13"/>
        <v>pmx</v>
      </c>
      <c r="G162" s="278" t="s">
        <v>582</v>
      </c>
      <c r="H162" s="278" t="s">
        <v>323</v>
      </c>
      <c r="I162" s="278" t="s">
        <v>583</v>
      </c>
      <c r="K162" s="279">
        <f t="shared" si="14"/>
        <v>2205.0583548575696</v>
      </c>
      <c r="M162" s="279">
        <v>2200</v>
      </c>
      <c r="P162" s="278">
        <v>2205.0583548575696</v>
      </c>
      <c r="R162" s="278" t="str">
        <f>IF(AND((J162="This"),(L162="Only")),VLOOKUP(G162,#REF!,7,FALSE),"")</f>
        <v/>
      </c>
    </row>
    <row r="163" spans="1:21" x14ac:dyDescent="0.25">
      <c r="A163" s="278">
        <v>1</v>
      </c>
      <c r="C163" s="278">
        <f t="shared" si="10"/>
        <v>32</v>
      </c>
      <c r="D163" s="278">
        <f t="shared" si="11"/>
        <v>1</v>
      </c>
      <c r="E163" s="278">
        <f t="shared" si="12"/>
        <v>14</v>
      </c>
      <c r="F163" s="278" t="str">
        <f t="shared" si="13"/>
        <v>crx</v>
      </c>
      <c r="G163" s="278" t="s">
        <v>584</v>
      </c>
      <c r="H163" s="278" t="s">
        <v>328</v>
      </c>
      <c r="I163" s="278" t="s">
        <v>585</v>
      </c>
      <c r="K163" s="279">
        <f t="shared" si="14"/>
        <v>2235.9520901444639</v>
      </c>
      <c r="M163" s="279">
        <v>2200</v>
      </c>
      <c r="P163" s="278">
        <v>2235.9520901444639</v>
      </c>
      <c r="R163" s="278" t="str">
        <f>IF(AND((J163="This"),(L163="Only")),VLOOKUP(G163,#REF!,7,FALSE),"")</f>
        <v/>
      </c>
    </row>
    <row r="164" spans="1:21" x14ac:dyDescent="0.25">
      <c r="A164" s="278">
        <v>4</v>
      </c>
      <c r="C164" s="278">
        <f t="shared" si="10"/>
        <v>33</v>
      </c>
      <c r="D164" s="278">
        <f t="shared" si="11"/>
        <v>1</v>
      </c>
      <c r="E164" s="278">
        <f t="shared" si="12"/>
        <v>14</v>
      </c>
      <c r="F164" s="278" t="str">
        <f t="shared" si="13"/>
        <v>pm</v>
      </c>
      <c r="G164" s="278" t="s">
        <v>586</v>
      </c>
      <c r="H164" s="278" t="s">
        <v>587</v>
      </c>
      <c r="I164" s="278" t="s">
        <v>588</v>
      </c>
      <c r="K164" s="279">
        <f t="shared" si="14"/>
        <v>2125.9611979965498</v>
      </c>
      <c r="M164" s="279">
        <v>2200</v>
      </c>
      <c r="N164" s="278">
        <v>2154.4080062376902</v>
      </c>
      <c r="R164" s="278" t="str">
        <f>IF(AND((J164="This"),(L164="Only")),VLOOKUP(G164,#REF!,7,FALSE),"")</f>
        <v/>
      </c>
      <c r="S164" s="278">
        <v>2153.5198214457323</v>
      </c>
      <c r="U164" s="278">
        <v>2125.9611979965498</v>
      </c>
    </row>
    <row r="165" spans="1:21" x14ac:dyDescent="0.25">
      <c r="A165" s="278">
        <v>1</v>
      </c>
      <c r="C165" s="278">
        <f t="shared" si="10"/>
        <v>34</v>
      </c>
      <c r="D165" s="278">
        <f t="shared" si="11"/>
        <v>1</v>
      </c>
      <c r="E165" s="278">
        <f t="shared" si="12"/>
        <v>14</v>
      </c>
      <c r="F165" s="278" t="str">
        <f t="shared" si="13"/>
        <v>pmx</v>
      </c>
      <c r="G165" s="278" t="s">
        <v>589</v>
      </c>
      <c r="H165" s="278" t="s">
        <v>239</v>
      </c>
      <c r="I165" s="278" t="s">
        <v>590</v>
      </c>
      <c r="K165" s="279">
        <f t="shared" si="14"/>
        <v>2200</v>
      </c>
      <c r="M165" s="279">
        <v>2200</v>
      </c>
      <c r="R165" s="278" t="str">
        <f>IF(AND((J165="This"),(L165="Only")),VLOOKUP(G165,#REF!,7,FALSE),"")</f>
        <v/>
      </c>
    </row>
    <row r="166" spans="1:21" x14ac:dyDescent="0.25">
      <c r="A166" s="278">
        <v>3</v>
      </c>
      <c r="C166" s="278">
        <f t="shared" si="10"/>
        <v>35</v>
      </c>
      <c r="D166" s="278">
        <f t="shared" si="11"/>
        <v>1</v>
      </c>
      <c r="E166" s="278">
        <f t="shared" si="12"/>
        <v>14</v>
      </c>
      <c r="F166" s="278" t="str">
        <f t="shared" si="13"/>
        <v>pm</v>
      </c>
      <c r="G166" s="278" t="s">
        <v>591</v>
      </c>
      <c r="H166" s="278" t="s">
        <v>416</v>
      </c>
      <c r="I166" s="278" t="s">
        <v>592</v>
      </c>
      <c r="K166" s="279">
        <f t="shared" si="14"/>
        <v>2240.256748099006</v>
      </c>
      <c r="M166" s="279">
        <v>2200</v>
      </c>
      <c r="P166" s="278">
        <v>2240.256748099006</v>
      </c>
      <c r="R166" s="278" t="str">
        <f>IF(AND((J166="This"),(L166="Only")),VLOOKUP(G166,#REF!,7,FALSE),"")</f>
        <v/>
      </c>
    </row>
    <row r="167" spans="1:21" x14ac:dyDescent="0.25">
      <c r="A167" s="278">
        <v>4</v>
      </c>
      <c r="C167" s="278">
        <f t="shared" si="10"/>
        <v>36</v>
      </c>
      <c r="D167" s="278">
        <f t="shared" si="11"/>
        <v>36</v>
      </c>
      <c r="E167" s="278">
        <f t="shared" si="12"/>
        <v>14</v>
      </c>
      <c r="F167" s="278" t="str">
        <f t="shared" si="13"/>
        <v>pm</v>
      </c>
      <c r="G167" s="278" t="s">
        <v>593</v>
      </c>
      <c r="H167" s="278" t="s">
        <v>252</v>
      </c>
      <c r="I167" s="278" t="s">
        <v>594</v>
      </c>
      <c r="K167" s="279">
        <f t="shared" si="14"/>
        <v>2244.178282513466</v>
      </c>
      <c r="M167" s="279">
        <v>2150</v>
      </c>
      <c r="R167" s="278" t="str">
        <f>IF(AND((J167="This"),(L167="Only")),VLOOKUP(G167,#REF!,7,FALSE),"")</f>
        <v/>
      </c>
      <c r="S167" s="278">
        <v>2244.178282513466</v>
      </c>
    </row>
    <row r="168" spans="1:21" x14ac:dyDescent="0.25">
      <c r="A168" s="278">
        <v>6</v>
      </c>
      <c r="C168" s="278">
        <f t="shared" si="10"/>
        <v>37</v>
      </c>
      <c r="D168" s="278">
        <f t="shared" si="11"/>
        <v>37</v>
      </c>
      <c r="E168" s="278">
        <f t="shared" si="12"/>
        <v>14</v>
      </c>
      <c r="F168" s="278" t="str">
        <f t="shared" si="13"/>
        <v>pm</v>
      </c>
      <c r="G168" s="278" t="s">
        <v>595</v>
      </c>
      <c r="H168" s="278" t="s">
        <v>445</v>
      </c>
      <c r="I168" s="278" t="s">
        <v>596</v>
      </c>
      <c r="K168" s="279">
        <f t="shared" si="14"/>
        <v>1942.5335283191307</v>
      </c>
      <c r="M168" s="279">
        <v>2133.3333333333335</v>
      </c>
      <c r="N168" s="278">
        <v>2016.8195230308613</v>
      </c>
      <c r="R168" s="278" t="str">
        <f>IF(AND((J168="This"),(L168="Only")),VLOOKUP(G168,#REF!,7,FALSE),"")</f>
        <v/>
      </c>
      <c r="S168" s="278">
        <v>1960.2450351185873</v>
      </c>
      <c r="U168" s="278">
        <v>1942.5335283191307</v>
      </c>
    </row>
    <row r="169" spans="1:21" x14ac:dyDescent="0.25">
      <c r="A169" s="278">
        <v>4</v>
      </c>
      <c r="C169" s="278">
        <f t="shared" si="10"/>
        <v>38</v>
      </c>
      <c r="D169" s="278">
        <f t="shared" si="11"/>
        <v>38</v>
      </c>
      <c r="E169" s="278">
        <f t="shared" si="12"/>
        <v>14</v>
      </c>
      <c r="F169" s="278" t="str">
        <f t="shared" si="13"/>
        <v>pm</v>
      </c>
      <c r="G169" s="278" t="s">
        <v>597</v>
      </c>
      <c r="H169" s="278" t="s">
        <v>252</v>
      </c>
      <c r="I169" s="278" t="s">
        <v>598</v>
      </c>
      <c r="K169" s="279">
        <f t="shared" si="14"/>
        <v>1992.6977665424979</v>
      </c>
      <c r="M169" s="279">
        <v>2100</v>
      </c>
      <c r="P169" s="278">
        <v>2027.2781141395997</v>
      </c>
      <c r="R169" s="278" t="str">
        <f>IF(AND((J169="This"),(L169="Only")),VLOOKUP(G169,#REF!,7,FALSE),"")</f>
        <v/>
      </c>
      <c r="S169" s="278">
        <v>1992.6977665424979</v>
      </c>
    </row>
    <row r="170" spans="1:21" x14ac:dyDescent="0.25">
      <c r="A170" s="278">
        <v>3</v>
      </c>
      <c r="C170" s="278">
        <f t="shared" si="10"/>
        <v>39</v>
      </c>
      <c r="D170" s="278">
        <f t="shared" si="11"/>
        <v>39</v>
      </c>
      <c r="E170" s="278">
        <f t="shared" si="12"/>
        <v>14</v>
      </c>
      <c r="F170" s="278" t="str">
        <f t="shared" si="13"/>
        <v>pm</v>
      </c>
      <c r="G170" s="278" t="s">
        <v>599</v>
      </c>
      <c r="H170" s="278" t="s">
        <v>473</v>
      </c>
      <c r="I170" s="278" t="s">
        <v>600</v>
      </c>
      <c r="K170" s="279">
        <f t="shared" si="14"/>
        <v>2224.1169108397717</v>
      </c>
      <c r="M170" s="279">
        <v>2066.6666666666665</v>
      </c>
      <c r="P170" s="278">
        <v>2159.383839052045</v>
      </c>
      <c r="R170" s="278" t="str">
        <f>IF(AND((J170="This"),(L170="Only")),VLOOKUP(G170,#REF!,7,FALSE),"")</f>
        <v/>
      </c>
      <c r="S170" s="278">
        <v>2224.1169108397717</v>
      </c>
    </row>
    <row r="171" spans="1:21" x14ac:dyDescent="0.25">
      <c r="A171" s="278">
        <v>3</v>
      </c>
      <c r="C171" s="278">
        <f t="shared" si="10"/>
        <v>40</v>
      </c>
      <c r="D171" s="278">
        <f t="shared" si="11"/>
        <v>39</v>
      </c>
      <c r="E171" s="278">
        <f t="shared" si="12"/>
        <v>14</v>
      </c>
      <c r="F171" s="278" t="str">
        <f t="shared" si="13"/>
        <v>pm</v>
      </c>
      <c r="G171" s="278" t="s">
        <v>601</v>
      </c>
      <c r="H171" s="278" t="s">
        <v>497</v>
      </c>
      <c r="I171" s="278" t="s">
        <v>602</v>
      </c>
      <c r="K171" s="279">
        <f t="shared" si="14"/>
        <v>2073.7324729018796</v>
      </c>
      <c r="M171" s="279">
        <v>2066.6666666666665</v>
      </c>
      <c r="N171" s="278">
        <v>2073.7324729018796</v>
      </c>
      <c r="R171" s="278" t="str">
        <f>IF(AND((J171="This"),(L171="Only")),VLOOKUP(G171,#REF!,7,FALSE),"")</f>
        <v/>
      </c>
    </row>
    <row r="172" spans="1:21" x14ac:dyDescent="0.25">
      <c r="A172" s="278">
        <v>5</v>
      </c>
      <c r="C172" s="278">
        <f t="shared" si="10"/>
        <v>41</v>
      </c>
      <c r="D172" s="278">
        <f t="shared" si="11"/>
        <v>41</v>
      </c>
      <c r="E172" s="278">
        <f t="shared" si="12"/>
        <v>14</v>
      </c>
      <c r="F172" s="278" t="str">
        <f t="shared" si="13"/>
        <v>pm</v>
      </c>
      <c r="G172" s="278" t="s">
        <v>603</v>
      </c>
      <c r="H172" s="278" t="s">
        <v>604</v>
      </c>
      <c r="I172" s="278" t="s">
        <v>605</v>
      </c>
      <c r="K172" s="279">
        <f t="shared" si="14"/>
        <v>2205.4841047721684</v>
      </c>
      <c r="M172" s="281">
        <v>2120</v>
      </c>
      <c r="O172" s="278">
        <v>2163.8355327864051</v>
      </c>
      <c r="P172" s="278">
        <v>2170.8481480848104</v>
      </c>
      <c r="R172" s="278" t="str">
        <f>IF(AND((J172="This"),(L172="Only")),VLOOKUP(G172,#REF!,7,FALSE),"")</f>
        <v/>
      </c>
      <c r="S172" s="278">
        <v>2193.5433511420206</v>
      </c>
      <c r="U172" s="278">
        <v>2205.4841047721684</v>
      </c>
    </row>
    <row r="173" spans="1:21" x14ac:dyDescent="0.25">
      <c r="A173" s="278">
        <v>5</v>
      </c>
      <c r="C173" s="278">
        <f t="shared" si="10"/>
        <v>42</v>
      </c>
      <c r="D173" s="278">
        <f t="shared" si="11"/>
        <v>42</v>
      </c>
      <c r="E173" s="278">
        <f t="shared" si="12"/>
        <v>14</v>
      </c>
      <c r="F173" s="278" t="str">
        <f t="shared" si="13"/>
        <v>pm</v>
      </c>
      <c r="G173" s="278" t="s">
        <v>606</v>
      </c>
      <c r="H173" s="278" t="s">
        <v>223</v>
      </c>
      <c r="I173" s="278" t="s">
        <v>607</v>
      </c>
      <c r="K173" s="279">
        <f t="shared" si="14"/>
        <v>1865.9020532314012</v>
      </c>
      <c r="M173" s="279">
        <v>1960</v>
      </c>
      <c r="O173" s="278">
        <v>1886.1471271036833</v>
      </c>
      <c r="R173" s="278" t="str">
        <f>IF(AND((J173="This"),(L173="Only")),VLOOKUP(G173,#REF!,7,FALSE),"")</f>
        <v/>
      </c>
      <c r="S173" s="278">
        <v>1865.9020532314012</v>
      </c>
    </row>
    <row r="174" spans="1:21" x14ac:dyDescent="0.25">
      <c r="A174" s="278">
        <v>4</v>
      </c>
      <c r="C174" s="278">
        <f t="shared" si="10"/>
        <v>43</v>
      </c>
      <c r="D174" s="278">
        <f t="shared" si="11"/>
        <v>43</v>
      </c>
      <c r="E174" s="278">
        <f t="shared" si="12"/>
        <v>14</v>
      </c>
      <c r="F174" s="278" t="str">
        <f t="shared" si="13"/>
        <v>pm</v>
      </c>
      <c r="G174" s="278" t="s">
        <v>608</v>
      </c>
      <c r="H174" s="278" t="s">
        <v>609</v>
      </c>
      <c r="I174" s="278" t="s">
        <v>610</v>
      </c>
      <c r="K174" s="279">
        <f t="shared" si="14"/>
        <v>1775.1763729480085</v>
      </c>
      <c r="M174" s="279">
        <v>1900</v>
      </c>
      <c r="O174" s="278">
        <v>1778.9420275432644</v>
      </c>
      <c r="R174" s="278" t="str">
        <f>IF(AND((J174="This"),(L174="Only")),VLOOKUP(G174,#REF!,7,FALSE),"")</f>
        <v/>
      </c>
      <c r="T174" s="278">
        <v>1801.8461220598372</v>
      </c>
      <c r="U174" s="278">
        <v>1775.1763729480085</v>
      </c>
    </row>
    <row r="175" spans="1:21" x14ac:dyDescent="0.25">
      <c r="A175" s="278">
        <v>4</v>
      </c>
      <c r="C175" s="278">
        <f t="shared" si="10"/>
        <v>44</v>
      </c>
      <c r="D175" s="278">
        <f t="shared" si="11"/>
        <v>43</v>
      </c>
      <c r="E175" s="278">
        <f t="shared" si="12"/>
        <v>14</v>
      </c>
      <c r="F175" s="278" t="str">
        <f t="shared" si="13"/>
        <v>pm</v>
      </c>
      <c r="G175" s="278" t="s">
        <v>611</v>
      </c>
      <c r="H175" s="278" t="s">
        <v>587</v>
      </c>
      <c r="I175" s="278" t="s">
        <v>612</v>
      </c>
      <c r="K175" s="279">
        <f t="shared" si="14"/>
        <v>1695.6949666343532</v>
      </c>
      <c r="M175" s="279">
        <v>1900</v>
      </c>
      <c r="O175" s="278">
        <v>1765.0448102640312</v>
      </c>
      <c r="R175" s="278" t="str">
        <f>IF(AND((J175="This"),(L175="Only")),VLOOKUP(G175,#REF!,7,FALSE),"")</f>
        <v/>
      </c>
      <c r="S175" s="278">
        <v>1716.6048936697202</v>
      </c>
      <c r="U175" s="278">
        <v>1695.6949666343532</v>
      </c>
    </row>
    <row r="176" spans="1:21" x14ac:dyDescent="0.25">
      <c r="A176" s="278">
        <v>5</v>
      </c>
      <c r="C176" s="278">
        <f t="shared" si="10"/>
        <v>45</v>
      </c>
      <c r="D176" s="278">
        <f t="shared" si="11"/>
        <v>45</v>
      </c>
      <c r="E176" s="278">
        <f t="shared" si="12"/>
        <v>14</v>
      </c>
      <c r="F176" s="278" t="str">
        <f t="shared" si="13"/>
        <v>pm</v>
      </c>
      <c r="G176" s="278" t="s">
        <v>613</v>
      </c>
      <c r="H176" s="278" t="s">
        <v>604</v>
      </c>
      <c r="I176" s="278" t="s">
        <v>614</v>
      </c>
      <c r="K176" s="279">
        <f t="shared" si="14"/>
        <v>1899.6480727597882</v>
      </c>
      <c r="M176" s="279">
        <v>1800</v>
      </c>
      <c r="O176" s="278">
        <v>1878.114620855217</v>
      </c>
      <c r="R176" s="278" t="str">
        <f>IF(AND((J176="This"),(L176="Only")),VLOOKUP(G176,#REF!,7,FALSE),"")</f>
        <v/>
      </c>
      <c r="T176" s="278">
        <v>1899.6480727597882</v>
      </c>
    </row>
    <row r="177" spans="1:20" x14ac:dyDescent="0.25">
      <c r="A177" s="278">
        <v>3</v>
      </c>
      <c r="C177" s="278">
        <f t="shared" si="10"/>
        <v>46</v>
      </c>
      <c r="D177" s="278">
        <f t="shared" si="11"/>
        <v>45</v>
      </c>
      <c r="E177" s="278">
        <f t="shared" si="12"/>
        <v>14</v>
      </c>
      <c r="F177" s="278" t="str">
        <f t="shared" si="13"/>
        <v>cr</v>
      </c>
      <c r="G177" s="278" t="s">
        <v>615</v>
      </c>
      <c r="H177" s="278" t="s">
        <v>229</v>
      </c>
      <c r="I177" s="278" t="s">
        <v>616</v>
      </c>
      <c r="K177" s="279">
        <f t="shared" si="14"/>
        <v>1805.2356241346474</v>
      </c>
      <c r="M177" s="279">
        <v>1800</v>
      </c>
      <c r="R177" s="278" t="str">
        <f>IF(AND((J177="This"),(L177="Only")),VLOOKUP(G177,#REF!,7,FALSE),"")</f>
        <v/>
      </c>
      <c r="S177" s="278">
        <v>1805.2356241346474</v>
      </c>
    </row>
    <row r="178" spans="1:20" x14ac:dyDescent="0.25">
      <c r="A178" s="278">
        <v>3</v>
      </c>
      <c r="C178" s="278">
        <f t="shared" si="10"/>
        <v>47</v>
      </c>
      <c r="D178" s="278">
        <f t="shared" si="11"/>
        <v>45</v>
      </c>
      <c r="E178" s="278">
        <f t="shared" si="12"/>
        <v>14</v>
      </c>
      <c r="F178" s="278" t="str">
        <f t="shared" si="13"/>
        <v>cr</v>
      </c>
      <c r="G178" s="278" t="s">
        <v>617</v>
      </c>
      <c r="H178" s="278" t="s">
        <v>229</v>
      </c>
      <c r="I178" s="278" t="s">
        <v>618</v>
      </c>
      <c r="K178" s="279">
        <f t="shared" si="14"/>
        <v>1811.1441592697583</v>
      </c>
      <c r="M178" s="279">
        <v>1800</v>
      </c>
      <c r="R178" s="278" t="str">
        <f>IF(AND((J178="This"),(L178="Only")),VLOOKUP(G178,#REF!,7,FALSE),"")</f>
        <v/>
      </c>
      <c r="S178" s="278">
        <v>1811.1441592697583</v>
      </c>
    </row>
    <row r="179" spans="1:20" x14ac:dyDescent="0.25">
      <c r="A179" s="278">
        <v>5</v>
      </c>
      <c r="C179" s="278">
        <f t="shared" si="10"/>
        <v>48</v>
      </c>
      <c r="D179" s="278">
        <f t="shared" si="11"/>
        <v>45</v>
      </c>
      <c r="E179" s="278">
        <f t="shared" si="12"/>
        <v>14</v>
      </c>
      <c r="F179" s="278" t="str">
        <f t="shared" si="13"/>
        <v>pm</v>
      </c>
      <c r="G179" s="278" t="s">
        <v>619</v>
      </c>
      <c r="H179" s="278" t="s">
        <v>620</v>
      </c>
      <c r="I179" s="278" t="s">
        <v>621</v>
      </c>
      <c r="K179" s="279">
        <f t="shared" si="14"/>
        <v>1636.641799015636</v>
      </c>
      <c r="M179" s="279">
        <v>1800</v>
      </c>
      <c r="O179" s="278">
        <v>1721.0245607386446</v>
      </c>
      <c r="R179" s="278" t="str">
        <f>IF(AND((J179="This"),(L179="Only")),VLOOKUP(G179,#REF!,7,FALSE),"")</f>
        <v/>
      </c>
      <c r="S179" s="278">
        <v>1700.0432703271169</v>
      </c>
      <c r="T179" s="278">
        <v>1636.641799015636</v>
      </c>
    </row>
    <row r="180" spans="1:20" x14ac:dyDescent="0.25">
      <c r="A180" s="278">
        <v>1</v>
      </c>
      <c r="C180" s="278">
        <f t="shared" si="10"/>
        <v>49</v>
      </c>
      <c r="D180" s="278">
        <f t="shared" si="11"/>
        <v>45</v>
      </c>
      <c r="E180" s="278">
        <f t="shared" si="12"/>
        <v>14</v>
      </c>
      <c r="F180" s="278" t="str">
        <f t="shared" si="13"/>
        <v>pmx</v>
      </c>
      <c r="G180" s="278" t="s">
        <v>622</v>
      </c>
      <c r="H180" s="278" t="s">
        <v>247</v>
      </c>
      <c r="I180" s="278" t="s">
        <v>623</v>
      </c>
      <c r="K180" s="279">
        <f t="shared" si="14"/>
        <v>1807.3210148453811</v>
      </c>
      <c r="M180" s="279">
        <v>1800</v>
      </c>
      <c r="O180" s="278">
        <v>1807.3210148453811</v>
      </c>
      <c r="R180" s="278" t="str">
        <f>IF(AND((J180="This"),(L180="Only")),VLOOKUP(G180,#REF!,7,FALSE),"")</f>
        <v/>
      </c>
    </row>
    <row r="181" spans="1:20" x14ac:dyDescent="0.25">
      <c r="A181" s="278">
        <v>4</v>
      </c>
      <c r="C181" s="278">
        <f t="shared" si="10"/>
        <v>50</v>
      </c>
      <c r="D181" s="278">
        <f t="shared" si="11"/>
        <v>45</v>
      </c>
      <c r="E181" s="278">
        <f t="shared" si="12"/>
        <v>14</v>
      </c>
      <c r="F181" s="278" t="str">
        <f t="shared" si="13"/>
        <v>pm</v>
      </c>
      <c r="G181" s="278" t="s">
        <v>624</v>
      </c>
      <c r="H181" s="278" t="s">
        <v>268</v>
      </c>
      <c r="I181" s="278" t="s">
        <v>625</v>
      </c>
      <c r="K181" s="279">
        <f t="shared" si="14"/>
        <v>1880.3757698226127</v>
      </c>
      <c r="M181" s="279">
        <v>1800</v>
      </c>
      <c r="O181" s="278">
        <v>1831.4590904430709</v>
      </c>
      <c r="R181" s="278" t="str">
        <f>IF(AND((J181="This"),(L181="Only")),VLOOKUP(G181,#REF!,7,FALSE),"")</f>
        <v/>
      </c>
      <c r="T181" s="278">
        <v>1880.3757698226127</v>
      </c>
    </row>
    <row r="182" spans="1:20" x14ac:dyDescent="0.25">
      <c r="A182" s="278">
        <v>1</v>
      </c>
      <c r="C182" s="278">
        <f t="shared" si="10"/>
        <v>51</v>
      </c>
      <c r="D182" s="278">
        <f t="shared" si="11"/>
        <v>45</v>
      </c>
      <c r="E182" s="278">
        <f t="shared" si="12"/>
        <v>14</v>
      </c>
      <c r="F182" s="278" t="str">
        <f t="shared" si="13"/>
        <v>crx</v>
      </c>
      <c r="G182" s="278" t="s">
        <v>626</v>
      </c>
      <c r="H182" s="278" t="s">
        <v>627</v>
      </c>
      <c r="I182" s="278" t="s">
        <v>628</v>
      </c>
      <c r="K182" s="279">
        <f t="shared" si="14"/>
        <v>1917.7652604016778</v>
      </c>
      <c r="M182" s="279">
        <v>1800</v>
      </c>
      <c r="R182" s="278" t="str">
        <f>IF(AND((J182="This"),(L182="Only")),VLOOKUP(G182,#REF!,7,FALSE),"")</f>
        <v/>
      </c>
      <c r="S182" s="278">
        <v>1917.7652604016778</v>
      </c>
    </row>
    <row r="183" spans="1:20" x14ac:dyDescent="0.25">
      <c r="A183" s="278">
        <v>3</v>
      </c>
      <c r="C183" s="278">
        <f t="shared" si="10"/>
        <v>52</v>
      </c>
      <c r="D183" s="278">
        <f t="shared" si="11"/>
        <v>45</v>
      </c>
      <c r="E183" s="278">
        <f t="shared" si="12"/>
        <v>14</v>
      </c>
      <c r="F183" s="278" t="str">
        <f t="shared" si="13"/>
        <v>pm</v>
      </c>
      <c r="G183" s="278" t="s">
        <v>629</v>
      </c>
      <c r="H183" s="278" t="s">
        <v>217</v>
      </c>
      <c r="I183" s="278" t="s">
        <v>630</v>
      </c>
      <c r="K183" s="279">
        <f t="shared" si="14"/>
        <v>1891.4603047981896</v>
      </c>
      <c r="M183" s="279">
        <v>1800</v>
      </c>
      <c r="O183" s="278">
        <v>1885.5732286269356</v>
      </c>
      <c r="R183" s="278" t="str">
        <f>IF(AND((J183="This"),(L183="Only")),VLOOKUP(G183,#REF!,7,FALSE),"")</f>
        <v/>
      </c>
      <c r="S183" s="278">
        <v>1891.4603047981896</v>
      </c>
    </row>
    <row r="184" spans="1:20" x14ac:dyDescent="0.25">
      <c r="A184" s="278">
        <v>3</v>
      </c>
      <c r="C184" s="278">
        <f t="shared" si="10"/>
        <v>53</v>
      </c>
      <c r="D184" s="278">
        <f t="shared" si="11"/>
        <v>45</v>
      </c>
      <c r="E184" s="278">
        <f t="shared" si="12"/>
        <v>14</v>
      </c>
      <c r="F184" s="278" t="str">
        <f t="shared" si="13"/>
        <v>pm</v>
      </c>
      <c r="G184" s="278" t="s">
        <v>631</v>
      </c>
      <c r="H184" s="278" t="s">
        <v>217</v>
      </c>
      <c r="I184" s="278" t="s">
        <v>632</v>
      </c>
      <c r="K184" s="279">
        <f t="shared" si="14"/>
        <v>1895.4903689374637</v>
      </c>
      <c r="M184" s="279">
        <v>1800</v>
      </c>
      <c r="O184" s="278">
        <v>1897.8835552697344</v>
      </c>
      <c r="R184" s="278" t="str">
        <f>IF(AND((J184="This"),(L184="Only")),VLOOKUP(G184,#REF!,7,FALSE),"")</f>
        <v/>
      </c>
      <c r="S184" s="278">
        <v>1895.4903689374637</v>
      </c>
    </row>
    <row r="185" spans="1:20" x14ac:dyDescent="0.25">
      <c r="A185" s="278">
        <v>3</v>
      </c>
      <c r="C185" s="278">
        <f t="shared" si="10"/>
        <v>54</v>
      </c>
      <c r="D185" s="278">
        <f t="shared" si="11"/>
        <v>45</v>
      </c>
      <c r="E185" s="278">
        <f t="shared" si="12"/>
        <v>14</v>
      </c>
      <c r="F185" s="278" t="str">
        <f t="shared" si="13"/>
        <v>pm</v>
      </c>
      <c r="G185" s="278" t="s">
        <v>633</v>
      </c>
      <c r="H185" s="278" t="s">
        <v>217</v>
      </c>
      <c r="I185" s="278" t="s">
        <v>634</v>
      </c>
      <c r="K185" s="279">
        <f t="shared" si="14"/>
        <v>1828.7521321234813</v>
      </c>
      <c r="M185" s="279">
        <v>1800</v>
      </c>
      <c r="O185" s="278">
        <v>1797.7221920256341</v>
      </c>
      <c r="R185" s="278" t="str">
        <f>IF(AND((J185="This"),(L185="Only")),VLOOKUP(G185,#REF!,7,FALSE),"")</f>
        <v/>
      </c>
      <c r="S185" s="278">
        <v>1828.7521321234813</v>
      </c>
    </row>
    <row r="186" spans="1:20" x14ac:dyDescent="0.25">
      <c r="A186" s="278">
        <v>3</v>
      </c>
      <c r="C186" s="278">
        <f t="shared" si="10"/>
        <v>55</v>
      </c>
      <c r="D186" s="278">
        <f t="shared" si="11"/>
        <v>45</v>
      </c>
      <c r="E186" s="278">
        <f t="shared" si="12"/>
        <v>14</v>
      </c>
      <c r="F186" s="278" t="str">
        <f t="shared" si="13"/>
        <v>pm</v>
      </c>
      <c r="G186" s="278" t="s">
        <v>635</v>
      </c>
      <c r="H186" s="278" t="s">
        <v>217</v>
      </c>
      <c r="I186" s="278" t="s">
        <v>636</v>
      </c>
      <c r="K186" s="279">
        <f t="shared" si="14"/>
        <v>1890.1692768639286</v>
      </c>
      <c r="M186" s="279">
        <v>1800</v>
      </c>
      <c r="R186" s="278" t="str">
        <f>IF(AND((J186="This"),(L186="Only")),VLOOKUP(G186,#REF!,7,FALSE),"")</f>
        <v/>
      </c>
      <c r="S186" s="278">
        <v>1917.047248554828</v>
      </c>
      <c r="T186" s="278">
        <v>1890.1692768639286</v>
      </c>
    </row>
    <row r="187" spans="1:20" x14ac:dyDescent="0.25">
      <c r="A187" s="278">
        <v>6</v>
      </c>
      <c r="C187" s="278">
        <f t="shared" si="10"/>
        <v>56</v>
      </c>
      <c r="D187" s="278">
        <f t="shared" si="11"/>
        <v>45</v>
      </c>
      <c r="E187" s="278">
        <f t="shared" si="12"/>
        <v>14</v>
      </c>
      <c r="F187" s="278" t="str">
        <f t="shared" si="13"/>
        <v>pm</v>
      </c>
      <c r="G187" s="278" t="s">
        <v>637</v>
      </c>
      <c r="H187" s="278" t="s">
        <v>284</v>
      </c>
      <c r="I187" s="278" t="s">
        <v>638</v>
      </c>
      <c r="K187" s="279">
        <f t="shared" si="14"/>
        <v>1907.7374614602916</v>
      </c>
      <c r="M187" s="279">
        <v>1800</v>
      </c>
      <c r="O187" s="278">
        <v>1832.7769050427903</v>
      </c>
      <c r="R187" s="278" t="str">
        <f>IF(AND((J187="This"),(L187="Only")),VLOOKUP(G187,#REF!,7,FALSE),"")</f>
        <v/>
      </c>
      <c r="S187" s="278">
        <v>1858.1436790158755</v>
      </c>
      <c r="T187" s="278">
        <v>1907.7374614602916</v>
      </c>
    </row>
    <row r="188" spans="1:20" x14ac:dyDescent="0.25">
      <c r="A188" s="278">
        <v>1</v>
      </c>
      <c r="C188" s="278">
        <f t="shared" si="10"/>
        <v>57</v>
      </c>
      <c r="D188" s="278">
        <f t="shared" si="11"/>
        <v>45</v>
      </c>
      <c r="E188" s="278">
        <f t="shared" si="12"/>
        <v>14</v>
      </c>
      <c r="F188" s="278" t="str">
        <f t="shared" si="13"/>
        <v>sox</v>
      </c>
      <c r="G188" s="278" t="s">
        <v>639</v>
      </c>
      <c r="H188" s="278" t="s">
        <v>462</v>
      </c>
      <c r="I188" s="278" t="s">
        <v>640</v>
      </c>
      <c r="K188" s="279">
        <f t="shared" si="14"/>
        <v>1800</v>
      </c>
      <c r="M188" s="279">
        <v>1800</v>
      </c>
      <c r="R188" s="278" t="str">
        <f>IF(AND((J188="This"),(L188="Only")),VLOOKUP(G188,#REF!,7,FALSE),"")</f>
        <v/>
      </c>
    </row>
    <row r="189" spans="1:20" x14ac:dyDescent="0.25">
      <c r="A189" s="278">
        <v>2</v>
      </c>
      <c r="C189" s="278">
        <f t="shared" si="10"/>
        <v>58</v>
      </c>
      <c r="D189" s="278">
        <f t="shared" si="11"/>
        <v>45</v>
      </c>
      <c r="E189" s="278">
        <f t="shared" si="12"/>
        <v>14</v>
      </c>
      <c r="F189" s="278" t="str">
        <f t="shared" si="13"/>
        <v>so</v>
      </c>
      <c r="G189" s="278" t="s">
        <v>641</v>
      </c>
      <c r="H189" s="278" t="s">
        <v>462</v>
      </c>
      <c r="I189" s="278" t="s">
        <v>642</v>
      </c>
      <c r="K189" s="279">
        <f t="shared" si="14"/>
        <v>1800</v>
      </c>
      <c r="M189" s="279">
        <v>1800</v>
      </c>
      <c r="R189" s="278" t="str">
        <f>IF(AND((J189="This"),(L189="Only")),VLOOKUP(G189,#REF!,7,FALSE),"")</f>
        <v/>
      </c>
    </row>
    <row r="190" spans="1:20" x14ac:dyDescent="0.25">
      <c r="A190" s="278">
        <v>5</v>
      </c>
      <c r="C190" s="278">
        <f t="shared" si="10"/>
        <v>59</v>
      </c>
      <c r="D190" s="278">
        <f t="shared" si="11"/>
        <v>45</v>
      </c>
      <c r="E190" s="278">
        <f t="shared" si="12"/>
        <v>14</v>
      </c>
      <c r="F190" s="278" t="str">
        <f t="shared" si="13"/>
        <v>pm</v>
      </c>
      <c r="G190" s="278" t="s">
        <v>643</v>
      </c>
      <c r="H190" s="278" t="s">
        <v>287</v>
      </c>
      <c r="I190" s="278" t="s">
        <v>644</v>
      </c>
      <c r="K190" s="279">
        <f t="shared" si="14"/>
        <v>1925.0434236172341</v>
      </c>
      <c r="M190" s="279">
        <v>1800</v>
      </c>
      <c r="O190" s="278">
        <v>1913.6326230156692</v>
      </c>
      <c r="R190" s="278" t="str">
        <f>IF(AND((J190="This"),(L190="Only")),VLOOKUP(G190,#REF!,7,FALSE),"")</f>
        <v/>
      </c>
      <c r="S190" s="278">
        <v>1925.0434236172341</v>
      </c>
    </row>
    <row r="191" spans="1:20" x14ac:dyDescent="0.25">
      <c r="A191" s="278">
        <v>2</v>
      </c>
      <c r="C191" s="278">
        <f t="shared" si="10"/>
        <v>60</v>
      </c>
      <c r="D191" s="278">
        <f t="shared" si="11"/>
        <v>45</v>
      </c>
      <c r="E191" s="278">
        <f t="shared" si="12"/>
        <v>14</v>
      </c>
      <c r="F191" s="278" t="str">
        <f t="shared" si="13"/>
        <v>pm</v>
      </c>
      <c r="G191" s="278" t="s">
        <v>645</v>
      </c>
      <c r="H191" s="278" t="s">
        <v>252</v>
      </c>
      <c r="I191" s="278" t="s">
        <v>646</v>
      </c>
      <c r="K191" s="279">
        <f t="shared" si="14"/>
        <v>1606.0897183893037</v>
      </c>
      <c r="M191" s="279">
        <v>1800</v>
      </c>
      <c r="R191" s="278" t="str">
        <f>IF(AND((J191="This"),(L191="Only")),VLOOKUP(G191,#REF!,7,FALSE),"")</f>
        <v/>
      </c>
      <c r="S191" s="278">
        <v>1687.89017886652</v>
      </c>
      <c r="T191" s="278">
        <v>1606.0897183893037</v>
      </c>
    </row>
    <row r="192" spans="1:20" x14ac:dyDescent="0.25">
      <c r="A192" s="278">
        <v>4</v>
      </c>
      <c r="C192" s="278">
        <f t="shared" si="10"/>
        <v>61</v>
      </c>
      <c r="D192" s="278">
        <f t="shared" si="11"/>
        <v>45</v>
      </c>
      <c r="E192" s="278">
        <f t="shared" si="12"/>
        <v>14</v>
      </c>
      <c r="F192" s="278" t="str">
        <f t="shared" si="13"/>
        <v>pm</v>
      </c>
      <c r="G192" s="278" t="s">
        <v>647</v>
      </c>
      <c r="H192" s="278" t="s">
        <v>296</v>
      </c>
      <c r="I192" s="278" t="s">
        <v>648</v>
      </c>
      <c r="K192" s="279">
        <f t="shared" si="14"/>
        <v>1681.5214943555018</v>
      </c>
      <c r="M192" s="279">
        <v>1800</v>
      </c>
      <c r="R192" s="278" t="str">
        <f>IF(AND((J192="This"),(L192="Only")),VLOOKUP(G192,#REF!,7,FALSE),"")</f>
        <v/>
      </c>
      <c r="S192" s="278">
        <v>1706.6302599197058</v>
      </c>
      <c r="T192" s="278">
        <v>1681.5214943555018</v>
      </c>
    </row>
    <row r="193" spans="1:20" x14ac:dyDescent="0.25">
      <c r="A193" s="278">
        <v>6</v>
      </c>
      <c r="C193" s="278">
        <f t="shared" si="10"/>
        <v>62</v>
      </c>
      <c r="D193" s="278">
        <f t="shared" si="11"/>
        <v>45</v>
      </c>
      <c r="E193" s="278">
        <f t="shared" si="12"/>
        <v>14</v>
      </c>
      <c r="F193" s="278" t="str">
        <f t="shared" si="13"/>
        <v>pm</v>
      </c>
      <c r="G193" s="278" t="s">
        <v>649</v>
      </c>
      <c r="H193" s="278" t="s">
        <v>333</v>
      </c>
      <c r="I193" s="278" t="s">
        <v>650</v>
      </c>
      <c r="K193" s="279">
        <f t="shared" si="14"/>
        <v>1800.3848611781038</v>
      </c>
      <c r="M193" s="279">
        <v>1800</v>
      </c>
      <c r="O193" s="278">
        <v>1779.977065877883</v>
      </c>
      <c r="R193" s="278" t="str">
        <f>IF(AND((J193="This"),(L193="Only")),VLOOKUP(G193,#REF!,7,FALSE),"")</f>
        <v/>
      </c>
      <c r="S193" s="278">
        <v>1830.0095482937588</v>
      </c>
      <c r="T193" s="278">
        <v>1800.3848611781038</v>
      </c>
    </row>
    <row r="194" spans="1:20" x14ac:dyDescent="0.25">
      <c r="A194" s="278">
        <v>2</v>
      </c>
      <c r="C194" s="278">
        <f t="shared" ref="C194:C257" si="15">IF(E194=E193,C193+1,1)</f>
        <v>63</v>
      </c>
      <c r="D194" s="278">
        <f t="shared" ref="D194:D257" si="16">IF(M194=M193,D193,C194)</f>
        <v>45</v>
      </c>
      <c r="E194" s="278">
        <f t="shared" ref="E194:E257" si="17">10+VALUE(RIGHT(LEFT(G194,3),1))</f>
        <v>14</v>
      </c>
      <c r="F194" s="278" t="str">
        <f t="shared" ref="F194:F257" si="18">RIGHT(G194,2) &amp; IF(A194&lt;2,"x","")</f>
        <v>cr</v>
      </c>
      <c r="G194" s="278" t="s">
        <v>651</v>
      </c>
      <c r="H194" s="278" t="s">
        <v>304</v>
      </c>
      <c r="I194" s="278" t="s">
        <v>652</v>
      </c>
      <c r="K194" s="279">
        <f t="shared" ref="K194:K257" si="19">LOOKUP(1E+100,M194:AC194)</f>
        <v>1932.2992373846746</v>
      </c>
      <c r="M194" s="279">
        <v>1800</v>
      </c>
      <c r="R194" s="278" t="str">
        <f>IF(AND((J194="This"),(L194="Only")),VLOOKUP(G194,#REF!,7,FALSE),"")</f>
        <v/>
      </c>
      <c r="T194" s="278">
        <v>1932.2992373846746</v>
      </c>
    </row>
    <row r="195" spans="1:20" x14ac:dyDescent="0.25">
      <c r="A195" s="278">
        <v>2</v>
      </c>
      <c r="C195" s="278">
        <f t="shared" si="15"/>
        <v>64</v>
      </c>
      <c r="D195" s="278">
        <f t="shared" si="16"/>
        <v>45</v>
      </c>
      <c r="E195" s="278">
        <f t="shared" si="17"/>
        <v>14</v>
      </c>
      <c r="F195" s="278" t="str">
        <f t="shared" si="18"/>
        <v>pm</v>
      </c>
      <c r="G195" s="278" t="s">
        <v>653</v>
      </c>
      <c r="H195" s="278" t="s">
        <v>226</v>
      </c>
      <c r="I195" s="278" t="s">
        <v>654</v>
      </c>
      <c r="K195" s="279">
        <f t="shared" si="19"/>
        <v>1800</v>
      </c>
      <c r="M195" s="279">
        <v>1800</v>
      </c>
      <c r="R195" s="278" t="str">
        <f>IF(AND((J195="This"),(L195="Only")),VLOOKUP(G195,#REF!,7,FALSE),"")</f>
        <v/>
      </c>
    </row>
    <row r="196" spans="1:20" x14ac:dyDescent="0.25">
      <c r="A196" s="278">
        <v>2</v>
      </c>
      <c r="C196" s="278">
        <f t="shared" si="15"/>
        <v>65</v>
      </c>
      <c r="D196" s="278">
        <f t="shared" si="16"/>
        <v>45</v>
      </c>
      <c r="E196" s="278">
        <f t="shared" si="17"/>
        <v>14</v>
      </c>
      <c r="F196" s="278" t="str">
        <f t="shared" si="18"/>
        <v>pm</v>
      </c>
      <c r="G196" s="278" t="s">
        <v>655</v>
      </c>
      <c r="H196" s="278" t="s">
        <v>226</v>
      </c>
      <c r="I196" s="278" t="s">
        <v>656</v>
      </c>
      <c r="K196" s="279">
        <f t="shared" si="19"/>
        <v>1800</v>
      </c>
      <c r="M196" s="279">
        <v>1800</v>
      </c>
      <c r="R196" s="278" t="str">
        <f>IF(AND((J196="This"),(L196="Only")),VLOOKUP(G196,#REF!,7,FALSE),"")</f>
        <v/>
      </c>
    </row>
    <row r="197" spans="1:20" x14ac:dyDescent="0.25">
      <c r="A197" s="278">
        <v>2</v>
      </c>
      <c r="C197" s="278">
        <f t="shared" si="15"/>
        <v>66</v>
      </c>
      <c r="D197" s="278">
        <f t="shared" si="16"/>
        <v>45</v>
      </c>
      <c r="E197" s="278">
        <f t="shared" si="17"/>
        <v>14</v>
      </c>
      <c r="F197" s="278" t="str">
        <f t="shared" si="18"/>
        <v>pm</v>
      </c>
      <c r="G197" s="278" t="s">
        <v>657</v>
      </c>
      <c r="H197" s="278" t="s">
        <v>226</v>
      </c>
      <c r="I197" s="278" t="s">
        <v>658</v>
      </c>
      <c r="K197" s="279">
        <f t="shared" si="19"/>
        <v>1800</v>
      </c>
      <c r="M197" s="279">
        <v>1800</v>
      </c>
      <c r="R197" s="278" t="str">
        <f>IF(AND((J197="This"),(L197="Only")),VLOOKUP(G197,#REF!,7,FALSE),"")</f>
        <v/>
      </c>
    </row>
    <row r="198" spans="1:20" x14ac:dyDescent="0.25">
      <c r="A198" s="278">
        <v>2</v>
      </c>
      <c r="C198" s="278">
        <f t="shared" si="15"/>
        <v>67</v>
      </c>
      <c r="D198" s="278">
        <f t="shared" si="16"/>
        <v>45</v>
      </c>
      <c r="E198" s="278">
        <f t="shared" si="17"/>
        <v>14</v>
      </c>
      <c r="F198" s="278" t="str">
        <f t="shared" si="18"/>
        <v>pm</v>
      </c>
      <c r="G198" s="278" t="s">
        <v>659</v>
      </c>
      <c r="H198" s="278" t="s">
        <v>226</v>
      </c>
      <c r="I198" s="278" t="s">
        <v>660</v>
      </c>
      <c r="K198" s="279">
        <f t="shared" si="19"/>
        <v>1800</v>
      </c>
      <c r="M198" s="279">
        <v>1800</v>
      </c>
      <c r="R198" s="278" t="str">
        <f>IF(AND((J198="This"),(L198="Only")),VLOOKUP(G198,#REF!,7,FALSE),"")</f>
        <v/>
      </c>
    </row>
    <row r="199" spans="1:20" x14ac:dyDescent="0.25">
      <c r="A199" s="278">
        <v>2</v>
      </c>
      <c r="C199" s="278">
        <f t="shared" si="15"/>
        <v>68</v>
      </c>
      <c r="D199" s="278">
        <f t="shared" si="16"/>
        <v>45</v>
      </c>
      <c r="E199" s="278">
        <f t="shared" si="17"/>
        <v>14</v>
      </c>
      <c r="F199" s="278" t="str">
        <f t="shared" si="18"/>
        <v>pm</v>
      </c>
      <c r="G199" s="278" t="s">
        <v>661</v>
      </c>
      <c r="H199" s="278" t="s">
        <v>226</v>
      </c>
      <c r="I199" s="278" t="s">
        <v>662</v>
      </c>
      <c r="K199" s="279">
        <f t="shared" si="19"/>
        <v>1800</v>
      </c>
      <c r="M199" s="279">
        <v>1800</v>
      </c>
      <c r="R199" s="278" t="str">
        <f>IF(AND((J199="This"),(L199="Only")),VLOOKUP(G199,#REF!,7,FALSE),"")</f>
        <v/>
      </c>
    </row>
    <row r="200" spans="1:20" x14ac:dyDescent="0.25">
      <c r="A200" s="278">
        <v>2</v>
      </c>
      <c r="C200" s="278">
        <f t="shared" si="15"/>
        <v>69</v>
      </c>
      <c r="D200" s="278">
        <f t="shared" si="16"/>
        <v>45</v>
      </c>
      <c r="E200" s="278">
        <f t="shared" si="17"/>
        <v>14</v>
      </c>
      <c r="F200" s="278" t="str">
        <f t="shared" si="18"/>
        <v>pm</v>
      </c>
      <c r="G200" s="278" t="s">
        <v>663</v>
      </c>
      <c r="H200" s="278" t="s">
        <v>226</v>
      </c>
      <c r="I200" s="278" t="s">
        <v>664</v>
      </c>
      <c r="K200" s="279">
        <f t="shared" si="19"/>
        <v>1800</v>
      </c>
      <c r="M200" s="279">
        <v>1800</v>
      </c>
      <c r="R200" s="278" t="str">
        <f>IF(AND((J200="This"),(L200="Only")),VLOOKUP(G200,#REF!,7,FALSE),"")</f>
        <v/>
      </c>
    </row>
    <row r="201" spans="1:20" x14ac:dyDescent="0.25">
      <c r="A201" s="278">
        <v>3</v>
      </c>
      <c r="C201" s="278">
        <f t="shared" si="15"/>
        <v>70</v>
      </c>
      <c r="D201" s="278">
        <f t="shared" si="16"/>
        <v>45</v>
      </c>
      <c r="E201" s="278">
        <f t="shared" si="17"/>
        <v>14</v>
      </c>
      <c r="F201" s="278" t="str">
        <f t="shared" si="18"/>
        <v>pm</v>
      </c>
      <c r="G201" s="278" t="s">
        <v>665</v>
      </c>
      <c r="H201" s="278" t="s">
        <v>609</v>
      </c>
      <c r="I201" s="278" t="s">
        <v>666</v>
      </c>
      <c r="K201" s="279">
        <f t="shared" si="19"/>
        <v>1625.5722405667989</v>
      </c>
      <c r="M201" s="279">
        <v>1800</v>
      </c>
      <c r="O201" s="278">
        <v>1756.3448786492454</v>
      </c>
      <c r="R201" s="278" t="str">
        <f>IF(AND((J201="This"),(L201="Only")),VLOOKUP(G201,#REF!,7,FALSE),"")</f>
        <v/>
      </c>
      <c r="T201" s="278">
        <v>1625.5722405667989</v>
      </c>
    </row>
    <row r="202" spans="1:20" x14ac:dyDescent="0.25">
      <c r="A202" s="278">
        <v>1</v>
      </c>
      <c r="C202" s="278">
        <f t="shared" si="15"/>
        <v>71</v>
      </c>
      <c r="D202" s="278">
        <f t="shared" si="16"/>
        <v>45</v>
      </c>
      <c r="E202" s="278">
        <f t="shared" si="17"/>
        <v>14</v>
      </c>
      <c r="F202" s="278" t="str">
        <f t="shared" si="18"/>
        <v>sox</v>
      </c>
      <c r="G202" s="278" t="s">
        <v>667</v>
      </c>
      <c r="H202" s="278" t="s">
        <v>352</v>
      </c>
      <c r="I202" s="278" t="s">
        <v>668</v>
      </c>
      <c r="K202" s="279">
        <f t="shared" si="19"/>
        <v>1800</v>
      </c>
      <c r="M202" s="279">
        <v>1800</v>
      </c>
      <c r="R202" s="278" t="str">
        <f>IF(AND((J202="This"),(L202="Only")),VLOOKUP(G202,#REF!,7,FALSE),"")</f>
        <v/>
      </c>
    </row>
    <row r="203" spans="1:20" x14ac:dyDescent="0.25">
      <c r="A203" s="278">
        <v>4</v>
      </c>
      <c r="C203" s="278">
        <f t="shared" si="15"/>
        <v>72</v>
      </c>
      <c r="D203" s="278">
        <f t="shared" si="16"/>
        <v>45</v>
      </c>
      <c r="E203" s="278">
        <f t="shared" si="17"/>
        <v>14</v>
      </c>
      <c r="F203" s="278" t="str">
        <f t="shared" si="18"/>
        <v>pm</v>
      </c>
      <c r="G203" s="278" t="s">
        <v>669</v>
      </c>
      <c r="H203" s="278" t="s">
        <v>315</v>
      </c>
      <c r="I203" s="278" t="s">
        <v>670</v>
      </c>
      <c r="K203" s="279">
        <f t="shared" si="19"/>
        <v>1706.7949714909773</v>
      </c>
      <c r="M203" s="279">
        <v>1800</v>
      </c>
      <c r="O203" s="278">
        <v>1783.7626751486391</v>
      </c>
      <c r="R203" s="278" t="str">
        <f>IF(AND((J203="This"),(L203="Only")),VLOOKUP(G203,#REF!,7,FALSE),"")</f>
        <v/>
      </c>
      <c r="T203" s="278">
        <v>1706.7949714909773</v>
      </c>
    </row>
    <row r="204" spans="1:20" x14ac:dyDescent="0.25">
      <c r="A204" s="278">
        <v>7</v>
      </c>
      <c r="C204" s="278">
        <f t="shared" si="15"/>
        <v>73</v>
      </c>
      <c r="D204" s="278">
        <f t="shared" si="16"/>
        <v>45</v>
      </c>
      <c r="E204" s="278">
        <f t="shared" si="17"/>
        <v>14</v>
      </c>
      <c r="F204" s="278" t="str">
        <f t="shared" si="18"/>
        <v>pm</v>
      </c>
      <c r="G204" s="278" t="s">
        <v>671</v>
      </c>
      <c r="H204" s="278" t="s">
        <v>318</v>
      </c>
      <c r="I204" s="278" t="s">
        <v>672</v>
      </c>
      <c r="K204" s="279">
        <f t="shared" si="19"/>
        <v>1697.8792064296672</v>
      </c>
      <c r="M204" s="279">
        <v>1800</v>
      </c>
      <c r="O204" s="278">
        <v>1721.8318533664537</v>
      </c>
      <c r="R204" s="278" t="str">
        <f>IF(AND((J204="This"),(L204="Only")),VLOOKUP(G204,#REF!,7,FALSE),"")</f>
        <v/>
      </c>
      <c r="S204" s="278">
        <v>1690.476591806912</v>
      </c>
      <c r="T204" s="278">
        <v>1697.8792064296672</v>
      </c>
    </row>
    <row r="205" spans="1:20" x14ac:dyDescent="0.25">
      <c r="A205" s="278">
        <v>5</v>
      </c>
      <c r="C205" s="278">
        <f t="shared" si="15"/>
        <v>74</v>
      </c>
      <c r="D205" s="278">
        <f t="shared" si="16"/>
        <v>45</v>
      </c>
      <c r="E205" s="278">
        <f t="shared" si="17"/>
        <v>14</v>
      </c>
      <c r="F205" s="278" t="str">
        <f t="shared" si="18"/>
        <v>pm</v>
      </c>
      <c r="G205" s="278" t="s">
        <v>673</v>
      </c>
      <c r="H205" s="278" t="s">
        <v>232</v>
      </c>
      <c r="I205" s="278" t="s">
        <v>674</v>
      </c>
      <c r="K205" s="279">
        <f t="shared" si="19"/>
        <v>1651.4456963857826</v>
      </c>
      <c r="M205" s="279">
        <v>1800</v>
      </c>
      <c r="R205" s="278" t="str">
        <f>IF(AND((J205="This"),(L205="Only")),VLOOKUP(G205,#REF!,7,FALSE),"")</f>
        <v/>
      </c>
      <c r="S205" s="278">
        <v>1704.9165570856503</v>
      </c>
      <c r="T205" s="278">
        <v>1651.4456963857826</v>
      </c>
    </row>
    <row r="206" spans="1:20" x14ac:dyDescent="0.25">
      <c r="A206" s="278">
        <v>5</v>
      </c>
      <c r="C206" s="278">
        <f t="shared" si="15"/>
        <v>75</v>
      </c>
      <c r="D206" s="278">
        <f t="shared" si="16"/>
        <v>45</v>
      </c>
      <c r="E206" s="278">
        <f t="shared" si="17"/>
        <v>14</v>
      </c>
      <c r="F206" s="278" t="str">
        <f t="shared" si="18"/>
        <v>pm</v>
      </c>
      <c r="G206" s="278" t="s">
        <v>675</v>
      </c>
      <c r="H206" s="278" t="s">
        <v>232</v>
      </c>
      <c r="I206" s="278" t="s">
        <v>676</v>
      </c>
      <c r="K206" s="279">
        <f t="shared" si="19"/>
        <v>1684.852427864196</v>
      </c>
      <c r="M206" s="279">
        <v>1800</v>
      </c>
      <c r="R206" s="278" t="str">
        <f>IF(AND((J206="This"),(L206="Only")),VLOOKUP(G206,#REF!,7,FALSE),"")</f>
        <v/>
      </c>
      <c r="S206" s="278">
        <v>1728.9414825506315</v>
      </c>
      <c r="T206" s="278">
        <v>1684.852427864196</v>
      </c>
    </row>
    <row r="207" spans="1:20" x14ac:dyDescent="0.25">
      <c r="A207" s="278">
        <v>1</v>
      </c>
      <c r="C207" s="278">
        <f t="shared" si="15"/>
        <v>76</v>
      </c>
      <c r="D207" s="278">
        <f t="shared" si="16"/>
        <v>45</v>
      </c>
      <c r="E207" s="278">
        <f t="shared" si="17"/>
        <v>14</v>
      </c>
      <c r="F207" s="278" t="str">
        <f t="shared" si="18"/>
        <v>crx</v>
      </c>
      <c r="G207" s="278" t="s">
        <v>677</v>
      </c>
      <c r="H207" s="278" t="s">
        <v>678</v>
      </c>
      <c r="I207" s="278" t="s">
        <v>678</v>
      </c>
      <c r="K207" s="279">
        <f t="shared" si="19"/>
        <v>1871.6837848905743</v>
      </c>
      <c r="M207" s="279">
        <v>1800</v>
      </c>
      <c r="R207" s="278" t="str">
        <f>IF(AND((J207="This"),(L207="Only")),VLOOKUP(G207,#REF!,7,FALSE),"")</f>
        <v/>
      </c>
      <c r="T207" s="278">
        <v>1871.6837848905743</v>
      </c>
    </row>
    <row r="208" spans="1:20" x14ac:dyDescent="0.25">
      <c r="A208" s="278">
        <v>1</v>
      </c>
      <c r="C208" s="278">
        <f t="shared" si="15"/>
        <v>77</v>
      </c>
      <c r="D208" s="278">
        <f t="shared" si="16"/>
        <v>45</v>
      </c>
      <c r="E208" s="278">
        <f t="shared" si="17"/>
        <v>14</v>
      </c>
      <c r="F208" s="278" t="str">
        <f t="shared" si="18"/>
        <v>crx</v>
      </c>
      <c r="G208" s="278" t="s">
        <v>679</v>
      </c>
      <c r="H208" s="278" t="s">
        <v>680</v>
      </c>
      <c r="I208" s="278" t="s">
        <v>681</v>
      </c>
      <c r="K208" s="279">
        <f t="shared" si="19"/>
        <v>1800</v>
      </c>
      <c r="M208" s="279">
        <v>1800</v>
      </c>
      <c r="R208" s="278" t="str">
        <f>IF(AND((J208="This"),(L208="Only")),VLOOKUP(G208,#REF!,7,FALSE),"")</f>
        <v/>
      </c>
    </row>
    <row r="209" spans="1:21" x14ac:dyDescent="0.25">
      <c r="A209" s="278">
        <v>1</v>
      </c>
      <c r="C209" s="278">
        <f t="shared" si="15"/>
        <v>78</v>
      </c>
      <c r="D209" s="278">
        <f t="shared" si="16"/>
        <v>45</v>
      </c>
      <c r="E209" s="278">
        <f t="shared" si="17"/>
        <v>14</v>
      </c>
      <c r="F209" s="278" t="str">
        <f t="shared" si="18"/>
        <v>pmx</v>
      </c>
      <c r="G209" s="278" t="s">
        <v>682</v>
      </c>
      <c r="H209" s="278" t="s">
        <v>323</v>
      </c>
      <c r="I209" s="278" t="s">
        <v>683</v>
      </c>
      <c r="K209" s="279">
        <f t="shared" si="19"/>
        <v>1865.2574148016322</v>
      </c>
      <c r="M209" s="279">
        <v>1800</v>
      </c>
      <c r="R209" s="278" t="str">
        <f>IF(AND((J209="This"),(L209="Only")),VLOOKUP(G209,#REF!,7,FALSE),"")</f>
        <v/>
      </c>
      <c r="S209" s="278">
        <v>1865.2574148016322</v>
      </c>
    </row>
    <row r="210" spans="1:21" x14ac:dyDescent="0.25">
      <c r="A210" s="278">
        <v>5</v>
      </c>
      <c r="C210" s="278">
        <f t="shared" si="15"/>
        <v>79</v>
      </c>
      <c r="D210" s="278">
        <f t="shared" si="16"/>
        <v>45</v>
      </c>
      <c r="E210" s="278">
        <f t="shared" si="17"/>
        <v>14</v>
      </c>
      <c r="F210" s="278" t="str">
        <f t="shared" si="18"/>
        <v>pm</v>
      </c>
      <c r="G210" s="278" t="s">
        <v>684</v>
      </c>
      <c r="H210" s="278" t="s">
        <v>512</v>
      </c>
      <c r="I210" s="278" t="s">
        <v>685</v>
      </c>
      <c r="K210" s="279">
        <f t="shared" si="19"/>
        <v>1799.9656310899888</v>
      </c>
      <c r="M210" s="279">
        <v>1800</v>
      </c>
      <c r="R210" s="278" t="str">
        <f>IF(AND((J210="This"),(L210="Only")),VLOOKUP(G210,#REF!,7,FALSE),"")</f>
        <v/>
      </c>
      <c r="S210" s="278">
        <v>1816.3597723411556</v>
      </c>
      <c r="T210" s="278">
        <v>1799.9656310899888</v>
      </c>
    </row>
    <row r="211" spans="1:21" x14ac:dyDescent="0.25">
      <c r="A211" s="278">
        <v>1</v>
      </c>
      <c r="C211" s="278">
        <f t="shared" si="15"/>
        <v>80</v>
      </c>
      <c r="D211" s="278">
        <f t="shared" si="16"/>
        <v>45</v>
      </c>
      <c r="E211" s="278">
        <f t="shared" si="17"/>
        <v>14</v>
      </c>
      <c r="F211" s="278" t="str">
        <f t="shared" si="18"/>
        <v>sox</v>
      </c>
      <c r="G211" s="278" t="s">
        <v>686</v>
      </c>
      <c r="H211" s="278" t="s">
        <v>687</v>
      </c>
      <c r="I211" s="278" t="s">
        <v>688</v>
      </c>
      <c r="K211" s="279">
        <f t="shared" si="19"/>
        <v>1800</v>
      </c>
      <c r="M211" s="279">
        <v>1800</v>
      </c>
      <c r="R211" s="278" t="str">
        <f>IF(AND((J211="This"),(L211="Only")),VLOOKUP(G211,#REF!,7,FALSE),"")</f>
        <v/>
      </c>
    </row>
    <row r="212" spans="1:21" x14ac:dyDescent="0.25">
      <c r="A212" s="278">
        <v>1</v>
      </c>
      <c r="C212" s="278">
        <f t="shared" si="15"/>
        <v>81</v>
      </c>
      <c r="D212" s="278">
        <f t="shared" si="16"/>
        <v>45</v>
      </c>
      <c r="E212" s="278">
        <f t="shared" si="17"/>
        <v>14</v>
      </c>
      <c r="F212" s="278" t="str">
        <f t="shared" si="18"/>
        <v>sox</v>
      </c>
      <c r="G212" s="278" t="s">
        <v>689</v>
      </c>
      <c r="H212" s="278" t="s">
        <v>687</v>
      </c>
      <c r="I212" s="278" t="s">
        <v>690</v>
      </c>
      <c r="K212" s="279">
        <f t="shared" si="19"/>
        <v>1800</v>
      </c>
      <c r="M212" s="279">
        <v>1800</v>
      </c>
      <c r="R212" s="278" t="str">
        <f>IF(AND((J212="This"),(L212="Only")),VLOOKUP(G212,#REF!,7,FALSE),"")</f>
        <v/>
      </c>
    </row>
    <row r="213" spans="1:21" x14ac:dyDescent="0.25">
      <c r="A213" s="278">
        <v>4</v>
      </c>
      <c r="C213" s="278">
        <f t="shared" si="15"/>
        <v>82</v>
      </c>
      <c r="D213" s="278">
        <f t="shared" si="16"/>
        <v>45</v>
      </c>
      <c r="E213" s="278">
        <f t="shared" si="17"/>
        <v>14</v>
      </c>
      <c r="F213" s="278" t="str">
        <f t="shared" si="18"/>
        <v>pm</v>
      </c>
      <c r="G213" s="278" t="s">
        <v>691</v>
      </c>
      <c r="H213" s="278" t="s">
        <v>416</v>
      </c>
      <c r="I213" s="278" t="s">
        <v>692</v>
      </c>
      <c r="K213" s="279">
        <f t="shared" si="19"/>
        <v>1810.7634942276854</v>
      </c>
      <c r="M213" s="279">
        <v>1800</v>
      </c>
      <c r="R213" s="278" t="str">
        <f>IF(AND((J213="This"),(L213="Only")),VLOOKUP(G213,#REF!,7,FALSE),"")</f>
        <v/>
      </c>
      <c r="S213" s="278">
        <v>1810.7634942276854</v>
      </c>
    </row>
    <row r="214" spans="1:21" x14ac:dyDescent="0.25">
      <c r="A214" s="278">
        <v>2</v>
      </c>
      <c r="C214" s="278">
        <f t="shared" si="15"/>
        <v>1</v>
      </c>
      <c r="D214" s="278">
        <f t="shared" si="16"/>
        <v>1</v>
      </c>
      <c r="E214" s="278">
        <f t="shared" si="17"/>
        <v>15</v>
      </c>
      <c r="F214" s="278" t="str">
        <f t="shared" si="18"/>
        <v>pm</v>
      </c>
      <c r="G214" s="278" t="s">
        <v>693</v>
      </c>
      <c r="H214" s="278" t="s">
        <v>232</v>
      </c>
      <c r="I214" s="278" t="s">
        <v>694</v>
      </c>
      <c r="K214" s="279">
        <f t="shared" si="19"/>
        <v>2493.626289433224</v>
      </c>
      <c r="M214" s="279">
        <v>2400</v>
      </c>
      <c r="R214" s="278" t="str">
        <f>IF(AND((J214="This"),(L214="Only")),VLOOKUP(G214,#REF!,7,FALSE),"")</f>
        <v/>
      </c>
      <c r="U214" s="278">
        <v>2493.626289433224</v>
      </c>
    </row>
    <row r="215" spans="1:21" x14ac:dyDescent="0.25">
      <c r="A215" s="278">
        <v>7</v>
      </c>
      <c r="C215" s="278">
        <f t="shared" si="15"/>
        <v>2</v>
      </c>
      <c r="D215" s="278">
        <f t="shared" si="16"/>
        <v>2</v>
      </c>
      <c r="E215" s="278">
        <f t="shared" si="17"/>
        <v>15</v>
      </c>
      <c r="F215" s="278" t="str">
        <f t="shared" si="18"/>
        <v>pm</v>
      </c>
      <c r="G215" s="278" t="s">
        <v>695</v>
      </c>
      <c r="H215" s="278" t="s">
        <v>445</v>
      </c>
      <c r="I215" s="278" t="s">
        <v>696</v>
      </c>
      <c r="K215" s="279">
        <f t="shared" si="19"/>
        <v>2140.9672825573971</v>
      </c>
      <c r="M215" s="279">
        <v>2428.5714285714284</v>
      </c>
      <c r="O215" s="278">
        <v>2268.7826308362091</v>
      </c>
      <c r="P215" s="278">
        <v>2236.1285794773908</v>
      </c>
      <c r="R215" s="278" t="str">
        <f>IF(AND((J215="This"),(L215="Only")),VLOOKUP(G215,#REF!,7,FALSE),"")</f>
        <v/>
      </c>
      <c r="S215" s="278">
        <v>2195.5636434586636</v>
      </c>
      <c r="U215" s="278">
        <v>2140.9672825573971</v>
      </c>
    </row>
    <row r="216" spans="1:21" x14ac:dyDescent="0.25">
      <c r="A216" s="278">
        <v>1</v>
      </c>
      <c r="C216" s="278">
        <f t="shared" si="15"/>
        <v>3</v>
      </c>
      <c r="D216" s="278">
        <f t="shared" si="16"/>
        <v>3</v>
      </c>
      <c r="E216" s="278">
        <f t="shared" si="17"/>
        <v>15</v>
      </c>
      <c r="F216" s="278" t="str">
        <f t="shared" si="18"/>
        <v>sox</v>
      </c>
      <c r="G216" s="278" t="s">
        <v>697</v>
      </c>
      <c r="H216" s="278" t="s">
        <v>244</v>
      </c>
      <c r="I216" s="278" t="s">
        <v>698</v>
      </c>
      <c r="K216" s="279">
        <f t="shared" si="19"/>
        <v>2282.1780115266283</v>
      </c>
      <c r="M216" s="279">
        <v>2400</v>
      </c>
      <c r="R216" s="278" t="str">
        <f>IF(AND((J216="This"),(L216="Only")),VLOOKUP(G216,#REF!,7,FALSE),"")</f>
        <v/>
      </c>
      <c r="U216" s="278">
        <v>2282.1780115266283</v>
      </c>
    </row>
    <row r="217" spans="1:21" x14ac:dyDescent="0.25">
      <c r="A217" s="278">
        <v>1</v>
      </c>
      <c r="C217" s="278">
        <f t="shared" si="15"/>
        <v>4</v>
      </c>
      <c r="D217" s="278">
        <f t="shared" si="16"/>
        <v>3</v>
      </c>
      <c r="E217" s="278">
        <f t="shared" si="17"/>
        <v>15</v>
      </c>
      <c r="F217" s="278" t="str">
        <f t="shared" si="18"/>
        <v>crx</v>
      </c>
      <c r="G217" s="278" t="s">
        <v>699</v>
      </c>
      <c r="H217" s="278" t="s">
        <v>229</v>
      </c>
      <c r="I217" s="278" t="s">
        <v>700</v>
      </c>
      <c r="K217" s="279">
        <f t="shared" si="19"/>
        <v>2400</v>
      </c>
      <c r="M217" s="279">
        <v>2400</v>
      </c>
      <c r="R217" s="278" t="str">
        <f>IF(AND((J217="This"),(L217="Only")),VLOOKUP(G217,#REF!,7,FALSE),"")</f>
        <v/>
      </c>
    </row>
    <row r="218" spans="1:21" x14ac:dyDescent="0.25">
      <c r="A218" s="278">
        <v>2</v>
      </c>
      <c r="C218" s="278">
        <f t="shared" si="15"/>
        <v>5</v>
      </c>
      <c r="D218" s="278">
        <f t="shared" si="16"/>
        <v>3</v>
      </c>
      <c r="E218" s="278">
        <f t="shared" si="17"/>
        <v>15</v>
      </c>
      <c r="F218" s="278" t="str">
        <f t="shared" si="18"/>
        <v>cr</v>
      </c>
      <c r="G218" s="278" t="s">
        <v>701</v>
      </c>
      <c r="H218" s="278" t="s">
        <v>229</v>
      </c>
      <c r="I218" s="278" t="s">
        <v>702</v>
      </c>
      <c r="K218" s="279">
        <f t="shared" si="19"/>
        <v>2400</v>
      </c>
      <c r="M218" s="279">
        <v>2400</v>
      </c>
      <c r="R218" s="278" t="str">
        <f>IF(AND((J218="This"),(L218="Only")),VLOOKUP(G218,#REF!,7,FALSE),"")</f>
        <v/>
      </c>
    </row>
    <row r="219" spans="1:21" x14ac:dyDescent="0.25">
      <c r="A219" s="278">
        <v>1</v>
      </c>
      <c r="C219" s="278">
        <f t="shared" si="15"/>
        <v>6</v>
      </c>
      <c r="D219" s="278">
        <f t="shared" si="16"/>
        <v>3</v>
      </c>
      <c r="E219" s="278">
        <f t="shared" si="17"/>
        <v>15</v>
      </c>
      <c r="F219" s="278" t="str">
        <f t="shared" si="18"/>
        <v>sox</v>
      </c>
      <c r="G219" s="278" t="s">
        <v>703</v>
      </c>
      <c r="H219" s="278" t="s">
        <v>704</v>
      </c>
      <c r="I219" s="278" t="s">
        <v>705</v>
      </c>
      <c r="K219" s="279">
        <f t="shared" si="19"/>
        <v>2400</v>
      </c>
      <c r="M219" s="279">
        <v>2400</v>
      </c>
      <c r="R219" s="278" t="str">
        <f>IF(AND((J219="This"),(L219="Only")),VLOOKUP(G219,#REF!,7,FALSE),"")</f>
        <v/>
      </c>
    </row>
    <row r="220" spans="1:21" x14ac:dyDescent="0.25">
      <c r="A220" s="278">
        <v>2</v>
      </c>
      <c r="C220" s="278">
        <f t="shared" si="15"/>
        <v>7</v>
      </c>
      <c r="D220" s="278">
        <f t="shared" si="16"/>
        <v>3</v>
      </c>
      <c r="E220" s="278">
        <f t="shared" si="17"/>
        <v>15</v>
      </c>
      <c r="F220" s="278" t="str">
        <f t="shared" si="18"/>
        <v>pm</v>
      </c>
      <c r="G220" s="278" t="s">
        <v>706</v>
      </c>
      <c r="H220" s="278" t="s">
        <v>268</v>
      </c>
      <c r="I220" s="278" t="s">
        <v>707</v>
      </c>
      <c r="K220" s="279">
        <f t="shared" si="19"/>
        <v>2492.2492453469672</v>
      </c>
      <c r="M220" s="279">
        <v>2400</v>
      </c>
      <c r="N220" s="278">
        <v>2492.2492453469672</v>
      </c>
      <c r="R220" s="278" t="str">
        <f>IF(AND((J220="This"),(L220="Only")),VLOOKUP(G220,#REF!,7,FALSE),"")</f>
        <v/>
      </c>
    </row>
    <row r="221" spans="1:21" x14ac:dyDescent="0.25">
      <c r="A221" s="278">
        <v>1</v>
      </c>
      <c r="C221" s="278">
        <f t="shared" si="15"/>
        <v>8</v>
      </c>
      <c r="D221" s="278">
        <f t="shared" si="16"/>
        <v>3</v>
      </c>
      <c r="E221" s="278">
        <f t="shared" si="17"/>
        <v>15</v>
      </c>
      <c r="F221" s="278" t="str">
        <f t="shared" si="18"/>
        <v>crx</v>
      </c>
      <c r="G221" s="278" t="s">
        <v>708</v>
      </c>
      <c r="H221" s="278" t="s">
        <v>709</v>
      </c>
      <c r="I221" s="278" t="s">
        <v>710</v>
      </c>
      <c r="K221" s="279">
        <f t="shared" si="19"/>
        <v>2553.7103374604826</v>
      </c>
      <c r="M221" s="279">
        <v>2400</v>
      </c>
      <c r="R221" s="278" t="str">
        <f>IF(AND((J221="This"),(L221="Only")),VLOOKUP(G221,#REF!,7,FALSE),"")</f>
        <v/>
      </c>
      <c r="U221" s="278">
        <v>2553.7103374604826</v>
      </c>
    </row>
    <row r="222" spans="1:21" x14ac:dyDescent="0.25">
      <c r="A222" s="278">
        <v>3</v>
      </c>
      <c r="C222" s="278">
        <f t="shared" si="15"/>
        <v>9</v>
      </c>
      <c r="D222" s="278">
        <f t="shared" si="16"/>
        <v>3</v>
      </c>
      <c r="E222" s="278">
        <f t="shared" si="17"/>
        <v>15</v>
      </c>
      <c r="F222" s="278" t="str">
        <f t="shared" si="18"/>
        <v>pm</v>
      </c>
      <c r="G222" s="278" t="s">
        <v>711</v>
      </c>
      <c r="H222" s="278" t="s">
        <v>217</v>
      </c>
      <c r="I222" s="278" t="s">
        <v>712</v>
      </c>
      <c r="K222" s="279">
        <f t="shared" si="19"/>
        <v>2502.5098735044567</v>
      </c>
      <c r="M222" s="279">
        <v>2400</v>
      </c>
      <c r="N222" s="278">
        <v>2499.7117552915306</v>
      </c>
      <c r="R222" s="278" t="str">
        <f>IF(AND((J222="This"),(L222="Only")),VLOOKUP(G222,#REF!,7,FALSE),"")</f>
        <v/>
      </c>
      <c r="U222" s="278">
        <v>2502.5098735044567</v>
      </c>
    </row>
    <row r="223" spans="1:21" x14ac:dyDescent="0.25">
      <c r="A223" s="278">
        <v>4</v>
      </c>
      <c r="C223" s="278">
        <f t="shared" si="15"/>
        <v>10</v>
      </c>
      <c r="D223" s="278">
        <f t="shared" si="16"/>
        <v>3</v>
      </c>
      <c r="E223" s="278">
        <f t="shared" si="17"/>
        <v>15</v>
      </c>
      <c r="F223" s="278" t="str">
        <f t="shared" si="18"/>
        <v>pm</v>
      </c>
      <c r="G223" s="278" t="s">
        <v>713</v>
      </c>
      <c r="H223" s="278" t="s">
        <v>217</v>
      </c>
      <c r="I223" s="278" t="s">
        <v>714</v>
      </c>
      <c r="K223" s="279">
        <f t="shared" si="19"/>
        <v>2527.2786745948765</v>
      </c>
      <c r="M223" s="279">
        <v>2400</v>
      </c>
      <c r="N223" s="278">
        <v>2470.5474448149635</v>
      </c>
      <c r="R223" s="278" t="str">
        <f>IF(AND((J223="This"),(L223="Only")),VLOOKUP(G223,#REF!,7,FALSE),"")</f>
        <v/>
      </c>
      <c r="U223" s="278">
        <v>2527.2786745948765</v>
      </c>
    </row>
    <row r="224" spans="1:21" x14ac:dyDescent="0.25">
      <c r="A224" s="278">
        <v>4</v>
      </c>
      <c r="C224" s="278">
        <f t="shared" si="15"/>
        <v>11</v>
      </c>
      <c r="D224" s="278">
        <f t="shared" si="16"/>
        <v>3</v>
      </c>
      <c r="E224" s="278">
        <f t="shared" si="17"/>
        <v>15</v>
      </c>
      <c r="F224" s="278" t="str">
        <f t="shared" si="18"/>
        <v>pm</v>
      </c>
      <c r="G224" s="278" t="s">
        <v>715</v>
      </c>
      <c r="H224" s="278" t="s">
        <v>217</v>
      </c>
      <c r="I224" s="278" t="s">
        <v>716</v>
      </c>
      <c r="K224" s="279">
        <f t="shared" si="19"/>
        <v>2359.4300065726879</v>
      </c>
      <c r="M224" s="279">
        <v>2400</v>
      </c>
      <c r="N224" s="278">
        <v>2369.6009381256022</v>
      </c>
      <c r="R224" s="278" t="str">
        <f>IF(AND((J224="This"),(L224="Only")),VLOOKUP(G224,#REF!,7,FALSE),"")</f>
        <v/>
      </c>
      <c r="U224" s="278">
        <v>2359.4300065726879</v>
      </c>
    </row>
    <row r="225" spans="1:21" x14ac:dyDescent="0.25">
      <c r="A225" s="278">
        <v>5</v>
      </c>
      <c r="C225" s="278">
        <f t="shared" si="15"/>
        <v>12</v>
      </c>
      <c r="D225" s="278">
        <f t="shared" si="16"/>
        <v>3</v>
      </c>
      <c r="E225" s="278">
        <f t="shared" si="17"/>
        <v>15</v>
      </c>
      <c r="F225" s="278" t="str">
        <f t="shared" si="18"/>
        <v>pm</v>
      </c>
      <c r="G225" s="278" t="s">
        <v>717</v>
      </c>
      <c r="H225" s="278" t="s">
        <v>281</v>
      </c>
      <c r="I225" s="278" t="s">
        <v>718</v>
      </c>
      <c r="K225" s="279">
        <f t="shared" si="19"/>
        <v>2381.8006957841599</v>
      </c>
      <c r="M225" s="279">
        <v>2400</v>
      </c>
      <c r="N225" s="278">
        <v>2394.4035633824892</v>
      </c>
      <c r="R225" s="278" t="str">
        <f>IF(AND((J225="This"),(L225="Only")),VLOOKUP(G225,#REF!,7,FALSE),"")</f>
        <v/>
      </c>
      <c r="S225" s="278">
        <v>2392.8165751582583</v>
      </c>
      <c r="U225" s="278">
        <v>2381.8006957841599</v>
      </c>
    </row>
    <row r="226" spans="1:21" x14ac:dyDescent="0.25">
      <c r="A226" s="278">
        <v>6</v>
      </c>
      <c r="C226" s="278">
        <f t="shared" si="15"/>
        <v>13</v>
      </c>
      <c r="D226" s="278">
        <f t="shared" si="16"/>
        <v>3</v>
      </c>
      <c r="E226" s="278">
        <f t="shared" si="17"/>
        <v>15</v>
      </c>
      <c r="F226" s="278" t="str">
        <f t="shared" si="18"/>
        <v>pm</v>
      </c>
      <c r="G226" s="278" t="s">
        <v>719</v>
      </c>
      <c r="H226" s="278" t="s">
        <v>284</v>
      </c>
      <c r="I226" s="278" t="s">
        <v>720</v>
      </c>
      <c r="K226" s="279">
        <f t="shared" si="19"/>
        <v>2442.1065800796255</v>
      </c>
      <c r="M226" s="279">
        <v>2400</v>
      </c>
      <c r="N226" s="278">
        <v>2461.9045489450959</v>
      </c>
      <c r="P226" s="278">
        <v>2478.9577728246177</v>
      </c>
      <c r="R226" s="278" t="str">
        <f>IF(AND((J226="This"),(L226="Only")),VLOOKUP(G226,#REF!,7,FALSE),"")</f>
        <v/>
      </c>
      <c r="S226" s="278">
        <v>2469.2170727327562</v>
      </c>
      <c r="U226" s="278">
        <v>2442.1065800796255</v>
      </c>
    </row>
    <row r="227" spans="1:21" x14ac:dyDescent="0.25">
      <c r="A227" s="278">
        <v>3</v>
      </c>
      <c r="C227" s="278">
        <f t="shared" si="15"/>
        <v>14</v>
      </c>
      <c r="D227" s="278">
        <f t="shared" si="16"/>
        <v>3</v>
      </c>
      <c r="E227" s="278">
        <f t="shared" si="17"/>
        <v>15</v>
      </c>
      <c r="F227" s="278" t="str">
        <f t="shared" si="18"/>
        <v>pm</v>
      </c>
      <c r="G227" s="278" t="s">
        <v>721</v>
      </c>
      <c r="H227" s="278" t="s">
        <v>290</v>
      </c>
      <c r="I227" s="278" t="s">
        <v>722</v>
      </c>
      <c r="K227" s="279">
        <f t="shared" si="19"/>
        <v>2382.5277444743001</v>
      </c>
      <c r="M227" s="279">
        <v>2400</v>
      </c>
      <c r="R227" s="278" t="str">
        <f>IF(AND((J227="This"),(L227="Only")),VLOOKUP(G227,#REF!,7,FALSE),"")</f>
        <v/>
      </c>
      <c r="S227" s="278">
        <v>2354.7201914323136</v>
      </c>
      <c r="U227" s="278">
        <v>2382.5277444743001</v>
      </c>
    </row>
    <row r="228" spans="1:21" x14ac:dyDescent="0.25">
      <c r="A228" s="278">
        <v>1</v>
      </c>
      <c r="C228" s="278">
        <f t="shared" si="15"/>
        <v>15</v>
      </c>
      <c r="D228" s="278">
        <f t="shared" si="16"/>
        <v>3</v>
      </c>
      <c r="E228" s="278">
        <f t="shared" si="17"/>
        <v>15</v>
      </c>
      <c r="F228" s="278" t="str">
        <f t="shared" si="18"/>
        <v>pmx</v>
      </c>
      <c r="G228" s="278" t="s">
        <v>723</v>
      </c>
      <c r="H228" s="278" t="s">
        <v>382</v>
      </c>
      <c r="I228" s="278" t="s">
        <v>724</v>
      </c>
      <c r="K228" s="279">
        <f t="shared" si="19"/>
        <v>2469.0795299678753</v>
      </c>
      <c r="M228" s="279">
        <v>2400</v>
      </c>
      <c r="R228" s="278" t="str">
        <f>IF(AND((J228="This"),(L228="Only")),VLOOKUP(G228,#REF!,7,FALSE),"")</f>
        <v/>
      </c>
      <c r="U228" s="278">
        <v>2469.0795299678753</v>
      </c>
    </row>
    <row r="229" spans="1:21" x14ac:dyDescent="0.25">
      <c r="A229" s="278">
        <v>1</v>
      </c>
      <c r="C229" s="278">
        <f t="shared" si="15"/>
        <v>16</v>
      </c>
      <c r="D229" s="278">
        <f t="shared" si="16"/>
        <v>3</v>
      </c>
      <c r="E229" s="278">
        <f t="shared" si="17"/>
        <v>15</v>
      </c>
      <c r="F229" s="278" t="str">
        <f t="shared" si="18"/>
        <v>pmx</v>
      </c>
      <c r="G229" s="278" t="s">
        <v>725</v>
      </c>
      <c r="H229" s="278" t="s">
        <v>382</v>
      </c>
      <c r="I229" s="278" t="s">
        <v>726</v>
      </c>
      <c r="K229" s="279">
        <f t="shared" si="19"/>
        <v>2406.1102551230915</v>
      </c>
      <c r="M229" s="279">
        <v>2400</v>
      </c>
      <c r="R229" s="278" t="str">
        <f>IF(AND((J229="This"),(L229="Only")),VLOOKUP(G229,#REF!,7,FALSE),"")</f>
        <v/>
      </c>
      <c r="U229" s="278">
        <v>2406.1102551230915</v>
      </c>
    </row>
    <row r="230" spans="1:21" x14ac:dyDescent="0.25">
      <c r="A230" s="278">
        <v>1</v>
      </c>
      <c r="C230" s="278">
        <f t="shared" si="15"/>
        <v>17</v>
      </c>
      <c r="D230" s="278">
        <f t="shared" si="16"/>
        <v>3</v>
      </c>
      <c r="E230" s="278">
        <f t="shared" si="17"/>
        <v>15</v>
      </c>
      <c r="F230" s="278" t="str">
        <f t="shared" si="18"/>
        <v>crx</v>
      </c>
      <c r="G230" s="278" t="s">
        <v>727</v>
      </c>
      <c r="H230" s="278" t="s">
        <v>544</v>
      </c>
      <c r="I230" s="278" t="s">
        <v>728</v>
      </c>
      <c r="K230" s="279">
        <f t="shared" si="19"/>
        <v>2400</v>
      </c>
      <c r="M230" s="279">
        <v>2400</v>
      </c>
      <c r="R230" s="278" t="str">
        <f>IF(AND((J230="This"),(L230="Only")),VLOOKUP(G230,#REF!,7,FALSE),"")</f>
        <v/>
      </c>
    </row>
    <row r="231" spans="1:21" x14ac:dyDescent="0.25">
      <c r="A231" s="278">
        <v>4</v>
      </c>
      <c r="C231" s="278">
        <f t="shared" si="15"/>
        <v>18</v>
      </c>
      <c r="D231" s="278">
        <f t="shared" si="16"/>
        <v>3</v>
      </c>
      <c r="E231" s="278">
        <f t="shared" si="17"/>
        <v>15</v>
      </c>
      <c r="F231" s="278" t="str">
        <f t="shared" si="18"/>
        <v>pm</v>
      </c>
      <c r="G231" s="278" t="s">
        <v>729</v>
      </c>
      <c r="H231" s="278" t="s">
        <v>730</v>
      </c>
      <c r="I231" s="278" t="s">
        <v>731</v>
      </c>
      <c r="K231" s="279">
        <f t="shared" si="19"/>
        <v>2279.8314254027905</v>
      </c>
      <c r="M231" s="279">
        <v>2400</v>
      </c>
      <c r="N231" s="278">
        <v>2325.0939181579406</v>
      </c>
      <c r="R231" s="278" t="str">
        <f>IF(AND((J231="This"),(L231="Only")),VLOOKUP(G231,#REF!,7,FALSE),"")</f>
        <v/>
      </c>
      <c r="U231" s="278">
        <v>2279.8314254027905</v>
      </c>
    </row>
    <row r="232" spans="1:21" x14ac:dyDescent="0.25">
      <c r="A232" s="278">
        <v>6</v>
      </c>
      <c r="C232" s="278">
        <f t="shared" si="15"/>
        <v>19</v>
      </c>
      <c r="D232" s="278">
        <f t="shared" si="16"/>
        <v>3</v>
      </c>
      <c r="E232" s="278">
        <f t="shared" si="17"/>
        <v>15</v>
      </c>
      <c r="F232" s="278" t="str">
        <f t="shared" si="18"/>
        <v>pm</v>
      </c>
      <c r="G232" s="278" t="s">
        <v>732</v>
      </c>
      <c r="H232" s="278" t="s">
        <v>293</v>
      </c>
      <c r="I232" s="278" t="s">
        <v>733</v>
      </c>
      <c r="K232" s="279">
        <f t="shared" si="19"/>
        <v>2253.4757114355407</v>
      </c>
      <c r="M232" s="279">
        <v>2400</v>
      </c>
      <c r="P232" s="278">
        <v>2340.2463122800505</v>
      </c>
      <c r="R232" s="278" t="str">
        <f>IF(AND((J232="This"),(L232="Only")),VLOOKUP(G232,#REF!,7,FALSE),"")</f>
        <v/>
      </c>
      <c r="S232" s="278">
        <v>2305.7293444688644</v>
      </c>
      <c r="U232" s="278">
        <v>2253.4757114355407</v>
      </c>
    </row>
    <row r="233" spans="1:21" x14ac:dyDescent="0.25">
      <c r="A233" s="278">
        <v>6</v>
      </c>
      <c r="C233" s="278">
        <f t="shared" si="15"/>
        <v>20</v>
      </c>
      <c r="D233" s="278">
        <f t="shared" si="16"/>
        <v>3</v>
      </c>
      <c r="E233" s="278">
        <f t="shared" si="17"/>
        <v>15</v>
      </c>
      <c r="F233" s="278" t="str">
        <f t="shared" si="18"/>
        <v>pm</v>
      </c>
      <c r="G233" s="278" t="s">
        <v>734</v>
      </c>
      <c r="H233" s="278" t="s">
        <v>333</v>
      </c>
      <c r="I233" s="278" t="s">
        <v>735</v>
      </c>
      <c r="K233" s="279">
        <f t="shared" si="19"/>
        <v>2524.4972498882348</v>
      </c>
      <c r="M233" s="279">
        <v>2400</v>
      </c>
      <c r="N233" s="278">
        <v>2344.1797285208422</v>
      </c>
      <c r="P233" s="278">
        <v>2457.0746858546781</v>
      </c>
      <c r="R233" s="278" t="str">
        <f>IF(AND((J233="This"),(L233="Only")),VLOOKUP(G233,#REF!,7,FALSE),"")</f>
        <v/>
      </c>
      <c r="S233" s="278">
        <v>2512.3609527359577</v>
      </c>
      <c r="U233" s="278">
        <v>2524.4972498882348</v>
      </c>
    </row>
    <row r="234" spans="1:21" x14ac:dyDescent="0.25">
      <c r="A234" s="278">
        <v>1</v>
      </c>
      <c r="C234" s="278">
        <f t="shared" si="15"/>
        <v>21</v>
      </c>
      <c r="D234" s="278">
        <f t="shared" si="16"/>
        <v>3</v>
      </c>
      <c r="E234" s="278">
        <f t="shared" si="17"/>
        <v>15</v>
      </c>
      <c r="F234" s="278" t="str">
        <f t="shared" si="18"/>
        <v>crx</v>
      </c>
      <c r="G234" s="278" t="s">
        <v>736</v>
      </c>
      <c r="H234" s="278" t="s">
        <v>737</v>
      </c>
      <c r="I234" s="278" t="s">
        <v>738</v>
      </c>
      <c r="K234" s="279">
        <f t="shared" si="19"/>
        <v>2428.7307347628353</v>
      </c>
      <c r="M234" s="279">
        <v>2400</v>
      </c>
      <c r="N234" s="278">
        <v>2428.7307347628353</v>
      </c>
      <c r="R234" s="278" t="str">
        <f>IF(AND((J234="This"),(L234="Only")),VLOOKUP(G234,#REF!,7,FALSE),"")</f>
        <v/>
      </c>
    </row>
    <row r="235" spans="1:21" x14ac:dyDescent="0.25">
      <c r="A235" s="278">
        <v>3</v>
      </c>
      <c r="C235" s="278">
        <f t="shared" si="15"/>
        <v>22</v>
      </c>
      <c r="D235" s="278">
        <f t="shared" si="16"/>
        <v>3</v>
      </c>
      <c r="E235" s="278">
        <f t="shared" si="17"/>
        <v>15</v>
      </c>
      <c r="F235" s="278" t="str">
        <f t="shared" si="18"/>
        <v>pm</v>
      </c>
      <c r="G235" s="278" t="s">
        <v>739</v>
      </c>
      <c r="H235" s="278" t="s">
        <v>385</v>
      </c>
      <c r="I235" s="278" t="s">
        <v>740</v>
      </c>
      <c r="K235" s="279">
        <f t="shared" si="19"/>
        <v>2541.0917656759971</v>
      </c>
      <c r="M235" s="279">
        <v>2400</v>
      </c>
      <c r="N235" s="278">
        <v>2470.4562959885634</v>
      </c>
      <c r="R235" s="278" t="str">
        <f>IF(AND((J235="This"),(L235="Only")),VLOOKUP(G235,#REF!,7,FALSE),"")</f>
        <v/>
      </c>
      <c r="U235" s="278">
        <v>2541.0917656759971</v>
      </c>
    </row>
    <row r="236" spans="1:21" x14ac:dyDescent="0.25">
      <c r="A236" s="278">
        <v>1</v>
      </c>
      <c r="C236" s="278">
        <f t="shared" si="15"/>
        <v>23</v>
      </c>
      <c r="D236" s="278">
        <f t="shared" si="16"/>
        <v>3</v>
      </c>
      <c r="E236" s="278">
        <f t="shared" si="17"/>
        <v>15</v>
      </c>
      <c r="F236" s="278" t="str">
        <f t="shared" si="18"/>
        <v>odx</v>
      </c>
      <c r="G236" s="278" t="s">
        <v>741</v>
      </c>
      <c r="H236" s="278" t="s">
        <v>742</v>
      </c>
      <c r="I236" s="278" t="s">
        <v>743</v>
      </c>
      <c r="K236" s="279">
        <f t="shared" si="19"/>
        <v>2461.2633560320755</v>
      </c>
      <c r="M236" s="279">
        <v>2400</v>
      </c>
      <c r="N236" s="278">
        <v>2461.2633560320755</v>
      </c>
      <c r="R236" s="278" t="str">
        <f>IF(AND((J236="This"),(L236="Only")),VLOOKUP(G236,#REF!,7,FALSE),"")</f>
        <v/>
      </c>
    </row>
    <row r="237" spans="1:21" x14ac:dyDescent="0.25">
      <c r="A237" s="278">
        <v>2</v>
      </c>
      <c r="C237" s="278">
        <f t="shared" si="15"/>
        <v>24</v>
      </c>
      <c r="D237" s="278">
        <f t="shared" si="16"/>
        <v>3</v>
      </c>
      <c r="E237" s="278">
        <f t="shared" si="17"/>
        <v>15</v>
      </c>
      <c r="F237" s="278" t="str">
        <f t="shared" si="18"/>
        <v>pm</v>
      </c>
      <c r="G237" s="278" t="s">
        <v>744</v>
      </c>
      <c r="H237" s="278" t="s">
        <v>226</v>
      </c>
      <c r="I237" s="278" t="s">
        <v>745</v>
      </c>
      <c r="K237" s="279">
        <f t="shared" si="19"/>
        <v>2514.1564186642386</v>
      </c>
      <c r="M237" s="279">
        <v>2400</v>
      </c>
      <c r="R237" s="278" t="str">
        <f>IF(AND((J237="This"),(L237="Only")),VLOOKUP(G237,#REF!,7,FALSE),"")</f>
        <v/>
      </c>
      <c r="S237" s="278">
        <v>2514.1564186642386</v>
      </c>
    </row>
    <row r="238" spans="1:21" x14ac:dyDescent="0.25">
      <c r="A238" s="278">
        <v>2</v>
      </c>
      <c r="C238" s="278">
        <f t="shared" si="15"/>
        <v>25</v>
      </c>
      <c r="D238" s="278">
        <f t="shared" si="16"/>
        <v>3</v>
      </c>
      <c r="E238" s="278">
        <f t="shared" si="17"/>
        <v>15</v>
      </c>
      <c r="F238" s="278" t="str">
        <f t="shared" si="18"/>
        <v>pm</v>
      </c>
      <c r="G238" s="278" t="s">
        <v>746</v>
      </c>
      <c r="H238" s="278" t="s">
        <v>226</v>
      </c>
      <c r="I238" s="278" t="s">
        <v>747</v>
      </c>
      <c r="K238" s="279">
        <f t="shared" si="19"/>
        <v>2414.849046848939</v>
      </c>
      <c r="M238" s="279">
        <v>2400</v>
      </c>
      <c r="R238" s="278" t="str">
        <f>IF(AND((J238="This"),(L238="Only")),VLOOKUP(G238,#REF!,7,FALSE),"")</f>
        <v/>
      </c>
      <c r="S238" s="278">
        <v>2414.849046848939</v>
      </c>
    </row>
    <row r="239" spans="1:21" x14ac:dyDescent="0.25">
      <c r="A239" s="278">
        <v>2</v>
      </c>
      <c r="C239" s="278">
        <f t="shared" si="15"/>
        <v>26</v>
      </c>
      <c r="D239" s="278">
        <f t="shared" si="16"/>
        <v>3</v>
      </c>
      <c r="E239" s="278">
        <f t="shared" si="17"/>
        <v>15</v>
      </c>
      <c r="F239" s="278" t="str">
        <f t="shared" si="18"/>
        <v>pm</v>
      </c>
      <c r="G239" s="278" t="s">
        <v>748</v>
      </c>
      <c r="H239" s="278" t="s">
        <v>226</v>
      </c>
      <c r="I239" s="278" t="s">
        <v>749</v>
      </c>
      <c r="K239" s="279">
        <f t="shared" si="19"/>
        <v>2400</v>
      </c>
      <c r="M239" s="279">
        <v>2400</v>
      </c>
      <c r="R239" s="278" t="str">
        <f>IF(AND((J239="This"),(L239="Only")),VLOOKUP(G239,#REF!,7,FALSE),"")</f>
        <v/>
      </c>
    </row>
    <row r="240" spans="1:21" x14ac:dyDescent="0.25">
      <c r="A240" s="278">
        <v>2</v>
      </c>
      <c r="C240" s="278">
        <f t="shared" si="15"/>
        <v>27</v>
      </c>
      <c r="D240" s="278">
        <f t="shared" si="16"/>
        <v>3</v>
      </c>
      <c r="E240" s="278">
        <f t="shared" si="17"/>
        <v>15</v>
      </c>
      <c r="F240" s="278" t="str">
        <f t="shared" si="18"/>
        <v>pm</v>
      </c>
      <c r="G240" s="278" t="s">
        <v>750</v>
      </c>
      <c r="H240" s="278" t="s">
        <v>226</v>
      </c>
      <c r="I240" s="278" t="s">
        <v>751</v>
      </c>
      <c r="K240" s="279">
        <f t="shared" si="19"/>
        <v>2458.095796529813</v>
      </c>
      <c r="M240" s="279">
        <v>2400</v>
      </c>
      <c r="R240" s="278" t="str">
        <f>IF(AND((J240="This"),(L240="Only")),VLOOKUP(G240,#REF!,7,FALSE),"")</f>
        <v/>
      </c>
      <c r="S240" s="278">
        <v>2458.095796529813</v>
      </c>
    </row>
    <row r="241" spans="1:21" x14ac:dyDescent="0.25">
      <c r="A241" s="278">
        <v>1</v>
      </c>
      <c r="C241" s="278">
        <f t="shared" si="15"/>
        <v>28</v>
      </c>
      <c r="D241" s="278">
        <f t="shared" si="16"/>
        <v>3</v>
      </c>
      <c r="E241" s="278">
        <f t="shared" si="17"/>
        <v>15</v>
      </c>
      <c r="F241" s="278" t="str">
        <f t="shared" si="18"/>
        <v>sox</v>
      </c>
      <c r="G241" s="278" t="s">
        <v>752</v>
      </c>
      <c r="H241" s="278" t="s">
        <v>561</v>
      </c>
      <c r="I241" s="278" t="s">
        <v>753</v>
      </c>
      <c r="K241" s="279">
        <f t="shared" si="19"/>
        <v>2458.2149339259508</v>
      </c>
      <c r="M241" s="279">
        <v>2400</v>
      </c>
      <c r="R241" s="278" t="str">
        <f>IF(AND((J241="This"),(L241="Only")),VLOOKUP(G241,#REF!,7,FALSE),"")</f>
        <v/>
      </c>
      <c r="U241" s="278">
        <v>2458.2149339259508</v>
      </c>
    </row>
    <row r="242" spans="1:21" x14ac:dyDescent="0.25">
      <c r="A242" s="278">
        <v>2</v>
      </c>
      <c r="C242" s="278">
        <f t="shared" si="15"/>
        <v>29</v>
      </c>
      <c r="D242" s="278">
        <f t="shared" si="16"/>
        <v>3</v>
      </c>
      <c r="E242" s="278">
        <f t="shared" si="17"/>
        <v>15</v>
      </c>
      <c r="F242" s="278" t="str">
        <f t="shared" si="18"/>
        <v>pm</v>
      </c>
      <c r="G242" s="278" t="s">
        <v>754</v>
      </c>
      <c r="H242" s="278" t="s">
        <v>434</v>
      </c>
      <c r="I242" s="278" t="s">
        <v>755</v>
      </c>
      <c r="K242" s="279">
        <f t="shared" si="19"/>
        <v>2418.9011539857738</v>
      </c>
      <c r="M242" s="279">
        <v>2400</v>
      </c>
      <c r="N242" s="278">
        <v>2412.4969665615304</v>
      </c>
      <c r="R242" s="278" t="str">
        <f>IF(AND((J242="This"),(L242="Only")),VLOOKUP(G242,#REF!,7,FALSE),"")</f>
        <v/>
      </c>
      <c r="U242" s="278">
        <v>2418.9011539857738</v>
      </c>
    </row>
    <row r="243" spans="1:21" x14ac:dyDescent="0.25">
      <c r="A243" s="278">
        <v>2</v>
      </c>
      <c r="C243" s="278">
        <f t="shared" si="15"/>
        <v>30</v>
      </c>
      <c r="D243" s="278">
        <f t="shared" si="16"/>
        <v>3</v>
      </c>
      <c r="E243" s="278">
        <f t="shared" si="17"/>
        <v>15</v>
      </c>
      <c r="F243" s="278" t="str">
        <f t="shared" si="18"/>
        <v>pm</v>
      </c>
      <c r="G243" s="278" t="s">
        <v>756</v>
      </c>
      <c r="H243" s="278" t="s">
        <v>434</v>
      </c>
      <c r="I243" s="278" t="s">
        <v>757</v>
      </c>
      <c r="K243" s="279">
        <f t="shared" si="19"/>
        <v>2453.9766858733506</v>
      </c>
      <c r="M243" s="279">
        <v>2400</v>
      </c>
      <c r="N243" s="278">
        <v>2461.8822259540248</v>
      </c>
      <c r="R243" s="278" t="str">
        <f>IF(AND((J243="This"),(L243="Only")),VLOOKUP(G243,#REF!,7,FALSE),"")</f>
        <v/>
      </c>
      <c r="U243" s="278">
        <v>2453.9766858733506</v>
      </c>
    </row>
    <row r="244" spans="1:21" x14ac:dyDescent="0.25">
      <c r="A244" s="278">
        <v>3</v>
      </c>
      <c r="C244" s="278">
        <f t="shared" si="15"/>
        <v>31</v>
      </c>
      <c r="D244" s="278">
        <f t="shared" si="16"/>
        <v>3</v>
      </c>
      <c r="E244" s="278">
        <f t="shared" si="17"/>
        <v>15</v>
      </c>
      <c r="F244" s="278" t="str">
        <f t="shared" si="18"/>
        <v>pm</v>
      </c>
      <c r="G244" s="278" t="s">
        <v>758</v>
      </c>
      <c r="H244" s="278" t="s">
        <v>315</v>
      </c>
      <c r="I244" s="278" t="s">
        <v>759</v>
      </c>
      <c r="K244" s="279">
        <f t="shared" si="19"/>
        <v>2394.2141481145313</v>
      </c>
      <c r="M244" s="279">
        <v>2400</v>
      </c>
      <c r="R244" s="278" t="str">
        <f>IF(AND((J244="This"),(L244="Only")),VLOOKUP(G244,#REF!,7,FALSE),"")</f>
        <v/>
      </c>
      <c r="S244" s="278">
        <v>2394.2141481145313</v>
      </c>
    </row>
    <row r="245" spans="1:21" x14ac:dyDescent="0.25">
      <c r="A245" s="278">
        <v>5</v>
      </c>
      <c r="C245" s="278">
        <f t="shared" si="15"/>
        <v>32</v>
      </c>
      <c r="D245" s="278">
        <f t="shared" si="16"/>
        <v>3</v>
      </c>
      <c r="E245" s="278">
        <f t="shared" si="17"/>
        <v>15</v>
      </c>
      <c r="F245" s="278" t="str">
        <f t="shared" si="18"/>
        <v>pm</v>
      </c>
      <c r="G245" s="278" t="s">
        <v>760</v>
      </c>
      <c r="H245" s="278" t="s">
        <v>318</v>
      </c>
      <c r="I245" s="278" t="s">
        <v>761</v>
      </c>
      <c r="K245" s="279">
        <f t="shared" si="19"/>
        <v>2334.3319188437576</v>
      </c>
      <c r="M245" s="279">
        <v>2400</v>
      </c>
      <c r="N245" s="278">
        <v>2341.1233483976916</v>
      </c>
      <c r="R245" s="278" t="str">
        <f>IF(AND((J245="This"),(L245="Only")),VLOOKUP(G245,#REF!,7,FALSE),"")</f>
        <v/>
      </c>
      <c r="U245" s="278">
        <v>2334.3319188437576</v>
      </c>
    </row>
    <row r="246" spans="1:21" x14ac:dyDescent="0.25">
      <c r="A246" s="278">
        <v>7</v>
      </c>
      <c r="C246" s="278">
        <f t="shared" si="15"/>
        <v>33</v>
      </c>
      <c r="D246" s="278">
        <f t="shared" si="16"/>
        <v>3</v>
      </c>
      <c r="E246" s="278">
        <f t="shared" si="17"/>
        <v>15</v>
      </c>
      <c r="F246" s="278" t="str">
        <f t="shared" si="18"/>
        <v>pm</v>
      </c>
      <c r="G246" s="278" t="s">
        <v>762</v>
      </c>
      <c r="H246" s="278" t="s">
        <v>318</v>
      </c>
      <c r="I246" s="278" t="s">
        <v>763</v>
      </c>
      <c r="K246" s="279">
        <f t="shared" si="19"/>
        <v>2265.9230295280654</v>
      </c>
      <c r="M246" s="279">
        <v>2400</v>
      </c>
      <c r="N246" s="278">
        <v>2326.8645461765414</v>
      </c>
      <c r="P246" s="278">
        <v>2292.9055328887944</v>
      </c>
      <c r="R246" s="278" t="str">
        <f>IF(AND((J246="This"),(L246="Only")),VLOOKUP(G246,#REF!,7,FALSE),"")</f>
        <v/>
      </c>
      <c r="S246" s="278">
        <v>2267.6844132740748</v>
      </c>
      <c r="U246" s="278">
        <v>2265.9230295280654</v>
      </c>
    </row>
    <row r="247" spans="1:21" x14ac:dyDescent="0.25">
      <c r="A247" s="278">
        <v>4</v>
      </c>
      <c r="C247" s="278">
        <f t="shared" si="15"/>
        <v>34</v>
      </c>
      <c r="D247" s="278">
        <f t="shared" si="16"/>
        <v>3</v>
      </c>
      <c r="E247" s="278">
        <f t="shared" si="17"/>
        <v>15</v>
      </c>
      <c r="F247" s="278" t="str">
        <f t="shared" si="18"/>
        <v>pm</v>
      </c>
      <c r="G247" s="278" t="s">
        <v>764</v>
      </c>
      <c r="H247" s="278" t="s">
        <v>232</v>
      </c>
      <c r="I247" s="278" t="s">
        <v>765</v>
      </c>
      <c r="K247" s="279">
        <f t="shared" si="19"/>
        <v>2476.8536481597189</v>
      </c>
      <c r="M247" s="279">
        <v>2400</v>
      </c>
      <c r="P247" s="278">
        <v>2461.3928319711385</v>
      </c>
      <c r="R247" s="278" t="str">
        <f>IF(AND((J247="This"),(L247="Only")),VLOOKUP(G247,#REF!,7,FALSE),"")</f>
        <v/>
      </c>
      <c r="U247" s="278">
        <v>2476.8536481597189</v>
      </c>
    </row>
    <row r="248" spans="1:21" x14ac:dyDescent="0.25">
      <c r="A248" s="278">
        <v>1</v>
      </c>
      <c r="C248" s="278">
        <f t="shared" si="15"/>
        <v>35</v>
      </c>
      <c r="D248" s="278">
        <f t="shared" si="16"/>
        <v>3</v>
      </c>
      <c r="E248" s="278">
        <f t="shared" si="17"/>
        <v>15</v>
      </c>
      <c r="F248" s="278" t="str">
        <f t="shared" si="18"/>
        <v>crx</v>
      </c>
      <c r="G248" s="278" t="s">
        <v>766</v>
      </c>
      <c r="H248" s="278" t="s">
        <v>767</v>
      </c>
      <c r="I248" s="278" t="s">
        <v>768</v>
      </c>
      <c r="K248" s="279">
        <f t="shared" si="19"/>
        <v>2333.9496057080305</v>
      </c>
      <c r="M248" s="279">
        <v>2400</v>
      </c>
      <c r="R248" s="278" t="str">
        <f>IF(AND((J248="This"),(L248="Only")),VLOOKUP(G248,#REF!,7,FALSE),"")</f>
        <v/>
      </c>
      <c r="U248" s="278">
        <v>2333.9496057080305</v>
      </c>
    </row>
    <row r="249" spans="1:21" x14ac:dyDescent="0.25">
      <c r="A249" s="278">
        <v>1</v>
      </c>
      <c r="C249" s="278">
        <f t="shared" si="15"/>
        <v>36</v>
      </c>
      <c r="D249" s="278">
        <f t="shared" si="16"/>
        <v>3</v>
      </c>
      <c r="E249" s="278">
        <f t="shared" si="17"/>
        <v>15</v>
      </c>
      <c r="F249" s="278" t="str">
        <f t="shared" si="18"/>
        <v>crx</v>
      </c>
      <c r="G249" s="278" t="s">
        <v>769</v>
      </c>
      <c r="H249" s="278" t="s">
        <v>767</v>
      </c>
      <c r="I249" s="278" t="s">
        <v>770</v>
      </c>
      <c r="K249" s="279">
        <f t="shared" si="19"/>
        <v>2288.0945712632765</v>
      </c>
      <c r="M249" s="279">
        <v>2400</v>
      </c>
      <c r="R249" s="278" t="str">
        <f>IF(AND((J249="This"),(L249="Only")),VLOOKUP(G249,#REF!,7,FALSE),"")</f>
        <v/>
      </c>
      <c r="U249" s="278">
        <v>2288.0945712632765</v>
      </c>
    </row>
    <row r="250" spans="1:21" x14ac:dyDescent="0.25">
      <c r="A250" s="278">
        <v>1</v>
      </c>
      <c r="C250" s="278">
        <f t="shared" si="15"/>
        <v>37</v>
      </c>
      <c r="D250" s="278">
        <f t="shared" si="16"/>
        <v>3</v>
      </c>
      <c r="E250" s="278">
        <f t="shared" si="17"/>
        <v>15</v>
      </c>
      <c r="F250" s="278" t="str">
        <f t="shared" si="18"/>
        <v>crx</v>
      </c>
      <c r="G250" s="278" t="s">
        <v>771</v>
      </c>
      <c r="H250" s="278" t="s">
        <v>403</v>
      </c>
      <c r="I250" s="278" t="s">
        <v>772</v>
      </c>
      <c r="K250" s="279">
        <f t="shared" si="19"/>
        <v>2326.9108028137098</v>
      </c>
      <c r="M250" s="279">
        <v>2400</v>
      </c>
      <c r="R250" s="278" t="str">
        <f>IF(AND((J250="This"),(L250="Only")),VLOOKUP(G250,#REF!,7,FALSE),"")</f>
        <v/>
      </c>
      <c r="U250" s="278">
        <v>2326.9108028137098</v>
      </c>
    </row>
    <row r="251" spans="1:21" x14ac:dyDescent="0.25">
      <c r="A251" s="278">
        <v>2</v>
      </c>
      <c r="C251" s="278">
        <f t="shared" si="15"/>
        <v>38</v>
      </c>
      <c r="D251" s="278">
        <f t="shared" si="16"/>
        <v>3</v>
      </c>
      <c r="E251" s="278">
        <f t="shared" si="17"/>
        <v>15</v>
      </c>
      <c r="F251" s="278" t="str">
        <f t="shared" si="18"/>
        <v>cr</v>
      </c>
      <c r="G251" s="278" t="s">
        <v>773</v>
      </c>
      <c r="H251" s="278" t="s">
        <v>774</v>
      </c>
      <c r="I251" s="278" t="s">
        <v>775</v>
      </c>
      <c r="K251" s="279">
        <f t="shared" si="19"/>
        <v>2413.6581331682801</v>
      </c>
      <c r="M251" s="279">
        <v>2400</v>
      </c>
      <c r="N251" s="278">
        <v>2413.6581331682801</v>
      </c>
      <c r="R251" s="278" t="str">
        <f>IF(AND((J251="This"),(L251="Only")),VLOOKUP(G251,#REF!,7,FALSE),"")</f>
        <v/>
      </c>
    </row>
    <row r="252" spans="1:21" x14ac:dyDescent="0.25">
      <c r="A252" s="278">
        <v>1</v>
      </c>
      <c r="C252" s="278">
        <f t="shared" si="15"/>
        <v>39</v>
      </c>
      <c r="D252" s="278">
        <f t="shared" si="16"/>
        <v>3</v>
      </c>
      <c r="E252" s="278">
        <f t="shared" si="17"/>
        <v>15</v>
      </c>
      <c r="F252" s="278" t="str">
        <f t="shared" si="18"/>
        <v>crx</v>
      </c>
      <c r="G252" s="278" t="s">
        <v>776</v>
      </c>
      <c r="H252" s="278" t="s">
        <v>777</v>
      </c>
      <c r="I252" s="278" t="s">
        <v>778</v>
      </c>
      <c r="K252" s="279">
        <f t="shared" si="19"/>
        <v>2400</v>
      </c>
      <c r="M252" s="279">
        <v>2400</v>
      </c>
      <c r="R252" s="278" t="str">
        <f>IF(AND((J252="This"),(L252="Only")),VLOOKUP(G252,#REF!,7,FALSE),"")</f>
        <v/>
      </c>
    </row>
    <row r="253" spans="1:21" x14ac:dyDescent="0.25">
      <c r="A253" s="278">
        <v>3</v>
      </c>
      <c r="C253" s="278">
        <f t="shared" si="15"/>
        <v>40</v>
      </c>
      <c r="D253" s="278">
        <f t="shared" si="16"/>
        <v>3</v>
      </c>
      <c r="E253" s="278">
        <f t="shared" si="17"/>
        <v>15</v>
      </c>
      <c r="F253" s="278" t="str">
        <f t="shared" si="18"/>
        <v>pm</v>
      </c>
      <c r="G253" s="278" t="s">
        <v>779</v>
      </c>
      <c r="H253" s="278" t="s">
        <v>587</v>
      </c>
      <c r="I253" s="278" t="s">
        <v>780</v>
      </c>
      <c r="K253" s="279">
        <f t="shared" si="19"/>
        <v>2468.389371241949</v>
      </c>
      <c r="M253" s="279">
        <v>2400</v>
      </c>
      <c r="N253" s="278">
        <v>2445.1848084913613</v>
      </c>
      <c r="O253" s="278">
        <v>2480.5194251854841</v>
      </c>
      <c r="R253" s="278" t="str">
        <f>IF(AND((J253="This"),(L253="Only")),VLOOKUP(G253,#REF!,7,FALSE),"")</f>
        <v/>
      </c>
      <c r="U253" s="278">
        <v>2468.389371241949</v>
      </c>
    </row>
    <row r="254" spans="1:21" x14ac:dyDescent="0.25">
      <c r="A254" s="278">
        <v>4</v>
      </c>
      <c r="C254" s="278">
        <f t="shared" si="15"/>
        <v>41</v>
      </c>
      <c r="D254" s="278">
        <f t="shared" si="16"/>
        <v>3</v>
      </c>
      <c r="E254" s="278">
        <f t="shared" si="17"/>
        <v>15</v>
      </c>
      <c r="F254" s="278" t="str">
        <f t="shared" si="18"/>
        <v>pm</v>
      </c>
      <c r="G254" s="278" t="s">
        <v>781</v>
      </c>
      <c r="H254" s="278" t="s">
        <v>587</v>
      </c>
      <c r="I254" s="278" t="s">
        <v>782</v>
      </c>
      <c r="K254" s="279">
        <f t="shared" si="19"/>
        <v>2207.770555540747</v>
      </c>
      <c r="M254" s="279">
        <v>2400</v>
      </c>
      <c r="N254" s="278">
        <v>2300.028797134582</v>
      </c>
      <c r="R254" s="278" t="str">
        <f>IF(AND((J254="This"),(L254="Only")),VLOOKUP(G254,#REF!,7,FALSE),"")</f>
        <v/>
      </c>
      <c r="S254" s="278">
        <v>2238.8392128568562</v>
      </c>
      <c r="U254" s="278">
        <v>2207.770555540747</v>
      </c>
    </row>
    <row r="255" spans="1:21" x14ac:dyDescent="0.25">
      <c r="A255" s="278">
        <v>1</v>
      </c>
      <c r="C255" s="278">
        <f t="shared" si="15"/>
        <v>42</v>
      </c>
      <c r="D255" s="278">
        <f t="shared" si="16"/>
        <v>3</v>
      </c>
      <c r="E255" s="278">
        <f t="shared" si="17"/>
        <v>15</v>
      </c>
      <c r="F255" s="278" t="str">
        <f t="shared" si="18"/>
        <v>pmx</v>
      </c>
      <c r="G255" s="278" t="s">
        <v>783</v>
      </c>
      <c r="H255" s="278" t="s">
        <v>239</v>
      </c>
      <c r="I255" s="278" t="s">
        <v>784</v>
      </c>
      <c r="K255" s="279">
        <f t="shared" si="19"/>
        <v>2400</v>
      </c>
      <c r="M255" s="279">
        <v>2400</v>
      </c>
      <c r="R255" s="278" t="str">
        <f>IF(AND((J255="This"),(L255="Only")),VLOOKUP(G255,#REF!,7,FALSE),"")</f>
        <v/>
      </c>
    </row>
    <row r="256" spans="1:21" x14ac:dyDescent="0.25">
      <c r="A256" s="278">
        <v>1</v>
      </c>
      <c r="C256" s="278">
        <f t="shared" si="15"/>
        <v>43</v>
      </c>
      <c r="D256" s="278">
        <f t="shared" si="16"/>
        <v>3</v>
      </c>
      <c r="E256" s="278">
        <f t="shared" si="17"/>
        <v>15</v>
      </c>
      <c r="F256" s="278" t="str">
        <f t="shared" si="18"/>
        <v>pmx</v>
      </c>
      <c r="G256" s="278" t="s">
        <v>785</v>
      </c>
      <c r="H256" s="278" t="s">
        <v>239</v>
      </c>
      <c r="I256" s="278" t="s">
        <v>786</v>
      </c>
      <c r="K256" s="279">
        <f t="shared" si="19"/>
        <v>2400</v>
      </c>
      <c r="M256" s="279">
        <v>2400</v>
      </c>
      <c r="R256" s="278" t="str">
        <f>IF(AND((J256="This"),(L256="Only")),VLOOKUP(G256,#REF!,7,FALSE),"")</f>
        <v/>
      </c>
    </row>
    <row r="257" spans="1:21" x14ac:dyDescent="0.25">
      <c r="A257" s="278">
        <v>3</v>
      </c>
      <c r="C257" s="278">
        <f t="shared" si="15"/>
        <v>44</v>
      </c>
      <c r="D257" s="278">
        <f t="shared" si="16"/>
        <v>3</v>
      </c>
      <c r="E257" s="278">
        <f t="shared" si="17"/>
        <v>15</v>
      </c>
      <c r="F257" s="278" t="str">
        <f t="shared" si="18"/>
        <v>pm</v>
      </c>
      <c r="G257" s="278" t="s">
        <v>787</v>
      </c>
      <c r="H257" s="278" t="s">
        <v>416</v>
      </c>
      <c r="I257" s="278" t="s">
        <v>788</v>
      </c>
      <c r="K257" s="279">
        <f t="shared" si="19"/>
        <v>2452.7285452877954</v>
      </c>
      <c r="M257" s="279">
        <v>2400</v>
      </c>
      <c r="P257" s="278">
        <v>2452.7285452877954</v>
      </c>
      <c r="R257" s="278" t="str">
        <f>IF(AND((J257="This"),(L257="Only")),VLOOKUP(G257,#REF!,7,FALSE),"")</f>
        <v/>
      </c>
    </row>
    <row r="258" spans="1:21" x14ac:dyDescent="0.25">
      <c r="A258" s="278">
        <v>6</v>
      </c>
      <c r="C258" s="278">
        <f t="shared" ref="C258:C321" si="20">IF(E258=E257,C257+1,1)</f>
        <v>45</v>
      </c>
      <c r="D258" s="278">
        <f t="shared" ref="D258:D321" si="21">IF(M258=M257,D257,C258)</f>
        <v>45</v>
      </c>
      <c r="E258" s="278">
        <f t="shared" ref="E258:E321" si="22">10+VALUE(RIGHT(LEFT(G258,3),1))</f>
        <v>15</v>
      </c>
      <c r="F258" s="278" t="str">
        <f t="shared" ref="F258:F321" si="23">RIGHT(G258,2) &amp; IF(A258&lt;2,"x","")</f>
        <v>pm</v>
      </c>
      <c r="G258" s="278" t="s">
        <v>789</v>
      </c>
      <c r="H258" s="278" t="s">
        <v>284</v>
      </c>
      <c r="I258" s="278" t="s">
        <v>790</v>
      </c>
      <c r="K258" s="279">
        <f t="shared" ref="K258:K321" si="24">LOOKUP(1E+100,M258:AC258)</f>
        <v>2102.2891877313273</v>
      </c>
      <c r="M258" s="279">
        <v>2333.3333333333335</v>
      </c>
      <c r="O258" s="278">
        <v>2181.068342313471</v>
      </c>
      <c r="P258" s="278">
        <v>2153.6879824326447</v>
      </c>
      <c r="R258" s="278" t="str">
        <f>IF(AND((J258="This"),(L258="Only")),VLOOKUP(G258,#REF!,7,FALSE),"")</f>
        <v/>
      </c>
      <c r="S258" s="278">
        <v>2100.6667024320777</v>
      </c>
      <c r="U258" s="278">
        <v>2102.2891877313273</v>
      </c>
    </row>
    <row r="259" spans="1:21" x14ac:dyDescent="0.25">
      <c r="A259" s="278">
        <v>4</v>
      </c>
      <c r="C259" s="278">
        <f t="shared" si="20"/>
        <v>46</v>
      </c>
      <c r="D259" s="278">
        <f t="shared" si="21"/>
        <v>46</v>
      </c>
      <c r="E259" s="278">
        <f t="shared" si="22"/>
        <v>15</v>
      </c>
      <c r="F259" s="278" t="str">
        <f t="shared" si="23"/>
        <v>pm</v>
      </c>
      <c r="G259" s="278" t="s">
        <v>791</v>
      </c>
      <c r="H259" s="278" t="s">
        <v>252</v>
      </c>
      <c r="I259" s="278" t="s">
        <v>792</v>
      </c>
      <c r="K259" s="279">
        <f t="shared" si="24"/>
        <v>2376.6455222724007</v>
      </c>
      <c r="M259" s="279">
        <v>2300</v>
      </c>
      <c r="R259" s="278" t="str">
        <f>IF(AND((J259="This"),(L259="Only")),VLOOKUP(G259,#REF!,7,FALSE),"")</f>
        <v/>
      </c>
      <c r="S259" s="278">
        <v>2376.6455222724007</v>
      </c>
    </row>
    <row r="260" spans="1:21" x14ac:dyDescent="0.25">
      <c r="A260" s="278">
        <v>4</v>
      </c>
      <c r="C260" s="278">
        <f t="shared" si="20"/>
        <v>47</v>
      </c>
      <c r="D260" s="278">
        <f t="shared" si="21"/>
        <v>46</v>
      </c>
      <c r="E260" s="278">
        <f t="shared" si="22"/>
        <v>15</v>
      </c>
      <c r="F260" s="278" t="str">
        <f t="shared" si="23"/>
        <v>pm</v>
      </c>
      <c r="G260" s="278" t="s">
        <v>793</v>
      </c>
      <c r="H260" s="278" t="s">
        <v>315</v>
      </c>
      <c r="I260" s="278" t="s">
        <v>794</v>
      </c>
      <c r="K260" s="279">
        <f t="shared" si="24"/>
        <v>2268.3854422372378</v>
      </c>
      <c r="M260" s="279">
        <v>2300</v>
      </c>
      <c r="O260" s="278">
        <v>2235.0356284950308</v>
      </c>
      <c r="P260" s="278">
        <v>2322.1303862295704</v>
      </c>
      <c r="R260" s="278" t="str">
        <f>IF(AND((J260="This"),(L260="Only")),VLOOKUP(G260,#REF!,7,FALSE),"")</f>
        <v/>
      </c>
      <c r="S260" s="278">
        <v>2268.3854422372378</v>
      </c>
    </row>
    <row r="261" spans="1:21" x14ac:dyDescent="0.25">
      <c r="A261" s="278">
        <v>5</v>
      </c>
      <c r="C261" s="278">
        <f t="shared" si="20"/>
        <v>48</v>
      </c>
      <c r="D261" s="278">
        <f t="shared" si="21"/>
        <v>48</v>
      </c>
      <c r="E261" s="278">
        <f t="shared" si="22"/>
        <v>15</v>
      </c>
      <c r="F261" s="278" t="str">
        <f t="shared" si="23"/>
        <v>pm</v>
      </c>
      <c r="G261" s="278" t="s">
        <v>795</v>
      </c>
      <c r="H261" s="278" t="s">
        <v>223</v>
      </c>
      <c r="I261" s="278" t="s">
        <v>796</v>
      </c>
      <c r="K261" s="279">
        <f t="shared" si="24"/>
        <v>2137.7943142165154</v>
      </c>
      <c r="M261" s="279">
        <v>2160</v>
      </c>
      <c r="O261" s="278">
        <v>2166.7401209474078</v>
      </c>
      <c r="R261" s="278" t="str">
        <f>IF(AND((J261="This"),(L261="Only")),VLOOKUP(G261,#REF!,7,FALSE),"")</f>
        <v/>
      </c>
      <c r="S261" s="278">
        <v>2137.7943142165154</v>
      </c>
    </row>
    <row r="262" spans="1:21" x14ac:dyDescent="0.25">
      <c r="A262" s="278">
        <v>6</v>
      </c>
      <c r="C262" s="278">
        <f t="shared" si="20"/>
        <v>49</v>
      </c>
      <c r="D262" s="278">
        <f t="shared" si="21"/>
        <v>49</v>
      </c>
      <c r="E262" s="278">
        <f t="shared" si="22"/>
        <v>15</v>
      </c>
      <c r="F262" s="278" t="str">
        <f t="shared" si="23"/>
        <v>pm</v>
      </c>
      <c r="G262" s="278" t="s">
        <v>797</v>
      </c>
      <c r="H262" s="278" t="s">
        <v>604</v>
      </c>
      <c r="I262" s="278" t="s">
        <v>798</v>
      </c>
      <c r="K262" s="279">
        <f t="shared" si="24"/>
        <v>2212.9846052971011</v>
      </c>
      <c r="M262" s="279">
        <v>2066.6666666666665</v>
      </c>
      <c r="O262" s="278">
        <v>2144.1217834697964</v>
      </c>
      <c r="R262" s="278" t="str">
        <f>IF(AND((J262="This"),(L262="Only")),VLOOKUP(G262,#REF!,7,FALSE),"")</f>
        <v/>
      </c>
      <c r="T262" s="278">
        <v>2212.9846052971011</v>
      </c>
    </row>
    <row r="263" spans="1:21" x14ac:dyDescent="0.25">
      <c r="A263" s="278">
        <v>3</v>
      </c>
      <c r="C263" s="278">
        <f t="shared" si="20"/>
        <v>50</v>
      </c>
      <c r="D263" s="278">
        <f t="shared" si="21"/>
        <v>49</v>
      </c>
      <c r="E263" s="278">
        <f t="shared" si="22"/>
        <v>15</v>
      </c>
      <c r="F263" s="278" t="str">
        <f t="shared" si="23"/>
        <v>so</v>
      </c>
      <c r="G263" s="278" t="s">
        <v>799</v>
      </c>
      <c r="H263" s="278" t="s">
        <v>800</v>
      </c>
      <c r="I263" s="278" t="s">
        <v>801</v>
      </c>
      <c r="K263" s="279">
        <f t="shared" si="24"/>
        <v>2068.7013691027805</v>
      </c>
      <c r="M263" s="279">
        <v>2066.6666666666665</v>
      </c>
      <c r="R263" s="278" t="str">
        <f>IF(AND((J263="This"),(L263="Only")),VLOOKUP(G263,#REF!,7,FALSE),"")</f>
        <v/>
      </c>
      <c r="T263" s="278">
        <v>2068.7013691027805</v>
      </c>
    </row>
    <row r="264" spans="1:21" x14ac:dyDescent="0.25">
      <c r="A264" s="278">
        <v>5</v>
      </c>
      <c r="C264" s="278">
        <f t="shared" si="20"/>
        <v>51</v>
      </c>
      <c r="D264" s="278">
        <f t="shared" si="21"/>
        <v>51</v>
      </c>
      <c r="E264" s="278">
        <f t="shared" si="22"/>
        <v>15</v>
      </c>
      <c r="F264" s="278" t="str">
        <f t="shared" si="23"/>
        <v>pm</v>
      </c>
      <c r="G264" s="278" t="s">
        <v>193</v>
      </c>
      <c r="H264" s="278" t="s">
        <v>802</v>
      </c>
      <c r="I264" s="278" t="s">
        <v>192</v>
      </c>
      <c r="K264" s="279">
        <f t="shared" si="24"/>
        <v>1881.9594079860281</v>
      </c>
      <c r="M264" s="279">
        <v>2000</v>
      </c>
      <c r="O264" s="278">
        <v>1945.5835796928918</v>
      </c>
      <c r="R264" s="278" t="str">
        <f>IF(AND((J264="This"),(L264="Only")),VLOOKUP(G264,#REF!,7,FALSE),"")</f>
        <v/>
      </c>
      <c r="S264" s="278">
        <v>1904.1046446104472</v>
      </c>
      <c r="T264" s="278">
        <v>1881.9594079860281</v>
      </c>
    </row>
    <row r="265" spans="1:21" x14ac:dyDescent="0.25">
      <c r="A265" s="278">
        <v>1</v>
      </c>
      <c r="C265" s="278">
        <f t="shared" si="20"/>
        <v>52</v>
      </c>
      <c r="D265" s="278">
        <f t="shared" si="21"/>
        <v>51</v>
      </c>
      <c r="E265" s="278">
        <f t="shared" si="22"/>
        <v>15</v>
      </c>
      <c r="F265" s="278" t="str">
        <f t="shared" si="23"/>
        <v>crx</v>
      </c>
      <c r="G265" s="278" t="s">
        <v>803</v>
      </c>
      <c r="H265" s="278" t="s">
        <v>804</v>
      </c>
      <c r="I265" s="278" t="s">
        <v>805</v>
      </c>
      <c r="K265" s="279">
        <f t="shared" si="24"/>
        <v>2067.7629540639618</v>
      </c>
      <c r="M265" s="279">
        <v>2000</v>
      </c>
      <c r="O265" s="278">
        <v>2067.7629540639618</v>
      </c>
      <c r="R265" s="278" t="str">
        <f>IF(AND((J265="This"),(L265="Only")),VLOOKUP(G265,#REF!,7,FALSE),"")</f>
        <v/>
      </c>
    </row>
    <row r="266" spans="1:21" x14ac:dyDescent="0.25">
      <c r="A266" s="278">
        <v>3</v>
      </c>
      <c r="C266" s="278">
        <f t="shared" si="20"/>
        <v>53</v>
      </c>
      <c r="D266" s="278">
        <f t="shared" si="21"/>
        <v>51</v>
      </c>
      <c r="E266" s="278">
        <f t="shared" si="22"/>
        <v>15</v>
      </c>
      <c r="F266" s="278" t="str">
        <f t="shared" si="23"/>
        <v>pm</v>
      </c>
      <c r="G266" s="280" t="s">
        <v>806</v>
      </c>
      <c r="H266" s="278" t="s">
        <v>807</v>
      </c>
      <c r="I266" s="278" t="s">
        <v>808</v>
      </c>
      <c r="K266" s="279">
        <f t="shared" si="24"/>
        <v>2125.6672368874802</v>
      </c>
      <c r="M266" s="279">
        <v>2000</v>
      </c>
      <c r="R266" s="278" t="str">
        <f>IF(AND((J266="This"),(L266="Only")),VLOOKUP(G266,#REF!,7,FALSE),"")</f>
        <v/>
      </c>
      <c r="S266" s="278">
        <v>2125.6672368874802</v>
      </c>
    </row>
    <row r="267" spans="1:21" x14ac:dyDescent="0.25">
      <c r="A267" s="278">
        <v>2</v>
      </c>
      <c r="C267" s="278">
        <f t="shared" si="20"/>
        <v>54</v>
      </c>
      <c r="D267" s="278">
        <f t="shared" si="21"/>
        <v>51</v>
      </c>
      <c r="E267" s="278">
        <f t="shared" si="22"/>
        <v>15</v>
      </c>
      <c r="F267" s="278" t="str">
        <f t="shared" si="23"/>
        <v>cr</v>
      </c>
      <c r="G267" s="278" t="s">
        <v>809</v>
      </c>
      <c r="H267" s="278" t="s">
        <v>229</v>
      </c>
      <c r="I267" s="278" t="s">
        <v>810</v>
      </c>
      <c r="K267" s="279">
        <f t="shared" si="24"/>
        <v>2000</v>
      </c>
      <c r="M267" s="279">
        <v>2000</v>
      </c>
      <c r="R267" s="278" t="str">
        <f>IF(AND((J267="This"),(L267="Only")),VLOOKUP(G267,#REF!,7,FALSE),"")</f>
        <v/>
      </c>
    </row>
    <row r="268" spans="1:21" x14ac:dyDescent="0.25">
      <c r="A268" s="278">
        <v>1</v>
      </c>
      <c r="C268" s="278">
        <f t="shared" si="20"/>
        <v>55</v>
      </c>
      <c r="D268" s="278">
        <f t="shared" si="21"/>
        <v>51</v>
      </c>
      <c r="E268" s="278">
        <f t="shared" si="22"/>
        <v>15</v>
      </c>
      <c r="F268" s="278" t="str">
        <f t="shared" si="23"/>
        <v>pmx</v>
      </c>
      <c r="G268" s="278" t="s">
        <v>811</v>
      </c>
      <c r="H268" s="278" t="s">
        <v>247</v>
      </c>
      <c r="I268" s="278" t="s">
        <v>812</v>
      </c>
      <c r="K268" s="279">
        <f t="shared" si="24"/>
        <v>1956.945013216829</v>
      </c>
      <c r="M268" s="279">
        <v>2000</v>
      </c>
      <c r="O268" s="278">
        <v>1956.945013216829</v>
      </c>
      <c r="R268" s="278" t="str">
        <f>IF(AND((J268="This"),(L268="Only")),VLOOKUP(G268,#REF!,7,FALSE),"")</f>
        <v/>
      </c>
    </row>
    <row r="269" spans="1:21" x14ac:dyDescent="0.25">
      <c r="A269" s="278">
        <v>2</v>
      </c>
      <c r="C269" s="278">
        <f t="shared" si="20"/>
        <v>56</v>
      </c>
      <c r="D269" s="278">
        <f t="shared" si="21"/>
        <v>51</v>
      </c>
      <c r="E269" s="278">
        <f t="shared" si="22"/>
        <v>15</v>
      </c>
      <c r="F269" s="278" t="str">
        <f t="shared" si="23"/>
        <v>pm</v>
      </c>
      <c r="G269" s="278" t="s">
        <v>813</v>
      </c>
      <c r="H269" s="278" t="s">
        <v>268</v>
      </c>
      <c r="I269" s="278" t="s">
        <v>814</v>
      </c>
      <c r="K269" s="279">
        <f t="shared" si="24"/>
        <v>2026.0099610120353</v>
      </c>
      <c r="M269" s="279">
        <v>2000</v>
      </c>
      <c r="O269" s="278">
        <v>2026.0099610120353</v>
      </c>
      <c r="R269" s="278" t="str">
        <f>IF(AND((J269="This"),(L269="Only")),VLOOKUP(G269,#REF!,7,FALSE),"")</f>
        <v/>
      </c>
    </row>
    <row r="270" spans="1:21" x14ac:dyDescent="0.25">
      <c r="A270" s="278">
        <v>1</v>
      </c>
      <c r="C270" s="278">
        <f t="shared" si="20"/>
        <v>57</v>
      </c>
      <c r="D270" s="278">
        <f t="shared" si="21"/>
        <v>51</v>
      </c>
      <c r="E270" s="278">
        <f t="shared" si="22"/>
        <v>15</v>
      </c>
      <c r="F270" s="278" t="str">
        <f t="shared" si="23"/>
        <v>crx</v>
      </c>
      <c r="G270" s="278" t="s">
        <v>815</v>
      </c>
      <c r="H270" s="278" t="s">
        <v>373</v>
      </c>
      <c r="I270" s="278" t="s">
        <v>816</v>
      </c>
      <c r="K270" s="279">
        <f t="shared" si="24"/>
        <v>2186.2537904112141</v>
      </c>
      <c r="M270" s="279">
        <v>2000</v>
      </c>
      <c r="O270" s="278">
        <v>2186.2537904112141</v>
      </c>
      <c r="R270" s="278" t="str">
        <f>IF(AND((J270="This"),(L270="Only")),VLOOKUP(G270,#REF!,7,FALSE),"")</f>
        <v/>
      </c>
    </row>
    <row r="271" spans="1:21" x14ac:dyDescent="0.25">
      <c r="A271" s="278">
        <v>3</v>
      </c>
      <c r="C271" s="278">
        <f t="shared" si="20"/>
        <v>58</v>
      </c>
      <c r="D271" s="278">
        <f t="shared" si="21"/>
        <v>51</v>
      </c>
      <c r="E271" s="278">
        <f t="shared" si="22"/>
        <v>15</v>
      </c>
      <c r="F271" s="278" t="str">
        <f t="shared" si="23"/>
        <v>pm</v>
      </c>
      <c r="G271" s="278" t="s">
        <v>817</v>
      </c>
      <c r="H271" s="278" t="s">
        <v>217</v>
      </c>
      <c r="I271" s="278" t="s">
        <v>818</v>
      </c>
      <c r="K271" s="279">
        <f t="shared" si="24"/>
        <v>1946.6508848780252</v>
      </c>
      <c r="M271" s="279">
        <v>2000</v>
      </c>
      <c r="O271" s="278">
        <v>1946.6508848780252</v>
      </c>
      <c r="R271" s="278" t="str">
        <f>IF(AND((J271="This"),(L271="Only")),VLOOKUP(G271,#REF!,7,FALSE),"")</f>
        <v/>
      </c>
    </row>
    <row r="272" spans="1:21" x14ac:dyDescent="0.25">
      <c r="A272" s="278">
        <v>6</v>
      </c>
      <c r="C272" s="278">
        <f t="shared" si="20"/>
        <v>59</v>
      </c>
      <c r="D272" s="278">
        <f t="shared" si="21"/>
        <v>51</v>
      </c>
      <c r="E272" s="278">
        <f t="shared" si="22"/>
        <v>15</v>
      </c>
      <c r="F272" s="278" t="str">
        <f t="shared" si="23"/>
        <v>pm</v>
      </c>
      <c r="G272" s="278" t="s">
        <v>195</v>
      </c>
      <c r="H272" s="278" t="s">
        <v>284</v>
      </c>
      <c r="I272" s="278" t="s">
        <v>194</v>
      </c>
      <c r="K272" s="279">
        <f t="shared" si="24"/>
        <v>1815.1405956068922</v>
      </c>
      <c r="M272" s="279">
        <v>2000</v>
      </c>
      <c r="O272" s="278">
        <v>1899.8845696374212</v>
      </c>
      <c r="R272" s="278" t="str">
        <f>IF(AND((J272="This"),(L272="Only")),VLOOKUP(G272,#REF!,7,FALSE),"")</f>
        <v/>
      </c>
      <c r="S272" s="278">
        <v>1879.5086780308623</v>
      </c>
      <c r="T272" s="278">
        <v>1815.1405956068922</v>
      </c>
    </row>
    <row r="273" spans="1:21" x14ac:dyDescent="0.25">
      <c r="A273" s="278">
        <v>5</v>
      </c>
      <c r="C273" s="278">
        <f t="shared" si="20"/>
        <v>60</v>
      </c>
      <c r="D273" s="278">
        <f t="shared" si="21"/>
        <v>51</v>
      </c>
      <c r="E273" s="278">
        <f t="shared" si="22"/>
        <v>15</v>
      </c>
      <c r="F273" s="278" t="str">
        <f t="shared" si="23"/>
        <v>pm</v>
      </c>
      <c r="G273" s="278" t="s">
        <v>819</v>
      </c>
      <c r="H273" s="278" t="s">
        <v>287</v>
      </c>
      <c r="I273" s="278" t="s">
        <v>820</v>
      </c>
      <c r="K273" s="279">
        <f t="shared" si="24"/>
        <v>1985.4963518902775</v>
      </c>
      <c r="M273" s="279">
        <v>2000</v>
      </c>
      <c r="O273" s="278">
        <v>2082.3894703533642</v>
      </c>
      <c r="R273" s="278" t="str">
        <f>IF(AND((J273="This"),(L273="Only")),VLOOKUP(G273,#REF!,7,FALSE),"")</f>
        <v/>
      </c>
      <c r="S273" s="278">
        <v>1985.4963518902775</v>
      </c>
    </row>
    <row r="274" spans="1:21" x14ac:dyDescent="0.25">
      <c r="A274" s="278">
        <v>2</v>
      </c>
      <c r="C274" s="278">
        <f t="shared" si="20"/>
        <v>61</v>
      </c>
      <c r="D274" s="278">
        <f t="shared" si="21"/>
        <v>51</v>
      </c>
      <c r="E274" s="278">
        <f t="shared" si="22"/>
        <v>15</v>
      </c>
      <c r="F274" s="278" t="str">
        <f t="shared" si="23"/>
        <v>pm</v>
      </c>
      <c r="G274" s="278" t="s">
        <v>191</v>
      </c>
      <c r="H274" s="278" t="s">
        <v>252</v>
      </c>
      <c r="I274" s="278" t="s">
        <v>190</v>
      </c>
      <c r="K274" s="279">
        <f t="shared" si="24"/>
        <v>1937.3837972359004</v>
      </c>
      <c r="M274" s="279">
        <v>2000</v>
      </c>
      <c r="R274" s="278" t="str">
        <f>IF(AND((J274="This"),(L274="Only")),VLOOKUP(G274,#REF!,7,FALSE),"")</f>
        <v/>
      </c>
      <c r="S274" s="278">
        <v>2019.4002681448881</v>
      </c>
      <c r="T274" s="278">
        <v>1937.3837972359004</v>
      </c>
    </row>
    <row r="275" spans="1:21" x14ac:dyDescent="0.25">
      <c r="A275" s="278">
        <v>4</v>
      </c>
      <c r="C275" s="278">
        <f t="shared" si="20"/>
        <v>62</v>
      </c>
      <c r="D275" s="278">
        <f t="shared" si="21"/>
        <v>51</v>
      </c>
      <c r="E275" s="278">
        <f t="shared" si="22"/>
        <v>15</v>
      </c>
      <c r="F275" s="278" t="str">
        <f t="shared" si="23"/>
        <v>pm</v>
      </c>
      <c r="G275" s="278" t="s">
        <v>189</v>
      </c>
      <c r="H275" s="278" t="s">
        <v>296</v>
      </c>
      <c r="I275" s="278" t="s">
        <v>188</v>
      </c>
      <c r="K275" s="279">
        <f t="shared" si="24"/>
        <v>1962.7309363652487</v>
      </c>
      <c r="M275" s="279">
        <v>2000</v>
      </c>
      <c r="R275" s="278" t="str">
        <f>IF(AND((J275="This"),(L275="Only")),VLOOKUP(G275,#REF!,7,FALSE),"")</f>
        <v/>
      </c>
      <c r="T275" s="278">
        <v>1962.7309363652487</v>
      </c>
    </row>
    <row r="276" spans="1:21" x14ac:dyDescent="0.25">
      <c r="A276" s="278">
        <v>5</v>
      </c>
      <c r="C276" s="278">
        <f t="shared" si="20"/>
        <v>63</v>
      </c>
      <c r="D276" s="278">
        <f t="shared" si="21"/>
        <v>51</v>
      </c>
      <c r="E276" s="278">
        <f t="shared" si="22"/>
        <v>15</v>
      </c>
      <c r="F276" s="278" t="str">
        <f t="shared" si="23"/>
        <v>pm</v>
      </c>
      <c r="G276" s="278" t="s">
        <v>187</v>
      </c>
      <c r="H276" s="278" t="s">
        <v>301</v>
      </c>
      <c r="I276" s="278" t="s">
        <v>186</v>
      </c>
      <c r="K276" s="279">
        <f t="shared" si="24"/>
        <v>1967.5899225540977</v>
      </c>
      <c r="M276" s="279">
        <v>2000</v>
      </c>
      <c r="R276" s="278" t="str">
        <f>IF(AND((J276="This"),(L276="Only")),VLOOKUP(G276,#REF!,7,FALSE),"")</f>
        <v/>
      </c>
      <c r="S276" s="278">
        <v>1951.6936515310344</v>
      </c>
      <c r="T276" s="278">
        <v>1967.5899225540977</v>
      </c>
    </row>
    <row r="277" spans="1:21" x14ac:dyDescent="0.25">
      <c r="A277" s="278">
        <v>5</v>
      </c>
      <c r="C277" s="278">
        <f t="shared" si="20"/>
        <v>64</v>
      </c>
      <c r="D277" s="278">
        <f t="shared" si="21"/>
        <v>51</v>
      </c>
      <c r="E277" s="278">
        <f t="shared" si="22"/>
        <v>15</v>
      </c>
      <c r="F277" s="278" t="str">
        <f t="shared" si="23"/>
        <v>pm</v>
      </c>
      <c r="G277" s="278" t="s">
        <v>821</v>
      </c>
      <c r="H277" s="278" t="s">
        <v>301</v>
      </c>
      <c r="I277" s="278" t="s">
        <v>822</v>
      </c>
      <c r="K277" s="279">
        <f t="shared" si="24"/>
        <v>2000</v>
      </c>
      <c r="M277" s="279">
        <v>2000</v>
      </c>
      <c r="R277" s="278" t="str">
        <f>IF(AND((J277="This"),(L277="Only")),VLOOKUP(G277,#REF!,7,FALSE),"")</f>
        <v/>
      </c>
    </row>
    <row r="278" spans="1:21" x14ac:dyDescent="0.25">
      <c r="A278" s="278">
        <v>6</v>
      </c>
      <c r="C278" s="278">
        <f t="shared" si="20"/>
        <v>65</v>
      </c>
      <c r="D278" s="278">
        <f t="shared" si="21"/>
        <v>51</v>
      </c>
      <c r="E278" s="278">
        <f t="shared" si="22"/>
        <v>15</v>
      </c>
      <c r="F278" s="278" t="str">
        <f t="shared" si="23"/>
        <v>pm</v>
      </c>
      <c r="G278" s="278" t="s">
        <v>823</v>
      </c>
      <c r="H278" s="278" t="s">
        <v>333</v>
      </c>
      <c r="I278" s="278" t="s">
        <v>824</v>
      </c>
      <c r="K278" s="279">
        <f t="shared" si="24"/>
        <v>2066.7296561866906</v>
      </c>
      <c r="M278" s="279">
        <v>2000</v>
      </c>
      <c r="O278" s="278">
        <v>2021.5539015085499</v>
      </c>
      <c r="R278" s="278" t="str">
        <f>IF(AND((J278="This"),(L278="Only")),VLOOKUP(G278,#REF!,7,FALSE),"")</f>
        <v/>
      </c>
      <c r="S278" s="278">
        <v>2077.8601411897835</v>
      </c>
      <c r="T278" s="278">
        <v>2066.7296561866906</v>
      </c>
    </row>
    <row r="279" spans="1:21" x14ac:dyDescent="0.25">
      <c r="A279" s="278">
        <v>2</v>
      </c>
      <c r="C279" s="278">
        <f t="shared" si="20"/>
        <v>66</v>
      </c>
      <c r="D279" s="278">
        <f t="shared" si="21"/>
        <v>51</v>
      </c>
      <c r="E279" s="278">
        <f t="shared" si="22"/>
        <v>15</v>
      </c>
      <c r="F279" s="278" t="str">
        <f t="shared" si="23"/>
        <v>cr</v>
      </c>
      <c r="G279" s="278" t="s">
        <v>825</v>
      </c>
      <c r="H279" s="278" t="s">
        <v>304</v>
      </c>
      <c r="I279" s="278" t="s">
        <v>826</v>
      </c>
      <c r="K279" s="279">
        <f t="shared" si="24"/>
        <v>2092.5746381180716</v>
      </c>
      <c r="M279" s="279">
        <v>2000</v>
      </c>
      <c r="R279" s="278" t="str">
        <f>IF(AND((J279="This"),(L279="Only")),VLOOKUP(G279,#REF!,7,FALSE),"")</f>
        <v/>
      </c>
      <c r="T279" s="278">
        <v>2092.5746381180716</v>
      </c>
    </row>
    <row r="280" spans="1:21" x14ac:dyDescent="0.25">
      <c r="A280" s="278">
        <v>2</v>
      </c>
      <c r="C280" s="278">
        <f t="shared" si="20"/>
        <v>67</v>
      </c>
      <c r="D280" s="278">
        <f t="shared" si="21"/>
        <v>51</v>
      </c>
      <c r="E280" s="278">
        <f t="shared" si="22"/>
        <v>15</v>
      </c>
      <c r="F280" s="278" t="str">
        <f t="shared" si="23"/>
        <v>pm</v>
      </c>
      <c r="G280" s="278" t="s">
        <v>827</v>
      </c>
      <c r="H280" s="278" t="s">
        <v>226</v>
      </c>
      <c r="I280" s="278" t="s">
        <v>828</v>
      </c>
      <c r="K280" s="279">
        <f t="shared" si="24"/>
        <v>2000</v>
      </c>
      <c r="M280" s="279">
        <v>2000</v>
      </c>
      <c r="R280" s="278" t="str">
        <f>IF(AND((J280="This"),(L280="Only")),VLOOKUP(G280,#REF!,7,FALSE),"")</f>
        <v/>
      </c>
    </row>
    <row r="281" spans="1:21" x14ac:dyDescent="0.25">
      <c r="A281" s="278">
        <v>1</v>
      </c>
      <c r="C281" s="278">
        <f t="shared" si="20"/>
        <v>68</v>
      </c>
      <c r="D281" s="278">
        <f t="shared" si="21"/>
        <v>51</v>
      </c>
      <c r="E281" s="278">
        <f t="shared" si="22"/>
        <v>15</v>
      </c>
      <c r="F281" s="278" t="str">
        <f t="shared" si="23"/>
        <v>pmx</v>
      </c>
      <c r="G281" s="278" t="s">
        <v>829</v>
      </c>
      <c r="H281" s="278" t="s">
        <v>226</v>
      </c>
      <c r="I281" s="278" t="s">
        <v>830</v>
      </c>
      <c r="K281" s="279">
        <f t="shared" si="24"/>
        <v>2000</v>
      </c>
      <c r="M281" s="279">
        <v>2000</v>
      </c>
      <c r="R281" s="278" t="str">
        <f>IF(AND((J281="This"),(L281="Only")),VLOOKUP(G281,#REF!,7,FALSE),"")</f>
        <v/>
      </c>
    </row>
    <row r="282" spans="1:21" x14ac:dyDescent="0.25">
      <c r="A282" s="278">
        <v>5</v>
      </c>
      <c r="C282" s="278">
        <f t="shared" si="20"/>
        <v>69</v>
      </c>
      <c r="D282" s="278">
        <f t="shared" si="21"/>
        <v>51</v>
      </c>
      <c r="E282" s="278">
        <f t="shared" si="22"/>
        <v>15</v>
      </c>
      <c r="F282" s="278" t="str">
        <f t="shared" si="23"/>
        <v>pm</v>
      </c>
      <c r="G282" s="278" t="s">
        <v>831</v>
      </c>
      <c r="H282" s="278" t="s">
        <v>232</v>
      </c>
      <c r="I282" s="278" t="s">
        <v>832</v>
      </c>
      <c r="K282" s="279">
        <f t="shared" si="24"/>
        <v>2058.6723054658987</v>
      </c>
      <c r="M282" s="279">
        <v>2000</v>
      </c>
      <c r="R282" s="278" t="str">
        <f>IF(AND((J282="This"),(L282="Only")),VLOOKUP(G282,#REF!,7,FALSE),"")</f>
        <v/>
      </c>
      <c r="S282" s="278">
        <v>2021.1114002752317</v>
      </c>
      <c r="T282" s="278">
        <v>2058.6723054658987</v>
      </c>
    </row>
    <row r="283" spans="1:21" x14ac:dyDescent="0.25">
      <c r="A283" s="278">
        <v>1</v>
      </c>
      <c r="C283" s="278">
        <f t="shared" si="20"/>
        <v>70</v>
      </c>
      <c r="D283" s="278">
        <f t="shared" si="21"/>
        <v>51</v>
      </c>
      <c r="E283" s="278">
        <f t="shared" si="22"/>
        <v>15</v>
      </c>
      <c r="F283" s="278" t="str">
        <f t="shared" si="23"/>
        <v>sox</v>
      </c>
      <c r="G283" s="278" t="s">
        <v>833</v>
      </c>
      <c r="H283" s="278" t="s">
        <v>687</v>
      </c>
      <c r="I283" s="278" t="s">
        <v>834</v>
      </c>
      <c r="K283" s="279">
        <f t="shared" si="24"/>
        <v>2000</v>
      </c>
      <c r="M283" s="279">
        <v>2000</v>
      </c>
      <c r="R283" s="278" t="str">
        <f>IF(AND((J283="This"),(L283="Only")),VLOOKUP(G283,#REF!,7,FALSE),"")</f>
        <v/>
      </c>
    </row>
    <row r="284" spans="1:21" x14ac:dyDescent="0.25">
      <c r="A284" s="278">
        <v>1</v>
      </c>
      <c r="C284" s="278">
        <f t="shared" si="20"/>
        <v>1</v>
      </c>
      <c r="D284" s="278">
        <f t="shared" si="21"/>
        <v>1</v>
      </c>
      <c r="E284" s="278">
        <f t="shared" si="22"/>
        <v>16</v>
      </c>
      <c r="F284" s="278" t="str">
        <f t="shared" si="23"/>
        <v>sox</v>
      </c>
      <c r="G284" s="278" t="s">
        <v>835</v>
      </c>
      <c r="H284" s="278" t="s">
        <v>244</v>
      </c>
      <c r="I284" s="278" t="s">
        <v>836</v>
      </c>
      <c r="K284" s="279">
        <f t="shared" si="24"/>
        <v>2504.0110612829112</v>
      </c>
      <c r="M284" s="279">
        <v>2600</v>
      </c>
      <c r="R284" s="278" t="str">
        <f>IF(AND((J284="This"),(L284="Only")),VLOOKUP(G284,#REF!,7,FALSE),"")</f>
        <v/>
      </c>
      <c r="U284" s="278">
        <v>2504.0110612829112</v>
      </c>
    </row>
    <row r="285" spans="1:21" x14ac:dyDescent="0.25">
      <c r="A285" s="278">
        <v>1</v>
      </c>
      <c r="C285" s="278">
        <f t="shared" si="20"/>
        <v>2</v>
      </c>
      <c r="D285" s="278">
        <f t="shared" si="21"/>
        <v>1</v>
      </c>
      <c r="E285" s="278">
        <f t="shared" si="22"/>
        <v>16</v>
      </c>
      <c r="F285" s="278" t="str">
        <f t="shared" si="23"/>
        <v>crx</v>
      </c>
      <c r="G285" s="278" t="s">
        <v>837</v>
      </c>
      <c r="H285" s="278" t="s">
        <v>229</v>
      </c>
      <c r="I285" s="278" t="s">
        <v>838</v>
      </c>
      <c r="K285" s="279">
        <f t="shared" si="24"/>
        <v>2600</v>
      </c>
      <c r="M285" s="279">
        <v>2600</v>
      </c>
      <c r="R285" s="278" t="str">
        <f>IF(AND((J285="This"),(L285="Only")),VLOOKUP(G285,#REF!,7,FALSE),"")</f>
        <v/>
      </c>
    </row>
    <row r="286" spans="1:21" x14ac:dyDescent="0.25">
      <c r="A286" s="278">
        <v>1</v>
      </c>
      <c r="C286" s="278">
        <f t="shared" si="20"/>
        <v>3</v>
      </c>
      <c r="D286" s="278">
        <f t="shared" si="21"/>
        <v>1</v>
      </c>
      <c r="E286" s="278">
        <f t="shared" si="22"/>
        <v>16</v>
      </c>
      <c r="F286" s="278" t="str">
        <f t="shared" si="23"/>
        <v>crx</v>
      </c>
      <c r="G286" s="278" t="s">
        <v>839</v>
      </c>
      <c r="H286" s="278" t="s">
        <v>229</v>
      </c>
      <c r="I286" s="278" t="s">
        <v>840</v>
      </c>
      <c r="K286" s="279">
        <f t="shared" si="24"/>
        <v>2600</v>
      </c>
      <c r="M286" s="279">
        <v>2600</v>
      </c>
      <c r="R286" s="278" t="str">
        <f>IF(AND((J286="This"),(L286="Only")),VLOOKUP(G286,#REF!,7,FALSE),"")</f>
        <v/>
      </c>
    </row>
    <row r="287" spans="1:21" x14ac:dyDescent="0.25">
      <c r="A287" s="278">
        <v>2</v>
      </c>
      <c r="C287" s="278">
        <f t="shared" si="20"/>
        <v>4</v>
      </c>
      <c r="D287" s="278">
        <f t="shared" si="21"/>
        <v>1</v>
      </c>
      <c r="E287" s="278">
        <f t="shared" si="22"/>
        <v>16</v>
      </c>
      <c r="F287" s="278" t="str">
        <f t="shared" si="23"/>
        <v>pm</v>
      </c>
      <c r="G287" s="278" t="s">
        <v>841</v>
      </c>
      <c r="H287" s="278" t="s">
        <v>268</v>
      </c>
      <c r="I287" s="278" t="s">
        <v>842</v>
      </c>
      <c r="K287" s="279">
        <f t="shared" si="24"/>
        <v>2733.3498205891706</v>
      </c>
      <c r="M287" s="279">
        <v>2600</v>
      </c>
      <c r="N287" s="278">
        <v>2733.3498205891706</v>
      </c>
      <c r="R287" s="278" t="str">
        <f>IF(AND((J287="This"),(L287="Only")),VLOOKUP(G287,#REF!,7,FALSE),"")</f>
        <v/>
      </c>
    </row>
    <row r="288" spans="1:21" x14ac:dyDescent="0.25">
      <c r="A288" s="278">
        <v>1</v>
      </c>
      <c r="C288" s="278">
        <f t="shared" si="20"/>
        <v>5</v>
      </c>
      <c r="D288" s="278">
        <f t="shared" si="21"/>
        <v>1</v>
      </c>
      <c r="E288" s="278">
        <f t="shared" si="22"/>
        <v>16</v>
      </c>
      <c r="F288" s="278" t="str">
        <f t="shared" si="23"/>
        <v>crx</v>
      </c>
      <c r="G288" s="278" t="s">
        <v>843</v>
      </c>
      <c r="H288" s="278" t="s">
        <v>709</v>
      </c>
      <c r="I288" s="278" t="s">
        <v>844</v>
      </c>
      <c r="K288" s="279">
        <f t="shared" si="24"/>
        <v>2632.2998562242606</v>
      </c>
      <c r="M288" s="279">
        <v>2600</v>
      </c>
      <c r="R288" s="278" t="str">
        <f>IF(AND((J288="This"),(L288="Only")),VLOOKUP(G288,#REF!,7,FALSE),"")</f>
        <v/>
      </c>
      <c r="U288" s="278">
        <v>2632.2998562242606</v>
      </c>
    </row>
    <row r="289" spans="1:21" x14ac:dyDescent="0.25">
      <c r="A289" s="278">
        <v>4</v>
      </c>
      <c r="C289" s="278">
        <f t="shared" si="20"/>
        <v>6</v>
      </c>
      <c r="D289" s="278">
        <f t="shared" si="21"/>
        <v>1</v>
      </c>
      <c r="E289" s="278">
        <f t="shared" si="22"/>
        <v>16</v>
      </c>
      <c r="F289" s="278" t="str">
        <f t="shared" si="23"/>
        <v>pm</v>
      </c>
      <c r="G289" s="278" t="s">
        <v>845</v>
      </c>
      <c r="H289" s="278" t="s">
        <v>217</v>
      </c>
      <c r="I289" s="278" t="s">
        <v>846</v>
      </c>
      <c r="K289" s="279">
        <f t="shared" si="24"/>
        <v>2486.488090625131</v>
      </c>
      <c r="M289" s="279">
        <v>2600</v>
      </c>
      <c r="N289" s="278">
        <v>2526.5055164901037</v>
      </c>
      <c r="R289" s="278" t="str">
        <f>IF(AND((J289="This"),(L289="Only")),VLOOKUP(G289,#REF!,7,FALSE),"")</f>
        <v/>
      </c>
      <c r="U289" s="278">
        <v>2486.488090625131</v>
      </c>
    </row>
    <row r="290" spans="1:21" x14ac:dyDescent="0.25">
      <c r="A290" s="278">
        <v>4</v>
      </c>
      <c r="C290" s="278">
        <f t="shared" si="20"/>
        <v>7</v>
      </c>
      <c r="D290" s="278">
        <f t="shared" si="21"/>
        <v>1</v>
      </c>
      <c r="E290" s="278">
        <f t="shared" si="22"/>
        <v>16</v>
      </c>
      <c r="F290" s="278" t="str">
        <f t="shared" si="23"/>
        <v>pm</v>
      </c>
      <c r="G290" s="278" t="s">
        <v>847</v>
      </c>
      <c r="H290" s="278" t="s">
        <v>281</v>
      </c>
      <c r="I290" s="278" t="s">
        <v>848</v>
      </c>
      <c r="K290" s="279">
        <f t="shared" si="24"/>
        <v>2535.9077333062396</v>
      </c>
      <c r="M290" s="279">
        <v>2600</v>
      </c>
      <c r="N290" s="278">
        <v>2579.117618958388</v>
      </c>
      <c r="R290" s="278" t="str">
        <f>IF(AND((J290="This"),(L290="Only")),VLOOKUP(G290,#REF!,7,FALSE),"")</f>
        <v/>
      </c>
      <c r="U290" s="278">
        <v>2535.9077333062396</v>
      </c>
    </row>
    <row r="291" spans="1:21" x14ac:dyDescent="0.25">
      <c r="A291" s="278">
        <v>6</v>
      </c>
      <c r="C291" s="278">
        <f t="shared" si="20"/>
        <v>8</v>
      </c>
      <c r="D291" s="278">
        <f t="shared" si="21"/>
        <v>1</v>
      </c>
      <c r="E291" s="278">
        <f t="shared" si="22"/>
        <v>16</v>
      </c>
      <c r="F291" s="278" t="str">
        <f t="shared" si="23"/>
        <v>pm</v>
      </c>
      <c r="G291" s="278" t="s">
        <v>849</v>
      </c>
      <c r="H291" s="278" t="s">
        <v>284</v>
      </c>
      <c r="I291" s="278" t="s">
        <v>850</v>
      </c>
      <c r="K291" s="279">
        <f t="shared" si="24"/>
        <v>2565.5592008458225</v>
      </c>
      <c r="M291" s="279">
        <v>2600</v>
      </c>
      <c r="N291" s="278">
        <v>2557.2067071974066</v>
      </c>
      <c r="P291" s="278">
        <v>2579.1687371210223</v>
      </c>
      <c r="R291" s="278" t="str">
        <f>IF(AND((J291="This"),(L291="Only")),VLOOKUP(G291,#REF!,7,FALSE),"")</f>
        <v/>
      </c>
      <c r="S291" s="278">
        <v>2569.3380197886345</v>
      </c>
      <c r="U291" s="278">
        <v>2565.5592008458225</v>
      </c>
    </row>
    <row r="292" spans="1:21" x14ac:dyDescent="0.25">
      <c r="A292" s="278">
        <v>4</v>
      </c>
      <c r="C292" s="278">
        <f t="shared" si="20"/>
        <v>9</v>
      </c>
      <c r="D292" s="278">
        <f t="shared" si="21"/>
        <v>1</v>
      </c>
      <c r="E292" s="278">
        <f t="shared" si="22"/>
        <v>16</v>
      </c>
      <c r="F292" s="278" t="str">
        <f t="shared" si="23"/>
        <v>pm</v>
      </c>
      <c r="G292" s="278" t="s">
        <v>851</v>
      </c>
      <c r="H292" s="278" t="s">
        <v>259</v>
      </c>
      <c r="I292" s="278" t="s">
        <v>852</v>
      </c>
      <c r="K292" s="279">
        <f t="shared" si="24"/>
        <v>2525.0778087923932</v>
      </c>
      <c r="M292" s="279">
        <v>2600</v>
      </c>
      <c r="N292" s="278">
        <v>2541.6561802258602</v>
      </c>
      <c r="R292" s="278" t="str">
        <f>IF(AND((J292="This"),(L292="Only")),VLOOKUP(G292,#REF!,7,FALSE),"")</f>
        <v/>
      </c>
      <c r="S292" s="278">
        <v>2507.3814986686125</v>
      </c>
      <c r="U292" s="278">
        <v>2525.0778087923932</v>
      </c>
    </row>
    <row r="293" spans="1:21" x14ac:dyDescent="0.25">
      <c r="A293" s="278">
        <v>2</v>
      </c>
      <c r="C293" s="278">
        <f t="shared" si="20"/>
        <v>10</v>
      </c>
      <c r="D293" s="278">
        <f t="shared" si="21"/>
        <v>1</v>
      </c>
      <c r="E293" s="278">
        <f t="shared" si="22"/>
        <v>16</v>
      </c>
      <c r="F293" s="278" t="str">
        <f t="shared" si="23"/>
        <v>pm</v>
      </c>
      <c r="G293" s="278" t="s">
        <v>853</v>
      </c>
      <c r="H293" s="278" t="s">
        <v>290</v>
      </c>
      <c r="I293" s="278" t="s">
        <v>854</v>
      </c>
      <c r="K293" s="279">
        <f t="shared" si="24"/>
        <v>2547.1639555804077</v>
      </c>
      <c r="M293" s="279">
        <v>2600</v>
      </c>
      <c r="N293" s="278">
        <v>2547.1639555804077</v>
      </c>
      <c r="R293" s="278" t="str">
        <f>IF(AND((J293="This"),(L293="Only")),VLOOKUP(G293,#REF!,7,FALSE),"")</f>
        <v/>
      </c>
    </row>
    <row r="294" spans="1:21" x14ac:dyDescent="0.25">
      <c r="A294" s="278">
        <v>1</v>
      </c>
      <c r="C294" s="278">
        <f t="shared" si="20"/>
        <v>11</v>
      </c>
      <c r="D294" s="278">
        <f t="shared" si="21"/>
        <v>1</v>
      </c>
      <c r="E294" s="278">
        <f t="shared" si="22"/>
        <v>16</v>
      </c>
      <c r="F294" s="278" t="str">
        <f t="shared" si="23"/>
        <v>pmx</v>
      </c>
      <c r="G294" s="278" t="s">
        <v>855</v>
      </c>
      <c r="H294" s="278" t="s">
        <v>382</v>
      </c>
      <c r="I294" s="278" t="s">
        <v>856</v>
      </c>
      <c r="K294" s="279">
        <f t="shared" si="24"/>
        <v>2717.5008086986541</v>
      </c>
      <c r="M294" s="279">
        <v>2600</v>
      </c>
      <c r="R294" s="278" t="str">
        <f>IF(AND((J294="This"),(L294="Only")),VLOOKUP(G294,#REF!,7,FALSE),"")</f>
        <v/>
      </c>
      <c r="U294" s="278">
        <v>2717.5008086986541</v>
      </c>
    </row>
    <row r="295" spans="1:21" x14ac:dyDescent="0.25">
      <c r="A295" s="278">
        <v>1</v>
      </c>
      <c r="C295" s="278">
        <f t="shared" si="20"/>
        <v>12</v>
      </c>
      <c r="D295" s="278">
        <f t="shared" si="21"/>
        <v>1</v>
      </c>
      <c r="E295" s="278">
        <f t="shared" si="22"/>
        <v>16</v>
      </c>
      <c r="F295" s="278" t="str">
        <f t="shared" si="23"/>
        <v>pmx</v>
      </c>
      <c r="G295" s="278" t="s">
        <v>857</v>
      </c>
      <c r="H295" s="278" t="s">
        <v>382</v>
      </c>
      <c r="I295" s="278" t="s">
        <v>858</v>
      </c>
      <c r="K295" s="279">
        <f t="shared" si="24"/>
        <v>2566.401891014063</v>
      </c>
      <c r="M295" s="279">
        <v>2600</v>
      </c>
      <c r="R295" s="278" t="str">
        <f>IF(AND((J295="This"),(L295="Only")),VLOOKUP(G295,#REF!,7,FALSE),"")</f>
        <v/>
      </c>
      <c r="U295" s="278">
        <v>2566.401891014063</v>
      </c>
    </row>
    <row r="296" spans="1:21" x14ac:dyDescent="0.25">
      <c r="A296" s="278">
        <v>4</v>
      </c>
      <c r="C296" s="278">
        <f t="shared" si="20"/>
        <v>13</v>
      </c>
      <c r="D296" s="278">
        <f t="shared" si="21"/>
        <v>1</v>
      </c>
      <c r="E296" s="278">
        <f t="shared" si="22"/>
        <v>16</v>
      </c>
      <c r="F296" s="278" t="str">
        <f t="shared" si="23"/>
        <v>pm</v>
      </c>
      <c r="G296" s="278" t="s">
        <v>859</v>
      </c>
      <c r="H296" s="278" t="s">
        <v>730</v>
      </c>
      <c r="I296" s="278" t="s">
        <v>860</v>
      </c>
      <c r="K296" s="279">
        <f t="shared" si="24"/>
        <v>2660.4071416594661</v>
      </c>
      <c r="M296" s="279">
        <v>2600</v>
      </c>
      <c r="N296" s="278">
        <v>2611.2686468297929</v>
      </c>
      <c r="R296" s="278" t="str">
        <f>IF(AND((J296="This"),(L296="Only")),VLOOKUP(G296,#REF!,7,FALSE),"")</f>
        <v/>
      </c>
      <c r="U296" s="278">
        <v>2660.4071416594661</v>
      </c>
    </row>
    <row r="297" spans="1:21" x14ac:dyDescent="0.25">
      <c r="A297" s="278">
        <v>1</v>
      </c>
      <c r="C297" s="278">
        <f t="shared" si="20"/>
        <v>14</v>
      </c>
      <c r="D297" s="278">
        <f t="shared" si="21"/>
        <v>1</v>
      </c>
      <c r="E297" s="278">
        <f t="shared" si="22"/>
        <v>16</v>
      </c>
      <c r="F297" s="278" t="str">
        <f t="shared" si="23"/>
        <v>pmx</v>
      </c>
      <c r="G297" s="278" t="s">
        <v>861</v>
      </c>
      <c r="H297" s="278" t="s">
        <v>293</v>
      </c>
      <c r="I297" s="278" t="s">
        <v>862</v>
      </c>
      <c r="K297" s="279">
        <f t="shared" si="24"/>
        <v>2600</v>
      </c>
      <c r="M297" s="279">
        <v>2600</v>
      </c>
      <c r="R297" s="278" t="str">
        <f>IF(AND((J297="This"),(L297="Only")),VLOOKUP(G297,#REF!,7,FALSE),"")</f>
        <v/>
      </c>
    </row>
    <row r="298" spans="1:21" x14ac:dyDescent="0.25">
      <c r="A298" s="278">
        <v>1</v>
      </c>
      <c r="C298" s="278">
        <f t="shared" si="20"/>
        <v>15</v>
      </c>
      <c r="D298" s="278">
        <f t="shared" si="21"/>
        <v>1</v>
      </c>
      <c r="E298" s="278">
        <f t="shared" si="22"/>
        <v>16</v>
      </c>
      <c r="F298" s="278" t="str">
        <f t="shared" si="23"/>
        <v>pmx</v>
      </c>
      <c r="G298" s="278" t="s">
        <v>863</v>
      </c>
      <c r="H298" s="278" t="s">
        <v>333</v>
      </c>
      <c r="I298" s="278" t="s">
        <v>864</v>
      </c>
      <c r="K298" s="279">
        <f t="shared" si="24"/>
        <v>2600</v>
      </c>
      <c r="M298" s="279">
        <v>2600</v>
      </c>
      <c r="R298" s="278" t="str">
        <f>IF(AND((J298="This"),(L298="Only")),VLOOKUP(G298,#REF!,7,FALSE),"")</f>
        <v/>
      </c>
    </row>
    <row r="299" spans="1:21" x14ac:dyDescent="0.25">
      <c r="A299" s="278">
        <v>2</v>
      </c>
      <c r="C299" s="278">
        <f t="shared" si="20"/>
        <v>16</v>
      </c>
      <c r="D299" s="278">
        <f t="shared" si="21"/>
        <v>1</v>
      </c>
      <c r="E299" s="278">
        <f t="shared" si="22"/>
        <v>16</v>
      </c>
      <c r="F299" s="278" t="str">
        <f t="shared" si="23"/>
        <v>pm</v>
      </c>
      <c r="G299" s="278" t="s">
        <v>865</v>
      </c>
      <c r="H299" s="278" t="s">
        <v>226</v>
      </c>
      <c r="I299" s="278" t="s">
        <v>866</v>
      </c>
      <c r="K299" s="279">
        <f t="shared" si="24"/>
        <v>2685.0676164369856</v>
      </c>
      <c r="M299" s="279">
        <v>2600</v>
      </c>
      <c r="R299" s="278" t="str">
        <f>IF(AND((J299="This"),(L299="Only")),VLOOKUP(G299,#REF!,7,FALSE),"")</f>
        <v/>
      </c>
      <c r="S299" s="278">
        <v>2685.0676164369856</v>
      </c>
    </row>
    <row r="300" spans="1:21" x14ac:dyDescent="0.25">
      <c r="A300" s="278">
        <v>2</v>
      </c>
      <c r="C300" s="278">
        <f t="shared" si="20"/>
        <v>17</v>
      </c>
      <c r="D300" s="278">
        <f t="shared" si="21"/>
        <v>1</v>
      </c>
      <c r="E300" s="278">
        <f t="shared" si="22"/>
        <v>16</v>
      </c>
      <c r="F300" s="278" t="str">
        <f t="shared" si="23"/>
        <v>pm</v>
      </c>
      <c r="G300" s="278" t="s">
        <v>867</v>
      </c>
      <c r="H300" s="278" t="s">
        <v>226</v>
      </c>
      <c r="I300" s="278" t="s">
        <v>868</v>
      </c>
      <c r="K300" s="279">
        <f t="shared" si="24"/>
        <v>2627.4206739162182</v>
      </c>
      <c r="M300" s="279">
        <v>2600</v>
      </c>
      <c r="R300" s="278" t="str">
        <f>IF(AND((J300="This"),(L300="Only")),VLOOKUP(G300,#REF!,7,FALSE),"")</f>
        <v/>
      </c>
      <c r="S300" s="278">
        <v>2627.4206739162182</v>
      </c>
    </row>
    <row r="301" spans="1:21" x14ac:dyDescent="0.25">
      <c r="A301" s="278">
        <v>2</v>
      </c>
      <c r="C301" s="278">
        <f t="shared" si="20"/>
        <v>18</v>
      </c>
      <c r="D301" s="278">
        <f t="shared" si="21"/>
        <v>1</v>
      </c>
      <c r="E301" s="278">
        <f t="shared" si="22"/>
        <v>16</v>
      </c>
      <c r="F301" s="278" t="str">
        <f t="shared" si="23"/>
        <v>pm</v>
      </c>
      <c r="G301" s="278" t="s">
        <v>869</v>
      </c>
      <c r="H301" s="278" t="s">
        <v>226</v>
      </c>
      <c r="I301" s="278" t="s">
        <v>870</v>
      </c>
      <c r="K301" s="279">
        <f t="shared" si="24"/>
        <v>2600</v>
      </c>
      <c r="M301" s="279">
        <v>2600</v>
      </c>
      <c r="R301" s="278" t="str">
        <f>IF(AND((J301="This"),(L301="Only")),VLOOKUP(G301,#REF!,7,FALSE),"")</f>
        <v/>
      </c>
    </row>
    <row r="302" spans="1:21" x14ac:dyDescent="0.25">
      <c r="A302" s="278">
        <v>1</v>
      </c>
      <c r="C302" s="278">
        <f t="shared" si="20"/>
        <v>19</v>
      </c>
      <c r="D302" s="278">
        <f t="shared" si="21"/>
        <v>1</v>
      </c>
      <c r="E302" s="278">
        <f t="shared" si="22"/>
        <v>16</v>
      </c>
      <c r="F302" s="278" t="str">
        <f t="shared" si="23"/>
        <v>sox</v>
      </c>
      <c r="G302" s="278" t="s">
        <v>871</v>
      </c>
      <c r="H302" s="278" t="s">
        <v>561</v>
      </c>
      <c r="I302" s="278" t="s">
        <v>872</v>
      </c>
      <c r="K302" s="279">
        <f t="shared" si="24"/>
        <v>2603.1194892032831</v>
      </c>
      <c r="M302" s="279">
        <v>2600</v>
      </c>
      <c r="R302" s="278" t="str">
        <f>IF(AND((J302="This"),(L302="Only")),VLOOKUP(G302,#REF!,7,FALSE),"")</f>
        <v/>
      </c>
      <c r="U302" s="278">
        <v>2603.1194892032831</v>
      </c>
    </row>
    <row r="303" spans="1:21" x14ac:dyDescent="0.25">
      <c r="A303" s="278">
        <v>2</v>
      </c>
      <c r="C303" s="278">
        <f t="shared" si="20"/>
        <v>20</v>
      </c>
      <c r="D303" s="278">
        <f t="shared" si="21"/>
        <v>1</v>
      </c>
      <c r="E303" s="278">
        <f t="shared" si="22"/>
        <v>16</v>
      </c>
      <c r="F303" s="278" t="str">
        <f t="shared" si="23"/>
        <v>pm</v>
      </c>
      <c r="G303" s="278" t="s">
        <v>873</v>
      </c>
      <c r="H303" s="278" t="s">
        <v>434</v>
      </c>
      <c r="I303" s="278" t="s">
        <v>874</v>
      </c>
      <c r="K303" s="279">
        <f t="shared" si="24"/>
        <v>2715.2091329888212</v>
      </c>
      <c r="M303" s="279">
        <v>2600</v>
      </c>
      <c r="N303" s="278">
        <v>2693.2412396436735</v>
      </c>
      <c r="R303" s="278" t="str">
        <f>IF(AND((J303="This"),(L303="Only")),VLOOKUP(G303,#REF!,7,FALSE),"")</f>
        <v/>
      </c>
      <c r="U303" s="278">
        <v>2715.2091329888212</v>
      </c>
    </row>
    <row r="304" spans="1:21" x14ac:dyDescent="0.25">
      <c r="A304" s="278">
        <v>2</v>
      </c>
      <c r="C304" s="278">
        <f t="shared" si="20"/>
        <v>21</v>
      </c>
      <c r="D304" s="278">
        <f t="shared" si="21"/>
        <v>1</v>
      </c>
      <c r="E304" s="278">
        <f t="shared" si="22"/>
        <v>16</v>
      </c>
      <c r="F304" s="278" t="str">
        <f t="shared" si="23"/>
        <v>pm</v>
      </c>
      <c r="G304" s="278" t="s">
        <v>875</v>
      </c>
      <c r="H304" s="278" t="s">
        <v>232</v>
      </c>
      <c r="I304" s="278" t="s">
        <v>876</v>
      </c>
      <c r="K304" s="279">
        <f t="shared" si="24"/>
        <v>2652.1918561210637</v>
      </c>
      <c r="M304" s="279">
        <v>2600</v>
      </c>
      <c r="R304" s="278" t="str">
        <f>IF(AND((J304="This"),(L304="Only")),VLOOKUP(G304,#REF!,7,FALSE),"")</f>
        <v/>
      </c>
      <c r="U304" s="278">
        <v>2652.1918561210637</v>
      </c>
    </row>
    <row r="305" spans="1:21" x14ac:dyDescent="0.25">
      <c r="A305" s="278">
        <v>4</v>
      </c>
      <c r="C305" s="278">
        <f t="shared" si="20"/>
        <v>22</v>
      </c>
      <c r="D305" s="278">
        <f t="shared" si="21"/>
        <v>1</v>
      </c>
      <c r="E305" s="278">
        <f t="shared" si="22"/>
        <v>16</v>
      </c>
      <c r="F305" s="278" t="str">
        <f t="shared" si="23"/>
        <v>pm</v>
      </c>
      <c r="G305" s="278" t="s">
        <v>877</v>
      </c>
      <c r="H305" s="278" t="s">
        <v>232</v>
      </c>
      <c r="I305" s="278" t="s">
        <v>878</v>
      </c>
      <c r="K305" s="279">
        <f t="shared" si="24"/>
        <v>2570.7662317811009</v>
      </c>
      <c r="M305" s="279">
        <v>2600</v>
      </c>
      <c r="P305" s="278">
        <v>2584.0507775096944</v>
      </c>
      <c r="R305" s="278" t="str">
        <f>IF(AND((J305="This"),(L305="Only")),VLOOKUP(G305,#REF!,7,FALSE),"")</f>
        <v/>
      </c>
      <c r="U305" s="278">
        <v>2570.7662317811009</v>
      </c>
    </row>
    <row r="306" spans="1:21" x14ac:dyDescent="0.25">
      <c r="A306" s="278">
        <v>1</v>
      </c>
      <c r="C306" s="278">
        <f t="shared" si="20"/>
        <v>23</v>
      </c>
      <c r="D306" s="278">
        <f t="shared" si="21"/>
        <v>1</v>
      </c>
      <c r="E306" s="278">
        <f t="shared" si="22"/>
        <v>16</v>
      </c>
      <c r="F306" s="278" t="str">
        <f t="shared" si="23"/>
        <v>crx</v>
      </c>
      <c r="G306" s="278" t="s">
        <v>879</v>
      </c>
      <c r="H306" s="278" t="s">
        <v>403</v>
      </c>
      <c r="I306" s="278" t="s">
        <v>880</v>
      </c>
      <c r="K306" s="279">
        <f t="shared" si="24"/>
        <v>2562.0457631733834</v>
      </c>
      <c r="M306" s="279">
        <v>2600</v>
      </c>
      <c r="R306" s="278" t="str">
        <f>IF(AND((J306="This"),(L306="Only")),VLOOKUP(G306,#REF!,7,FALSE),"")</f>
        <v/>
      </c>
      <c r="U306" s="278">
        <v>2562.0457631733834</v>
      </c>
    </row>
    <row r="307" spans="1:21" x14ac:dyDescent="0.25">
      <c r="A307" s="278">
        <v>2</v>
      </c>
      <c r="C307" s="278">
        <f t="shared" si="20"/>
        <v>24</v>
      </c>
      <c r="D307" s="278">
        <f t="shared" si="21"/>
        <v>1</v>
      </c>
      <c r="E307" s="278">
        <f t="shared" si="22"/>
        <v>16</v>
      </c>
      <c r="F307" s="278" t="str">
        <f t="shared" si="23"/>
        <v>pm</v>
      </c>
      <c r="G307" s="278" t="s">
        <v>881</v>
      </c>
      <c r="H307" s="278" t="s">
        <v>323</v>
      </c>
      <c r="I307" s="278" t="s">
        <v>882</v>
      </c>
      <c r="K307" s="279">
        <f t="shared" si="24"/>
        <v>2600</v>
      </c>
      <c r="M307" s="279">
        <v>2600</v>
      </c>
      <c r="R307" s="278" t="str">
        <f>IF(AND((J307="This"),(L307="Only")),VLOOKUP(G307,#REF!,7,FALSE),"")</f>
        <v/>
      </c>
    </row>
    <row r="308" spans="1:21" x14ac:dyDescent="0.25">
      <c r="A308" s="278">
        <v>1</v>
      </c>
      <c r="C308" s="278">
        <f t="shared" si="20"/>
        <v>25</v>
      </c>
      <c r="D308" s="278">
        <f t="shared" si="21"/>
        <v>1</v>
      </c>
      <c r="E308" s="278">
        <f t="shared" si="22"/>
        <v>16</v>
      </c>
      <c r="F308" s="278" t="str">
        <f t="shared" si="23"/>
        <v>crx</v>
      </c>
      <c r="G308" s="278" t="s">
        <v>883</v>
      </c>
      <c r="H308" s="278" t="s">
        <v>884</v>
      </c>
      <c r="I308" s="278" t="s">
        <v>885</v>
      </c>
      <c r="K308" s="279">
        <f t="shared" si="24"/>
        <v>2667.5713055232259</v>
      </c>
      <c r="M308" s="279">
        <v>2600</v>
      </c>
      <c r="R308" s="278" t="str">
        <f>IF(AND((J308="This"),(L308="Only")),VLOOKUP(G308,#REF!,7,FALSE),"")</f>
        <v/>
      </c>
      <c r="U308" s="278">
        <v>2667.5713055232259</v>
      </c>
    </row>
    <row r="309" spans="1:21" x14ac:dyDescent="0.25">
      <c r="A309" s="278">
        <v>2</v>
      </c>
      <c r="C309" s="278">
        <f t="shared" si="20"/>
        <v>26</v>
      </c>
      <c r="D309" s="278">
        <f t="shared" si="21"/>
        <v>1</v>
      </c>
      <c r="E309" s="278">
        <f t="shared" si="22"/>
        <v>16</v>
      </c>
      <c r="F309" s="278" t="str">
        <f t="shared" si="23"/>
        <v>cr</v>
      </c>
      <c r="G309" s="278" t="s">
        <v>886</v>
      </c>
      <c r="H309" s="278" t="s">
        <v>774</v>
      </c>
      <c r="I309" s="278" t="s">
        <v>887</v>
      </c>
      <c r="K309" s="279">
        <f t="shared" si="24"/>
        <v>2619.6780129509293</v>
      </c>
      <c r="M309" s="279">
        <v>2600</v>
      </c>
      <c r="N309" s="278">
        <v>2619.6780129509293</v>
      </c>
      <c r="R309" s="278" t="str">
        <f>IF(AND((J309="This"),(L309="Only")),VLOOKUP(G309,#REF!,7,FALSE),"")</f>
        <v/>
      </c>
    </row>
    <row r="310" spans="1:21" x14ac:dyDescent="0.25">
      <c r="A310" s="278">
        <v>1</v>
      </c>
      <c r="C310" s="278">
        <f t="shared" si="20"/>
        <v>27</v>
      </c>
      <c r="D310" s="278">
        <f t="shared" si="21"/>
        <v>1</v>
      </c>
      <c r="E310" s="278">
        <f t="shared" si="22"/>
        <v>16</v>
      </c>
      <c r="F310" s="278" t="str">
        <f t="shared" si="23"/>
        <v>sox</v>
      </c>
      <c r="G310" s="278" t="s">
        <v>888</v>
      </c>
      <c r="H310" s="278" t="s">
        <v>687</v>
      </c>
      <c r="I310" s="278" t="s">
        <v>889</v>
      </c>
      <c r="K310" s="279">
        <f t="shared" si="24"/>
        <v>2600</v>
      </c>
      <c r="M310" s="279">
        <v>2600</v>
      </c>
      <c r="R310" s="278" t="str">
        <f>IF(AND((J310="This"),(L310="Only")),VLOOKUP(G310,#REF!,7,FALSE),"")</f>
        <v/>
      </c>
    </row>
    <row r="311" spans="1:21" x14ac:dyDescent="0.25">
      <c r="A311" s="278">
        <v>3</v>
      </c>
      <c r="C311" s="278">
        <f t="shared" si="20"/>
        <v>28</v>
      </c>
      <c r="D311" s="278">
        <f t="shared" si="21"/>
        <v>1</v>
      </c>
      <c r="E311" s="278">
        <f t="shared" si="22"/>
        <v>16</v>
      </c>
      <c r="F311" s="278" t="str">
        <f t="shared" si="23"/>
        <v>pm</v>
      </c>
      <c r="G311" s="278" t="s">
        <v>890</v>
      </c>
      <c r="H311" s="278" t="s">
        <v>587</v>
      </c>
      <c r="I311" s="278" t="s">
        <v>891</v>
      </c>
      <c r="K311" s="279">
        <f t="shared" si="24"/>
        <v>2724.8437248403648</v>
      </c>
      <c r="M311" s="279">
        <v>2600</v>
      </c>
      <c r="N311" s="278">
        <v>2622.9233566152002</v>
      </c>
      <c r="O311" s="278">
        <v>2722.5538572122728</v>
      </c>
      <c r="R311" s="278" t="str">
        <f>IF(AND((J311="This"),(L311="Only")),VLOOKUP(G311,#REF!,7,FALSE),"")</f>
        <v/>
      </c>
      <c r="U311" s="278">
        <v>2724.8437248403648</v>
      </c>
    </row>
    <row r="312" spans="1:21" x14ac:dyDescent="0.25">
      <c r="A312" s="278">
        <v>4</v>
      </c>
      <c r="C312" s="278">
        <f t="shared" si="20"/>
        <v>29</v>
      </c>
      <c r="D312" s="278">
        <f t="shared" si="21"/>
        <v>1</v>
      </c>
      <c r="E312" s="278">
        <f t="shared" si="22"/>
        <v>16</v>
      </c>
      <c r="F312" s="278" t="str">
        <f t="shared" si="23"/>
        <v>pm</v>
      </c>
      <c r="G312" s="278" t="s">
        <v>892</v>
      </c>
      <c r="H312" s="278" t="s">
        <v>587</v>
      </c>
      <c r="I312" s="278" t="s">
        <v>893</v>
      </c>
      <c r="K312" s="279">
        <f t="shared" si="24"/>
        <v>2391.9418446324321</v>
      </c>
      <c r="M312" s="279">
        <v>2600</v>
      </c>
      <c r="N312" s="278">
        <v>2519.373311515817</v>
      </c>
      <c r="R312" s="278" t="str">
        <f>IF(AND((J312="This"),(L312="Only")),VLOOKUP(G312,#REF!,7,FALSE),"")</f>
        <v/>
      </c>
      <c r="S312" s="278">
        <v>2440.4365770006116</v>
      </c>
      <c r="U312" s="278">
        <v>2391.9418446324321</v>
      </c>
    </row>
    <row r="313" spans="1:21" x14ac:dyDescent="0.25">
      <c r="A313" s="278">
        <v>1</v>
      </c>
      <c r="C313" s="278">
        <f t="shared" si="20"/>
        <v>30</v>
      </c>
      <c r="D313" s="278">
        <f t="shared" si="21"/>
        <v>1</v>
      </c>
      <c r="E313" s="278">
        <f t="shared" si="22"/>
        <v>16</v>
      </c>
      <c r="F313" s="278" t="str">
        <f t="shared" si="23"/>
        <v>pmx</v>
      </c>
      <c r="G313" s="278" t="s">
        <v>894</v>
      </c>
      <c r="H313" s="278" t="s">
        <v>239</v>
      </c>
      <c r="I313" s="278" t="s">
        <v>895</v>
      </c>
      <c r="K313" s="279">
        <f t="shared" si="24"/>
        <v>2600</v>
      </c>
      <c r="M313" s="279">
        <v>2600</v>
      </c>
      <c r="R313" s="278" t="str">
        <f>IF(AND((J313="This"),(L313="Only")),VLOOKUP(G313,#REF!,7,FALSE),"")</f>
        <v/>
      </c>
    </row>
    <row r="314" spans="1:21" x14ac:dyDescent="0.25">
      <c r="A314" s="278">
        <v>1</v>
      </c>
      <c r="C314" s="278">
        <f t="shared" si="20"/>
        <v>31</v>
      </c>
      <c r="D314" s="278">
        <f t="shared" si="21"/>
        <v>1</v>
      </c>
      <c r="E314" s="278">
        <f t="shared" si="22"/>
        <v>16</v>
      </c>
      <c r="F314" s="278" t="str">
        <f t="shared" si="23"/>
        <v>pmx</v>
      </c>
      <c r="G314" s="278" t="s">
        <v>896</v>
      </c>
      <c r="H314" s="278" t="s">
        <v>239</v>
      </c>
      <c r="I314" s="278" t="s">
        <v>897</v>
      </c>
      <c r="K314" s="279">
        <f t="shared" si="24"/>
        <v>2600</v>
      </c>
      <c r="M314" s="279">
        <v>2600</v>
      </c>
      <c r="R314" s="278" t="str">
        <f>IF(AND((J314="This"),(L314="Only")),VLOOKUP(G314,#REF!,7,FALSE),"")</f>
        <v/>
      </c>
    </row>
    <row r="315" spans="1:21" x14ac:dyDescent="0.25">
      <c r="A315" s="278">
        <v>1</v>
      </c>
      <c r="C315" s="278">
        <f t="shared" si="20"/>
        <v>32</v>
      </c>
      <c r="D315" s="278">
        <f t="shared" si="21"/>
        <v>1</v>
      </c>
      <c r="E315" s="278">
        <f t="shared" si="22"/>
        <v>16</v>
      </c>
      <c r="F315" s="278" t="str">
        <f t="shared" si="23"/>
        <v>pmx</v>
      </c>
      <c r="G315" s="278" t="s">
        <v>898</v>
      </c>
      <c r="H315" s="278" t="s">
        <v>239</v>
      </c>
      <c r="I315" s="278" t="s">
        <v>899</v>
      </c>
      <c r="K315" s="279">
        <f t="shared" si="24"/>
        <v>2600</v>
      </c>
      <c r="M315" s="279">
        <v>2600</v>
      </c>
      <c r="R315" s="278" t="str">
        <f>IF(AND((J315="This"),(L315="Only")),VLOOKUP(G315,#REF!,7,FALSE),"")</f>
        <v/>
      </c>
    </row>
    <row r="316" spans="1:21" x14ac:dyDescent="0.25">
      <c r="A316" s="278">
        <v>3</v>
      </c>
      <c r="C316" s="278">
        <f t="shared" si="20"/>
        <v>33</v>
      </c>
      <c r="D316" s="278">
        <f t="shared" si="21"/>
        <v>1</v>
      </c>
      <c r="E316" s="278">
        <f t="shared" si="22"/>
        <v>16</v>
      </c>
      <c r="F316" s="278" t="str">
        <f t="shared" si="23"/>
        <v>pm</v>
      </c>
      <c r="G316" s="278" t="s">
        <v>900</v>
      </c>
      <c r="H316" s="278" t="s">
        <v>416</v>
      </c>
      <c r="I316" s="278" t="s">
        <v>901</v>
      </c>
      <c r="K316" s="279">
        <f t="shared" si="24"/>
        <v>2522.8051516700616</v>
      </c>
      <c r="M316" s="279">
        <v>2600</v>
      </c>
      <c r="P316" s="278">
        <v>2522.8051516700616</v>
      </c>
      <c r="R316" s="278" t="str">
        <f>IF(AND((J316="This"),(L316="Only")),VLOOKUP(G316,#REF!,7,FALSE),"")</f>
        <v/>
      </c>
    </row>
    <row r="317" spans="1:21" x14ac:dyDescent="0.25">
      <c r="A317" s="278">
        <v>7</v>
      </c>
      <c r="C317" s="278">
        <f t="shared" si="20"/>
        <v>34</v>
      </c>
      <c r="D317" s="278">
        <f t="shared" si="21"/>
        <v>34</v>
      </c>
      <c r="E317" s="278">
        <f t="shared" si="22"/>
        <v>16</v>
      </c>
      <c r="F317" s="278" t="str">
        <f t="shared" si="23"/>
        <v>pm</v>
      </c>
      <c r="G317" s="278" t="s">
        <v>902</v>
      </c>
      <c r="H317" s="278" t="s">
        <v>445</v>
      </c>
      <c r="I317" s="278" t="s">
        <v>903</v>
      </c>
      <c r="K317" s="279">
        <f t="shared" si="24"/>
        <v>2373.9518684217605</v>
      </c>
      <c r="M317" s="279">
        <v>2571.4285714285716</v>
      </c>
      <c r="N317" s="278">
        <v>2493.8050892225788</v>
      </c>
      <c r="P317" s="278">
        <v>2448.3002595797084</v>
      </c>
      <c r="R317" s="278" t="str">
        <f>IF(AND((J317="This"),(L317="Only")),VLOOKUP(G317,#REF!,7,FALSE),"")</f>
        <v/>
      </c>
      <c r="S317" s="278">
        <v>2384.9147310838553</v>
      </c>
      <c r="U317" s="278">
        <v>2373.9518684217605</v>
      </c>
    </row>
    <row r="318" spans="1:21" x14ac:dyDescent="0.25">
      <c r="A318" s="278">
        <v>6</v>
      </c>
      <c r="C318" s="278">
        <f t="shared" si="20"/>
        <v>35</v>
      </c>
      <c r="D318" s="278">
        <f t="shared" si="21"/>
        <v>35</v>
      </c>
      <c r="E318" s="278">
        <f t="shared" si="22"/>
        <v>16</v>
      </c>
      <c r="F318" s="278" t="str">
        <f t="shared" si="23"/>
        <v>pm</v>
      </c>
      <c r="G318" s="278" t="s">
        <v>904</v>
      </c>
      <c r="H318" s="278" t="s">
        <v>284</v>
      </c>
      <c r="I318" s="278" t="s">
        <v>905</v>
      </c>
      <c r="K318" s="279">
        <f t="shared" si="24"/>
        <v>2308.3203044824509</v>
      </c>
      <c r="M318" s="279">
        <v>2533.3333333333335</v>
      </c>
      <c r="O318" s="278">
        <v>2410.6103701813759</v>
      </c>
      <c r="P318" s="278">
        <v>2349.8800367613849</v>
      </c>
      <c r="R318" s="278" t="str">
        <f>IF(AND((J318="This"),(L318="Only")),VLOOKUP(G318,#REF!,7,FALSE),"")</f>
        <v/>
      </c>
      <c r="S318" s="278">
        <v>2315.1460222697501</v>
      </c>
      <c r="U318" s="278">
        <v>2308.3203044824509</v>
      </c>
    </row>
    <row r="319" spans="1:21" x14ac:dyDescent="0.25">
      <c r="A319" s="278">
        <v>4</v>
      </c>
      <c r="C319" s="278">
        <f t="shared" si="20"/>
        <v>36</v>
      </c>
      <c r="D319" s="278">
        <f t="shared" si="21"/>
        <v>36</v>
      </c>
      <c r="E319" s="278">
        <f t="shared" si="22"/>
        <v>16</v>
      </c>
      <c r="F319" s="278" t="str">
        <f t="shared" si="23"/>
        <v>pm</v>
      </c>
      <c r="G319" s="278" t="s">
        <v>55</v>
      </c>
      <c r="H319" s="278" t="s">
        <v>301</v>
      </c>
      <c r="I319" s="278" t="s">
        <v>54</v>
      </c>
      <c r="K319" s="279">
        <f t="shared" si="24"/>
        <v>2355.6429300299578</v>
      </c>
      <c r="M319" s="279">
        <v>2500</v>
      </c>
      <c r="O319" s="278">
        <v>2435.8191331501785</v>
      </c>
      <c r="R319" s="278" t="str">
        <f>IF(AND((J319="This"),(L319="Only")),VLOOKUP(G319,#REF!,7,FALSE),"")</f>
        <v/>
      </c>
      <c r="S319" s="278">
        <v>2375.2466911492552</v>
      </c>
      <c r="U319" s="278">
        <v>2355.6429300299578</v>
      </c>
    </row>
    <row r="320" spans="1:21" x14ac:dyDescent="0.25">
      <c r="A320" s="278">
        <v>3</v>
      </c>
      <c r="C320" s="278">
        <f t="shared" si="20"/>
        <v>37</v>
      </c>
      <c r="D320" s="278">
        <f t="shared" si="21"/>
        <v>37</v>
      </c>
      <c r="E320" s="278">
        <f t="shared" si="22"/>
        <v>16</v>
      </c>
      <c r="F320" s="278" t="str">
        <f t="shared" si="23"/>
        <v>pm</v>
      </c>
      <c r="G320" s="278" t="s">
        <v>906</v>
      </c>
      <c r="H320" s="278" t="s">
        <v>315</v>
      </c>
      <c r="I320" s="278" t="s">
        <v>907</v>
      </c>
      <c r="K320" s="279">
        <f t="shared" si="24"/>
        <v>2508.4044143259307</v>
      </c>
      <c r="M320" s="279">
        <v>2466.6666666666665</v>
      </c>
      <c r="O320" s="278">
        <v>2434.9110744308509</v>
      </c>
      <c r="R320" s="278" t="str">
        <f>IF(AND((J320="This"),(L320="Only")),VLOOKUP(G320,#REF!,7,FALSE),"")</f>
        <v/>
      </c>
      <c r="S320" s="278">
        <v>2508.4044143259307</v>
      </c>
    </row>
    <row r="321" spans="1:20" x14ac:dyDescent="0.25">
      <c r="A321" s="278">
        <v>5</v>
      </c>
      <c r="C321" s="278">
        <f t="shared" si="20"/>
        <v>38</v>
      </c>
      <c r="D321" s="278">
        <f t="shared" si="21"/>
        <v>38</v>
      </c>
      <c r="E321" s="278">
        <f t="shared" si="22"/>
        <v>16</v>
      </c>
      <c r="F321" s="278" t="str">
        <f t="shared" si="23"/>
        <v>pm</v>
      </c>
      <c r="G321" s="278" t="s">
        <v>908</v>
      </c>
      <c r="H321" s="278" t="s">
        <v>223</v>
      </c>
      <c r="I321" s="278" t="s">
        <v>909</v>
      </c>
      <c r="K321" s="279">
        <f t="shared" si="24"/>
        <v>2517.2017509538255</v>
      </c>
      <c r="M321" s="279">
        <v>2360</v>
      </c>
      <c r="O321" s="278">
        <v>2441.456768791053</v>
      </c>
      <c r="R321" s="278" t="str">
        <f>IF(AND((J321="This"),(L321="Only")),VLOOKUP(G321,#REF!,7,FALSE),"")</f>
        <v/>
      </c>
      <c r="S321" s="278">
        <v>2517.2017509538255</v>
      </c>
    </row>
    <row r="322" spans="1:20" x14ac:dyDescent="0.25">
      <c r="A322" s="278">
        <v>5</v>
      </c>
      <c r="C322" s="278">
        <f t="shared" ref="C322:C385" si="25">IF(E322=E321,C321+1,1)</f>
        <v>39</v>
      </c>
      <c r="D322" s="278">
        <f t="shared" ref="D322:D385" si="26">IF(M322=M321,D321,C322)</f>
        <v>39</v>
      </c>
      <c r="E322" s="278">
        <f t="shared" ref="E322:E385" si="27">10+VALUE(RIGHT(LEFT(G322,3),1))</f>
        <v>16</v>
      </c>
      <c r="F322" s="278" t="str">
        <f t="shared" ref="F322:F385" si="28">RIGHT(G322,2) &amp; IF(A322&lt;2,"x","")</f>
        <v>pm</v>
      </c>
      <c r="G322" s="278" t="s">
        <v>910</v>
      </c>
      <c r="H322" s="278" t="s">
        <v>911</v>
      </c>
      <c r="I322" s="278" t="s">
        <v>912</v>
      </c>
      <c r="K322" s="279">
        <f t="shared" ref="K322:K385" si="29">LOOKUP(1E+100,M322:AC322)</f>
        <v>2276.1308192442684</v>
      </c>
      <c r="M322" s="279">
        <v>2200</v>
      </c>
      <c r="O322" s="278">
        <v>2205.5690555416468</v>
      </c>
      <c r="P322" s="278">
        <v>2197.157441880373</v>
      </c>
      <c r="R322" s="278" t="str">
        <f>IF(AND((J322="This"),(L322="Only")),VLOOKUP(G322,#REF!,7,FALSE),"")</f>
        <v/>
      </c>
      <c r="S322" s="278">
        <v>2197.2479555669461</v>
      </c>
      <c r="T322" s="278">
        <v>2276.1308192442684</v>
      </c>
    </row>
    <row r="323" spans="1:20" x14ac:dyDescent="0.25">
      <c r="A323" s="278">
        <v>5</v>
      </c>
      <c r="C323" s="278">
        <f t="shared" si="25"/>
        <v>40</v>
      </c>
      <c r="D323" s="278">
        <f t="shared" si="26"/>
        <v>39</v>
      </c>
      <c r="E323" s="278">
        <f t="shared" si="27"/>
        <v>16</v>
      </c>
      <c r="F323" s="278" t="str">
        <f t="shared" si="28"/>
        <v>pm</v>
      </c>
      <c r="G323" s="278" t="s">
        <v>913</v>
      </c>
      <c r="H323" s="278" t="s">
        <v>604</v>
      </c>
      <c r="I323" s="278" t="s">
        <v>914</v>
      </c>
      <c r="K323" s="279">
        <f t="shared" si="29"/>
        <v>2239.1016155301213</v>
      </c>
      <c r="M323" s="279">
        <v>2200</v>
      </c>
      <c r="O323" s="278">
        <v>2247.1528827365905</v>
      </c>
      <c r="R323" s="278" t="str">
        <f>IF(AND((J323="This"),(L323="Only")),VLOOKUP(G323,#REF!,7,FALSE),"")</f>
        <v/>
      </c>
      <c r="S323" s="278">
        <v>2248.5740109483663</v>
      </c>
      <c r="T323" s="278">
        <v>2239.1016155301213</v>
      </c>
    </row>
    <row r="324" spans="1:20" x14ac:dyDescent="0.25">
      <c r="A324" s="278">
        <v>1</v>
      </c>
      <c r="C324" s="278">
        <f t="shared" si="25"/>
        <v>41</v>
      </c>
      <c r="D324" s="278">
        <f t="shared" si="26"/>
        <v>39</v>
      </c>
      <c r="E324" s="278">
        <f t="shared" si="27"/>
        <v>16</v>
      </c>
      <c r="F324" s="278" t="str">
        <f t="shared" si="28"/>
        <v>pmx</v>
      </c>
      <c r="G324" s="278" t="s">
        <v>915</v>
      </c>
      <c r="H324" s="278" t="s">
        <v>247</v>
      </c>
      <c r="I324" s="278" t="s">
        <v>916</v>
      </c>
      <c r="K324" s="279">
        <f t="shared" si="29"/>
        <v>2313.1203040298365</v>
      </c>
      <c r="M324" s="279">
        <v>2200</v>
      </c>
      <c r="O324" s="278">
        <v>2313.1203040298365</v>
      </c>
      <c r="R324" s="278" t="str">
        <f>IF(AND((J324="This"),(L324="Only")),VLOOKUP(G324,#REF!,7,FALSE),"")</f>
        <v/>
      </c>
    </row>
    <row r="325" spans="1:20" x14ac:dyDescent="0.25">
      <c r="A325" s="278">
        <v>6</v>
      </c>
      <c r="C325" s="278">
        <f t="shared" si="25"/>
        <v>42</v>
      </c>
      <c r="D325" s="278">
        <f t="shared" si="26"/>
        <v>39</v>
      </c>
      <c r="E325" s="278">
        <f t="shared" si="27"/>
        <v>16</v>
      </c>
      <c r="F325" s="278" t="str">
        <f t="shared" si="28"/>
        <v>pm</v>
      </c>
      <c r="G325" s="278" t="s">
        <v>917</v>
      </c>
      <c r="H325" s="278" t="s">
        <v>284</v>
      </c>
      <c r="I325" s="278" t="s">
        <v>918</v>
      </c>
      <c r="K325" s="279">
        <f t="shared" si="29"/>
        <v>2122.4112829190817</v>
      </c>
      <c r="M325" s="279">
        <v>2200</v>
      </c>
      <c r="O325" s="278">
        <v>2147.6804939990402</v>
      </c>
      <c r="R325" s="278" t="str">
        <f>IF(AND((J325="This"),(L325="Only")),VLOOKUP(G325,#REF!,7,FALSE),"")</f>
        <v/>
      </c>
      <c r="S325" s="278">
        <v>2152.6230640752033</v>
      </c>
      <c r="T325" s="278">
        <v>2122.4112829190817</v>
      </c>
    </row>
    <row r="326" spans="1:20" x14ac:dyDescent="0.25">
      <c r="A326" s="278">
        <v>1</v>
      </c>
      <c r="C326" s="278">
        <f t="shared" si="25"/>
        <v>43</v>
      </c>
      <c r="D326" s="278">
        <f t="shared" si="26"/>
        <v>39</v>
      </c>
      <c r="E326" s="278">
        <f t="shared" si="27"/>
        <v>16</v>
      </c>
      <c r="F326" s="278" t="str">
        <f t="shared" si="28"/>
        <v>sox</v>
      </c>
      <c r="G326" s="278" t="s">
        <v>919</v>
      </c>
      <c r="H326" s="278" t="s">
        <v>476</v>
      </c>
      <c r="I326" s="278" t="s">
        <v>920</v>
      </c>
      <c r="K326" s="279">
        <f t="shared" si="29"/>
        <v>2200</v>
      </c>
      <c r="M326" s="279">
        <v>2200</v>
      </c>
      <c r="R326" s="278" t="str">
        <f>IF(AND((J326="This"),(L326="Only")),VLOOKUP(G326,#REF!,7,FALSE),"")</f>
        <v/>
      </c>
    </row>
    <row r="327" spans="1:20" x14ac:dyDescent="0.25">
      <c r="A327" s="278">
        <v>1</v>
      </c>
      <c r="C327" s="278">
        <f t="shared" si="25"/>
        <v>44</v>
      </c>
      <c r="D327" s="278">
        <f t="shared" si="26"/>
        <v>39</v>
      </c>
      <c r="E327" s="278">
        <f t="shared" si="27"/>
        <v>16</v>
      </c>
      <c r="F327" s="278" t="str">
        <f t="shared" si="28"/>
        <v>sox</v>
      </c>
      <c r="G327" s="278" t="s">
        <v>921</v>
      </c>
      <c r="H327" s="278" t="s">
        <v>476</v>
      </c>
      <c r="I327" s="278" t="s">
        <v>922</v>
      </c>
      <c r="K327" s="279">
        <f t="shared" si="29"/>
        <v>2200</v>
      </c>
      <c r="M327" s="279">
        <v>2200</v>
      </c>
      <c r="R327" s="278" t="str">
        <f>IF(AND((J327="This"),(L327="Only")),VLOOKUP(G327,#REF!,7,FALSE),"")</f>
        <v/>
      </c>
    </row>
    <row r="328" spans="1:20" x14ac:dyDescent="0.25">
      <c r="A328" s="278">
        <v>2</v>
      </c>
      <c r="C328" s="278">
        <f t="shared" si="25"/>
        <v>45</v>
      </c>
      <c r="D328" s="278">
        <f t="shared" si="26"/>
        <v>39</v>
      </c>
      <c r="E328" s="278">
        <f t="shared" si="27"/>
        <v>16</v>
      </c>
      <c r="F328" s="278" t="str">
        <f t="shared" si="28"/>
        <v>cr</v>
      </c>
      <c r="G328" s="278" t="s">
        <v>923</v>
      </c>
      <c r="H328" s="278" t="s">
        <v>304</v>
      </c>
      <c r="I328" s="278" t="s">
        <v>924</v>
      </c>
      <c r="K328" s="279">
        <f t="shared" si="29"/>
        <v>2241.532594208044</v>
      </c>
      <c r="M328" s="279">
        <v>2200</v>
      </c>
      <c r="R328" s="278" t="str">
        <f>IF(AND((J328="This"),(L328="Only")),VLOOKUP(G328,#REF!,7,FALSE),"")</f>
        <v/>
      </c>
      <c r="T328" s="278">
        <v>2241.532594208044</v>
      </c>
    </row>
    <row r="329" spans="1:20" x14ac:dyDescent="0.25">
      <c r="A329" s="278">
        <v>2</v>
      </c>
      <c r="C329" s="278">
        <f t="shared" si="25"/>
        <v>46</v>
      </c>
      <c r="D329" s="278">
        <f t="shared" si="26"/>
        <v>39</v>
      </c>
      <c r="E329" s="278">
        <f t="shared" si="27"/>
        <v>16</v>
      </c>
      <c r="F329" s="278" t="str">
        <f t="shared" si="28"/>
        <v>cr</v>
      </c>
      <c r="G329" s="278" t="s">
        <v>925</v>
      </c>
      <c r="H329" s="278" t="s">
        <v>304</v>
      </c>
      <c r="I329" s="278" t="s">
        <v>926</v>
      </c>
      <c r="K329" s="279">
        <f t="shared" si="29"/>
        <v>2164.167983712247</v>
      </c>
      <c r="M329" s="279">
        <v>2200</v>
      </c>
      <c r="R329" s="278" t="str">
        <f>IF(AND((J329="This"),(L329="Only")),VLOOKUP(G329,#REF!,7,FALSE),"")</f>
        <v/>
      </c>
      <c r="T329" s="278">
        <v>2164.167983712247</v>
      </c>
    </row>
    <row r="330" spans="1:20" x14ac:dyDescent="0.25">
      <c r="A330" s="278">
        <v>1</v>
      </c>
      <c r="C330" s="278">
        <f t="shared" si="25"/>
        <v>47</v>
      </c>
      <c r="D330" s="278">
        <f t="shared" si="26"/>
        <v>39</v>
      </c>
      <c r="E330" s="278">
        <f t="shared" si="27"/>
        <v>16</v>
      </c>
      <c r="F330" s="278" t="str">
        <f t="shared" si="28"/>
        <v>crx</v>
      </c>
      <c r="G330" s="278" t="s">
        <v>927</v>
      </c>
      <c r="H330" s="278" t="s">
        <v>928</v>
      </c>
      <c r="I330" s="278" t="s">
        <v>929</v>
      </c>
      <c r="K330" s="279">
        <f t="shared" si="29"/>
        <v>2269.0539542014076</v>
      </c>
      <c r="M330" s="279">
        <v>2200</v>
      </c>
      <c r="O330" s="278">
        <v>2269.0539542014076</v>
      </c>
      <c r="R330" s="278" t="str">
        <f>IF(AND((J330="This"),(L330="Only")),VLOOKUP(G330,#REF!,7,FALSE),"")</f>
        <v/>
      </c>
    </row>
    <row r="331" spans="1:20" x14ac:dyDescent="0.25">
      <c r="A331" s="278">
        <v>1</v>
      </c>
      <c r="C331" s="278">
        <f t="shared" si="25"/>
        <v>48</v>
      </c>
      <c r="D331" s="278">
        <f t="shared" si="26"/>
        <v>39</v>
      </c>
      <c r="E331" s="278">
        <f t="shared" si="27"/>
        <v>16</v>
      </c>
      <c r="F331" s="278" t="str">
        <f t="shared" si="28"/>
        <v>sox</v>
      </c>
      <c r="G331" s="278" t="s">
        <v>930</v>
      </c>
      <c r="H331" s="278" t="s">
        <v>352</v>
      </c>
      <c r="I331" s="278" t="s">
        <v>931</v>
      </c>
      <c r="K331" s="279">
        <f t="shared" si="29"/>
        <v>2200</v>
      </c>
      <c r="M331" s="279">
        <v>2200</v>
      </c>
      <c r="R331" s="278" t="str">
        <f>IF(AND((J331="This"),(L331="Only")),VLOOKUP(G331,#REF!,7,FALSE),"")</f>
        <v/>
      </c>
    </row>
    <row r="332" spans="1:20" x14ac:dyDescent="0.25">
      <c r="A332" s="278">
        <v>1</v>
      </c>
      <c r="C332" s="278">
        <f t="shared" si="25"/>
        <v>49</v>
      </c>
      <c r="D332" s="278">
        <f t="shared" si="26"/>
        <v>39</v>
      </c>
      <c r="E332" s="278">
        <f t="shared" si="27"/>
        <v>16</v>
      </c>
      <c r="F332" s="278" t="str">
        <f t="shared" si="28"/>
        <v>crx</v>
      </c>
      <c r="G332" s="278" t="s">
        <v>932</v>
      </c>
      <c r="H332" s="278" t="s">
        <v>933</v>
      </c>
      <c r="I332" s="278" t="s">
        <v>934</v>
      </c>
      <c r="K332" s="279">
        <f t="shared" si="29"/>
        <v>2250.2338938234179</v>
      </c>
      <c r="M332" s="279">
        <v>2200</v>
      </c>
      <c r="O332" s="278">
        <v>2250.2338938234179</v>
      </c>
      <c r="R332" s="278" t="str">
        <f>IF(AND((J332="This"),(L332="Only")),VLOOKUP(G332,#REF!,7,FALSE),"")</f>
        <v/>
      </c>
    </row>
    <row r="333" spans="1:20" x14ac:dyDescent="0.25">
      <c r="A333" s="278">
        <v>5</v>
      </c>
      <c r="C333" s="278">
        <f t="shared" si="25"/>
        <v>50</v>
      </c>
      <c r="D333" s="278">
        <f t="shared" si="26"/>
        <v>39</v>
      </c>
      <c r="E333" s="278">
        <f t="shared" si="27"/>
        <v>16</v>
      </c>
      <c r="F333" s="278" t="str">
        <f t="shared" si="28"/>
        <v>pm</v>
      </c>
      <c r="G333" s="278" t="s">
        <v>935</v>
      </c>
      <c r="H333" s="278" t="s">
        <v>232</v>
      </c>
      <c r="I333" s="278" t="s">
        <v>936</v>
      </c>
      <c r="K333" s="279">
        <f t="shared" si="29"/>
        <v>2222.3068225794136</v>
      </c>
      <c r="M333" s="279">
        <v>2200</v>
      </c>
      <c r="R333" s="278" t="str">
        <f>IF(AND((J333="This"),(L333="Only")),VLOOKUP(G333,#REF!,7,FALSE),"")</f>
        <v/>
      </c>
      <c r="T333" s="278">
        <v>2222.3068225794136</v>
      </c>
    </row>
    <row r="334" spans="1:20" x14ac:dyDescent="0.25">
      <c r="A334" s="278">
        <v>5</v>
      </c>
      <c r="C334" s="278">
        <f t="shared" si="25"/>
        <v>51</v>
      </c>
      <c r="D334" s="278">
        <f t="shared" si="26"/>
        <v>39</v>
      </c>
      <c r="E334" s="278">
        <f t="shared" si="27"/>
        <v>16</v>
      </c>
      <c r="F334" s="278" t="str">
        <f t="shared" si="28"/>
        <v>pm</v>
      </c>
      <c r="G334" s="278" t="s">
        <v>937</v>
      </c>
      <c r="H334" s="278" t="s">
        <v>232</v>
      </c>
      <c r="I334" s="278" t="s">
        <v>938</v>
      </c>
      <c r="K334" s="279">
        <f t="shared" si="29"/>
        <v>2138.5872760572856</v>
      </c>
      <c r="M334" s="279">
        <v>2200</v>
      </c>
      <c r="R334" s="278" t="str">
        <f>IF(AND((J334="This"),(L334="Only")),VLOOKUP(G334,#REF!,7,FALSE),"")</f>
        <v/>
      </c>
      <c r="S334" s="278">
        <v>2137.2978832051181</v>
      </c>
      <c r="T334" s="278">
        <v>2138.5872760572856</v>
      </c>
    </row>
    <row r="335" spans="1:20" x14ac:dyDescent="0.25">
      <c r="A335" s="278">
        <v>3</v>
      </c>
      <c r="C335" s="278">
        <f t="shared" si="25"/>
        <v>52</v>
      </c>
      <c r="D335" s="278">
        <f t="shared" si="26"/>
        <v>39</v>
      </c>
      <c r="E335" s="278">
        <f t="shared" si="27"/>
        <v>16</v>
      </c>
      <c r="F335" s="278" t="str">
        <f t="shared" si="28"/>
        <v>pm</v>
      </c>
      <c r="G335" s="278" t="s">
        <v>939</v>
      </c>
      <c r="H335" s="278" t="s">
        <v>361</v>
      </c>
      <c r="I335" s="278" t="s">
        <v>940</v>
      </c>
      <c r="K335" s="279">
        <f t="shared" si="29"/>
        <v>2160.7120222216377</v>
      </c>
      <c r="M335" s="279">
        <v>2200</v>
      </c>
      <c r="R335" s="278" t="str">
        <f>IF(AND((J335="This"),(L335="Only")),VLOOKUP(G335,#REF!,7,FALSE),"")</f>
        <v/>
      </c>
      <c r="S335" s="278">
        <v>2160.7120222216377</v>
      </c>
    </row>
    <row r="336" spans="1:20" x14ac:dyDescent="0.25">
      <c r="A336" s="278">
        <v>1</v>
      </c>
      <c r="C336" s="278">
        <f t="shared" si="25"/>
        <v>53</v>
      </c>
      <c r="D336" s="278">
        <f t="shared" si="26"/>
        <v>39</v>
      </c>
      <c r="E336" s="278">
        <f t="shared" si="27"/>
        <v>16</v>
      </c>
      <c r="F336" s="278" t="str">
        <f t="shared" si="28"/>
        <v>crx</v>
      </c>
      <c r="G336" s="278" t="s">
        <v>941</v>
      </c>
      <c r="H336" s="278" t="s">
        <v>942</v>
      </c>
      <c r="I336" s="278" t="s">
        <v>943</v>
      </c>
      <c r="K336" s="279">
        <f t="shared" si="29"/>
        <v>2200</v>
      </c>
      <c r="M336" s="279">
        <v>2200</v>
      </c>
      <c r="R336" s="278" t="str">
        <f>IF(AND((J336="This"),(L336="Only")),VLOOKUP(G336,#REF!,7,FALSE),"")</f>
        <v/>
      </c>
    </row>
    <row r="337" spans="1:21" x14ac:dyDescent="0.25">
      <c r="A337" s="278">
        <v>5</v>
      </c>
      <c r="C337" s="278">
        <f t="shared" si="25"/>
        <v>54</v>
      </c>
      <c r="D337" s="278">
        <f t="shared" si="26"/>
        <v>39</v>
      </c>
      <c r="E337" s="278">
        <f t="shared" si="27"/>
        <v>16</v>
      </c>
      <c r="F337" s="278" t="str">
        <f t="shared" si="28"/>
        <v>pm</v>
      </c>
      <c r="G337" s="278" t="s">
        <v>944</v>
      </c>
      <c r="H337" s="278" t="s">
        <v>512</v>
      </c>
      <c r="I337" s="278" t="s">
        <v>945</v>
      </c>
      <c r="K337" s="279">
        <f t="shared" si="29"/>
        <v>2310.9610496243463</v>
      </c>
      <c r="M337" s="279">
        <v>2200</v>
      </c>
      <c r="R337" s="278" t="str">
        <f>IF(AND((J337="This"),(L337="Only")),VLOOKUP(G337,#REF!,7,FALSE),"")</f>
        <v/>
      </c>
      <c r="S337" s="278">
        <v>2312.7657415470694</v>
      </c>
      <c r="T337" s="278">
        <v>2310.9610496243463</v>
      </c>
    </row>
    <row r="338" spans="1:21" x14ac:dyDescent="0.25">
      <c r="A338" s="278">
        <v>5</v>
      </c>
      <c r="C338" s="278">
        <f t="shared" si="25"/>
        <v>55</v>
      </c>
      <c r="D338" s="278">
        <f t="shared" si="26"/>
        <v>39</v>
      </c>
      <c r="E338" s="278">
        <f t="shared" si="27"/>
        <v>16</v>
      </c>
      <c r="F338" s="278" t="str">
        <f t="shared" si="28"/>
        <v>pm</v>
      </c>
      <c r="G338" s="278" t="s">
        <v>946</v>
      </c>
      <c r="H338" s="278" t="s">
        <v>512</v>
      </c>
      <c r="I338" s="278" t="s">
        <v>947</v>
      </c>
      <c r="K338" s="279">
        <f t="shared" si="29"/>
        <v>2098.9025643154096</v>
      </c>
      <c r="M338" s="279">
        <v>2200</v>
      </c>
      <c r="R338" s="278" t="str">
        <f>IF(AND((J338="This"),(L338="Only")),VLOOKUP(G338,#REF!,7,FALSE),"")</f>
        <v/>
      </c>
      <c r="S338" s="278">
        <v>2179.626578556059</v>
      </c>
      <c r="T338" s="278">
        <v>2098.9025643154096</v>
      </c>
    </row>
    <row r="339" spans="1:21" x14ac:dyDescent="0.25">
      <c r="A339" s="278">
        <v>1</v>
      </c>
      <c r="C339" s="278">
        <f t="shared" si="25"/>
        <v>56</v>
      </c>
      <c r="D339" s="278">
        <f t="shared" si="26"/>
        <v>39</v>
      </c>
      <c r="E339" s="278">
        <f t="shared" si="27"/>
        <v>16</v>
      </c>
      <c r="F339" s="278" t="str">
        <f t="shared" si="28"/>
        <v>sox</v>
      </c>
      <c r="G339" s="278" t="s">
        <v>948</v>
      </c>
      <c r="H339" s="278" t="s">
        <v>687</v>
      </c>
      <c r="I339" s="278" t="s">
        <v>949</v>
      </c>
      <c r="K339" s="279">
        <f t="shared" si="29"/>
        <v>2289.6533608633817</v>
      </c>
      <c r="M339" s="279">
        <v>2200</v>
      </c>
      <c r="R339" s="278" t="str">
        <f>IF(AND((J339="This"),(L339="Only")),VLOOKUP(G339,#REF!,7,FALSE),"")</f>
        <v/>
      </c>
      <c r="T339" s="278">
        <v>2289.6533608633817</v>
      </c>
    </row>
    <row r="340" spans="1:21" x14ac:dyDescent="0.25">
      <c r="A340" s="278">
        <v>1</v>
      </c>
      <c r="C340" s="278">
        <f t="shared" si="25"/>
        <v>57</v>
      </c>
      <c r="D340" s="278">
        <f t="shared" si="26"/>
        <v>39</v>
      </c>
      <c r="E340" s="278">
        <f t="shared" si="27"/>
        <v>16</v>
      </c>
      <c r="F340" s="278" t="str">
        <f t="shared" si="28"/>
        <v>sox</v>
      </c>
      <c r="G340" s="278" t="s">
        <v>950</v>
      </c>
      <c r="H340" s="278" t="s">
        <v>687</v>
      </c>
      <c r="I340" s="278" t="s">
        <v>951</v>
      </c>
      <c r="K340" s="279">
        <f t="shared" si="29"/>
        <v>2244.8703924043102</v>
      </c>
      <c r="M340" s="279">
        <v>2200</v>
      </c>
      <c r="R340" s="278" t="str">
        <f>IF(AND((J340="This"),(L340="Only")),VLOOKUP(G340,#REF!,7,FALSE),"")</f>
        <v/>
      </c>
      <c r="T340" s="278">
        <v>2244.8703924043102</v>
      </c>
    </row>
    <row r="341" spans="1:21" x14ac:dyDescent="0.25">
      <c r="A341" s="278">
        <v>1</v>
      </c>
      <c r="C341" s="278">
        <f t="shared" si="25"/>
        <v>58</v>
      </c>
      <c r="D341" s="278">
        <f t="shared" si="26"/>
        <v>39</v>
      </c>
      <c r="E341" s="278">
        <f t="shared" si="27"/>
        <v>16</v>
      </c>
      <c r="F341" s="278" t="str">
        <f t="shared" si="28"/>
        <v>sox</v>
      </c>
      <c r="G341" s="278" t="s">
        <v>952</v>
      </c>
      <c r="H341" s="278" t="s">
        <v>687</v>
      </c>
      <c r="I341" s="278" t="s">
        <v>953</v>
      </c>
      <c r="K341" s="279">
        <f t="shared" si="29"/>
        <v>2200</v>
      </c>
      <c r="M341" s="279">
        <v>2200</v>
      </c>
      <c r="R341" s="278" t="str">
        <f>IF(AND((J341="This"),(L341="Only")),VLOOKUP(G341,#REF!,7,FALSE),"")</f>
        <v/>
      </c>
    </row>
    <row r="342" spans="1:21" x14ac:dyDescent="0.25">
      <c r="A342" s="278">
        <v>4</v>
      </c>
      <c r="C342" s="278">
        <f t="shared" si="25"/>
        <v>59</v>
      </c>
      <c r="D342" s="278">
        <f t="shared" si="26"/>
        <v>39</v>
      </c>
      <c r="E342" s="278">
        <f t="shared" si="27"/>
        <v>16</v>
      </c>
      <c r="F342" s="278" t="str">
        <f t="shared" si="28"/>
        <v>pm</v>
      </c>
      <c r="G342" s="278" t="s">
        <v>954</v>
      </c>
      <c r="H342" s="278" t="s">
        <v>416</v>
      </c>
      <c r="I342" s="278" t="s">
        <v>955</v>
      </c>
      <c r="K342" s="279">
        <f t="shared" si="29"/>
        <v>2148.4247333494636</v>
      </c>
      <c r="M342" s="279">
        <v>2200</v>
      </c>
      <c r="R342" s="278" t="str">
        <f>IF(AND((J342="This"),(L342="Only")),VLOOKUP(G342,#REF!,7,FALSE),"")</f>
        <v/>
      </c>
      <c r="S342" s="278">
        <v>2148.4247333494636</v>
      </c>
    </row>
    <row r="343" spans="1:21" x14ac:dyDescent="0.25">
      <c r="A343" s="278">
        <v>1</v>
      </c>
      <c r="C343" s="278">
        <f t="shared" si="25"/>
        <v>1</v>
      </c>
      <c r="D343" s="278">
        <f t="shared" si="26"/>
        <v>1</v>
      </c>
      <c r="E343" s="278">
        <f t="shared" si="27"/>
        <v>17</v>
      </c>
      <c r="F343" s="278" t="str">
        <f t="shared" si="28"/>
        <v>crx</v>
      </c>
      <c r="G343" s="278" t="s">
        <v>956</v>
      </c>
      <c r="H343" s="278" t="s">
        <v>957</v>
      </c>
      <c r="I343" s="278" t="s">
        <v>958</v>
      </c>
      <c r="K343" s="279">
        <f t="shared" si="29"/>
        <v>2698.2829531711172</v>
      </c>
      <c r="M343" s="279">
        <v>2800</v>
      </c>
      <c r="R343" s="278" t="str">
        <f>IF(AND((J343="This"),(L343="Only")),VLOOKUP(G343,#REF!,7,FALSE),"")</f>
        <v/>
      </c>
      <c r="U343" s="278">
        <v>2698.2829531711172</v>
      </c>
    </row>
    <row r="344" spans="1:21" x14ac:dyDescent="0.25">
      <c r="A344" s="278">
        <v>2</v>
      </c>
      <c r="C344" s="278">
        <f t="shared" si="25"/>
        <v>2</v>
      </c>
      <c r="D344" s="278">
        <f t="shared" si="26"/>
        <v>1</v>
      </c>
      <c r="E344" s="278">
        <f t="shared" si="27"/>
        <v>17</v>
      </c>
      <c r="F344" s="278" t="str">
        <f t="shared" si="28"/>
        <v>cr</v>
      </c>
      <c r="G344" s="278" t="s">
        <v>959</v>
      </c>
      <c r="H344" s="278" t="s">
        <v>229</v>
      </c>
      <c r="I344" s="278" t="s">
        <v>960</v>
      </c>
      <c r="K344" s="279">
        <f t="shared" si="29"/>
        <v>2758.8844484783435</v>
      </c>
      <c r="M344" s="279">
        <v>2800</v>
      </c>
      <c r="P344" s="278">
        <v>2758.8844484783435</v>
      </c>
      <c r="R344" s="278" t="str">
        <f>IF(AND((J344="This"),(L344="Only")),VLOOKUP(G344,#REF!,7,FALSE),"")</f>
        <v/>
      </c>
    </row>
    <row r="345" spans="1:21" x14ac:dyDescent="0.25">
      <c r="A345" s="278">
        <v>1</v>
      </c>
      <c r="C345" s="278">
        <f t="shared" si="25"/>
        <v>3</v>
      </c>
      <c r="D345" s="278">
        <f t="shared" si="26"/>
        <v>1</v>
      </c>
      <c r="E345" s="278">
        <f t="shared" si="27"/>
        <v>17</v>
      </c>
      <c r="F345" s="278" t="str">
        <f t="shared" si="28"/>
        <v>crx</v>
      </c>
      <c r="G345" s="278" t="s">
        <v>961</v>
      </c>
      <c r="H345" s="278" t="s">
        <v>962</v>
      </c>
      <c r="I345" s="278" t="s">
        <v>963</v>
      </c>
      <c r="K345" s="279">
        <f t="shared" si="29"/>
        <v>2750.4570583228733</v>
      </c>
      <c r="M345" s="279">
        <v>2800</v>
      </c>
      <c r="N345" s="278">
        <v>2750.4570583228733</v>
      </c>
      <c r="R345" s="278" t="str">
        <f>IF(AND((J345="This"),(L345="Only")),VLOOKUP(G345,#REF!,7,FALSE),"")</f>
        <v/>
      </c>
    </row>
    <row r="346" spans="1:21" x14ac:dyDescent="0.25">
      <c r="A346" s="278">
        <v>1</v>
      </c>
      <c r="C346" s="278">
        <f t="shared" si="25"/>
        <v>4</v>
      </c>
      <c r="D346" s="278">
        <f t="shared" si="26"/>
        <v>1</v>
      </c>
      <c r="E346" s="278">
        <f t="shared" si="27"/>
        <v>17</v>
      </c>
      <c r="F346" s="278" t="str">
        <f t="shared" si="28"/>
        <v>crx</v>
      </c>
      <c r="G346" s="278" t="s">
        <v>964</v>
      </c>
      <c r="H346" s="278" t="s">
        <v>709</v>
      </c>
      <c r="I346" s="278" t="s">
        <v>965</v>
      </c>
      <c r="K346" s="279">
        <f t="shared" si="29"/>
        <v>2908.7460051891831</v>
      </c>
      <c r="M346" s="279">
        <v>2800</v>
      </c>
      <c r="R346" s="278" t="str">
        <f>IF(AND((J346="This"),(L346="Only")),VLOOKUP(G346,#REF!,7,FALSE),"")</f>
        <v/>
      </c>
      <c r="U346" s="278">
        <v>2908.7460051891831</v>
      </c>
    </row>
    <row r="347" spans="1:21" x14ac:dyDescent="0.25">
      <c r="A347" s="278">
        <v>1</v>
      </c>
      <c r="C347" s="278">
        <f t="shared" si="25"/>
        <v>5</v>
      </c>
      <c r="D347" s="278">
        <f t="shared" si="26"/>
        <v>1</v>
      </c>
      <c r="E347" s="278">
        <f t="shared" si="27"/>
        <v>17</v>
      </c>
      <c r="F347" s="278" t="str">
        <f t="shared" si="28"/>
        <v>crx</v>
      </c>
      <c r="G347" s="278" t="s">
        <v>966</v>
      </c>
      <c r="H347" s="278" t="s">
        <v>967</v>
      </c>
      <c r="I347" s="278" t="s">
        <v>968</v>
      </c>
      <c r="K347" s="279">
        <f t="shared" si="29"/>
        <v>2729.1332215711891</v>
      </c>
      <c r="M347" s="279">
        <v>2800</v>
      </c>
      <c r="R347" s="278" t="str">
        <f>IF(AND((J347="This"),(L347="Only")),VLOOKUP(G347,#REF!,7,FALSE),"")</f>
        <v/>
      </c>
      <c r="S347" s="278">
        <v>2729.1332215711891</v>
      </c>
    </row>
    <row r="348" spans="1:21" x14ac:dyDescent="0.25">
      <c r="A348" s="278">
        <v>4</v>
      </c>
      <c r="C348" s="278">
        <f t="shared" si="25"/>
        <v>6</v>
      </c>
      <c r="D348" s="278">
        <f t="shared" si="26"/>
        <v>1</v>
      </c>
      <c r="E348" s="278">
        <f t="shared" si="27"/>
        <v>17</v>
      </c>
      <c r="F348" s="278" t="str">
        <f t="shared" si="28"/>
        <v>pm</v>
      </c>
      <c r="G348" s="278" t="s">
        <v>969</v>
      </c>
      <c r="H348" s="278" t="s">
        <v>217</v>
      </c>
      <c r="I348" s="278" t="s">
        <v>970</v>
      </c>
      <c r="K348" s="279">
        <f t="shared" si="29"/>
        <v>2842.9172020109409</v>
      </c>
      <c r="M348" s="279">
        <v>2800</v>
      </c>
      <c r="N348" s="278">
        <v>2833.6024184475791</v>
      </c>
      <c r="R348" s="278" t="str">
        <f>IF(AND((J348="This"),(L348="Only")),VLOOKUP(G348,#REF!,7,FALSE),"")</f>
        <v/>
      </c>
      <c r="U348" s="278">
        <v>2842.9172020109409</v>
      </c>
    </row>
    <row r="349" spans="1:21" x14ac:dyDescent="0.25">
      <c r="A349" s="278">
        <v>4</v>
      </c>
      <c r="C349" s="278">
        <f t="shared" si="25"/>
        <v>7</v>
      </c>
      <c r="D349" s="278">
        <f t="shared" si="26"/>
        <v>1</v>
      </c>
      <c r="E349" s="278">
        <f t="shared" si="27"/>
        <v>17</v>
      </c>
      <c r="F349" s="278" t="str">
        <f t="shared" si="28"/>
        <v>pm</v>
      </c>
      <c r="G349" s="278" t="s">
        <v>971</v>
      </c>
      <c r="H349" s="278" t="s">
        <v>217</v>
      </c>
      <c r="I349" s="278" t="s">
        <v>972</v>
      </c>
      <c r="K349" s="279">
        <f t="shared" si="29"/>
        <v>2869.0678291595218</v>
      </c>
      <c r="M349" s="279">
        <v>2800</v>
      </c>
      <c r="N349" s="278">
        <v>2871.6284059333157</v>
      </c>
      <c r="R349" s="278" t="str">
        <f>IF(AND((J349="This"),(L349="Only")),VLOOKUP(G349,#REF!,7,FALSE),"")</f>
        <v/>
      </c>
      <c r="U349" s="278">
        <v>2869.0678291595218</v>
      </c>
    </row>
    <row r="350" spans="1:21" x14ac:dyDescent="0.25">
      <c r="A350" s="278">
        <v>1</v>
      </c>
      <c r="C350" s="278">
        <f t="shared" si="25"/>
        <v>8</v>
      </c>
      <c r="D350" s="278">
        <f t="shared" si="26"/>
        <v>1</v>
      </c>
      <c r="E350" s="278">
        <f t="shared" si="27"/>
        <v>17</v>
      </c>
      <c r="F350" s="278" t="str">
        <f t="shared" si="28"/>
        <v>crx</v>
      </c>
      <c r="G350" s="278" t="s">
        <v>973</v>
      </c>
      <c r="H350" s="278" t="s">
        <v>974</v>
      </c>
      <c r="I350" s="278" t="s">
        <v>975</v>
      </c>
      <c r="K350" s="279">
        <f t="shared" si="29"/>
        <v>2719.3450087203364</v>
      </c>
      <c r="M350" s="279">
        <v>2800</v>
      </c>
      <c r="R350" s="278" t="str">
        <f>IF(AND((J350="This"),(L350="Only")),VLOOKUP(G350,#REF!,7,FALSE),"")</f>
        <v/>
      </c>
      <c r="U350" s="278">
        <v>2719.3450087203364</v>
      </c>
    </row>
    <row r="351" spans="1:21" x14ac:dyDescent="0.25">
      <c r="A351" s="278">
        <v>1</v>
      </c>
      <c r="C351" s="278">
        <f t="shared" si="25"/>
        <v>9</v>
      </c>
      <c r="D351" s="278">
        <f t="shared" si="26"/>
        <v>1</v>
      </c>
      <c r="E351" s="278">
        <f t="shared" si="27"/>
        <v>17</v>
      </c>
      <c r="F351" s="278" t="str">
        <f t="shared" si="28"/>
        <v>pmx</v>
      </c>
      <c r="G351" s="278" t="s">
        <v>976</v>
      </c>
      <c r="H351" s="278" t="s">
        <v>382</v>
      </c>
      <c r="I351" s="278" t="s">
        <v>977</v>
      </c>
      <c r="K351" s="279">
        <f t="shared" si="29"/>
        <v>2855.3863886111262</v>
      </c>
      <c r="M351" s="279">
        <v>2800</v>
      </c>
      <c r="R351" s="278" t="str">
        <f>IF(AND((J351="This"),(L351="Only")),VLOOKUP(G351,#REF!,7,FALSE),"")</f>
        <v/>
      </c>
      <c r="U351" s="278">
        <v>2855.3863886111262</v>
      </c>
    </row>
    <row r="352" spans="1:21" x14ac:dyDescent="0.25">
      <c r="A352" s="278">
        <v>4</v>
      </c>
      <c r="C352" s="278">
        <f t="shared" si="25"/>
        <v>10</v>
      </c>
      <c r="D352" s="278">
        <f t="shared" si="26"/>
        <v>1</v>
      </c>
      <c r="E352" s="278">
        <f t="shared" si="27"/>
        <v>17</v>
      </c>
      <c r="F352" s="278" t="str">
        <f t="shared" si="28"/>
        <v>pm</v>
      </c>
      <c r="G352" s="278" t="s">
        <v>978</v>
      </c>
      <c r="H352" s="278" t="s">
        <v>730</v>
      </c>
      <c r="I352" s="278" t="s">
        <v>979</v>
      </c>
      <c r="K352" s="279">
        <f t="shared" si="29"/>
        <v>2683.7023578396006</v>
      </c>
      <c r="M352" s="279">
        <v>2800</v>
      </c>
      <c r="N352" s="278">
        <v>2752.6182883776373</v>
      </c>
      <c r="R352" s="278" t="str">
        <f>IF(AND((J352="This"),(L352="Only")),VLOOKUP(G352,#REF!,7,FALSE),"")</f>
        <v/>
      </c>
      <c r="U352" s="278">
        <v>2683.7023578396006</v>
      </c>
    </row>
    <row r="353" spans="1:21" x14ac:dyDescent="0.25">
      <c r="A353" s="278">
        <v>5</v>
      </c>
      <c r="C353" s="278">
        <f t="shared" si="25"/>
        <v>11</v>
      </c>
      <c r="D353" s="278">
        <f t="shared" si="26"/>
        <v>1</v>
      </c>
      <c r="E353" s="278">
        <f t="shared" si="27"/>
        <v>17</v>
      </c>
      <c r="F353" s="278" t="str">
        <f t="shared" si="28"/>
        <v>pm</v>
      </c>
      <c r="G353" s="278" t="s">
        <v>980</v>
      </c>
      <c r="H353" s="278" t="s">
        <v>981</v>
      </c>
      <c r="I353" s="278" t="s">
        <v>982</v>
      </c>
      <c r="K353" s="279">
        <f t="shared" si="29"/>
        <v>2905.4623849496193</v>
      </c>
      <c r="M353" s="279">
        <v>2800</v>
      </c>
      <c r="P353" s="278">
        <v>2898.4548657689761</v>
      </c>
      <c r="R353" s="278" t="str">
        <f>IF(AND((J353="This"),(L353="Only")),VLOOKUP(G353,#REF!,7,FALSE),"")</f>
        <v/>
      </c>
      <c r="S353" s="278">
        <v>2936.9880533615292</v>
      </c>
      <c r="U353" s="278">
        <v>2905.4623849496193</v>
      </c>
    </row>
    <row r="354" spans="1:21" x14ac:dyDescent="0.25">
      <c r="A354" s="278">
        <v>4</v>
      </c>
      <c r="C354" s="278">
        <f t="shared" si="25"/>
        <v>12</v>
      </c>
      <c r="D354" s="278">
        <f t="shared" si="26"/>
        <v>1</v>
      </c>
      <c r="E354" s="278">
        <f t="shared" si="27"/>
        <v>17</v>
      </c>
      <c r="F354" s="278" t="str">
        <f t="shared" si="28"/>
        <v>pm</v>
      </c>
      <c r="G354" s="278" t="s">
        <v>983</v>
      </c>
      <c r="H354" s="278" t="s">
        <v>296</v>
      </c>
      <c r="I354" s="278" t="s">
        <v>984</v>
      </c>
      <c r="K354" s="279">
        <f t="shared" si="29"/>
        <v>2898.4661809305749</v>
      </c>
      <c r="M354" s="279">
        <v>2800</v>
      </c>
      <c r="P354" s="278">
        <v>2840.4219447808714</v>
      </c>
      <c r="R354" s="278" t="str">
        <f>IF(AND((J354="This"),(L354="Only")),VLOOKUP(G354,#REF!,7,FALSE),"")</f>
        <v/>
      </c>
      <c r="S354" s="278">
        <v>2907.017912342078</v>
      </c>
      <c r="U354" s="278">
        <v>2898.4661809305749</v>
      </c>
    </row>
    <row r="355" spans="1:21" x14ac:dyDescent="0.25">
      <c r="A355" s="278">
        <v>6</v>
      </c>
      <c r="C355" s="278">
        <f t="shared" si="25"/>
        <v>13</v>
      </c>
      <c r="D355" s="278">
        <f t="shared" si="26"/>
        <v>1</v>
      </c>
      <c r="E355" s="278">
        <f t="shared" si="27"/>
        <v>17</v>
      </c>
      <c r="F355" s="278" t="str">
        <f t="shared" si="28"/>
        <v>pm</v>
      </c>
      <c r="G355" s="278" t="s">
        <v>985</v>
      </c>
      <c r="H355" s="278" t="s">
        <v>333</v>
      </c>
      <c r="I355" s="278" t="s">
        <v>986</v>
      </c>
      <c r="K355" s="279">
        <f t="shared" si="29"/>
        <v>2571.5237468395812</v>
      </c>
      <c r="M355" s="279">
        <v>2800</v>
      </c>
      <c r="N355" s="278">
        <v>2726.4435267606004</v>
      </c>
      <c r="P355" s="278">
        <v>2667.1192641229122</v>
      </c>
      <c r="R355" s="278" t="str">
        <f>IF(AND((J355="This"),(L355="Only")),VLOOKUP(G355,#REF!,7,FALSE),"")</f>
        <v/>
      </c>
      <c r="S355" s="278">
        <v>2635.254000507688</v>
      </c>
      <c r="U355" s="278">
        <v>2571.5237468395812</v>
      </c>
    </row>
    <row r="356" spans="1:21" x14ac:dyDescent="0.25">
      <c r="A356" s="278">
        <v>1</v>
      </c>
      <c r="C356" s="278">
        <f t="shared" si="25"/>
        <v>14</v>
      </c>
      <c r="D356" s="278">
        <f t="shared" si="26"/>
        <v>1</v>
      </c>
      <c r="E356" s="278">
        <f t="shared" si="27"/>
        <v>17</v>
      </c>
      <c r="F356" s="278" t="str">
        <f t="shared" si="28"/>
        <v>crx</v>
      </c>
      <c r="G356" s="278" t="s">
        <v>987</v>
      </c>
      <c r="H356" s="278" t="s">
        <v>737</v>
      </c>
      <c r="I356" s="278" t="s">
        <v>988</v>
      </c>
      <c r="K356" s="279">
        <f t="shared" si="29"/>
        <v>2812.0624491162876</v>
      </c>
      <c r="M356" s="279">
        <v>2800</v>
      </c>
      <c r="N356" s="278">
        <v>2812.0624491162876</v>
      </c>
      <c r="R356" s="278" t="str">
        <f>IF(AND((J356="This"),(L356="Only")),VLOOKUP(G356,#REF!,7,FALSE),"")</f>
        <v/>
      </c>
    </row>
    <row r="357" spans="1:21" x14ac:dyDescent="0.25">
      <c r="A357" s="278">
        <v>3</v>
      </c>
      <c r="C357" s="278">
        <f t="shared" si="25"/>
        <v>15</v>
      </c>
      <c r="D357" s="278">
        <f t="shared" si="26"/>
        <v>1</v>
      </c>
      <c r="E357" s="278">
        <f t="shared" si="27"/>
        <v>17</v>
      </c>
      <c r="F357" s="278" t="str">
        <f t="shared" si="28"/>
        <v>pm</v>
      </c>
      <c r="G357" s="278" t="s">
        <v>989</v>
      </c>
      <c r="H357" s="278" t="s">
        <v>385</v>
      </c>
      <c r="I357" s="278" t="s">
        <v>990</v>
      </c>
      <c r="K357" s="279">
        <f t="shared" si="29"/>
        <v>2867.0704945911393</v>
      </c>
      <c r="M357" s="279">
        <v>2800</v>
      </c>
      <c r="N357" s="278">
        <v>2874.5669843189626</v>
      </c>
      <c r="R357" s="278" t="str">
        <f>IF(AND((J357="This"),(L357="Only")),VLOOKUP(G357,#REF!,7,FALSE),"")</f>
        <v/>
      </c>
      <c r="U357" s="278">
        <v>2867.0704945911393</v>
      </c>
    </row>
    <row r="358" spans="1:21" x14ac:dyDescent="0.25">
      <c r="A358" s="278">
        <v>2</v>
      </c>
      <c r="C358" s="278">
        <f t="shared" si="25"/>
        <v>16</v>
      </c>
      <c r="D358" s="278">
        <f t="shared" si="26"/>
        <v>1</v>
      </c>
      <c r="E358" s="278">
        <f t="shared" si="27"/>
        <v>17</v>
      </c>
      <c r="F358" s="278" t="str">
        <f t="shared" si="28"/>
        <v>pm</v>
      </c>
      <c r="G358" s="278" t="s">
        <v>991</v>
      </c>
      <c r="H358" s="278" t="s">
        <v>226</v>
      </c>
      <c r="I358" s="278" t="s">
        <v>992</v>
      </c>
      <c r="K358" s="279">
        <f t="shared" si="29"/>
        <v>2901.4124452884193</v>
      </c>
      <c r="M358" s="279">
        <v>2800</v>
      </c>
      <c r="R358" s="278" t="str">
        <f>IF(AND((J358="This"),(L358="Only")),VLOOKUP(G358,#REF!,7,FALSE),"")</f>
        <v/>
      </c>
      <c r="S358" s="278">
        <v>2901.4124452884193</v>
      </c>
    </row>
    <row r="359" spans="1:21" x14ac:dyDescent="0.25">
      <c r="A359" s="278">
        <v>2</v>
      </c>
      <c r="C359" s="278">
        <f t="shared" si="25"/>
        <v>17</v>
      </c>
      <c r="D359" s="278">
        <f t="shared" si="26"/>
        <v>1</v>
      </c>
      <c r="E359" s="278">
        <f t="shared" si="27"/>
        <v>17</v>
      </c>
      <c r="F359" s="278" t="str">
        <f t="shared" si="28"/>
        <v>pm</v>
      </c>
      <c r="G359" s="278" t="s">
        <v>993</v>
      </c>
      <c r="H359" s="278" t="s">
        <v>226</v>
      </c>
      <c r="I359" s="278" t="s">
        <v>994</v>
      </c>
      <c r="K359" s="279">
        <f t="shared" si="29"/>
        <v>2764.8764653951607</v>
      </c>
      <c r="M359" s="279">
        <v>2800</v>
      </c>
      <c r="R359" s="278" t="str">
        <f>IF(AND((J359="This"),(L359="Only")),VLOOKUP(G359,#REF!,7,FALSE),"")</f>
        <v/>
      </c>
      <c r="S359" s="278">
        <v>2764.8764653951607</v>
      </c>
    </row>
    <row r="360" spans="1:21" x14ac:dyDescent="0.25">
      <c r="A360" s="278">
        <v>1</v>
      </c>
      <c r="C360" s="278">
        <f t="shared" si="25"/>
        <v>18</v>
      </c>
      <c r="D360" s="278">
        <f t="shared" si="26"/>
        <v>1</v>
      </c>
      <c r="E360" s="278">
        <f t="shared" si="27"/>
        <v>17</v>
      </c>
      <c r="F360" s="278" t="str">
        <f t="shared" si="28"/>
        <v>sox</v>
      </c>
      <c r="G360" s="278" t="s">
        <v>995</v>
      </c>
      <c r="H360" s="278" t="s">
        <v>561</v>
      </c>
      <c r="I360" s="278" t="s">
        <v>996</v>
      </c>
      <c r="K360" s="279">
        <f t="shared" si="29"/>
        <v>2811.6944287257743</v>
      </c>
      <c r="M360" s="279">
        <v>2800</v>
      </c>
      <c r="R360" s="278" t="str">
        <f>IF(AND((J360="This"),(L360="Only")),VLOOKUP(G360,#REF!,7,FALSE),"")</f>
        <v/>
      </c>
      <c r="U360" s="278">
        <v>2811.6944287257743</v>
      </c>
    </row>
    <row r="361" spans="1:21" x14ac:dyDescent="0.25">
      <c r="A361" s="278">
        <v>3</v>
      </c>
      <c r="C361" s="278">
        <f t="shared" si="25"/>
        <v>19</v>
      </c>
      <c r="D361" s="278">
        <f t="shared" si="26"/>
        <v>1</v>
      </c>
      <c r="E361" s="278">
        <f t="shared" si="27"/>
        <v>17</v>
      </c>
      <c r="F361" s="278" t="str">
        <f t="shared" si="28"/>
        <v>pm</v>
      </c>
      <c r="G361" s="278" t="s">
        <v>997</v>
      </c>
      <c r="H361" s="278" t="s">
        <v>497</v>
      </c>
      <c r="I361" s="278" t="s">
        <v>998</v>
      </c>
      <c r="K361" s="279">
        <f t="shared" si="29"/>
        <v>2797.8823937745101</v>
      </c>
      <c r="M361" s="279">
        <v>2800</v>
      </c>
      <c r="N361" s="278">
        <v>2797.8823937745101</v>
      </c>
      <c r="R361" s="278" t="str">
        <f>IF(AND((J361="This"),(L361="Only")),VLOOKUP(G361,#REF!,7,FALSE),"")</f>
        <v/>
      </c>
    </row>
    <row r="362" spans="1:21" x14ac:dyDescent="0.25">
      <c r="A362" s="278">
        <v>1</v>
      </c>
      <c r="C362" s="278">
        <f t="shared" si="25"/>
        <v>20</v>
      </c>
      <c r="D362" s="278">
        <f t="shared" si="26"/>
        <v>1</v>
      </c>
      <c r="E362" s="278">
        <f t="shared" si="27"/>
        <v>17</v>
      </c>
      <c r="F362" s="278" t="str">
        <f t="shared" si="28"/>
        <v>odx</v>
      </c>
      <c r="G362" s="278" t="s">
        <v>999</v>
      </c>
      <c r="H362" s="278" t="s">
        <v>566</v>
      </c>
      <c r="I362" s="278" t="s">
        <v>1000</v>
      </c>
      <c r="K362" s="279">
        <f t="shared" si="29"/>
        <v>2761.3037377004575</v>
      </c>
      <c r="M362" s="279">
        <v>2800</v>
      </c>
      <c r="R362" s="278" t="str">
        <f>IF(AND((J362="This"),(L362="Only")),VLOOKUP(G362,#REF!,7,FALSE),"")</f>
        <v/>
      </c>
      <c r="U362" s="278">
        <v>2761.3037377004575</v>
      </c>
    </row>
    <row r="363" spans="1:21" x14ac:dyDescent="0.25">
      <c r="A363" s="278">
        <v>3</v>
      </c>
      <c r="C363" s="278">
        <f t="shared" si="25"/>
        <v>21</v>
      </c>
      <c r="D363" s="278">
        <f t="shared" si="26"/>
        <v>1</v>
      </c>
      <c r="E363" s="278">
        <f t="shared" si="27"/>
        <v>17</v>
      </c>
      <c r="F363" s="278" t="str">
        <f t="shared" si="28"/>
        <v>pm</v>
      </c>
      <c r="G363" s="278" t="s">
        <v>1001</v>
      </c>
      <c r="H363" s="278" t="s">
        <v>434</v>
      </c>
      <c r="I363" s="278" t="s">
        <v>1002</v>
      </c>
      <c r="K363" s="279">
        <f t="shared" si="29"/>
        <v>2801.5686837922772</v>
      </c>
      <c r="M363" s="279">
        <v>2800</v>
      </c>
      <c r="N363" s="278">
        <v>2817.626099057934</v>
      </c>
      <c r="P363" s="278">
        <v>2800.0897910250219</v>
      </c>
      <c r="R363" s="278" t="str">
        <f>IF(AND((J363="This"),(L363="Only")),VLOOKUP(G363,#REF!,7,FALSE),"")</f>
        <v/>
      </c>
      <c r="U363" s="278">
        <v>2801.5686837922772</v>
      </c>
    </row>
    <row r="364" spans="1:21" x14ac:dyDescent="0.25">
      <c r="A364" s="278">
        <v>5</v>
      </c>
      <c r="C364" s="278">
        <f t="shared" si="25"/>
        <v>22</v>
      </c>
      <c r="D364" s="278">
        <f t="shared" si="26"/>
        <v>1</v>
      </c>
      <c r="E364" s="278">
        <f t="shared" si="27"/>
        <v>17</v>
      </c>
      <c r="F364" s="278" t="str">
        <f t="shared" si="28"/>
        <v>pm</v>
      </c>
      <c r="G364" s="278" t="s">
        <v>1003</v>
      </c>
      <c r="H364" s="278" t="s">
        <v>318</v>
      </c>
      <c r="I364" s="278" t="s">
        <v>1004</v>
      </c>
      <c r="K364" s="279">
        <f t="shared" si="29"/>
        <v>2715.1945084168383</v>
      </c>
      <c r="M364" s="279">
        <v>2800</v>
      </c>
      <c r="N364" s="278">
        <v>2765.4519842745844</v>
      </c>
      <c r="P364" s="278">
        <v>2747.2792108998428</v>
      </c>
      <c r="R364" s="278" t="str">
        <f>IF(AND((J364="This"),(L364="Only")),VLOOKUP(G364,#REF!,7,FALSE),"")</f>
        <v/>
      </c>
      <c r="U364" s="278">
        <v>2715.1945084168383</v>
      </c>
    </row>
    <row r="365" spans="1:21" x14ac:dyDescent="0.25">
      <c r="A365" s="278">
        <v>6</v>
      </c>
      <c r="C365" s="278">
        <f t="shared" si="25"/>
        <v>23</v>
      </c>
      <c r="D365" s="278">
        <f t="shared" si="26"/>
        <v>1</v>
      </c>
      <c r="E365" s="278">
        <f t="shared" si="27"/>
        <v>17</v>
      </c>
      <c r="F365" s="278" t="str">
        <f t="shared" si="28"/>
        <v>pm</v>
      </c>
      <c r="G365" s="278" t="s">
        <v>1005</v>
      </c>
      <c r="H365" s="278" t="s">
        <v>318</v>
      </c>
      <c r="I365" s="278" t="s">
        <v>1006</v>
      </c>
      <c r="K365" s="279">
        <f t="shared" si="29"/>
        <v>2508.6951160240778</v>
      </c>
      <c r="M365" s="279">
        <v>2800</v>
      </c>
      <c r="N365" s="278">
        <v>2671.4711193477101</v>
      </c>
      <c r="P365" s="278">
        <v>2618.8887478463598</v>
      </c>
      <c r="R365" s="278" t="str">
        <f>IF(AND((J365="This"),(L365="Only")),VLOOKUP(G365,#REF!,7,FALSE),"")</f>
        <v/>
      </c>
      <c r="U365" s="278">
        <v>2508.6951160240778</v>
      </c>
    </row>
    <row r="366" spans="1:21" x14ac:dyDescent="0.25">
      <c r="A366" s="278">
        <v>2</v>
      </c>
      <c r="C366" s="278">
        <f t="shared" si="25"/>
        <v>24</v>
      </c>
      <c r="D366" s="278">
        <f t="shared" si="26"/>
        <v>1</v>
      </c>
      <c r="E366" s="278">
        <f t="shared" si="27"/>
        <v>17</v>
      </c>
      <c r="F366" s="278" t="str">
        <f t="shared" si="28"/>
        <v>pm</v>
      </c>
      <c r="G366" s="278" t="s">
        <v>1007</v>
      </c>
      <c r="H366" s="278" t="s">
        <v>587</v>
      </c>
      <c r="I366" s="278" t="s">
        <v>1008</v>
      </c>
      <c r="K366" s="279">
        <f t="shared" si="29"/>
        <v>2934.3283800734494</v>
      </c>
      <c r="M366" s="279">
        <v>2800</v>
      </c>
      <c r="N366" s="278">
        <v>2922.5577973738191</v>
      </c>
      <c r="R366" s="278" t="str">
        <f>IF(AND((J366="This"),(L366="Only")),VLOOKUP(G366,#REF!,7,FALSE),"")</f>
        <v/>
      </c>
      <c r="U366" s="278">
        <v>2934.3283800734494</v>
      </c>
    </row>
    <row r="367" spans="1:21" x14ac:dyDescent="0.25">
      <c r="A367" s="278">
        <v>1</v>
      </c>
      <c r="C367" s="278">
        <f t="shared" si="25"/>
        <v>25</v>
      </c>
      <c r="D367" s="278">
        <f t="shared" si="26"/>
        <v>1</v>
      </c>
      <c r="E367" s="278">
        <f t="shared" si="27"/>
        <v>17</v>
      </c>
      <c r="F367" s="278" t="str">
        <f t="shared" si="28"/>
        <v>pmx</v>
      </c>
      <c r="G367" s="278" t="s">
        <v>1009</v>
      </c>
      <c r="H367" s="278" t="s">
        <v>239</v>
      </c>
      <c r="I367" s="278" t="s">
        <v>1010</v>
      </c>
      <c r="K367" s="279">
        <f t="shared" si="29"/>
        <v>2800</v>
      </c>
      <c r="M367" s="279">
        <v>2800</v>
      </c>
      <c r="R367" s="278" t="str">
        <f>IF(AND((J367="This"),(L367="Only")),VLOOKUP(G367,#REF!,7,FALSE),"")</f>
        <v/>
      </c>
    </row>
    <row r="368" spans="1:21" x14ac:dyDescent="0.25">
      <c r="A368" s="278">
        <v>4</v>
      </c>
      <c r="C368" s="278">
        <f t="shared" si="25"/>
        <v>26</v>
      </c>
      <c r="D368" s="278">
        <f t="shared" si="26"/>
        <v>26</v>
      </c>
      <c r="E368" s="278">
        <f t="shared" si="27"/>
        <v>17</v>
      </c>
      <c r="F368" s="278" t="str">
        <f t="shared" si="28"/>
        <v>pm</v>
      </c>
      <c r="G368" s="278" t="s">
        <v>1011</v>
      </c>
      <c r="H368" s="278" t="s">
        <v>252</v>
      </c>
      <c r="I368" s="278" t="s">
        <v>1012</v>
      </c>
      <c r="K368" s="279">
        <f t="shared" si="29"/>
        <v>2737.0667429308878</v>
      </c>
      <c r="M368" s="279">
        <v>2750</v>
      </c>
      <c r="R368" s="278" t="str">
        <f>IF(AND((J368="This"),(L368="Only")),VLOOKUP(G368,#REF!,7,FALSE),"")</f>
        <v/>
      </c>
      <c r="S368" s="278">
        <v>2737.0667429308878</v>
      </c>
    </row>
    <row r="369" spans="1:21" x14ac:dyDescent="0.25">
      <c r="A369" s="278">
        <v>3</v>
      </c>
      <c r="C369" s="278">
        <f t="shared" si="25"/>
        <v>27</v>
      </c>
      <c r="D369" s="278">
        <f t="shared" si="26"/>
        <v>27</v>
      </c>
      <c r="E369" s="278">
        <f t="shared" si="27"/>
        <v>17</v>
      </c>
      <c r="F369" s="278" t="str">
        <f t="shared" si="28"/>
        <v>pm</v>
      </c>
      <c r="G369" s="278" t="s">
        <v>1013</v>
      </c>
      <c r="H369" s="278" t="s">
        <v>232</v>
      </c>
      <c r="I369" s="278" t="s">
        <v>1014</v>
      </c>
      <c r="K369" s="279">
        <f t="shared" si="29"/>
        <v>2877.9167206621883</v>
      </c>
      <c r="M369" s="279">
        <v>2800</v>
      </c>
      <c r="R369" s="278" t="str">
        <f>IF(AND((J369="This"),(L369="Only")),VLOOKUP(G369,#REF!,7,FALSE),"")</f>
        <v/>
      </c>
      <c r="U369" s="278">
        <v>2877.9167206621883</v>
      </c>
    </row>
    <row r="370" spans="1:21" x14ac:dyDescent="0.25">
      <c r="A370" s="278">
        <v>6</v>
      </c>
      <c r="C370" s="278">
        <f t="shared" si="25"/>
        <v>28</v>
      </c>
      <c r="D370" s="278">
        <f t="shared" si="26"/>
        <v>28</v>
      </c>
      <c r="E370" s="278">
        <f t="shared" si="27"/>
        <v>17</v>
      </c>
      <c r="F370" s="278" t="str">
        <f t="shared" si="28"/>
        <v>pm</v>
      </c>
      <c r="G370" s="278" t="s">
        <v>29</v>
      </c>
      <c r="H370" s="278" t="s">
        <v>445</v>
      </c>
      <c r="I370" s="278" t="s">
        <v>28</v>
      </c>
      <c r="K370" s="279">
        <f t="shared" si="29"/>
        <v>2503.2179928017745</v>
      </c>
      <c r="M370" s="279">
        <v>2600</v>
      </c>
      <c r="O370" s="278">
        <v>2533.6041340909615</v>
      </c>
      <c r="R370" s="278" t="str">
        <f>IF(AND((J370="This"),(L370="Only")),VLOOKUP(G370,#REF!,7,FALSE),"")</f>
        <v/>
      </c>
      <c r="S370" s="278">
        <v>2561.5348410704928</v>
      </c>
      <c r="U370" s="278">
        <v>2503.2179928017745</v>
      </c>
    </row>
    <row r="371" spans="1:21" x14ac:dyDescent="0.25">
      <c r="A371" s="278">
        <v>6</v>
      </c>
      <c r="C371" s="278">
        <f t="shared" si="25"/>
        <v>29</v>
      </c>
      <c r="D371" s="278">
        <f t="shared" si="26"/>
        <v>28</v>
      </c>
      <c r="E371" s="278">
        <f t="shared" si="27"/>
        <v>17</v>
      </c>
      <c r="F371" s="278" t="str">
        <f t="shared" si="28"/>
        <v>pm</v>
      </c>
      <c r="G371" s="278" t="s">
        <v>1015</v>
      </c>
      <c r="H371" s="278" t="s">
        <v>284</v>
      </c>
      <c r="I371" s="278" t="s">
        <v>1016</v>
      </c>
      <c r="K371" s="279">
        <f t="shared" si="29"/>
        <v>2452.0796475240045</v>
      </c>
      <c r="M371" s="279">
        <v>2600</v>
      </c>
      <c r="O371" s="278">
        <v>2571.5996209638265</v>
      </c>
      <c r="P371" s="278">
        <v>2520.9451500265227</v>
      </c>
      <c r="R371" s="278" t="str">
        <f>IF(AND((J371="This"),(L371="Only")),VLOOKUP(G371,#REF!,7,FALSE),"")</f>
        <v/>
      </c>
      <c r="T371" s="278">
        <v>2402.5111436308193</v>
      </c>
      <c r="U371" s="278">
        <v>2452.0796475240045</v>
      </c>
    </row>
    <row r="372" spans="1:21" x14ac:dyDescent="0.25">
      <c r="A372" s="278">
        <v>3</v>
      </c>
      <c r="C372" s="278">
        <f t="shared" si="25"/>
        <v>30</v>
      </c>
      <c r="D372" s="278">
        <f t="shared" si="26"/>
        <v>28</v>
      </c>
      <c r="E372" s="278">
        <f t="shared" si="27"/>
        <v>17</v>
      </c>
      <c r="F372" s="278" t="str">
        <f t="shared" si="28"/>
        <v>pm</v>
      </c>
      <c r="G372" s="278" t="s">
        <v>1017</v>
      </c>
      <c r="H372" s="278" t="s">
        <v>1018</v>
      </c>
      <c r="I372" s="278" t="s">
        <v>1019</v>
      </c>
      <c r="K372" s="279">
        <f t="shared" si="29"/>
        <v>2588.7054530220494</v>
      </c>
      <c r="M372" s="279">
        <v>2600</v>
      </c>
      <c r="O372" s="278">
        <v>2588.7054530220494</v>
      </c>
      <c r="R372" s="278" t="str">
        <f>IF(AND((J372="This"),(L372="Only")),VLOOKUP(G372,#REF!,7,FALSE),"")</f>
        <v/>
      </c>
    </row>
    <row r="373" spans="1:21" x14ac:dyDescent="0.25">
      <c r="A373" s="278">
        <v>4</v>
      </c>
      <c r="C373" s="278">
        <f t="shared" si="25"/>
        <v>31</v>
      </c>
      <c r="D373" s="278">
        <f t="shared" si="26"/>
        <v>28</v>
      </c>
      <c r="E373" s="278">
        <f t="shared" si="27"/>
        <v>17</v>
      </c>
      <c r="F373" s="278" t="str">
        <f t="shared" si="28"/>
        <v>pm</v>
      </c>
      <c r="G373" s="278" t="s">
        <v>1020</v>
      </c>
      <c r="H373" s="278" t="s">
        <v>252</v>
      </c>
      <c r="I373" s="278" t="s">
        <v>1021</v>
      </c>
      <c r="K373" s="279">
        <f t="shared" si="29"/>
        <v>2562.1409322019244</v>
      </c>
      <c r="M373" s="279">
        <v>2600</v>
      </c>
      <c r="R373" s="278" t="str">
        <f>IF(AND((J373="This"),(L373="Only")),VLOOKUP(G373,#REF!,7,FALSE),"")</f>
        <v/>
      </c>
      <c r="S373" s="278">
        <v>2562.1409322019244</v>
      </c>
    </row>
    <row r="374" spans="1:21" x14ac:dyDescent="0.25">
      <c r="A374" s="278">
        <v>4</v>
      </c>
      <c r="C374" s="278">
        <f t="shared" si="25"/>
        <v>32</v>
      </c>
      <c r="D374" s="278">
        <f t="shared" si="26"/>
        <v>28</v>
      </c>
      <c r="E374" s="278">
        <f t="shared" si="27"/>
        <v>17</v>
      </c>
      <c r="F374" s="278" t="str">
        <f t="shared" si="28"/>
        <v>pm</v>
      </c>
      <c r="G374" s="278" t="s">
        <v>171</v>
      </c>
      <c r="H374" s="278" t="s">
        <v>473</v>
      </c>
      <c r="I374" s="278" t="s">
        <v>170</v>
      </c>
      <c r="K374" s="279">
        <f t="shared" si="29"/>
        <v>2695.8819375084886</v>
      </c>
      <c r="M374" s="279">
        <v>2600</v>
      </c>
      <c r="P374" s="278">
        <v>2708.9205411170788</v>
      </c>
      <c r="R374" s="278" t="str">
        <f>IF(AND((J374="This"),(L374="Only")),VLOOKUP(G374,#REF!,7,FALSE),"")</f>
        <v/>
      </c>
      <c r="S374" s="278">
        <v>2695.9097757652876</v>
      </c>
      <c r="T374" s="278">
        <v>2695.8819375084886</v>
      </c>
    </row>
    <row r="375" spans="1:21" x14ac:dyDescent="0.25">
      <c r="A375" s="278">
        <v>2</v>
      </c>
      <c r="C375" s="278">
        <f t="shared" si="25"/>
        <v>33</v>
      </c>
      <c r="D375" s="278">
        <f t="shared" si="26"/>
        <v>28</v>
      </c>
      <c r="E375" s="278">
        <f t="shared" si="27"/>
        <v>17</v>
      </c>
      <c r="F375" s="278" t="str">
        <f t="shared" si="28"/>
        <v>so</v>
      </c>
      <c r="G375" s="278" t="s">
        <v>1022</v>
      </c>
      <c r="H375" s="278" t="s">
        <v>687</v>
      </c>
      <c r="I375" s="278" t="s">
        <v>1023</v>
      </c>
      <c r="K375" s="279">
        <f t="shared" si="29"/>
        <v>2668.5988047345622</v>
      </c>
      <c r="M375" s="279">
        <v>2600</v>
      </c>
      <c r="R375" s="278" t="str">
        <f>IF(AND((J375="This"),(L375="Only")),VLOOKUP(G375,#REF!,7,FALSE),"")</f>
        <v/>
      </c>
      <c r="S375" s="278">
        <v>2668.5988047345622</v>
      </c>
    </row>
    <row r="376" spans="1:21" x14ac:dyDescent="0.25">
      <c r="A376" s="278">
        <v>3</v>
      </c>
      <c r="C376" s="278">
        <f t="shared" si="25"/>
        <v>34</v>
      </c>
      <c r="D376" s="278">
        <f t="shared" si="26"/>
        <v>34</v>
      </c>
      <c r="E376" s="278">
        <f t="shared" si="27"/>
        <v>17</v>
      </c>
      <c r="F376" s="278" t="str">
        <f t="shared" si="28"/>
        <v>pm</v>
      </c>
      <c r="G376" s="278" t="s">
        <v>1024</v>
      </c>
      <c r="H376" s="278" t="s">
        <v>361</v>
      </c>
      <c r="I376" s="278" t="s">
        <v>1025</v>
      </c>
      <c r="K376" s="279">
        <f t="shared" si="29"/>
        <v>2448.5829328502982</v>
      </c>
      <c r="M376" s="279">
        <v>2533.3333333333335</v>
      </c>
      <c r="R376" s="278" t="str">
        <f>IF(AND((J376="This"),(L376="Only")),VLOOKUP(G376,#REF!,7,FALSE),"")</f>
        <v/>
      </c>
      <c r="T376" s="278">
        <v>2448.5829328502982</v>
      </c>
    </row>
    <row r="377" spans="1:21" x14ac:dyDescent="0.25">
      <c r="A377" s="278">
        <v>4</v>
      </c>
      <c r="C377" s="278">
        <f t="shared" si="25"/>
        <v>35</v>
      </c>
      <c r="D377" s="278">
        <f t="shared" si="26"/>
        <v>35</v>
      </c>
      <c r="E377" s="278">
        <f t="shared" si="27"/>
        <v>17</v>
      </c>
      <c r="F377" s="278" t="str">
        <f t="shared" si="28"/>
        <v>pm</v>
      </c>
      <c r="G377" s="278" t="s">
        <v>1026</v>
      </c>
      <c r="H377" s="278" t="s">
        <v>609</v>
      </c>
      <c r="I377" s="278" t="s">
        <v>1027</v>
      </c>
      <c r="K377" s="279">
        <f t="shared" si="29"/>
        <v>2294.9565143634281</v>
      </c>
      <c r="M377" s="279">
        <v>2500</v>
      </c>
      <c r="O377" s="278">
        <v>2418.1090459560842</v>
      </c>
      <c r="R377" s="278" t="str">
        <f>IF(AND((J377="This"),(L377="Only")),VLOOKUP(G377,#REF!,7,FALSE),"")</f>
        <v/>
      </c>
      <c r="T377" s="278">
        <v>2297.6185183969365</v>
      </c>
      <c r="U377" s="278">
        <v>2294.9565143634281</v>
      </c>
    </row>
    <row r="378" spans="1:21" x14ac:dyDescent="0.25">
      <c r="A378" s="278">
        <v>5</v>
      </c>
      <c r="C378" s="278">
        <f t="shared" si="25"/>
        <v>36</v>
      </c>
      <c r="D378" s="278">
        <f t="shared" si="26"/>
        <v>36</v>
      </c>
      <c r="E378" s="278">
        <f t="shared" si="27"/>
        <v>17</v>
      </c>
      <c r="F378" s="278" t="str">
        <f t="shared" si="28"/>
        <v>pm</v>
      </c>
      <c r="G378" s="278" t="s">
        <v>37</v>
      </c>
      <c r="H378" s="278" t="s">
        <v>287</v>
      </c>
      <c r="I378" s="278" t="s">
        <v>36</v>
      </c>
      <c r="K378" s="279">
        <f t="shared" si="29"/>
        <v>2462.5038673672475</v>
      </c>
      <c r="M378" s="279">
        <v>2440</v>
      </c>
      <c r="O378" s="278">
        <v>2486.7710445931716</v>
      </c>
      <c r="R378" s="278" t="str">
        <f>IF(AND((J378="This"),(L378="Only")),VLOOKUP(G378,#REF!,7,FALSE),"")</f>
        <v/>
      </c>
      <c r="S378" s="278">
        <v>2462.5038673672475</v>
      </c>
    </row>
    <row r="379" spans="1:21" x14ac:dyDescent="0.25">
      <c r="A379" s="278">
        <v>5</v>
      </c>
      <c r="C379" s="278">
        <f t="shared" si="25"/>
        <v>37</v>
      </c>
      <c r="D379" s="278">
        <f t="shared" si="26"/>
        <v>37</v>
      </c>
      <c r="E379" s="278">
        <f t="shared" si="27"/>
        <v>17</v>
      </c>
      <c r="F379" s="278" t="str">
        <f t="shared" si="28"/>
        <v>pm</v>
      </c>
      <c r="G379" s="278" t="s">
        <v>23</v>
      </c>
      <c r="H379" s="278" t="s">
        <v>802</v>
      </c>
      <c r="I379" s="278" t="s">
        <v>22</v>
      </c>
      <c r="K379" s="279">
        <f t="shared" si="29"/>
        <v>2562.1064003900715</v>
      </c>
      <c r="M379" s="279">
        <v>2400</v>
      </c>
      <c r="O379" s="278">
        <v>2391.3097924964568</v>
      </c>
      <c r="R379" s="278" t="str">
        <f>IF(AND((J379="This"),(L379="Only")),VLOOKUP(G379,#REF!,7,FALSE),"")</f>
        <v/>
      </c>
      <c r="S379" s="278">
        <v>2478.0997606551555</v>
      </c>
      <c r="T379" s="278">
        <v>2562.1064003900715</v>
      </c>
    </row>
    <row r="380" spans="1:21" x14ac:dyDescent="0.25">
      <c r="A380" s="278">
        <v>1</v>
      </c>
      <c r="C380" s="278">
        <f t="shared" si="25"/>
        <v>38</v>
      </c>
      <c r="D380" s="278">
        <f t="shared" si="26"/>
        <v>37</v>
      </c>
      <c r="E380" s="278">
        <f t="shared" si="27"/>
        <v>17</v>
      </c>
      <c r="F380" s="278" t="str">
        <f t="shared" si="28"/>
        <v>crx</v>
      </c>
      <c r="G380" s="278" t="s">
        <v>1028</v>
      </c>
      <c r="H380" s="278" t="s">
        <v>229</v>
      </c>
      <c r="I380" s="278" t="s">
        <v>1029</v>
      </c>
      <c r="K380" s="279">
        <f t="shared" si="29"/>
        <v>2400</v>
      </c>
      <c r="M380" s="279">
        <v>2400</v>
      </c>
      <c r="R380" s="278" t="str">
        <f>IF(AND((J380="This"),(L380="Only")),VLOOKUP(G380,#REF!,7,FALSE),"")</f>
        <v/>
      </c>
    </row>
    <row r="381" spans="1:21" x14ac:dyDescent="0.25">
      <c r="A381" s="278">
        <v>4</v>
      </c>
      <c r="C381" s="278">
        <f t="shared" si="25"/>
        <v>39</v>
      </c>
      <c r="D381" s="278">
        <f t="shared" si="26"/>
        <v>37</v>
      </c>
      <c r="E381" s="278">
        <f t="shared" si="27"/>
        <v>17</v>
      </c>
      <c r="F381" s="278" t="str">
        <f t="shared" si="28"/>
        <v>pm</v>
      </c>
      <c r="G381" s="278" t="s">
        <v>1030</v>
      </c>
      <c r="H381" s="278" t="s">
        <v>296</v>
      </c>
      <c r="I381" s="278" t="s">
        <v>1031</v>
      </c>
      <c r="K381" s="279">
        <f t="shared" si="29"/>
        <v>2431.5669234490088</v>
      </c>
      <c r="M381" s="279">
        <v>2400</v>
      </c>
      <c r="R381" s="278" t="str">
        <f>IF(AND((J381="This"),(L381="Only")),VLOOKUP(G381,#REF!,7,FALSE),"")</f>
        <v/>
      </c>
      <c r="S381" s="278">
        <v>2469.0671056915025</v>
      </c>
      <c r="T381" s="278">
        <v>2431.5669234490088</v>
      </c>
    </row>
    <row r="382" spans="1:21" x14ac:dyDescent="0.25">
      <c r="A382" s="278">
        <v>1</v>
      </c>
      <c r="C382" s="278">
        <f t="shared" si="25"/>
        <v>40</v>
      </c>
      <c r="D382" s="278">
        <f t="shared" si="26"/>
        <v>37</v>
      </c>
      <c r="E382" s="278">
        <f t="shared" si="27"/>
        <v>17</v>
      </c>
      <c r="F382" s="278" t="str">
        <f t="shared" si="28"/>
        <v>sox</v>
      </c>
      <c r="G382" s="278" t="s">
        <v>1032</v>
      </c>
      <c r="H382" s="278" t="s">
        <v>476</v>
      </c>
      <c r="I382" s="278" t="s">
        <v>1033</v>
      </c>
      <c r="K382" s="279">
        <f t="shared" si="29"/>
        <v>2400</v>
      </c>
      <c r="M382" s="279">
        <v>2400</v>
      </c>
      <c r="R382" s="278" t="str">
        <f>IF(AND((J382="This"),(L382="Only")),VLOOKUP(G382,#REF!,7,FALSE),"")</f>
        <v/>
      </c>
    </row>
    <row r="383" spans="1:21" x14ac:dyDescent="0.25">
      <c r="A383" s="278">
        <v>2</v>
      </c>
      <c r="C383" s="278">
        <f t="shared" si="25"/>
        <v>41</v>
      </c>
      <c r="D383" s="278">
        <f t="shared" si="26"/>
        <v>37</v>
      </c>
      <c r="E383" s="278">
        <f t="shared" si="27"/>
        <v>17</v>
      </c>
      <c r="F383" s="278" t="str">
        <f t="shared" si="28"/>
        <v>pm</v>
      </c>
      <c r="G383" s="278" t="s">
        <v>49</v>
      </c>
      <c r="H383" s="278" t="s">
        <v>226</v>
      </c>
      <c r="I383" s="278" t="s">
        <v>48</v>
      </c>
      <c r="K383" s="279">
        <f t="shared" si="29"/>
        <v>2400</v>
      </c>
      <c r="M383" s="279">
        <v>2400</v>
      </c>
      <c r="R383" s="278" t="str">
        <f>IF(AND((J383="This"),(L383="Only")),VLOOKUP(G383,#REF!,7,FALSE),"")</f>
        <v/>
      </c>
    </row>
    <row r="384" spans="1:21" x14ac:dyDescent="0.25">
      <c r="A384" s="278">
        <v>1</v>
      </c>
      <c r="C384" s="278">
        <f t="shared" si="25"/>
        <v>42</v>
      </c>
      <c r="D384" s="278">
        <f t="shared" si="26"/>
        <v>37</v>
      </c>
      <c r="E384" s="278">
        <f t="shared" si="27"/>
        <v>17</v>
      </c>
      <c r="F384" s="278" t="str">
        <f t="shared" si="28"/>
        <v>pmx</v>
      </c>
      <c r="G384" s="278" t="s">
        <v>52</v>
      </c>
      <c r="H384" s="278" t="s">
        <v>226</v>
      </c>
      <c r="I384" s="278" t="s">
        <v>51</v>
      </c>
      <c r="K384" s="279">
        <f t="shared" si="29"/>
        <v>2400</v>
      </c>
      <c r="M384" s="279">
        <v>2400</v>
      </c>
      <c r="R384" s="278" t="str">
        <f>IF(AND((J384="This"),(L384="Only")),VLOOKUP(G384,#REF!,7,FALSE),"")</f>
        <v/>
      </c>
    </row>
    <row r="385" spans="1:21" x14ac:dyDescent="0.25">
      <c r="A385" s="278">
        <v>1</v>
      </c>
      <c r="C385" s="278">
        <f t="shared" si="25"/>
        <v>43</v>
      </c>
      <c r="D385" s="278">
        <f t="shared" si="26"/>
        <v>37</v>
      </c>
      <c r="E385" s="278">
        <f t="shared" si="27"/>
        <v>17</v>
      </c>
      <c r="F385" s="278" t="str">
        <f t="shared" si="28"/>
        <v>sox</v>
      </c>
      <c r="G385" s="278" t="s">
        <v>1034</v>
      </c>
      <c r="H385" s="278" t="s">
        <v>352</v>
      </c>
      <c r="I385" s="278" t="s">
        <v>1035</v>
      </c>
      <c r="K385" s="279">
        <f t="shared" si="29"/>
        <v>2400</v>
      </c>
      <c r="M385" s="279">
        <v>2400</v>
      </c>
      <c r="R385" s="278" t="str">
        <f>IF(AND((J385="This"),(L385="Only")),VLOOKUP(G385,#REF!,7,FALSE),"")</f>
        <v/>
      </c>
    </row>
    <row r="386" spans="1:21" x14ac:dyDescent="0.25">
      <c r="A386" s="278">
        <v>4</v>
      </c>
      <c r="C386" s="278">
        <f t="shared" ref="C386:C427" si="30">IF(E386=E385,C385+1,1)</f>
        <v>44</v>
      </c>
      <c r="D386" s="278">
        <f t="shared" ref="D386:D427" si="31">IF(M386=M385,D385,C386)</f>
        <v>37</v>
      </c>
      <c r="E386" s="278">
        <f t="shared" ref="E386:E427" si="32">10+VALUE(RIGHT(LEFT(G386,3),1))</f>
        <v>17</v>
      </c>
      <c r="F386" s="278" t="str">
        <f t="shared" ref="F386:F427" si="33">RIGHT(G386,2) &amp; IF(A386&lt;2,"x","")</f>
        <v>pm</v>
      </c>
      <c r="G386" s="278" t="s">
        <v>58</v>
      </c>
      <c r="H386" s="278" t="s">
        <v>232</v>
      </c>
      <c r="I386" s="278" t="s">
        <v>57</v>
      </c>
      <c r="K386" s="279">
        <f t="shared" ref="K386:K427" si="34">LOOKUP(1E+100,M386:AC386)</f>
        <v>2355.4932684736682</v>
      </c>
      <c r="M386" s="279">
        <v>2400</v>
      </c>
      <c r="R386" s="278" t="str">
        <f>IF(AND((J386="This"),(L386="Only")),VLOOKUP(G386,#REF!,7,FALSE),"")</f>
        <v/>
      </c>
      <c r="S386" s="278">
        <v>2343.6691822827524</v>
      </c>
      <c r="T386" s="278">
        <v>2355.4932684736682</v>
      </c>
    </row>
    <row r="387" spans="1:21" x14ac:dyDescent="0.25">
      <c r="A387" s="278">
        <v>1</v>
      </c>
      <c r="C387" s="278">
        <f t="shared" si="30"/>
        <v>45</v>
      </c>
      <c r="D387" s="278">
        <f t="shared" si="31"/>
        <v>37</v>
      </c>
      <c r="E387" s="278">
        <f t="shared" si="32"/>
        <v>17</v>
      </c>
      <c r="F387" s="278" t="str">
        <f t="shared" si="33"/>
        <v>crx</v>
      </c>
      <c r="G387" s="278" t="s">
        <v>1036</v>
      </c>
      <c r="H387" s="278" t="s">
        <v>680</v>
      </c>
      <c r="I387" s="278" t="s">
        <v>1037</v>
      </c>
      <c r="K387" s="279">
        <f t="shared" si="34"/>
        <v>2400</v>
      </c>
      <c r="M387" s="279">
        <v>2400</v>
      </c>
      <c r="R387" s="278" t="str">
        <f>IF(AND((J387="This"),(L387="Only")),VLOOKUP(G387,#REF!,7,FALSE),"")</f>
        <v/>
      </c>
    </row>
    <row r="388" spans="1:21" x14ac:dyDescent="0.25">
      <c r="A388" s="278">
        <v>5</v>
      </c>
      <c r="C388" s="278">
        <f t="shared" si="30"/>
        <v>46</v>
      </c>
      <c r="D388" s="278">
        <f t="shared" si="31"/>
        <v>37</v>
      </c>
      <c r="E388" s="278">
        <f t="shared" si="32"/>
        <v>17</v>
      </c>
      <c r="F388" s="278" t="str">
        <f t="shared" si="33"/>
        <v>pm</v>
      </c>
      <c r="G388" s="278" t="s">
        <v>61</v>
      </c>
      <c r="H388" s="278" t="s">
        <v>512</v>
      </c>
      <c r="I388" s="278" t="s">
        <v>60</v>
      </c>
      <c r="K388" s="279">
        <f t="shared" si="34"/>
        <v>2357.2024717461968</v>
      </c>
      <c r="M388" s="279">
        <v>2400</v>
      </c>
      <c r="R388" s="278" t="str">
        <f>IF(AND((J388="This"),(L388="Only")),VLOOKUP(G388,#REF!,7,FALSE),"")</f>
        <v/>
      </c>
      <c r="S388" s="278">
        <v>2385.4093469267709</v>
      </c>
      <c r="T388" s="278">
        <v>2357.2024717461968</v>
      </c>
    </row>
    <row r="389" spans="1:21" x14ac:dyDescent="0.25">
      <c r="A389" s="278">
        <v>4</v>
      </c>
      <c r="C389" s="278">
        <f t="shared" si="30"/>
        <v>47</v>
      </c>
      <c r="D389" s="278">
        <f t="shared" si="31"/>
        <v>37</v>
      </c>
      <c r="E389" s="278">
        <f t="shared" si="32"/>
        <v>17</v>
      </c>
      <c r="F389" s="278" t="str">
        <f t="shared" si="33"/>
        <v>pm</v>
      </c>
      <c r="G389" s="278" t="s">
        <v>1038</v>
      </c>
      <c r="H389" s="278" t="s">
        <v>1039</v>
      </c>
      <c r="I389" s="278" t="s">
        <v>1040</v>
      </c>
      <c r="K389" s="279">
        <f t="shared" si="34"/>
        <v>2456.2391071311727</v>
      </c>
      <c r="M389" s="279">
        <v>2400</v>
      </c>
      <c r="R389" s="278" t="str">
        <f>IF(AND((J389="This"),(L389="Only")),VLOOKUP(G389,#REF!,7,FALSE),"")</f>
        <v/>
      </c>
      <c r="T389" s="278">
        <v>2456.2391071311727</v>
      </c>
    </row>
    <row r="390" spans="1:21" x14ac:dyDescent="0.25">
      <c r="A390" s="278">
        <v>4</v>
      </c>
      <c r="C390" s="278">
        <f t="shared" si="30"/>
        <v>48</v>
      </c>
      <c r="D390" s="278">
        <f t="shared" si="31"/>
        <v>37</v>
      </c>
      <c r="E390" s="278">
        <f t="shared" si="32"/>
        <v>17</v>
      </c>
      <c r="F390" s="278" t="str">
        <f t="shared" si="33"/>
        <v>pm</v>
      </c>
      <c r="G390" s="278" t="s">
        <v>46</v>
      </c>
      <c r="H390" s="278" t="s">
        <v>416</v>
      </c>
      <c r="I390" s="278" t="s">
        <v>45</v>
      </c>
      <c r="K390" s="279">
        <f t="shared" si="34"/>
        <v>2418.2277960489441</v>
      </c>
      <c r="M390" s="279">
        <v>2400</v>
      </c>
      <c r="R390" s="278" t="str">
        <f>IF(AND((J390="This"),(L390="Only")),VLOOKUP(G390,#REF!,7,FALSE),"")</f>
        <v/>
      </c>
      <c r="S390" s="278">
        <v>2418.2277960489441</v>
      </c>
    </row>
    <row r="391" spans="1:21" x14ac:dyDescent="0.25">
      <c r="A391" s="278">
        <v>3</v>
      </c>
      <c r="C391" s="278">
        <f t="shared" si="30"/>
        <v>49</v>
      </c>
      <c r="D391" s="278">
        <f t="shared" si="31"/>
        <v>37</v>
      </c>
      <c r="E391" s="278">
        <f t="shared" si="32"/>
        <v>17</v>
      </c>
      <c r="F391" s="278" t="str">
        <f t="shared" si="33"/>
        <v>so</v>
      </c>
      <c r="G391" s="278" t="s">
        <v>32</v>
      </c>
      <c r="H391" s="278" t="s">
        <v>800</v>
      </c>
      <c r="I391" s="278" t="s">
        <v>31</v>
      </c>
      <c r="K391" s="279">
        <f t="shared" si="34"/>
        <v>2483.9011013183376</v>
      </c>
      <c r="M391" s="279">
        <v>2400</v>
      </c>
      <c r="R391" s="278" t="str">
        <f>IF(AND((J391="This"),(L391="Only")),VLOOKUP(G391,#REF!,7,FALSE),"")</f>
        <v/>
      </c>
      <c r="T391" s="278">
        <v>2483.9011013183376</v>
      </c>
    </row>
    <row r="392" spans="1:21" x14ac:dyDescent="0.25">
      <c r="A392" s="278">
        <v>1</v>
      </c>
      <c r="C392" s="278">
        <f t="shared" si="30"/>
        <v>1</v>
      </c>
      <c r="D392" s="278">
        <f t="shared" si="31"/>
        <v>1</v>
      </c>
      <c r="E392" s="278">
        <f t="shared" si="32"/>
        <v>18</v>
      </c>
      <c r="F392" s="278" t="str">
        <f t="shared" si="33"/>
        <v>sox</v>
      </c>
      <c r="G392" s="278" t="s">
        <v>1041</v>
      </c>
      <c r="H392" s="278" t="s">
        <v>244</v>
      </c>
      <c r="I392" s="278" t="s">
        <v>1042</v>
      </c>
      <c r="K392" s="279">
        <f t="shared" si="34"/>
        <v>2978.3004702389408</v>
      </c>
      <c r="M392" s="279">
        <v>3000</v>
      </c>
      <c r="R392" s="278" t="str">
        <f>IF(AND((J392="This"),(L392="Only")),VLOOKUP(G392,#REF!,7,FALSE),"")</f>
        <v/>
      </c>
      <c r="U392" s="278">
        <v>2978.3004702389408</v>
      </c>
    </row>
    <row r="393" spans="1:21" x14ac:dyDescent="0.25">
      <c r="A393" s="278">
        <v>1</v>
      </c>
      <c r="C393" s="278">
        <f t="shared" si="30"/>
        <v>2</v>
      </c>
      <c r="D393" s="278">
        <f t="shared" si="31"/>
        <v>1</v>
      </c>
      <c r="E393" s="278">
        <f t="shared" si="32"/>
        <v>18</v>
      </c>
      <c r="F393" s="278" t="str">
        <f t="shared" si="33"/>
        <v>sox</v>
      </c>
      <c r="G393" s="278" t="s">
        <v>1043</v>
      </c>
      <c r="H393" s="278" t="s">
        <v>244</v>
      </c>
      <c r="I393" s="278" t="s">
        <v>1044</v>
      </c>
      <c r="K393" s="279">
        <f t="shared" si="34"/>
        <v>2897.9846514222299</v>
      </c>
      <c r="M393" s="279">
        <v>3000</v>
      </c>
      <c r="R393" s="278" t="str">
        <f>IF(AND((J393="This"),(L393="Only")),VLOOKUP(G393,#REF!,7,FALSE),"")</f>
        <v/>
      </c>
      <c r="U393" s="278">
        <v>2897.9846514222299</v>
      </c>
    </row>
    <row r="394" spans="1:21" x14ac:dyDescent="0.25">
      <c r="A394" s="278">
        <v>3</v>
      </c>
      <c r="C394" s="278">
        <f t="shared" si="30"/>
        <v>3</v>
      </c>
      <c r="D394" s="278">
        <f t="shared" si="31"/>
        <v>1</v>
      </c>
      <c r="E394" s="278">
        <f t="shared" si="32"/>
        <v>18</v>
      </c>
      <c r="F394" s="278" t="str">
        <f t="shared" si="33"/>
        <v>pm</v>
      </c>
      <c r="G394" s="278" t="s">
        <v>1045</v>
      </c>
      <c r="H394" s="278" t="s">
        <v>268</v>
      </c>
      <c r="I394" s="278" t="s">
        <v>1046</v>
      </c>
      <c r="K394" s="279">
        <f t="shared" si="34"/>
        <v>2913.866898564183</v>
      </c>
      <c r="M394" s="279">
        <v>3000</v>
      </c>
      <c r="N394" s="278">
        <v>2913.866898564183</v>
      </c>
      <c r="R394" s="278" t="str">
        <f>IF(AND((J394="This"),(L394="Only")),VLOOKUP(G394,#REF!,7,FALSE),"")</f>
        <v/>
      </c>
    </row>
    <row r="395" spans="1:21" x14ac:dyDescent="0.25">
      <c r="A395" s="278">
        <v>1</v>
      </c>
      <c r="C395" s="278">
        <f t="shared" si="30"/>
        <v>4</v>
      </c>
      <c r="D395" s="278">
        <f t="shared" si="31"/>
        <v>1</v>
      </c>
      <c r="E395" s="278">
        <f t="shared" si="32"/>
        <v>18</v>
      </c>
      <c r="F395" s="278" t="str">
        <f t="shared" si="33"/>
        <v>crx</v>
      </c>
      <c r="G395" s="278" t="s">
        <v>1047</v>
      </c>
      <c r="H395" s="278" t="s">
        <v>967</v>
      </c>
      <c r="I395" s="278" t="s">
        <v>1048</v>
      </c>
      <c r="K395" s="279">
        <f t="shared" si="34"/>
        <v>2998.007856763068</v>
      </c>
      <c r="M395" s="279">
        <v>3000</v>
      </c>
      <c r="R395" s="278" t="str">
        <f>IF(AND((J395="This"),(L395="Only")),VLOOKUP(G395,#REF!,7,FALSE),"")</f>
        <v/>
      </c>
      <c r="S395" s="278">
        <v>2998.007856763068</v>
      </c>
    </row>
    <row r="396" spans="1:21" x14ac:dyDescent="0.25">
      <c r="A396" s="278">
        <v>3</v>
      </c>
      <c r="C396" s="278">
        <f t="shared" si="30"/>
        <v>5</v>
      </c>
      <c r="D396" s="278">
        <f t="shared" si="31"/>
        <v>1</v>
      </c>
      <c r="E396" s="278">
        <f t="shared" si="32"/>
        <v>18</v>
      </c>
      <c r="F396" s="278" t="str">
        <f t="shared" si="33"/>
        <v>pm</v>
      </c>
      <c r="G396" s="278" t="s">
        <v>1049</v>
      </c>
      <c r="H396" s="278" t="s">
        <v>217</v>
      </c>
      <c r="I396" s="278" t="s">
        <v>1050</v>
      </c>
      <c r="K396" s="279">
        <f t="shared" si="34"/>
        <v>3102.9189764040821</v>
      </c>
      <c r="M396" s="279">
        <v>3000</v>
      </c>
      <c r="N396" s="278">
        <v>3042.4287957562287</v>
      </c>
      <c r="R396" s="278" t="str">
        <f>IF(AND((J396="This"),(L396="Only")),VLOOKUP(G396,#REF!,7,FALSE),"")</f>
        <v/>
      </c>
      <c r="U396" s="278">
        <v>3102.9189764040821</v>
      </c>
    </row>
    <row r="397" spans="1:21" x14ac:dyDescent="0.25">
      <c r="A397" s="278">
        <v>2</v>
      </c>
      <c r="C397" s="278">
        <f t="shared" si="30"/>
        <v>6</v>
      </c>
      <c r="D397" s="278">
        <f t="shared" si="31"/>
        <v>1</v>
      </c>
      <c r="E397" s="278">
        <f t="shared" si="32"/>
        <v>18</v>
      </c>
      <c r="F397" s="278" t="str">
        <f t="shared" si="33"/>
        <v>pm</v>
      </c>
      <c r="G397" s="278" t="s">
        <v>1051</v>
      </c>
      <c r="H397" s="278" t="s">
        <v>259</v>
      </c>
      <c r="I397" s="278" t="s">
        <v>1052</v>
      </c>
      <c r="K397" s="279">
        <f t="shared" si="34"/>
        <v>3013.3111133784737</v>
      </c>
      <c r="M397" s="279">
        <v>3000</v>
      </c>
      <c r="N397" s="278">
        <v>3013.3111133784737</v>
      </c>
      <c r="R397" s="278" t="str">
        <f>IF(AND((J397="This"),(L397="Only")),VLOOKUP(G397,#REF!,7,FALSE),"")</f>
        <v/>
      </c>
    </row>
    <row r="398" spans="1:21" x14ac:dyDescent="0.25">
      <c r="A398" s="278">
        <v>1</v>
      </c>
      <c r="C398" s="278">
        <f t="shared" si="30"/>
        <v>7</v>
      </c>
      <c r="D398" s="278">
        <f t="shared" si="31"/>
        <v>1</v>
      </c>
      <c r="E398" s="278">
        <f t="shared" si="32"/>
        <v>18</v>
      </c>
      <c r="F398" s="278" t="str">
        <f t="shared" si="33"/>
        <v>sox</v>
      </c>
      <c r="G398" s="278" t="s">
        <v>1053</v>
      </c>
      <c r="H398" s="278" t="s">
        <v>462</v>
      </c>
      <c r="I398" s="278" t="s">
        <v>1054</v>
      </c>
      <c r="K398" s="279">
        <f t="shared" si="34"/>
        <v>3000</v>
      </c>
      <c r="M398" s="279">
        <v>3000</v>
      </c>
      <c r="R398" s="278" t="str">
        <f>IF(AND((J398="This"),(L398="Only")),VLOOKUP(G398,#REF!,7,FALSE),"")</f>
        <v/>
      </c>
    </row>
    <row r="399" spans="1:21" x14ac:dyDescent="0.25">
      <c r="A399" s="278">
        <v>1</v>
      </c>
      <c r="C399" s="278">
        <f t="shared" si="30"/>
        <v>8</v>
      </c>
      <c r="D399" s="278">
        <f t="shared" si="31"/>
        <v>1</v>
      </c>
      <c r="E399" s="278">
        <f t="shared" si="32"/>
        <v>18</v>
      </c>
      <c r="F399" s="278" t="str">
        <f t="shared" si="33"/>
        <v>pmx</v>
      </c>
      <c r="G399" s="278" t="s">
        <v>1055</v>
      </c>
      <c r="H399" s="278" t="s">
        <v>382</v>
      </c>
      <c r="I399" s="278" t="s">
        <v>1056</v>
      </c>
      <c r="K399" s="279">
        <f t="shared" si="34"/>
        <v>3035.9476832433411</v>
      </c>
      <c r="M399" s="279">
        <v>3000</v>
      </c>
      <c r="R399" s="278" t="str">
        <f>IF(AND((J399="This"),(L399="Only")),VLOOKUP(G399,#REF!,7,FALSE),"")</f>
        <v/>
      </c>
      <c r="U399" s="278">
        <v>3035.9476832433411</v>
      </c>
    </row>
    <row r="400" spans="1:21" x14ac:dyDescent="0.25">
      <c r="A400" s="278">
        <v>4</v>
      </c>
      <c r="C400" s="278">
        <f t="shared" si="30"/>
        <v>9</v>
      </c>
      <c r="D400" s="278">
        <f t="shared" si="31"/>
        <v>1</v>
      </c>
      <c r="E400" s="278">
        <f t="shared" si="32"/>
        <v>18</v>
      </c>
      <c r="F400" s="278" t="str">
        <f t="shared" si="33"/>
        <v>pm</v>
      </c>
      <c r="G400" s="278" t="s">
        <v>1057</v>
      </c>
      <c r="H400" s="278" t="s">
        <v>730</v>
      </c>
      <c r="I400" s="278" t="s">
        <v>1058</v>
      </c>
      <c r="K400" s="279">
        <f t="shared" si="34"/>
        <v>3026.1359908797672</v>
      </c>
      <c r="M400" s="279">
        <v>3000</v>
      </c>
      <c r="N400" s="278">
        <v>2980.2992862947854</v>
      </c>
      <c r="R400" s="278" t="str">
        <f>IF(AND((J400="This"),(L400="Only")),VLOOKUP(G400,#REF!,7,FALSE),"")</f>
        <v/>
      </c>
      <c r="U400" s="278">
        <v>3026.1359908797672</v>
      </c>
    </row>
    <row r="401" spans="1:21" x14ac:dyDescent="0.25">
      <c r="A401" s="278">
        <v>6</v>
      </c>
      <c r="C401" s="278">
        <f t="shared" si="30"/>
        <v>10</v>
      </c>
      <c r="D401" s="278">
        <f t="shared" si="31"/>
        <v>1</v>
      </c>
      <c r="E401" s="278">
        <f t="shared" si="32"/>
        <v>18</v>
      </c>
      <c r="F401" s="278" t="str">
        <f t="shared" si="33"/>
        <v>pm</v>
      </c>
      <c r="G401" s="278" t="s">
        <v>1059</v>
      </c>
      <c r="H401" s="278" t="s">
        <v>293</v>
      </c>
      <c r="I401" s="278" t="s">
        <v>1060</v>
      </c>
      <c r="K401" s="279">
        <f t="shared" si="34"/>
        <v>2875.3494936020707</v>
      </c>
      <c r="M401" s="279">
        <v>3000</v>
      </c>
      <c r="P401" s="278">
        <v>3018.0395256703673</v>
      </c>
      <c r="R401" s="278" t="str">
        <f>IF(AND((J401="This"),(L401="Only")),VLOOKUP(G401,#REF!,7,FALSE),"")</f>
        <v/>
      </c>
      <c r="S401" s="278">
        <v>2936.7667185645291</v>
      </c>
      <c r="U401" s="278">
        <v>2875.3494936020707</v>
      </c>
    </row>
    <row r="402" spans="1:21" x14ac:dyDescent="0.25">
      <c r="A402" s="278">
        <v>6</v>
      </c>
      <c r="C402" s="278">
        <f t="shared" si="30"/>
        <v>11</v>
      </c>
      <c r="D402" s="278">
        <f t="shared" si="31"/>
        <v>1</v>
      </c>
      <c r="E402" s="278">
        <f t="shared" si="32"/>
        <v>18</v>
      </c>
      <c r="F402" s="278" t="str">
        <f t="shared" si="33"/>
        <v>pm</v>
      </c>
      <c r="G402" s="278" t="s">
        <v>1061</v>
      </c>
      <c r="H402" s="278" t="s">
        <v>333</v>
      </c>
      <c r="I402" s="278" t="s">
        <v>1062</v>
      </c>
      <c r="K402" s="279">
        <f t="shared" si="34"/>
        <v>2929.4323751758852</v>
      </c>
      <c r="M402" s="279">
        <v>3000</v>
      </c>
      <c r="N402" s="278">
        <v>2917.3787570454606</v>
      </c>
      <c r="P402" s="278">
        <v>2966.1072131875057</v>
      </c>
      <c r="R402" s="278" t="str">
        <f>IF(AND((J402="This"),(L402="Only")),VLOOKUP(G402,#REF!,7,FALSE),"")</f>
        <v/>
      </c>
      <c r="S402" s="278">
        <v>2924.8856891760802</v>
      </c>
      <c r="U402" s="278">
        <v>2929.4323751758852</v>
      </c>
    </row>
    <row r="403" spans="1:21" x14ac:dyDescent="0.25">
      <c r="A403" s="278">
        <v>1</v>
      </c>
      <c r="C403" s="278">
        <f t="shared" si="30"/>
        <v>12</v>
      </c>
      <c r="D403" s="278">
        <f t="shared" si="31"/>
        <v>1</v>
      </c>
      <c r="E403" s="278">
        <f t="shared" si="32"/>
        <v>18</v>
      </c>
      <c r="F403" s="278" t="str">
        <f t="shared" si="33"/>
        <v>odx</v>
      </c>
      <c r="G403" s="278" t="s">
        <v>1063</v>
      </c>
      <c r="H403" s="278" t="s">
        <v>742</v>
      </c>
      <c r="I403" s="278" t="s">
        <v>743</v>
      </c>
      <c r="K403" s="279">
        <f t="shared" si="34"/>
        <v>3096.2801230484952</v>
      </c>
      <c r="M403" s="279">
        <v>3000</v>
      </c>
      <c r="N403" s="278">
        <v>3096.2801230484952</v>
      </c>
      <c r="R403" s="278" t="str">
        <f>IF(AND((J403="This"),(L403="Only")),VLOOKUP(G403,#REF!,7,FALSE),"")</f>
        <v/>
      </c>
    </row>
    <row r="404" spans="1:21" x14ac:dyDescent="0.25">
      <c r="A404" s="278">
        <v>2</v>
      </c>
      <c r="C404" s="278">
        <f t="shared" si="30"/>
        <v>13</v>
      </c>
      <c r="D404" s="278">
        <f t="shared" si="31"/>
        <v>1</v>
      </c>
      <c r="E404" s="278">
        <f t="shared" si="32"/>
        <v>18</v>
      </c>
      <c r="F404" s="278" t="str">
        <f t="shared" si="33"/>
        <v>pm</v>
      </c>
      <c r="G404" s="278" t="s">
        <v>1064</v>
      </c>
      <c r="H404" s="278" t="s">
        <v>226</v>
      </c>
      <c r="I404" s="278" t="s">
        <v>1065</v>
      </c>
      <c r="K404" s="279">
        <f t="shared" si="34"/>
        <v>3106.1013274780757</v>
      </c>
      <c r="M404" s="279">
        <v>3000</v>
      </c>
      <c r="R404" s="278" t="str">
        <f>IF(AND((J404="This"),(L404="Only")),VLOOKUP(G404,#REF!,7,FALSE),"")</f>
        <v/>
      </c>
      <c r="S404" s="278">
        <v>3106.1013274780757</v>
      </c>
    </row>
    <row r="405" spans="1:21" x14ac:dyDescent="0.25">
      <c r="A405" s="278">
        <v>2</v>
      </c>
      <c r="C405" s="278">
        <f t="shared" si="30"/>
        <v>14</v>
      </c>
      <c r="D405" s="278">
        <f t="shared" si="31"/>
        <v>1</v>
      </c>
      <c r="E405" s="278">
        <f t="shared" si="32"/>
        <v>18</v>
      </c>
      <c r="F405" s="278" t="str">
        <f t="shared" si="33"/>
        <v>pm</v>
      </c>
      <c r="G405" s="278" t="s">
        <v>1066</v>
      </c>
      <c r="H405" s="278" t="s">
        <v>226</v>
      </c>
      <c r="I405" s="278" t="s">
        <v>1067</v>
      </c>
      <c r="K405" s="279">
        <f t="shared" si="34"/>
        <v>3000</v>
      </c>
      <c r="M405" s="279">
        <v>3000</v>
      </c>
      <c r="R405" s="278" t="str">
        <f>IF(AND((J405="This"),(L405="Only")),VLOOKUP(G405,#REF!,7,FALSE),"")</f>
        <v/>
      </c>
    </row>
    <row r="406" spans="1:21" x14ac:dyDescent="0.25">
      <c r="A406" s="278">
        <v>1</v>
      </c>
      <c r="C406" s="278">
        <f t="shared" si="30"/>
        <v>15</v>
      </c>
      <c r="D406" s="278">
        <f t="shared" si="31"/>
        <v>1</v>
      </c>
      <c r="E406" s="278">
        <f t="shared" si="32"/>
        <v>18</v>
      </c>
      <c r="F406" s="278" t="str">
        <f t="shared" si="33"/>
        <v>sox</v>
      </c>
      <c r="G406" s="278" t="s">
        <v>1068</v>
      </c>
      <c r="H406" s="278" t="s">
        <v>561</v>
      </c>
      <c r="I406" s="278" t="s">
        <v>1069</v>
      </c>
      <c r="K406" s="279">
        <f t="shared" si="34"/>
        <v>2888.086160745449</v>
      </c>
      <c r="M406" s="279">
        <v>3000</v>
      </c>
      <c r="R406" s="278" t="str">
        <f>IF(AND((J406="This"),(L406="Only")),VLOOKUP(G406,#REF!,7,FALSE),"")</f>
        <v/>
      </c>
      <c r="U406" s="278">
        <v>2888.086160745449</v>
      </c>
    </row>
    <row r="407" spans="1:21" x14ac:dyDescent="0.25">
      <c r="A407" s="278">
        <v>1</v>
      </c>
      <c r="C407" s="278">
        <f t="shared" si="30"/>
        <v>16</v>
      </c>
      <c r="D407" s="278">
        <f t="shared" si="31"/>
        <v>1</v>
      </c>
      <c r="E407" s="278">
        <f t="shared" si="32"/>
        <v>18</v>
      </c>
      <c r="F407" s="278" t="str">
        <f t="shared" si="33"/>
        <v>odx</v>
      </c>
      <c r="G407" s="278" t="s">
        <v>1070</v>
      </c>
      <c r="H407" s="278" t="s">
        <v>566</v>
      </c>
      <c r="I407" s="278" t="s">
        <v>1071</v>
      </c>
      <c r="K407" s="279">
        <f t="shared" si="34"/>
        <v>3000</v>
      </c>
      <c r="M407" s="279">
        <v>3000</v>
      </c>
      <c r="R407" s="278" t="str">
        <f>IF(AND((J407="This"),(L407="Only")),VLOOKUP(G407,#REF!,7,FALSE),"")</f>
        <v/>
      </c>
    </row>
    <row r="408" spans="1:21" x14ac:dyDescent="0.25">
      <c r="A408" s="278">
        <v>1</v>
      </c>
      <c r="C408" s="278">
        <f t="shared" si="30"/>
        <v>17</v>
      </c>
      <c r="D408" s="278">
        <f t="shared" si="31"/>
        <v>1</v>
      </c>
      <c r="E408" s="278">
        <f t="shared" si="32"/>
        <v>18</v>
      </c>
      <c r="F408" s="278" t="str">
        <f t="shared" si="33"/>
        <v>sox</v>
      </c>
      <c r="G408" s="278" t="s">
        <v>1072</v>
      </c>
      <c r="H408" s="278" t="s">
        <v>1073</v>
      </c>
      <c r="I408" s="278" t="s">
        <v>1074</v>
      </c>
      <c r="K408" s="279">
        <f t="shared" si="34"/>
        <v>3111.1252320123399</v>
      </c>
      <c r="M408" s="279">
        <v>3000</v>
      </c>
      <c r="R408" s="278" t="str">
        <f>IF(AND((J408="This"),(L408="Only")),VLOOKUP(G408,#REF!,7,FALSE),"")</f>
        <v/>
      </c>
      <c r="U408" s="278">
        <v>3111.1252320123399</v>
      </c>
    </row>
    <row r="409" spans="1:21" x14ac:dyDescent="0.25">
      <c r="A409" s="278">
        <v>2</v>
      </c>
      <c r="C409" s="278">
        <f t="shared" si="30"/>
        <v>18</v>
      </c>
      <c r="D409" s="278">
        <f t="shared" si="31"/>
        <v>1</v>
      </c>
      <c r="E409" s="278">
        <f t="shared" si="32"/>
        <v>18</v>
      </c>
      <c r="F409" s="278" t="str">
        <f t="shared" si="33"/>
        <v>pm</v>
      </c>
      <c r="G409" s="278" t="s">
        <v>1075</v>
      </c>
      <c r="H409" s="278" t="s">
        <v>232</v>
      </c>
      <c r="I409" s="278" t="s">
        <v>1076</v>
      </c>
      <c r="K409" s="279">
        <f t="shared" si="34"/>
        <v>3033.6021688753772</v>
      </c>
      <c r="M409" s="279">
        <v>3000</v>
      </c>
      <c r="R409" s="278" t="str">
        <f>IF(AND((J409="This"),(L409="Only")),VLOOKUP(G409,#REF!,7,FALSE),"")</f>
        <v/>
      </c>
      <c r="U409" s="278">
        <v>3033.6021688753772</v>
      </c>
    </row>
    <row r="410" spans="1:21" x14ac:dyDescent="0.25">
      <c r="A410" s="278">
        <v>1</v>
      </c>
      <c r="C410" s="278">
        <f t="shared" si="30"/>
        <v>19</v>
      </c>
      <c r="D410" s="278">
        <f t="shared" si="31"/>
        <v>1</v>
      </c>
      <c r="E410" s="278">
        <f t="shared" si="32"/>
        <v>18</v>
      </c>
      <c r="F410" s="278" t="str">
        <f t="shared" si="33"/>
        <v>crx</v>
      </c>
      <c r="G410" s="278" t="s">
        <v>1077</v>
      </c>
      <c r="H410" s="278" t="s">
        <v>767</v>
      </c>
      <c r="I410" s="278" t="s">
        <v>1078</v>
      </c>
      <c r="K410" s="279">
        <f t="shared" si="34"/>
        <v>2979.4736760168794</v>
      </c>
      <c r="M410" s="279">
        <v>3000</v>
      </c>
      <c r="R410" s="278" t="str">
        <f>IF(AND((J410="This"),(L410="Only")),VLOOKUP(G410,#REF!,7,FALSE),"")</f>
        <v/>
      </c>
      <c r="U410" s="278">
        <v>2979.4736760168794</v>
      </c>
    </row>
    <row r="411" spans="1:21" x14ac:dyDescent="0.25">
      <c r="A411" s="278">
        <v>1</v>
      </c>
      <c r="C411" s="278">
        <f t="shared" si="30"/>
        <v>20</v>
      </c>
      <c r="D411" s="278">
        <f t="shared" si="31"/>
        <v>1</v>
      </c>
      <c r="E411" s="278">
        <f t="shared" si="32"/>
        <v>18</v>
      </c>
      <c r="F411" s="278" t="str">
        <f t="shared" si="33"/>
        <v>crx</v>
      </c>
      <c r="G411" s="278" t="s">
        <v>1079</v>
      </c>
      <c r="H411" s="278" t="s">
        <v>767</v>
      </c>
      <c r="I411" s="278" t="s">
        <v>1080</v>
      </c>
      <c r="K411" s="279">
        <f t="shared" si="34"/>
        <v>2880.8602942634225</v>
      </c>
      <c r="M411" s="279">
        <v>3000</v>
      </c>
      <c r="R411" s="278" t="str">
        <f>IF(AND((J411="This"),(L411="Only")),VLOOKUP(G411,#REF!,7,FALSE),"")</f>
        <v/>
      </c>
      <c r="U411" s="278">
        <v>2880.8602942634225</v>
      </c>
    </row>
    <row r="412" spans="1:21" x14ac:dyDescent="0.25">
      <c r="A412" s="278">
        <v>1</v>
      </c>
      <c r="C412" s="278">
        <f t="shared" si="30"/>
        <v>21</v>
      </c>
      <c r="D412" s="278">
        <f t="shared" si="31"/>
        <v>1</v>
      </c>
      <c r="E412" s="278">
        <f t="shared" si="32"/>
        <v>18</v>
      </c>
      <c r="F412" s="278" t="str">
        <f t="shared" si="33"/>
        <v>crx</v>
      </c>
      <c r="G412" s="278" t="s">
        <v>1081</v>
      </c>
      <c r="H412" s="278" t="s">
        <v>774</v>
      </c>
      <c r="I412" s="278" t="s">
        <v>1082</v>
      </c>
      <c r="K412" s="279">
        <f t="shared" si="34"/>
        <v>2937.5737782198325</v>
      </c>
      <c r="M412" s="279">
        <v>3000</v>
      </c>
      <c r="N412" s="278">
        <v>2937.5737782198325</v>
      </c>
      <c r="R412" s="278" t="str">
        <f>IF(AND((J412="This"),(L412="Only")),VLOOKUP(G412,#REF!,7,FALSE),"")</f>
        <v/>
      </c>
    </row>
    <row r="413" spans="1:21" x14ac:dyDescent="0.25">
      <c r="A413" s="278">
        <v>5</v>
      </c>
      <c r="C413" s="278">
        <f t="shared" si="30"/>
        <v>22</v>
      </c>
      <c r="D413" s="278">
        <f t="shared" si="31"/>
        <v>1</v>
      </c>
      <c r="E413" s="278">
        <f t="shared" si="32"/>
        <v>18</v>
      </c>
      <c r="F413" s="278" t="str">
        <f t="shared" si="33"/>
        <v>pm</v>
      </c>
      <c r="G413" s="278" t="s">
        <v>1083</v>
      </c>
      <c r="H413" s="278" t="s">
        <v>587</v>
      </c>
      <c r="I413" s="278" t="s">
        <v>1084</v>
      </c>
      <c r="K413" s="279">
        <f t="shared" si="34"/>
        <v>3029.7830029113002</v>
      </c>
      <c r="M413" s="279">
        <v>3000</v>
      </c>
      <c r="N413" s="278">
        <v>3009.2514829430538</v>
      </c>
      <c r="R413" s="278" t="str">
        <f>IF(AND((J413="This"),(L413="Only")),VLOOKUP(G413,#REF!,7,FALSE),"")</f>
        <v/>
      </c>
      <c r="S413" s="278">
        <v>2963.2964479003485</v>
      </c>
      <c r="U413" s="278">
        <v>3029.7830029113002</v>
      </c>
    </row>
    <row r="414" spans="1:21" x14ac:dyDescent="0.25">
      <c r="A414" s="278">
        <v>1</v>
      </c>
      <c r="C414" s="278">
        <f t="shared" si="30"/>
        <v>23</v>
      </c>
      <c r="D414" s="278">
        <f t="shared" si="31"/>
        <v>1</v>
      </c>
      <c r="E414" s="278">
        <f t="shared" si="32"/>
        <v>18</v>
      </c>
      <c r="F414" s="278" t="str">
        <f t="shared" si="33"/>
        <v>pmx</v>
      </c>
      <c r="G414" s="278" t="s">
        <v>1085</v>
      </c>
      <c r="H414" s="278" t="s">
        <v>239</v>
      </c>
      <c r="I414" s="278" t="s">
        <v>1086</v>
      </c>
      <c r="K414" s="279">
        <f t="shared" si="34"/>
        <v>3000</v>
      </c>
      <c r="M414" s="279">
        <v>3000</v>
      </c>
      <c r="R414" s="278" t="str">
        <f>IF(AND((J414="This"),(L414="Only")),VLOOKUP(G414,#REF!,7,FALSE),"")</f>
        <v/>
      </c>
    </row>
    <row r="415" spans="1:21" x14ac:dyDescent="0.25">
      <c r="A415" s="278">
        <v>1</v>
      </c>
      <c r="C415" s="278">
        <f t="shared" si="30"/>
        <v>24</v>
      </c>
      <c r="D415" s="278">
        <f t="shared" si="31"/>
        <v>1</v>
      </c>
      <c r="E415" s="278">
        <f t="shared" si="32"/>
        <v>18</v>
      </c>
      <c r="F415" s="278" t="str">
        <f t="shared" si="33"/>
        <v>pmx</v>
      </c>
      <c r="G415" s="278" t="s">
        <v>1087</v>
      </c>
      <c r="H415" s="278" t="s">
        <v>239</v>
      </c>
      <c r="I415" s="278" t="s">
        <v>1088</v>
      </c>
      <c r="K415" s="279">
        <f t="shared" si="34"/>
        <v>3000</v>
      </c>
      <c r="M415" s="279">
        <v>3000</v>
      </c>
      <c r="R415" s="278" t="str">
        <f>IF(AND((J415="This"),(L415="Only")),VLOOKUP(G415,#REF!,7,FALSE),"")</f>
        <v/>
      </c>
    </row>
    <row r="416" spans="1:21" x14ac:dyDescent="0.25">
      <c r="A416" s="278">
        <v>1</v>
      </c>
      <c r="C416" s="278">
        <f t="shared" si="30"/>
        <v>25</v>
      </c>
      <c r="D416" s="278">
        <f t="shared" si="31"/>
        <v>1</v>
      </c>
      <c r="E416" s="278">
        <f t="shared" si="32"/>
        <v>18</v>
      </c>
      <c r="F416" s="278" t="str">
        <f t="shared" si="33"/>
        <v>pmx</v>
      </c>
      <c r="G416" s="278" t="s">
        <v>1089</v>
      </c>
      <c r="H416" s="278" t="s">
        <v>239</v>
      </c>
      <c r="I416" s="278" t="s">
        <v>1090</v>
      </c>
      <c r="K416" s="279">
        <f t="shared" si="34"/>
        <v>3000</v>
      </c>
      <c r="M416" s="279">
        <v>3000</v>
      </c>
      <c r="R416" s="278" t="str">
        <f>IF(AND((J416="This"),(L416="Only")),VLOOKUP(G416,#REF!,7,FALSE),"")</f>
        <v/>
      </c>
    </row>
    <row r="417" spans="1:21" x14ac:dyDescent="0.25">
      <c r="A417" s="278">
        <v>4</v>
      </c>
      <c r="C417" s="278">
        <f t="shared" si="30"/>
        <v>26</v>
      </c>
      <c r="D417" s="278">
        <f t="shared" si="31"/>
        <v>26</v>
      </c>
      <c r="E417" s="278">
        <f t="shared" si="32"/>
        <v>18</v>
      </c>
      <c r="F417" s="278" t="str">
        <f t="shared" si="33"/>
        <v>pm</v>
      </c>
      <c r="G417" s="278" t="s">
        <v>1091</v>
      </c>
      <c r="H417" s="278" t="s">
        <v>1092</v>
      </c>
      <c r="I417" s="278" t="s">
        <v>1093</v>
      </c>
      <c r="K417" s="279">
        <f t="shared" si="34"/>
        <v>2778.8957456721564</v>
      </c>
      <c r="M417" s="279">
        <v>2900</v>
      </c>
      <c r="P417" s="278">
        <v>2825.7321255667107</v>
      </c>
      <c r="R417" s="278" t="str">
        <f>IF(AND((J417="This"),(L417="Only")),VLOOKUP(G417,#REF!,7,FALSE),"")</f>
        <v/>
      </c>
      <c r="S417" s="278">
        <v>2756.6598634333782</v>
      </c>
      <c r="U417" s="278">
        <v>2778.8957456721564</v>
      </c>
    </row>
    <row r="418" spans="1:21" x14ac:dyDescent="0.25">
      <c r="A418" s="278">
        <v>4</v>
      </c>
      <c r="C418" s="278">
        <f t="shared" si="30"/>
        <v>27</v>
      </c>
      <c r="D418" s="278">
        <f t="shared" si="31"/>
        <v>26</v>
      </c>
      <c r="E418" s="278">
        <f t="shared" si="32"/>
        <v>18</v>
      </c>
      <c r="F418" s="278" t="str">
        <f t="shared" si="33"/>
        <v>pm</v>
      </c>
      <c r="G418" s="278" t="s">
        <v>1094</v>
      </c>
      <c r="H418" s="278" t="s">
        <v>287</v>
      </c>
      <c r="I418" s="278" t="s">
        <v>1095</v>
      </c>
      <c r="K418" s="279">
        <f t="shared" si="34"/>
        <v>2863.8315277287957</v>
      </c>
      <c r="M418" s="279">
        <v>2900</v>
      </c>
      <c r="O418" s="278">
        <v>2844.5131492724072</v>
      </c>
      <c r="P418" s="278">
        <v>2852.013041893284</v>
      </c>
      <c r="R418" s="278" t="str">
        <f>IF(AND((J418="This"),(L418="Only")),VLOOKUP(G418,#REF!,7,FALSE),"")</f>
        <v/>
      </c>
      <c r="U418" s="278">
        <v>2863.8315277287957</v>
      </c>
    </row>
    <row r="419" spans="1:21" x14ac:dyDescent="0.25">
      <c r="A419" s="278">
        <v>4</v>
      </c>
      <c r="C419" s="278">
        <f t="shared" si="30"/>
        <v>28</v>
      </c>
      <c r="D419" s="278">
        <f t="shared" si="31"/>
        <v>28</v>
      </c>
      <c r="E419" s="278">
        <f t="shared" si="32"/>
        <v>18</v>
      </c>
      <c r="F419" s="278" t="str">
        <f t="shared" si="33"/>
        <v>pm</v>
      </c>
      <c r="G419" s="278" t="s">
        <v>1096</v>
      </c>
      <c r="H419" s="278" t="s">
        <v>301</v>
      </c>
      <c r="I419" s="278" t="s">
        <v>1097</v>
      </c>
      <c r="K419" s="279">
        <f t="shared" si="34"/>
        <v>2827.7212205588357</v>
      </c>
      <c r="M419" s="279">
        <v>2700</v>
      </c>
      <c r="O419" s="278">
        <v>2776.0452308811364</v>
      </c>
      <c r="R419" s="278" t="str">
        <f>IF(AND((J419="This"),(L419="Only")),VLOOKUP(G419,#REF!,7,FALSE),"")</f>
        <v/>
      </c>
      <c r="S419" s="278">
        <v>2783.0988267322386</v>
      </c>
      <c r="U419" s="278">
        <v>2827.7212205588357</v>
      </c>
    </row>
    <row r="420" spans="1:21" x14ac:dyDescent="0.25">
      <c r="A420" s="278">
        <v>6</v>
      </c>
      <c r="C420" s="278">
        <f t="shared" si="30"/>
        <v>29</v>
      </c>
      <c r="D420" s="278">
        <f t="shared" si="31"/>
        <v>29</v>
      </c>
      <c r="E420" s="278">
        <f t="shared" si="32"/>
        <v>18</v>
      </c>
      <c r="F420" s="278" t="str">
        <f t="shared" si="33"/>
        <v>pm</v>
      </c>
      <c r="G420" s="278" t="s">
        <v>179</v>
      </c>
      <c r="H420" s="278" t="s">
        <v>604</v>
      </c>
      <c r="I420" s="278" t="s">
        <v>178</v>
      </c>
      <c r="K420" s="279">
        <f t="shared" si="34"/>
        <v>2533.5380243836562</v>
      </c>
      <c r="M420" s="279">
        <v>2666.6666666666665</v>
      </c>
      <c r="O420" s="278">
        <v>2606.2172201158401</v>
      </c>
      <c r="R420" s="278" t="str">
        <f>IF(AND((J420="This"),(L420="Only")),VLOOKUP(G420,#REF!,7,FALSE),"")</f>
        <v/>
      </c>
      <c r="S420" s="278">
        <v>2533.5380243836562</v>
      </c>
    </row>
    <row r="421" spans="1:21" x14ac:dyDescent="0.25">
      <c r="A421" s="278">
        <v>6</v>
      </c>
      <c r="C421" s="278">
        <f t="shared" si="30"/>
        <v>30</v>
      </c>
      <c r="D421" s="278">
        <f t="shared" si="31"/>
        <v>30</v>
      </c>
      <c r="E421" s="278">
        <f t="shared" si="32"/>
        <v>18</v>
      </c>
      <c r="F421" s="278" t="str">
        <f t="shared" si="33"/>
        <v>pm</v>
      </c>
      <c r="G421" s="278" t="s">
        <v>175</v>
      </c>
      <c r="H421" s="278" t="s">
        <v>620</v>
      </c>
      <c r="I421" s="278" t="s">
        <v>174</v>
      </c>
      <c r="K421" s="279">
        <f t="shared" si="34"/>
        <v>2604.5313523756722</v>
      </c>
      <c r="M421" s="279">
        <v>2600</v>
      </c>
      <c r="O421" s="278">
        <v>2566.197479933051</v>
      </c>
      <c r="R421" s="278" t="str">
        <f>IF(AND((J421="This"),(L421="Only")),VLOOKUP(G421,#REF!,7,FALSE),"")</f>
        <v/>
      </c>
      <c r="S421" s="278">
        <v>2571.5829841924087</v>
      </c>
      <c r="T421" s="278">
        <v>2604.5313523756722</v>
      </c>
    </row>
    <row r="422" spans="1:21" x14ac:dyDescent="0.25">
      <c r="A422" s="278">
        <v>2</v>
      </c>
      <c r="C422" s="278">
        <f t="shared" si="30"/>
        <v>31</v>
      </c>
      <c r="D422" s="278">
        <f t="shared" si="31"/>
        <v>30</v>
      </c>
      <c r="E422" s="278">
        <f t="shared" si="32"/>
        <v>18</v>
      </c>
      <c r="F422" s="278" t="str">
        <f t="shared" si="33"/>
        <v>cr</v>
      </c>
      <c r="G422" s="278" t="s">
        <v>1098</v>
      </c>
      <c r="H422" s="278" t="s">
        <v>304</v>
      </c>
      <c r="I422" s="278" t="s">
        <v>1099</v>
      </c>
      <c r="K422" s="279">
        <f t="shared" si="34"/>
        <v>2632.6008182864525</v>
      </c>
      <c r="M422" s="279">
        <v>2600</v>
      </c>
      <c r="R422" s="278" t="str">
        <f>IF(AND((J422="This"),(L422="Only")),VLOOKUP(G422,#REF!,7,FALSE),"")</f>
        <v/>
      </c>
      <c r="T422" s="278">
        <v>2632.6008182864525</v>
      </c>
    </row>
    <row r="423" spans="1:21" x14ac:dyDescent="0.25">
      <c r="A423" s="278">
        <v>1</v>
      </c>
      <c r="C423" s="278">
        <f t="shared" si="30"/>
        <v>32</v>
      </c>
      <c r="D423" s="278">
        <f t="shared" si="31"/>
        <v>30</v>
      </c>
      <c r="E423" s="278">
        <f t="shared" si="32"/>
        <v>18</v>
      </c>
      <c r="F423" s="278" t="str">
        <f t="shared" si="33"/>
        <v>sox</v>
      </c>
      <c r="G423" s="278" t="s">
        <v>1100</v>
      </c>
      <c r="H423" s="278" t="s">
        <v>352</v>
      </c>
      <c r="I423" s="278" t="s">
        <v>1101</v>
      </c>
      <c r="K423" s="279">
        <f t="shared" si="34"/>
        <v>2584.553110549688</v>
      </c>
      <c r="M423" s="279">
        <v>2600</v>
      </c>
      <c r="R423" s="278" t="str">
        <f>IF(AND((J423="This"),(L423="Only")),VLOOKUP(G423,#REF!,7,FALSE),"")</f>
        <v/>
      </c>
      <c r="T423" s="278">
        <v>2584.553110549688</v>
      </c>
    </row>
    <row r="424" spans="1:21" x14ac:dyDescent="0.25">
      <c r="A424" s="278">
        <v>1</v>
      </c>
      <c r="C424" s="278">
        <f t="shared" si="30"/>
        <v>33</v>
      </c>
      <c r="D424" s="278">
        <f t="shared" si="31"/>
        <v>30</v>
      </c>
      <c r="E424" s="278">
        <f t="shared" si="32"/>
        <v>18</v>
      </c>
      <c r="F424" s="278" t="str">
        <f t="shared" si="33"/>
        <v>crx</v>
      </c>
      <c r="G424" s="278" t="s">
        <v>1102</v>
      </c>
      <c r="H424" s="278" t="s">
        <v>933</v>
      </c>
      <c r="I424" s="278" t="s">
        <v>1103</v>
      </c>
      <c r="K424" s="279">
        <f t="shared" si="34"/>
        <v>2637.1727206454916</v>
      </c>
      <c r="M424" s="279">
        <v>2600</v>
      </c>
      <c r="O424" s="278">
        <v>2637.1727206454916</v>
      </c>
      <c r="R424" s="278" t="str">
        <f>IF(AND((J424="This"),(L424="Only")),VLOOKUP(G424,#REF!,7,FALSE),"")</f>
        <v/>
      </c>
    </row>
    <row r="425" spans="1:21" x14ac:dyDescent="0.25">
      <c r="A425" s="278">
        <v>7</v>
      </c>
      <c r="C425" s="278">
        <f t="shared" si="30"/>
        <v>34</v>
      </c>
      <c r="D425" s="278">
        <f t="shared" si="31"/>
        <v>30</v>
      </c>
      <c r="E425" s="278">
        <f t="shared" si="32"/>
        <v>18</v>
      </c>
      <c r="F425" s="278" t="str">
        <f t="shared" si="33"/>
        <v>pm</v>
      </c>
      <c r="G425" s="278" t="s">
        <v>173</v>
      </c>
      <c r="H425" s="278" t="s">
        <v>933</v>
      </c>
      <c r="I425" s="278" t="s">
        <v>172</v>
      </c>
      <c r="K425" s="279">
        <f t="shared" si="34"/>
        <v>2607.9641530366357</v>
      </c>
      <c r="M425" s="279">
        <v>2600</v>
      </c>
      <c r="O425" s="278">
        <v>2635.3110386339977</v>
      </c>
      <c r="R425" s="278" t="str">
        <f>IF(AND((J425="This"),(L425="Only")),VLOOKUP(G425,#REF!,7,FALSE),"")</f>
        <v/>
      </c>
      <c r="S425" s="278">
        <v>2679.1300397754653</v>
      </c>
      <c r="T425" s="278">
        <v>2607.9641530366357</v>
      </c>
    </row>
    <row r="426" spans="1:21" x14ac:dyDescent="0.25">
      <c r="A426" s="278">
        <v>5</v>
      </c>
      <c r="C426" s="278">
        <f t="shared" si="30"/>
        <v>35</v>
      </c>
      <c r="D426" s="278">
        <f t="shared" si="31"/>
        <v>30</v>
      </c>
      <c r="E426" s="278">
        <f t="shared" si="32"/>
        <v>18</v>
      </c>
      <c r="F426" s="278" t="str">
        <f t="shared" si="33"/>
        <v>pm</v>
      </c>
      <c r="G426" s="278" t="s">
        <v>177</v>
      </c>
      <c r="H426" s="278" t="s">
        <v>512</v>
      </c>
      <c r="I426" s="278" t="s">
        <v>176</v>
      </c>
      <c r="K426" s="279">
        <f t="shared" si="34"/>
        <v>2601.7693263635874</v>
      </c>
      <c r="M426" s="279">
        <v>2600</v>
      </c>
      <c r="R426" s="278" t="str">
        <f>IF(AND((J426="This"),(L426="Only")),VLOOKUP(G426,#REF!,7,FALSE),"")</f>
        <v/>
      </c>
      <c r="S426" s="278">
        <v>2637.3852923767972</v>
      </c>
      <c r="T426" s="278">
        <v>2601.7693263635874</v>
      </c>
    </row>
    <row r="427" spans="1:21" x14ac:dyDescent="0.25">
      <c r="A427" s="278">
        <v>4</v>
      </c>
      <c r="C427" s="278">
        <f t="shared" si="30"/>
        <v>36</v>
      </c>
      <c r="D427" s="278">
        <f t="shared" si="31"/>
        <v>30</v>
      </c>
      <c r="E427" s="278">
        <f t="shared" si="32"/>
        <v>18</v>
      </c>
      <c r="F427" s="278" t="str">
        <f t="shared" si="33"/>
        <v>pm</v>
      </c>
      <c r="G427" s="278" t="s">
        <v>1104</v>
      </c>
      <c r="H427" s="278" t="s">
        <v>1105</v>
      </c>
      <c r="I427" s="278" t="s">
        <v>1106</v>
      </c>
      <c r="K427" s="279">
        <f t="shared" si="34"/>
        <v>2769.9544095367178</v>
      </c>
      <c r="M427" s="279">
        <v>2600</v>
      </c>
      <c r="O427" s="278">
        <v>2680.3264856208189</v>
      </c>
      <c r="R427" s="278" t="str">
        <f>IF(AND((J427="This"),(L427="Only")),VLOOKUP(G427,#REF!,7,FALSE),"")</f>
        <v/>
      </c>
      <c r="T427" s="278">
        <v>2769.9544095367178</v>
      </c>
    </row>
    <row r="428" spans="1:21" x14ac:dyDescent="0.25">
      <c r="R428" s="278" t="str">
        <f>IF(AND((J428="This"),(L428="Only")),VLOOKUP(G428,#REF!,7,FALSE),"")</f>
        <v/>
      </c>
    </row>
    <row r="429" spans="1:21" x14ac:dyDescent="0.25">
      <c r="A429" s="278">
        <v>1</v>
      </c>
      <c r="C429" s="278">
        <f t="shared" ref="C429:C431" si="35">IF(E429=E428,C428+1,1)</f>
        <v>1</v>
      </c>
      <c r="D429" s="278">
        <f t="shared" ref="D429:D431" si="36">IF(M429=M428,D428,C429)</f>
        <v>1</v>
      </c>
      <c r="E429" s="278">
        <f t="shared" ref="E429:E431" si="37">10+VALUE(RIGHT(LEFT(G429,3),1))</f>
        <v>16</v>
      </c>
      <c r="F429" s="278" t="str">
        <f t="shared" ref="F429:F431" si="38">RIGHT(G429,2) &amp; IF(A429&lt;2,"x","")</f>
        <v>crx</v>
      </c>
      <c r="G429" s="282" t="s">
        <v>1107</v>
      </c>
      <c r="H429" s="280" t="s">
        <v>1108</v>
      </c>
      <c r="I429" s="278" t="s">
        <v>1108</v>
      </c>
      <c r="K429" s="279">
        <f t="shared" ref="K429:K431" si="39">LOOKUP(1E+100,M429:AC429)</f>
        <v>2224.9357527398279</v>
      </c>
      <c r="M429" s="279">
        <v>2200</v>
      </c>
      <c r="R429" s="278" t="str">
        <f>IF(AND((J429="This"),(L429="Only")),VLOOKUP(G429,#REF!,7,FALSE),"")</f>
        <v/>
      </c>
      <c r="U429" s="278">
        <v>2224.9357527398279</v>
      </c>
    </row>
    <row r="430" spans="1:21" x14ac:dyDescent="0.25">
      <c r="A430" s="278">
        <v>1</v>
      </c>
      <c r="C430" s="278">
        <f t="shared" si="35"/>
        <v>2</v>
      </c>
      <c r="D430" s="278">
        <f t="shared" si="36"/>
        <v>1</v>
      </c>
      <c r="E430" s="278">
        <f t="shared" si="37"/>
        <v>16</v>
      </c>
      <c r="F430" s="278" t="str">
        <f t="shared" si="38"/>
        <v>crx</v>
      </c>
      <c r="G430" s="282" t="s">
        <v>1109</v>
      </c>
      <c r="H430" s="280" t="s">
        <v>1110</v>
      </c>
      <c r="I430" s="280" t="s">
        <v>1111</v>
      </c>
      <c r="K430" s="279">
        <f t="shared" si="39"/>
        <v>2312.3805436980424</v>
      </c>
      <c r="M430" s="279">
        <v>2200</v>
      </c>
      <c r="R430" s="278" t="str">
        <f>IF(AND((J430="This"),(L430="Only")),VLOOKUP(G430,#REF!,7,FALSE),"")</f>
        <v/>
      </c>
      <c r="U430" s="278">
        <v>2312.3805436980424</v>
      </c>
    </row>
    <row r="431" spans="1:21" x14ac:dyDescent="0.25">
      <c r="A431" s="278">
        <v>1</v>
      </c>
      <c r="C431" s="278">
        <f t="shared" si="35"/>
        <v>1</v>
      </c>
      <c r="D431" s="278">
        <f t="shared" si="36"/>
        <v>1</v>
      </c>
      <c r="E431" s="278">
        <f t="shared" si="37"/>
        <v>17</v>
      </c>
      <c r="F431" s="278" t="str">
        <f t="shared" si="38"/>
        <v>crx</v>
      </c>
      <c r="G431" s="282" t="s">
        <v>1112</v>
      </c>
      <c r="H431" s="280" t="s">
        <v>1113</v>
      </c>
      <c r="I431" s="280" t="s">
        <v>1114</v>
      </c>
      <c r="K431" s="279">
        <f t="shared" si="39"/>
        <v>2588.4530488563269</v>
      </c>
      <c r="M431" s="279">
        <v>2400</v>
      </c>
      <c r="R431" s="278" t="str">
        <f>IF(AND((J431="This"),(L431="Only")),VLOOKUP(G431,#REF!,7,FALSE),"")</f>
        <v/>
      </c>
      <c r="U431" s="278">
        <v>2588.4530488563269</v>
      </c>
    </row>
    <row r="432" spans="1:21" x14ac:dyDescent="0.25">
      <c r="A432" s="278">
        <v>1</v>
      </c>
      <c r="C432" s="278">
        <f t="shared" ref="C432" si="40">IF(E432=E431,C431+1,1)</f>
        <v>1</v>
      </c>
      <c r="D432" s="278">
        <f t="shared" ref="D432" si="41">IF(M432=M431,D431,C432)</f>
        <v>1</v>
      </c>
      <c r="E432" s="278">
        <f t="shared" ref="E432" si="42">10+VALUE(RIGHT(LEFT(G432,3),1))</f>
        <v>14</v>
      </c>
      <c r="F432" s="278" t="str">
        <f t="shared" ref="F432" si="43">RIGHT(G432,2) &amp; IF(A432&lt;2,"x","")</f>
        <v>crx</v>
      </c>
      <c r="G432" s="278" t="s">
        <v>1136</v>
      </c>
      <c r="H432" s="278" t="s">
        <v>1139</v>
      </c>
      <c r="I432" s="278" t="s">
        <v>1135</v>
      </c>
      <c r="K432" s="279">
        <f t="shared" ref="K432" si="44">LOOKUP(1E+100,M432:AC432)</f>
        <v>1800</v>
      </c>
      <c r="M432" s="279">
        <v>1800</v>
      </c>
    </row>
    <row r="433" spans="1:13" x14ac:dyDescent="0.25">
      <c r="A433" s="278">
        <v>1</v>
      </c>
      <c r="C433" s="278">
        <f t="shared" ref="C433" si="45">IF(E433=E432,C432+1,1)</f>
        <v>1</v>
      </c>
      <c r="D433" s="278">
        <f t="shared" ref="D433" si="46">IF(M433=M432,D432,C433)</f>
        <v>1</v>
      </c>
      <c r="E433" s="278">
        <f t="shared" ref="E433" si="47">10+VALUE(RIGHT(LEFT(G433,3),1))</f>
        <v>15</v>
      </c>
      <c r="F433" s="278" t="str">
        <f t="shared" ref="F433" si="48">RIGHT(G433,2) &amp; IF(A433&lt;2,"x","")</f>
        <v>sox</v>
      </c>
      <c r="G433" s="278" t="s">
        <v>1158</v>
      </c>
      <c r="H433" s="278" t="s">
        <v>1160</v>
      </c>
      <c r="I433" s="278" t="s">
        <v>1157</v>
      </c>
      <c r="K433" s="279">
        <f t="shared" ref="K433" si="49">LOOKUP(1E+100,M433:AC433)</f>
        <v>2000</v>
      </c>
      <c r="M433" s="279">
        <v>2000</v>
      </c>
    </row>
  </sheetData>
  <conditionalFormatting sqref="C264:F264 AJ428:XFD431 A428:AG431 A434:AG1048576 AJ434:XFD1048576">
    <cfRule type="expression" dxfId="668" priority="204">
      <formula>$E264=10</formula>
    </cfRule>
    <cfRule type="expression" dxfId="667" priority="205">
      <formula>$E264=11</formula>
    </cfRule>
    <cfRule type="expression" dxfId="666" priority="206">
      <formula>$E264=18</formula>
    </cfRule>
    <cfRule type="expression" dxfId="665" priority="207">
      <formula>$E264=17</formula>
    </cfRule>
    <cfRule type="expression" dxfId="664" priority="208">
      <formula>$E264=16</formula>
    </cfRule>
    <cfRule type="expression" dxfId="663" priority="209">
      <formula>$E264=15</formula>
    </cfRule>
    <cfRule type="expression" dxfId="662" priority="210">
      <formula>$E264=14</formula>
    </cfRule>
    <cfRule type="expression" dxfId="661" priority="211">
      <formula>$E264=13</formula>
    </cfRule>
    <cfRule type="expression" dxfId="660" priority="212">
      <formula>$E264=12</formula>
    </cfRule>
  </conditionalFormatting>
  <conditionalFormatting sqref="K2:K427">
    <cfRule type="expression" dxfId="659" priority="195">
      <formula>$E2=10</formula>
    </cfRule>
    <cfRule type="expression" dxfId="658" priority="196">
      <formula>$E2=11</formula>
    </cfRule>
    <cfRule type="expression" dxfId="657" priority="197">
      <formula>$E2=18</formula>
    </cfRule>
    <cfRule type="expression" dxfId="656" priority="198">
      <formula>$E2=17</formula>
    </cfRule>
    <cfRule type="expression" dxfId="655" priority="199">
      <formula>$E2=16</formula>
    </cfRule>
    <cfRule type="expression" dxfId="654" priority="200">
      <formula>$E2=15</formula>
    </cfRule>
    <cfRule type="expression" dxfId="653" priority="201">
      <formula>$E2=14</formula>
    </cfRule>
    <cfRule type="expression" dxfId="652" priority="202">
      <formula>$E2=13</formula>
    </cfRule>
    <cfRule type="expression" dxfId="651" priority="203">
      <formula>$E2=12</formula>
    </cfRule>
  </conditionalFormatting>
  <conditionalFormatting sqref="G1:I1">
    <cfRule type="containsText" dxfId="650" priority="311" operator="containsText" text="CSRA">
      <formula>NOT(ISERROR(SEARCH("CSRA",G1)))</formula>
    </cfRule>
  </conditionalFormatting>
  <conditionalFormatting sqref="AJ1:XFD431 A1:AG431 A434:AG1048576 AJ434:XFD1048576">
    <cfRule type="expression" dxfId="649" priority="303">
      <formula>$E1&lt;12</formula>
    </cfRule>
    <cfRule type="expression" dxfId="648" priority="304">
      <formula>$E1=18</formula>
    </cfRule>
    <cfRule type="expression" dxfId="647" priority="305">
      <formula>$E1=17</formula>
    </cfRule>
    <cfRule type="expression" dxfId="646" priority="306">
      <formula>$E1=16</formula>
    </cfRule>
    <cfRule type="expression" dxfId="645" priority="307">
      <formula>$E1=15</formula>
    </cfRule>
    <cfRule type="expression" dxfId="644" priority="308">
      <formula>$E1=14</formula>
    </cfRule>
    <cfRule type="expression" dxfId="643" priority="309">
      <formula>$E1=13</formula>
    </cfRule>
    <cfRule type="expression" dxfId="642" priority="310">
      <formula>$E1=12</formula>
    </cfRule>
  </conditionalFormatting>
  <conditionalFormatting sqref="AJ1:XFD427 A1:AG427 R428:R431">
    <cfRule type="expression" dxfId="641" priority="294">
      <formula>$E1=10</formula>
    </cfRule>
    <cfRule type="expression" dxfId="640" priority="295">
      <formula>$E1=11</formula>
    </cfRule>
    <cfRule type="expression" dxfId="639" priority="296">
      <formula>$E1=18</formula>
    </cfRule>
    <cfRule type="expression" dxfId="638" priority="297">
      <formula>$E1=17</formula>
    </cfRule>
    <cfRule type="expression" dxfId="637" priority="298">
      <formula>$E1=16</formula>
    </cfRule>
    <cfRule type="expression" dxfId="636" priority="299">
      <formula>$E1=15</formula>
    </cfRule>
    <cfRule type="expression" dxfId="635" priority="300">
      <formula>$E1=14</formula>
    </cfRule>
    <cfRule type="expression" dxfId="634" priority="301">
      <formula>$E1=13</formula>
    </cfRule>
    <cfRule type="expression" dxfId="633" priority="302">
      <formula>$E1=12</formula>
    </cfRule>
  </conditionalFormatting>
  <conditionalFormatting sqref="A255:AG255 AK255:XFD255">
    <cfRule type="expression" dxfId="632" priority="285">
      <formula>$E255=10</formula>
    </cfRule>
    <cfRule type="expression" dxfId="631" priority="286">
      <formula>$E255=11</formula>
    </cfRule>
    <cfRule type="expression" dxfId="630" priority="287">
      <formula>$E255=18</formula>
    </cfRule>
    <cfRule type="expression" dxfId="629" priority="288">
      <formula>$E255=17</formula>
    </cfRule>
    <cfRule type="expression" dxfId="628" priority="289">
      <formula>$E255=16</formula>
    </cfRule>
    <cfRule type="expression" dxfId="627" priority="290">
      <formula>$E255=15</formula>
    </cfRule>
    <cfRule type="expression" dxfId="626" priority="291">
      <formula>$E255=14</formula>
    </cfRule>
    <cfRule type="expression" dxfId="625" priority="292">
      <formula>$E255=13</formula>
    </cfRule>
    <cfRule type="expression" dxfId="624" priority="293">
      <formula>$E255=12</formula>
    </cfRule>
  </conditionalFormatting>
  <conditionalFormatting sqref="AK265:XFD268 IX258:XFD263 A265:AG268">
    <cfRule type="expression" dxfId="623" priority="276">
      <formula>$E258=10</formula>
    </cfRule>
    <cfRule type="expression" dxfId="622" priority="277">
      <formula>$E258=11</formula>
    </cfRule>
    <cfRule type="expression" dxfId="621" priority="278">
      <formula>$E258=18</formula>
    </cfRule>
    <cfRule type="expression" dxfId="620" priority="279">
      <formula>$E258=17</formula>
    </cfRule>
    <cfRule type="expression" dxfId="619" priority="280">
      <formula>$E258=16</formula>
    </cfRule>
    <cfRule type="expression" dxfId="618" priority="281">
      <formula>$E258=15</formula>
    </cfRule>
    <cfRule type="expression" dxfId="617" priority="282">
      <formula>$E258=14</formula>
    </cfRule>
    <cfRule type="expression" dxfId="616" priority="283">
      <formula>$E258=13</formula>
    </cfRule>
    <cfRule type="expression" dxfId="615" priority="284">
      <formula>$E258=12</formula>
    </cfRule>
  </conditionalFormatting>
  <conditionalFormatting sqref="A262:AG262 A261:F261 J261:AG261 H263 K263:AG263 A263:F263 AJ261:IW263">
    <cfRule type="expression" dxfId="614" priority="267">
      <formula>$E261=10</formula>
    </cfRule>
    <cfRule type="expression" dxfId="613" priority="268">
      <formula>$E261=11</formula>
    </cfRule>
    <cfRule type="expression" dxfId="612" priority="269">
      <formula>$E261=18</formula>
    </cfRule>
    <cfRule type="expression" dxfId="611" priority="270">
      <formula>$E261=17</formula>
    </cfRule>
    <cfRule type="expression" dxfId="610" priority="271">
      <formula>$E261=16</formula>
    </cfRule>
    <cfRule type="expression" dxfId="609" priority="272">
      <formula>$E261=15</formula>
    </cfRule>
    <cfRule type="expression" dxfId="608" priority="273">
      <formula>$E261=14</formula>
    </cfRule>
    <cfRule type="expression" dxfId="607" priority="274">
      <formula>$E261=13</formula>
    </cfRule>
    <cfRule type="expression" dxfId="606" priority="275">
      <formula>$E261=12</formula>
    </cfRule>
  </conditionalFormatting>
  <conditionalFormatting sqref="H261">
    <cfRule type="expression" dxfId="605" priority="258">
      <formula>$E261=10</formula>
    </cfRule>
    <cfRule type="expression" dxfId="604" priority="259">
      <formula>$E261=11</formula>
    </cfRule>
    <cfRule type="expression" dxfId="603" priority="260">
      <formula>$E261=18</formula>
    </cfRule>
    <cfRule type="expression" dxfId="602" priority="261">
      <formula>$E261=17</formula>
    </cfRule>
    <cfRule type="expression" dxfId="601" priority="262">
      <formula>$E261=16</formula>
    </cfRule>
    <cfRule type="expression" dxfId="600" priority="263">
      <formula>$E261=15</formula>
    </cfRule>
    <cfRule type="expression" dxfId="599" priority="264">
      <formula>$E261=14</formula>
    </cfRule>
    <cfRule type="expression" dxfId="598" priority="265">
      <formula>$E261=13</formula>
    </cfRule>
    <cfRule type="expression" dxfId="597" priority="266">
      <formula>$E261=12</formula>
    </cfRule>
  </conditionalFormatting>
  <conditionalFormatting sqref="A258:AG260 C261:F427 AJ258:IW260">
    <cfRule type="expression" dxfId="596" priority="249">
      <formula>$E258=10</formula>
    </cfRule>
    <cfRule type="expression" dxfId="595" priority="250">
      <formula>$E258=11</formula>
    </cfRule>
    <cfRule type="expression" dxfId="594" priority="251">
      <formula>$E258=18</formula>
    </cfRule>
    <cfRule type="expression" dxfId="593" priority="252">
      <formula>$E258=17</formula>
    </cfRule>
    <cfRule type="expression" dxfId="592" priority="253">
      <formula>$E258=16</formula>
    </cfRule>
    <cfRule type="expression" dxfId="591" priority="254">
      <formula>$E258=15</formula>
    </cfRule>
    <cfRule type="expression" dxfId="590" priority="255">
      <formula>$E258=14</formula>
    </cfRule>
    <cfRule type="expression" dxfId="589" priority="256">
      <formula>$E258=13</formula>
    </cfRule>
    <cfRule type="expression" dxfId="588" priority="257">
      <formula>$E258=12</formula>
    </cfRule>
  </conditionalFormatting>
  <conditionalFormatting sqref="A264:B264 J264 N264:AG264 L264 H264 AJ264:XFD264">
    <cfRule type="expression" dxfId="587" priority="240">
      <formula>$E264=10</formula>
    </cfRule>
    <cfRule type="expression" dxfId="586" priority="241">
      <formula>$E264=11</formula>
    </cfRule>
    <cfRule type="expression" dxfId="585" priority="242">
      <formula>$E264=18</formula>
    </cfRule>
    <cfRule type="expression" dxfId="584" priority="243">
      <formula>$E264=17</formula>
    </cfRule>
    <cfRule type="expression" dxfId="583" priority="244">
      <formula>$E264=16</formula>
    </cfRule>
    <cfRule type="expression" dxfId="582" priority="245">
      <formula>$E264=15</formula>
    </cfRule>
    <cfRule type="expression" dxfId="581" priority="246">
      <formula>$E264=14</formula>
    </cfRule>
    <cfRule type="expression" dxfId="580" priority="247">
      <formula>$E264=13</formula>
    </cfRule>
    <cfRule type="expression" dxfId="579" priority="248">
      <formula>$E264=12</formula>
    </cfRule>
  </conditionalFormatting>
  <conditionalFormatting sqref="M264">
    <cfRule type="expression" dxfId="578" priority="231">
      <formula>$E264=10</formula>
    </cfRule>
    <cfRule type="expression" dxfId="577" priority="232">
      <formula>$E264=11</formula>
    </cfRule>
    <cfRule type="expression" dxfId="576" priority="233">
      <formula>$E264=18</formula>
    </cfRule>
    <cfRule type="expression" dxfId="575" priority="234">
      <formula>$E264=17</formula>
    </cfRule>
    <cfRule type="expression" dxfId="574" priority="235">
      <formula>$E264=16</formula>
    </cfRule>
    <cfRule type="expression" dxfId="573" priority="236">
      <formula>$E264=15</formula>
    </cfRule>
    <cfRule type="expression" dxfId="572" priority="237">
      <formula>$E264=14</formula>
    </cfRule>
    <cfRule type="expression" dxfId="571" priority="238">
      <formula>$E264=13</formula>
    </cfRule>
    <cfRule type="expression" dxfId="570" priority="239">
      <formula>$E264=12</formula>
    </cfRule>
  </conditionalFormatting>
  <conditionalFormatting sqref="K264">
    <cfRule type="expression" dxfId="569" priority="222">
      <formula>$E264=10</formula>
    </cfRule>
    <cfRule type="expression" dxfId="568" priority="223">
      <formula>$E264=11</formula>
    </cfRule>
    <cfRule type="expression" dxfId="567" priority="224">
      <formula>$E264=18</formula>
    </cfRule>
    <cfRule type="expression" dxfId="566" priority="225">
      <formula>$E264=17</formula>
    </cfRule>
    <cfRule type="expression" dxfId="565" priority="226">
      <formula>$E264=16</formula>
    </cfRule>
    <cfRule type="expression" dxfId="564" priority="227">
      <formula>$E264=15</formula>
    </cfRule>
    <cfRule type="expression" dxfId="563" priority="228">
      <formula>$E264=14</formula>
    </cfRule>
    <cfRule type="expression" dxfId="562" priority="229">
      <formula>$E264=13</formula>
    </cfRule>
    <cfRule type="expression" dxfId="561" priority="230">
      <formula>$E264=12</formula>
    </cfRule>
  </conditionalFormatting>
  <conditionalFormatting sqref="G264">
    <cfRule type="expression" dxfId="560" priority="213">
      <formula>$E264=10</formula>
    </cfRule>
    <cfRule type="expression" dxfId="559" priority="214">
      <formula>$E264=11</formula>
    </cfRule>
    <cfRule type="expression" dxfId="558" priority="215">
      <formula>$E264=18</formula>
    </cfRule>
    <cfRule type="expression" dxfId="557" priority="216">
      <formula>$E264=17</formula>
    </cfRule>
    <cfRule type="expression" dxfId="556" priority="217">
      <formula>$E264=16</formula>
    </cfRule>
    <cfRule type="expression" dxfId="555" priority="218">
      <formula>$E264=15</formula>
    </cfRule>
    <cfRule type="expression" dxfId="554" priority="219">
      <formula>$E264=14</formula>
    </cfRule>
    <cfRule type="expression" dxfId="553" priority="220">
      <formula>$E264=13</formula>
    </cfRule>
    <cfRule type="expression" dxfId="552" priority="221">
      <formula>$E264=12</formula>
    </cfRule>
  </conditionalFormatting>
  <conditionalFormatting sqref="C429:F431">
    <cfRule type="expression" dxfId="551" priority="186">
      <formula>$E429=10</formula>
    </cfRule>
    <cfRule type="expression" dxfId="550" priority="187">
      <formula>$E429=11</formula>
    </cfRule>
    <cfRule type="expression" dxfId="549" priority="188">
      <formula>$E429=18</formula>
    </cfRule>
    <cfRule type="expression" dxfId="548" priority="189">
      <formula>$E429=17</formula>
    </cfRule>
    <cfRule type="expression" dxfId="547" priority="190">
      <formula>$E429=16</formula>
    </cfRule>
    <cfRule type="expression" dxfId="546" priority="191">
      <formula>$E429=15</formula>
    </cfRule>
    <cfRule type="expression" dxfId="545" priority="192">
      <formula>$E429=14</formula>
    </cfRule>
    <cfRule type="expression" dxfId="544" priority="193">
      <formula>$E429=13</formula>
    </cfRule>
    <cfRule type="expression" dxfId="543" priority="194">
      <formula>$E429=12</formula>
    </cfRule>
  </conditionalFormatting>
  <conditionalFormatting sqref="C429:F431">
    <cfRule type="expression" dxfId="542" priority="177">
      <formula>$E429=10</formula>
    </cfRule>
    <cfRule type="expression" dxfId="541" priority="178">
      <formula>$E429=11</formula>
    </cfRule>
    <cfRule type="expression" dxfId="540" priority="179">
      <formula>$E429=18</formula>
    </cfRule>
    <cfRule type="expression" dxfId="539" priority="180">
      <formula>$E429=17</formula>
    </cfRule>
    <cfRule type="expression" dxfId="538" priority="181">
      <formula>$E429=16</formula>
    </cfRule>
    <cfRule type="expression" dxfId="537" priority="182">
      <formula>$E429=15</formula>
    </cfRule>
    <cfRule type="expression" dxfId="536" priority="183">
      <formula>$E429=14</formula>
    </cfRule>
    <cfRule type="expression" dxfId="535" priority="184">
      <formula>$E429=13</formula>
    </cfRule>
    <cfRule type="expression" dxfId="534" priority="185">
      <formula>$E429=12</formula>
    </cfRule>
  </conditionalFormatting>
  <conditionalFormatting sqref="K429:K431">
    <cfRule type="expression" dxfId="533" priority="159">
      <formula>$E429=10</formula>
    </cfRule>
    <cfRule type="expression" dxfId="532" priority="160">
      <formula>$E429=11</formula>
    </cfRule>
    <cfRule type="expression" dxfId="531" priority="161">
      <formula>$E429=18</formula>
    </cfRule>
    <cfRule type="expression" dxfId="530" priority="162">
      <formula>$E429=17</formula>
    </cfRule>
    <cfRule type="expression" dxfId="529" priority="163">
      <formula>$E429=16</formula>
    </cfRule>
    <cfRule type="expression" dxfId="528" priority="164">
      <formula>$E429=15</formula>
    </cfRule>
    <cfRule type="expression" dxfId="527" priority="165">
      <formula>$E429=14</formula>
    </cfRule>
    <cfRule type="expression" dxfId="526" priority="166">
      <formula>$E429=13</formula>
    </cfRule>
    <cfRule type="expression" dxfId="525" priority="167">
      <formula>$E429=12</formula>
    </cfRule>
  </conditionalFormatting>
  <conditionalFormatting sqref="H429:M431">
    <cfRule type="expression" dxfId="524" priority="168">
      <formula>$E429=10</formula>
    </cfRule>
    <cfRule type="expression" dxfId="523" priority="169">
      <formula>$E429=11</formula>
    </cfRule>
    <cfRule type="expression" dxfId="522" priority="170">
      <formula>$E429=18</formula>
    </cfRule>
    <cfRule type="expression" dxfId="521" priority="171">
      <formula>$E429=17</formula>
    </cfRule>
    <cfRule type="expression" dxfId="520" priority="172">
      <formula>$E429=16</formula>
    </cfRule>
    <cfRule type="expression" dxfId="519" priority="173">
      <formula>$E429=15</formula>
    </cfRule>
    <cfRule type="expression" dxfId="518" priority="174">
      <formula>$E429=14</formula>
    </cfRule>
    <cfRule type="expression" dxfId="517" priority="175">
      <formula>$E429=13</formula>
    </cfRule>
    <cfRule type="expression" dxfId="516" priority="176">
      <formula>$E429=12</formula>
    </cfRule>
  </conditionalFormatting>
  <conditionalFormatting sqref="AJ432:XFD432 A432:AG432">
    <cfRule type="expression" dxfId="515" priority="106">
      <formula>$E432=10</formula>
    </cfRule>
    <cfRule type="expression" dxfId="514" priority="107">
      <formula>$E432=11</formula>
    </cfRule>
    <cfRule type="expression" dxfId="513" priority="108">
      <formula>$E432=18</formula>
    </cfRule>
    <cfRule type="expression" dxfId="512" priority="109">
      <formula>$E432=17</formula>
    </cfRule>
    <cfRule type="expression" dxfId="511" priority="110">
      <formula>$E432=16</formula>
    </cfRule>
    <cfRule type="expression" dxfId="510" priority="111">
      <formula>$E432=15</formula>
    </cfRule>
    <cfRule type="expression" dxfId="509" priority="112">
      <formula>$E432=14</formula>
    </cfRule>
    <cfRule type="expression" dxfId="508" priority="113">
      <formula>$E432=13</formula>
    </cfRule>
    <cfRule type="expression" dxfId="507" priority="114">
      <formula>$E432=12</formula>
    </cfRule>
  </conditionalFormatting>
  <conditionalFormatting sqref="K432">
    <cfRule type="expression" dxfId="506" priority="88">
      <formula>$E432=10</formula>
    </cfRule>
    <cfRule type="expression" dxfId="505" priority="89">
      <formula>$E432=11</formula>
    </cfRule>
    <cfRule type="expression" dxfId="504" priority="90">
      <formula>$E432=18</formula>
    </cfRule>
    <cfRule type="expression" dxfId="503" priority="91">
      <formula>$E432=17</formula>
    </cfRule>
    <cfRule type="expression" dxfId="502" priority="92">
      <formula>$E432=16</formula>
    </cfRule>
    <cfRule type="expression" dxfId="501" priority="93">
      <formula>$E432=15</formula>
    </cfRule>
    <cfRule type="expression" dxfId="500" priority="94">
      <formula>$E432=14</formula>
    </cfRule>
    <cfRule type="expression" dxfId="499" priority="95">
      <formula>$E432=13</formula>
    </cfRule>
    <cfRule type="expression" dxfId="498" priority="96">
      <formula>$E432=12</formula>
    </cfRule>
  </conditionalFormatting>
  <conditionalFormatting sqref="C432:F432">
    <cfRule type="expression" dxfId="497" priority="97">
      <formula>$E432=10</formula>
    </cfRule>
    <cfRule type="expression" dxfId="496" priority="98">
      <formula>$E432=11</formula>
    </cfRule>
    <cfRule type="expression" dxfId="495" priority="99">
      <formula>$E432=18</formula>
    </cfRule>
    <cfRule type="expression" dxfId="494" priority="100">
      <formula>$E432=17</formula>
    </cfRule>
    <cfRule type="expression" dxfId="493" priority="101">
      <formula>$E432=16</formula>
    </cfRule>
    <cfRule type="expression" dxfId="492" priority="102">
      <formula>$E432=15</formula>
    </cfRule>
    <cfRule type="expression" dxfId="491" priority="103">
      <formula>$E432=14</formula>
    </cfRule>
    <cfRule type="expression" dxfId="490" priority="104">
      <formula>$E432=13</formula>
    </cfRule>
    <cfRule type="expression" dxfId="489" priority="105">
      <formula>$E432=12</formula>
    </cfRule>
  </conditionalFormatting>
  <conditionalFormatting sqref="AJ432:XFD432 A432:AG432">
    <cfRule type="expression" dxfId="488" priority="115">
      <formula>$E432&lt;12</formula>
    </cfRule>
    <cfRule type="expression" dxfId="487" priority="116">
      <formula>$E432=18</formula>
    </cfRule>
    <cfRule type="expression" dxfId="486" priority="117">
      <formula>$E432=17</formula>
    </cfRule>
    <cfRule type="expression" dxfId="485" priority="118">
      <formula>$E432=16</formula>
    </cfRule>
    <cfRule type="expression" dxfId="484" priority="119">
      <formula>$E432=15</formula>
    </cfRule>
    <cfRule type="expression" dxfId="483" priority="120">
      <formula>$E432=14</formula>
    </cfRule>
    <cfRule type="expression" dxfId="482" priority="121">
      <formula>$E432=13</formula>
    </cfRule>
    <cfRule type="expression" dxfId="481" priority="122">
      <formula>$E432=12</formula>
    </cfRule>
  </conditionalFormatting>
  <conditionalFormatting sqref="C433:F433">
    <cfRule type="expression" dxfId="480" priority="10">
      <formula>$E433=10</formula>
    </cfRule>
    <cfRule type="expression" dxfId="479" priority="11">
      <formula>$E433=11</formula>
    </cfRule>
    <cfRule type="expression" dxfId="478" priority="12">
      <formula>$E433=18</formula>
    </cfRule>
    <cfRule type="expression" dxfId="477" priority="13">
      <formula>$E433=17</formula>
    </cfRule>
    <cfRule type="expression" dxfId="476" priority="14">
      <formula>$E433=16</formula>
    </cfRule>
    <cfRule type="expression" dxfId="475" priority="15">
      <formula>$E433=15</formula>
    </cfRule>
    <cfRule type="expression" dxfId="474" priority="16">
      <formula>$E433=14</formula>
    </cfRule>
    <cfRule type="expression" dxfId="473" priority="17">
      <formula>$E433=13</formula>
    </cfRule>
    <cfRule type="expression" dxfId="472" priority="18">
      <formula>$E433=12</formula>
    </cfRule>
  </conditionalFormatting>
  <conditionalFormatting sqref="K433">
    <cfRule type="expression" dxfId="471" priority="1">
      <formula>$E433=10</formula>
    </cfRule>
    <cfRule type="expression" dxfId="470" priority="2">
      <formula>$E433=11</formula>
    </cfRule>
    <cfRule type="expression" dxfId="469" priority="3">
      <formula>$E433=18</formula>
    </cfRule>
    <cfRule type="expression" dxfId="468" priority="4">
      <formula>$E433=17</formula>
    </cfRule>
    <cfRule type="expression" dxfId="467" priority="5">
      <formula>$E433=16</formula>
    </cfRule>
    <cfRule type="expression" dxfId="466" priority="6">
      <formula>$E433=15</formula>
    </cfRule>
    <cfRule type="expression" dxfId="465" priority="7">
      <formula>$E433=14</formula>
    </cfRule>
    <cfRule type="expression" dxfId="464" priority="8">
      <formula>$E433=13</formula>
    </cfRule>
    <cfRule type="expression" dxfId="463" priority="9">
      <formula>$E433=12</formula>
    </cfRule>
  </conditionalFormatting>
  <conditionalFormatting sqref="AJ433:XFD433 A433:AG433">
    <cfRule type="expression" dxfId="462" priority="28">
      <formula>$E433&lt;12</formula>
    </cfRule>
    <cfRule type="expression" dxfId="461" priority="29">
      <formula>$E433=18</formula>
    </cfRule>
    <cfRule type="expression" dxfId="460" priority="30">
      <formula>$E433=17</formula>
    </cfRule>
    <cfRule type="expression" dxfId="459" priority="31">
      <formula>$E433=16</formula>
    </cfRule>
    <cfRule type="expression" dxfId="458" priority="32">
      <formula>$E433=15</formula>
    </cfRule>
    <cfRule type="expression" dxfId="457" priority="33">
      <formula>$E433=14</formula>
    </cfRule>
    <cfRule type="expression" dxfId="456" priority="34">
      <formula>$E433=13</formula>
    </cfRule>
    <cfRule type="expression" dxfId="455" priority="35">
      <formula>$E433=12</formula>
    </cfRule>
  </conditionalFormatting>
  <conditionalFormatting sqref="AJ433:XFD433 A433:AG433">
    <cfRule type="expression" dxfId="454" priority="19">
      <formula>$E433=10</formula>
    </cfRule>
    <cfRule type="expression" dxfId="453" priority="20">
      <formula>$E433=11</formula>
    </cfRule>
    <cfRule type="expression" dxfId="452" priority="21">
      <formula>$E433=18</formula>
    </cfRule>
    <cfRule type="expression" dxfId="451" priority="22">
      <formula>$E433=17</formula>
    </cfRule>
    <cfRule type="expression" dxfId="450" priority="23">
      <formula>$E433=16</formula>
    </cfRule>
    <cfRule type="expression" dxfId="449" priority="24">
      <formula>$E433=15</formula>
    </cfRule>
    <cfRule type="expression" dxfId="448" priority="25">
      <formula>$E433=14</formula>
    </cfRule>
    <cfRule type="expression" dxfId="447" priority="26">
      <formula>$E433=13</formula>
    </cfRule>
    <cfRule type="expression" dxfId="446" priority="27">
      <formula>$E433=12</formula>
    </cfRule>
  </conditionalFormatting>
  <hyperlinks>
    <hyperlink ref="I152" r:id="rId1" display="https://aes1.advancedeventsystems.com/Event/Volleyball/EventTeamInfo.aspx?ZCruShzPjMGv6cuivzEZ3bdHnxan7utPe-38b2URl8mzU62jttSjG3kENzzLrFO5DJ2gC4tYCpITNOPe7kWQLp22OSbVlCGBuLUYcUJcvMs1mfXaIumiL4opmJlO0to20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33"/>
  <sheetViews>
    <sheetView workbookViewId="0">
      <pane ySplit="1" topLeftCell="A415" activePane="bottomLeft" state="frozen"/>
      <selection pane="bottomLeft" activeCell="I436" sqref="I436"/>
    </sheetView>
  </sheetViews>
  <sheetFormatPr defaultRowHeight="15" x14ac:dyDescent="0.25"/>
  <cols>
    <col min="1" max="2" width="2.42578125" style="278" customWidth="1"/>
    <col min="3" max="4" width="5.85546875" style="278" bestFit="1" customWidth="1"/>
    <col min="5" max="5" width="4.28515625" style="278" bestFit="1" customWidth="1"/>
    <col min="6" max="6" width="8.42578125" style="278" bestFit="1" customWidth="1"/>
    <col min="7" max="7" width="13.140625" style="278" bestFit="1" customWidth="1"/>
    <col min="8" max="8" width="28.85546875" style="278" bestFit="1" customWidth="1"/>
    <col min="9" max="9" width="25.85546875" style="278" bestFit="1" customWidth="1"/>
    <col min="10" max="10" width="6.140625" style="278" bestFit="1" customWidth="1"/>
    <col min="11" max="11" width="13.85546875" style="279" bestFit="1" customWidth="1"/>
    <col min="12" max="12" width="11.42578125" style="278" bestFit="1" customWidth="1"/>
    <col min="13" max="13" width="10" style="279" bestFit="1" customWidth="1"/>
    <col min="14" max="15" width="6.7109375" style="278" bestFit="1" customWidth="1"/>
    <col min="16" max="16" width="6.7109375" style="278" customWidth="1"/>
    <col min="17" max="17" width="7.7109375" style="278" bestFit="1" customWidth="1"/>
    <col min="18" max="18" width="8.42578125" style="278" bestFit="1" customWidth="1"/>
    <col min="19" max="19" width="7.7109375" style="278" bestFit="1" customWidth="1"/>
    <col min="20" max="20" width="6.7109375" style="278" bestFit="1" customWidth="1"/>
    <col min="21" max="23" width="7.7109375" style="278" bestFit="1" customWidth="1"/>
    <col min="24" max="24" width="6.7109375" style="278" bestFit="1" customWidth="1"/>
    <col min="25" max="27" width="7.7109375" style="278" bestFit="1" customWidth="1"/>
    <col min="28" max="33" width="9.140625" style="278"/>
    <col min="35" max="35" width="12" bestFit="1" customWidth="1"/>
    <col min="36" max="36" width="12" style="278" bestFit="1" customWidth="1"/>
    <col min="37" max="16384" width="9.140625" style="278"/>
  </cols>
  <sheetData>
    <row r="1" spans="1:35" s="275" customFormat="1" ht="30" x14ac:dyDescent="0.25">
      <c r="A1" s="275" t="s">
        <v>196</v>
      </c>
      <c r="C1" s="275" t="s">
        <v>197</v>
      </c>
      <c r="D1" s="275" t="s">
        <v>198</v>
      </c>
      <c r="E1" s="275" t="s">
        <v>18</v>
      </c>
      <c r="F1" s="275" t="s">
        <v>199</v>
      </c>
      <c r="G1" s="275" t="s">
        <v>200</v>
      </c>
      <c r="H1" s="275" t="s">
        <v>201</v>
      </c>
      <c r="I1" s="275" t="s">
        <v>10</v>
      </c>
      <c r="K1" s="276" t="s">
        <v>202</v>
      </c>
      <c r="M1" s="276" t="s">
        <v>114</v>
      </c>
      <c r="N1" s="277" t="s">
        <v>203</v>
      </c>
      <c r="O1" s="277" t="s">
        <v>204</v>
      </c>
      <c r="P1" s="277" t="s">
        <v>204</v>
      </c>
      <c r="Q1" s="277" t="s">
        <v>205</v>
      </c>
      <c r="R1" s="277"/>
      <c r="S1" s="277" t="s">
        <v>206</v>
      </c>
      <c r="T1" s="277" t="s">
        <v>207</v>
      </c>
      <c r="U1" s="277" t="s">
        <v>208</v>
      </c>
      <c r="V1" s="277" t="s">
        <v>209</v>
      </c>
      <c r="W1" s="277" t="s">
        <v>210</v>
      </c>
      <c r="X1" s="277" t="s">
        <v>211</v>
      </c>
      <c r="Y1" s="277" t="s">
        <v>212</v>
      </c>
      <c r="Z1" s="277" t="s">
        <v>213</v>
      </c>
      <c r="AA1" s="277" t="s">
        <v>214</v>
      </c>
      <c r="AB1" s="277" t="s">
        <v>215</v>
      </c>
      <c r="AH1"/>
      <c r="AI1"/>
    </row>
    <row r="2" spans="1:35" x14ac:dyDescent="0.25">
      <c r="A2" s="278">
        <v>3</v>
      </c>
      <c r="C2" s="278">
        <f t="shared" ref="C2:C65" si="0">IF(E2=E1,C1+1,1)</f>
        <v>1</v>
      </c>
      <c r="D2" s="278">
        <f t="shared" ref="D2:D65" si="1">IF(M2=M1,D1,C2)</f>
        <v>1</v>
      </c>
      <c r="E2" s="278">
        <f t="shared" ref="E2:E65" si="2">10+VALUE(RIGHT(LEFT(G2,3),1))</f>
        <v>11</v>
      </c>
      <c r="F2" s="278" t="str">
        <f t="shared" ref="F2:F65" si="3">RIGHT(G2,2) &amp; IF(A2&lt;2,"x","")</f>
        <v>pm</v>
      </c>
      <c r="G2" s="278" t="s">
        <v>216</v>
      </c>
      <c r="H2" s="278" t="s">
        <v>217</v>
      </c>
      <c r="I2" s="278" t="s">
        <v>218</v>
      </c>
      <c r="K2" s="279">
        <f t="shared" ref="K2:K65" si="4">LOOKUP(1E+100,M2:AC2)</f>
        <v>1369.8984600179906</v>
      </c>
      <c r="M2" s="279">
        <v>1400</v>
      </c>
      <c r="R2" s="278" t="str">
        <f>IF(AND((J2="This"),(L2="Only")),VLOOKUP(G2,#REF!,7,FALSE),"")</f>
        <v/>
      </c>
      <c r="S2" s="278">
        <v>1437.9335235749238</v>
      </c>
      <c r="T2" s="278">
        <v>1369.8984600179906</v>
      </c>
    </row>
    <row r="3" spans="1:35" x14ac:dyDescent="0.25">
      <c r="A3" s="278">
        <v>1</v>
      </c>
      <c r="C3" s="278">
        <f t="shared" si="0"/>
        <v>2</v>
      </c>
      <c r="D3" s="278">
        <f t="shared" si="1"/>
        <v>1</v>
      </c>
      <c r="E3" s="278">
        <f t="shared" si="2"/>
        <v>11</v>
      </c>
      <c r="F3" s="278" t="str">
        <f t="shared" si="3"/>
        <v>pmx</v>
      </c>
      <c r="G3" s="278" t="s">
        <v>219</v>
      </c>
      <c r="H3" s="278" t="s">
        <v>220</v>
      </c>
      <c r="I3" s="278" t="s">
        <v>221</v>
      </c>
      <c r="K3" s="279">
        <f t="shared" si="4"/>
        <v>1424.6516343084484</v>
      </c>
      <c r="M3" s="279">
        <v>1400</v>
      </c>
      <c r="O3" s="278">
        <v>1424.6516343084484</v>
      </c>
      <c r="R3" s="278" t="str">
        <f>IF(AND((J3="This"),(L3="Only")),VLOOKUP(G3,#REF!,7,FALSE),"")</f>
        <v/>
      </c>
    </row>
    <row r="4" spans="1:35" x14ac:dyDescent="0.25">
      <c r="A4" s="278">
        <v>4</v>
      </c>
      <c r="C4" s="278">
        <f t="shared" si="0"/>
        <v>3</v>
      </c>
      <c r="D4" s="278">
        <f t="shared" si="1"/>
        <v>3</v>
      </c>
      <c r="E4" s="278">
        <f t="shared" si="2"/>
        <v>11</v>
      </c>
      <c r="F4" s="278" t="str">
        <f t="shared" si="3"/>
        <v>pm</v>
      </c>
      <c r="G4" s="278" t="s">
        <v>222</v>
      </c>
      <c r="H4" s="278" t="s">
        <v>223</v>
      </c>
      <c r="I4" s="278" t="s">
        <v>224</v>
      </c>
      <c r="K4" s="279">
        <f t="shared" si="4"/>
        <v>1216.8565925282476</v>
      </c>
      <c r="M4" s="279">
        <v>1300</v>
      </c>
      <c r="O4" s="278">
        <v>1220.3883471899449</v>
      </c>
      <c r="R4" s="278" t="str">
        <f>IF(AND((J4="This"),(L4="Only")),VLOOKUP(G4,#REF!,7,FALSE),"")</f>
        <v/>
      </c>
      <c r="S4" s="278">
        <v>1240.2255380634294</v>
      </c>
      <c r="V4" s="278">
        <v>1216.8565925282476</v>
      </c>
    </row>
    <row r="5" spans="1:35" x14ac:dyDescent="0.25">
      <c r="A5" s="278">
        <v>3</v>
      </c>
      <c r="C5" s="278">
        <f t="shared" si="0"/>
        <v>4</v>
      </c>
      <c r="D5" s="278">
        <f t="shared" si="1"/>
        <v>4</v>
      </c>
      <c r="E5" s="278">
        <f t="shared" si="2"/>
        <v>11</v>
      </c>
      <c r="F5" s="278" t="str">
        <f t="shared" si="3"/>
        <v>pm</v>
      </c>
      <c r="G5" s="278" t="s">
        <v>225</v>
      </c>
      <c r="H5" s="278" t="s">
        <v>226</v>
      </c>
      <c r="I5" s="278" t="s">
        <v>227</v>
      </c>
      <c r="K5" s="279">
        <f t="shared" si="4"/>
        <v>1214.9940196953432</v>
      </c>
      <c r="M5" s="279">
        <v>1266.6666666666667</v>
      </c>
      <c r="R5" s="278" t="str">
        <f>IF(AND((J5="This"),(L5="Only")),VLOOKUP(G5,#REF!,7,FALSE),"")</f>
        <v/>
      </c>
      <c r="S5" s="278">
        <v>1214.9940196953432</v>
      </c>
    </row>
    <row r="6" spans="1:35" x14ac:dyDescent="0.25">
      <c r="A6" s="278">
        <v>1</v>
      </c>
      <c r="C6" s="278">
        <f t="shared" si="0"/>
        <v>5</v>
      </c>
      <c r="D6" s="278">
        <f t="shared" si="1"/>
        <v>5</v>
      </c>
      <c r="E6" s="278">
        <f t="shared" si="2"/>
        <v>11</v>
      </c>
      <c r="F6" s="278" t="str">
        <f t="shared" si="3"/>
        <v>crx</v>
      </c>
      <c r="G6" s="278" t="s">
        <v>228</v>
      </c>
      <c r="H6" s="278" t="s">
        <v>229</v>
      </c>
      <c r="I6" s="278" t="s">
        <v>230</v>
      </c>
      <c r="K6" s="279">
        <f t="shared" si="4"/>
        <v>1209.7648192472977</v>
      </c>
      <c r="M6" s="279">
        <v>1200</v>
      </c>
      <c r="R6" s="278" t="str">
        <f>IF(AND((J6="This"),(L6="Only")),VLOOKUP(G6,#REF!,7,FALSE),"")</f>
        <v/>
      </c>
      <c r="S6" s="278">
        <v>1209.7648192472977</v>
      </c>
    </row>
    <row r="7" spans="1:35" x14ac:dyDescent="0.25">
      <c r="A7" s="278">
        <v>4</v>
      </c>
      <c r="C7" s="278">
        <f t="shared" si="0"/>
        <v>6</v>
      </c>
      <c r="D7" s="278">
        <f t="shared" si="1"/>
        <v>5</v>
      </c>
      <c r="E7" s="278">
        <f t="shared" si="2"/>
        <v>11</v>
      </c>
      <c r="F7" s="278" t="str">
        <f t="shared" si="3"/>
        <v>pm</v>
      </c>
      <c r="G7" s="278" t="s">
        <v>231</v>
      </c>
      <c r="H7" s="278" t="s">
        <v>232</v>
      </c>
      <c r="I7" s="278" t="s">
        <v>233</v>
      </c>
      <c r="K7" s="279">
        <f t="shared" si="4"/>
        <v>1199.3436780073632</v>
      </c>
      <c r="M7" s="279">
        <v>1200</v>
      </c>
      <c r="R7" s="278" t="str">
        <f>IF(AND((J7="This"),(L7="Only")),VLOOKUP(G7,#REF!,7,FALSE),"")</f>
        <v/>
      </c>
      <c r="S7" s="278">
        <v>1165.8661889498064</v>
      </c>
      <c r="V7" s="278">
        <v>1199.3436780073632</v>
      </c>
    </row>
    <row r="8" spans="1:35" x14ac:dyDescent="0.25">
      <c r="A8" s="278">
        <v>4</v>
      </c>
      <c r="C8" s="278">
        <f t="shared" si="0"/>
        <v>7</v>
      </c>
      <c r="D8" s="278">
        <f t="shared" si="1"/>
        <v>5</v>
      </c>
      <c r="E8" s="278">
        <f t="shared" si="2"/>
        <v>11</v>
      </c>
      <c r="F8" s="278" t="str">
        <f t="shared" si="3"/>
        <v>pm</v>
      </c>
      <c r="G8" s="278" t="s">
        <v>234</v>
      </c>
      <c r="H8" s="278" t="s">
        <v>232</v>
      </c>
      <c r="I8" s="278" t="s">
        <v>235</v>
      </c>
      <c r="K8" s="279">
        <f t="shared" si="4"/>
        <v>1233.3466974331975</v>
      </c>
      <c r="M8" s="279">
        <v>1200</v>
      </c>
      <c r="R8" s="278" t="str">
        <f>IF(AND((J8="This"),(L8="Only")),VLOOKUP(G8,#REF!,7,FALSE),"")</f>
        <v/>
      </c>
      <c r="S8" s="278">
        <v>1176.0869382150693</v>
      </c>
      <c r="V8" s="278">
        <v>1233.3466974331975</v>
      </c>
    </row>
    <row r="9" spans="1:35" x14ac:dyDescent="0.25">
      <c r="A9" s="278">
        <v>4</v>
      </c>
      <c r="C9" s="278">
        <f t="shared" si="0"/>
        <v>8</v>
      </c>
      <c r="D9" s="278">
        <f t="shared" si="1"/>
        <v>5</v>
      </c>
      <c r="E9" s="278">
        <f t="shared" si="2"/>
        <v>11</v>
      </c>
      <c r="F9" s="278" t="str">
        <f t="shared" si="3"/>
        <v>pm</v>
      </c>
      <c r="G9" s="278" t="s">
        <v>236</v>
      </c>
      <c r="H9" s="278" t="s">
        <v>232</v>
      </c>
      <c r="I9" s="278" t="s">
        <v>237</v>
      </c>
      <c r="K9" s="279">
        <f t="shared" si="4"/>
        <v>1230.6391901737691</v>
      </c>
      <c r="M9" s="279">
        <v>1200</v>
      </c>
      <c r="R9" s="278" t="str">
        <f>IF(AND((J9="This"),(L9="Only")),VLOOKUP(G9,#REF!,7,FALSE),"")</f>
        <v/>
      </c>
      <c r="S9" s="278">
        <v>1226.8555378745032</v>
      </c>
      <c r="V9" s="278">
        <v>1230.6391901737691</v>
      </c>
    </row>
    <row r="10" spans="1:35" x14ac:dyDescent="0.25">
      <c r="A10" s="278">
        <v>1</v>
      </c>
      <c r="C10" s="278">
        <f t="shared" si="0"/>
        <v>1</v>
      </c>
      <c r="D10" s="278">
        <f t="shared" si="1"/>
        <v>1</v>
      </c>
      <c r="E10" s="278">
        <f t="shared" si="2"/>
        <v>12</v>
      </c>
      <c r="F10" s="278" t="str">
        <f t="shared" si="3"/>
        <v>pmx</v>
      </c>
      <c r="G10" s="278" t="s">
        <v>238</v>
      </c>
      <c r="H10" s="278" t="s">
        <v>239</v>
      </c>
      <c r="I10" s="278" t="s">
        <v>240</v>
      </c>
      <c r="K10" s="279">
        <f t="shared" si="4"/>
        <v>2000</v>
      </c>
      <c r="M10" s="279">
        <v>2000</v>
      </c>
      <c r="R10" s="278" t="str">
        <f>IF(AND((J10="This"),(L10="Only")),VLOOKUP(G10,#REF!,7,FALSE),"")</f>
        <v/>
      </c>
    </row>
    <row r="11" spans="1:35" x14ac:dyDescent="0.25">
      <c r="A11" s="278">
        <v>1</v>
      </c>
      <c r="C11" s="278">
        <f t="shared" si="0"/>
        <v>2</v>
      </c>
      <c r="D11" s="278">
        <f t="shared" si="1"/>
        <v>2</v>
      </c>
      <c r="E11" s="278">
        <f t="shared" si="2"/>
        <v>12</v>
      </c>
      <c r="F11" s="278" t="str">
        <f t="shared" si="3"/>
        <v>pmx</v>
      </c>
      <c r="G11" s="278" t="s">
        <v>241</v>
      </c>
      <c r="H11" s="278" t="s">
        <v>220</v>
      </c>
      <c r="I11" s="278" t="s">
        <v>242</v>
      </c>
      <c r="K11" s="279">
        <f t="shared" si="4"/>
        <v>1784.2304146196925</v>
      </c>
      <c r="M11" s="279">
        <v>1800</v>
      </c>
      <c r="O11" s="278">
        <v>1784.2304146196925</v>
      </c>
      <c r="R11" s="278" t="str">
        <f>IF(AND((J11="This"),(L11="Only")),VLOOKUP(G11,#REF!,7,FALSE),"")</f>
        <v/>
      </c>
    </row>
    <row r="12" spans="1:35" x14ac:dyDescent="0.25">
      <c r="A12" s="278">
        <v>1</v>
      </c>
      <c r="C12" s="278">
        <f t="shared" si="0"/>
        <v>3</v>
      </c>
      <c r="D12" s="278">
        <f t="shared" si="1"/>
        <v>3</v>
      </c>
      <c r="E12" s="278">
        <f t="shared" si="2"/>
        <v>12</v>
      </c>
      <c r="F12" s="278" t="str">
        <f t="shared" si="3"/>
        <v>sox</v>
      </c>
      <c r="G12" s="280" t="s">
        <v>243</v>
      </c>
      <c r="H12" s="278" t="s">
        <v>244</v>
      </c>
      <c r="I12" s="278" t="s">
        <v>245</v>
      </c>
      <c r="K12" s="279">
        <f t="shared" si="4"/>
        <v>1581.3689376475111</v>
      </c>
      <c r="M12" s="279">
        <v>1600</v>
      </c>
      <c r="R12" s="278" t="str">
        <f>IF(AND((J12="This"),(L12="Only")),VLOOKUP(G12,#REF!,7,FALSE),"")</f>
        <v/>
      </c>
      <c r="U12" s="278">
        <v>1581.3689376475111</v>
      </c>
    </row>
    <row r="13" spans="1:35" x14ac:dyDescent="0.25">
      <c r="A13" s="278">
        <v>1</v>
      </c>
      <c r="C13" s="278">
        <f t="shared" si="0"/>
        <v>4</v>
      </c>
      <c r="D13" s="278">
        <f t="shared" si="1"/>
        <v>3</v>
      </c>
      <c r="E13" s="278">
        <f t="shared" si="2"/>
        <v>12</v>
      </c>
      <c r="F13" s="278" t="str">
        <f t="shared" si="3"/>
        <v>pmx</v>
      </c>
      <c r="G13" s="278" t="s">
        <v>246</v>
      </c>
      <c r="H13" s="278" t="s">
        <v>247</v>
      </c>
      <c r="I13" s="278" t="s">
        <v>248</v>
      </c>
      <c r="K13" s="279">
        <f t="shared" si="4"/>
        <v>1614.2711162149969</v>
      </c>
      <c r="M13" s="279">
        <v>1600</v>
      </c>
      <c r="O13" s="278">
        <v>1614.2711162149969</v>
      </c>
      <c r="R13" s="278" t="str">
        <f>IF(AND((J13="This"),(L13="Only")),VLOOKUP(G13,#REF!,7,FALSE),"")</f>
        <v/>
      </c>
    </row>
    <row r="14" spans="1:35" x14ac:dyDescent="0.25">
      <c r="A14" s="278">
        <v>3</v>
      </c>
      <c r="C14" s="278">
        <f t="shared" si="0"/>
        <v>5</v>
      </c>
      <c r="D14" s="278">
        <f t="shared" si="1"/>
        <v>3</v>
      </c>
      <c r="E14" s="278">
        <f t="shared" si="2"/>
        <v>12</v>
      </c>
      <c r="F14" s="278" t="str">
        <f t="shared" si="3"/>
        <v>pm</v>
      </c>
      <c r="G14" s="278" t="s">
        <v>249</v>
      </c>
      <c r="H14" s="278" t="s">
        <v>217</v>
      </c>
      <c r="I14" s="278" t="s">
        <v>250</v>
      </c>
      <c r="K14" s="279">
        <f t="shared" si="4"/>
        <v>1552.399145092096</v>
      </c>
      <c r="M14" s="279">
        <v>1600</v>
      </c>
      <c r="R14" s="278" t="str">
        <f>IF(AND((J14="This"),(L14="Only")),VLOOKUP(G14,#REF!,7,FALSE),"")</f>
        <v/>
      </c>
      <c r="S14" s="278">
        <v>1545.0658002022537</v>
      </c>
      <c r="T14" s="278">
        <v>1552.399145092096</v>
      </c>
    </row>
    <row r="15" spans="1:35" x14ac:dyDescent="0.25">
      <c r="A15" s="278">
        <v>4</v>
      </c>
      <c r="C15" s="278">
        <f t="shared" si="0"/>
        <v>6</v>
      </c>
      <c r="D15" s="278">
        <f t="shared" si="1"/>
        <v>3</v>
      </c>
      <c r="E15" s="278">
        <f t="shared" si="2"/>
        <v>12</v>
      </c>
      <c r="F15" s="278" t="str">
        <f t="shared" si="3"/>
        <v>pm</v>
      </c>
      <c r="G15" s="278" t="s">
        <v>251</v>
      </c>
      <c r="H15" s="278" t="s">
        <v>252</v>
      </c>
      <c r="I15" s="278" t="s">
        <v>253</v>
      </c>
      <c r="K15" s="279">
        <f t="shared" si="4"/>
        <v>1594.5351714058854</v>
      </c>
      <c r="M15" s="279">
        <v>1600</v>
      </c>
      <c r="R15" s="278" t="str">
        <f>IF(AND((J15="This"),(L15="Only")),VLOOKUP(G15,#REF!,7,FALSE),"")</f>
        <v/>
      </c>
      <c r="S15" s="278">
        <v>1594.5351714058854</v>
      </c>
    </row>
    <row r="16" spans="1:35" x14ac:dyDescent="0.25">
      <c r="A16" s="278">
        <v>1</v>
      </c>
      <c r="C16" s="278">
        <f t="shared" si="0"/>
        <v>7</v>
      </c>
      <c r="D16" s="278">
        <f t="shared" si="1"/>
        <v>3</v>
      </c>
      <c r="E16" s="278">
        <f t="shared" si="2"/>
        <v>12</v>
      </c>
      <c r="F16" s="278" t="str">
        <f t="shared" si="3"/>
        <v>pmx</v>
      </c>
      <c r="G16" s="278" t="s">
        <v>254</v>
      </c>
      <c r="H16" s="278" t="s">
        <v>220</v>
      </c>
      <c r="I16" s="278" t="s">
        <v>255</v>
      </c>
      <c r="K16" s="279">
        <f t="shared" si="4"/>
        <v>1637.1751345319028</v>
      </c>
      <c r="M16" s="279">
        <v>1600</v>
      </c>
      <c r="O16" s="278">
        <v>1637.1751345319028</v>
      </c>
      <c r="R16" s="278" t="str">
        <f>IF(AND((J16="This"),(L16="Only")),VLOOKUP(G16,#REF!,7,FALSE),"")</f>
        <v/>
      </c>
    </row>
    <row r="17" spans="1:22" x14ac:dyDescent="0.25">
      <c r="A17" s="278">
        <v>4</v>
      </c>
      <c r="C17" s="278">
        <f t="shared" si="0"/>
        <v>8</v>
      </c>
      <c r="D17" s="278">
        <f t="shared" si="1"/>
        <v>8</v>
      </c>
      <c r="E17" s="278">
        <f t="shared" si="2"/>
        <v>12</v>
      </c>
      <c r="F17" s="278" t="str">
        <f t="shared" si="3"/>
        <v>pm</v>
      </c>
      <c r="G17" s="278" t="s">
        <v>256</v>
      </c>
      <c r="H17" s="278" t="s">
        <v>226</v>
      </c>
      <c r="I17" s="278" t="s">
        <v>257</v>
      </c>
      <c r="K17" s="279">
        <f t="shared" si="4"/>
        <v>1588.7121935660714</v>
      </c>
      <c r="M17" s="279">
        <v>1500</v>
      </c>
      <c r="R17" s="278" t="str">
        <f>IF(AND((J17="This"),(L17="Only")),VLOOKUP(G17,#REF!,7,FALSE),"")</f>
        <v/>
      </c>
      <c r="S17" s="278">
        <v>1588.7121935660714</v>
      </c>
    </row>
    <row r="18" spans="1:22" x14ac:dyDescent="0.25">
      <c r="A18" s="278">
        <v>5</v>
      </c>
      <c r="C18" s="278">
        <f t="shared" si="0"/>
        <v>9</v>
      </c>
      <c r="D18" s="278">
        <f t="shared" si="1"/>
        <v>9</v>
      </c>
      <c r="E18" s="278">
        <f t="shared" si="2"/>
        <v>12</v>
      </c>
      <c r="F18" s="278" t="str">
        <f t="shared" si="3"/>
        <v>pm</v>
      </c>
      <c r="G18" s="280" t="s">
        <v>258</v>
      </c>
      <c r="H18" s="278" t="s">
        <v>259</v>
      </c>
      <c r="I18" s="278" t="s">
        <v>260</v>
      </c>
      <c r="K18" s="279">
        <f t="shared" si="4"/>
        <v>1442.8319701170221</v>
      </c>
      <c r="M18" s="279">
        <v>1400</v>
      </c>
      <c r="O18" s="278">
        <v>1359.8313547797393</v>
      </c>
      <c r="R18" s="278" t="str">
        <f>IF(AND((J18="This"),(L18="Only")),VLOOKUP(G18,#REF!,7,FALSE),"")</f>
        <v/>
      </c>
      <c r="S18" s="278">
        <v>1376.9109943231629</v>
      </c>
      <c r="T18" s="278">
        <v>1442.8319701170221</v>
      </c>
    </row>
    <row r="19" spans="1:22" x14ac:dyDescent="0.25">
      <c r="A19" s="278">
        <v>2</v>
      </c>
      <c r="C19" s="278">
        <f t="shared" si="0"/>
        <v>10</v>
      </c>
      <c r="D19" s="278">
        <f t="shared" si="1"/>
        <v>9</v>
      </c>
      <c r="E19" s="278">
        <f t="shared" si="2"/>
        <v>12</v>
      </c>
      <c r="F19" s="278" t="str">
        <f t="shared" si="3"/>
        <v>cr</v>
      </c>
      <c r="G19" s="278" t="s">
        <v>261</v>
      </c>
      <c r="H19" s="278" t="s">
        <v>229</v>
      </c>
      <c r="I19" s="278" t="s">
        <v>262</v>
      </c>
      <c r="K19" s="279">
        <f t="shared" si="4"/>
        <v>1413.9007393424706</v>
      </c>
      <c r="M19" s="279">
        <v>1400</v>
      </c>
      <c r="R19" s="278" t="str">
        <f>IF(AND((J19="This"),(L19="Only")),VLOOKUP(G19,#REF!,7,FALSE),"")</f>
        <v/>
      </c>
      <c r="S19" s="278">
        <v>1413.9007393424706</v>
      </c>
    </row>
    <row r="20" spans="1:22" x14ac:dyDescent="0.25">
      <c r="A20" s="278">
        <v>1</v>
      </c>
      <c r="C20" s="278">
        <f t="shared" si="0"/>
        <v>11</v>
      </c>
      <c r="D20" s="278">
        <f t="shared" si="1"/>
        <v>9</v>
      </c>
      <c r="E20" s="278">
        <f t="shared" si="2"/>
        <v>12</v>
      </c>
      <c r="F20" s="278" t="str">
        <f t="shared" si="3"/>
        <v>pmx</v>
      </c>
      <c r="G20" s="278" t="s">
        <v>263</v>
      </c>
      <c r="H20" s="278" t="s">
        <v>247</v>
      </c>
      <c r="I20" s="278" t="s">
        <v>264</v>
      </c>
      <c r="K20" s="279">
        <f t="shared" si="4"/>
        <v>1379.3213417745701</v>
      </c>
      <c r="M20" s="279">
        <v>1400</v>
      </c>
      <c r="O20" s="278">
        <v>1379.3213417745701</v>
      </c>
      <c r="R20" s="278" t="str">
        <f>IF(AND((J20="This"),(L20="Only")),VLOOKUP(G20,#REF!,7,FALSE),"")</f>
        <v/>
      </c>
    </row>
    <row r="21" spans="1:22" x14ac:dyDescent="0.25">
      <c r="A21" s="278">
        <v>1</v>
      </c>
      <c r="C21" s="278">
        <f t="shared" si="0"/>
        <v>12</v>
      </c>
      <c r="D21" s="278">
        <f t="shared" si="1"/>
        <v>9</v>
      </c>
      <c r="E21" s="278">
        <f t="shared" si="2"/>
        <v>12</v>
      </c>
      <c r="F21" s="278" t="str">
        <f t="shared" si="3"/>
        <v>pmx</v>
      </c>
      <c r="G21" s="278" t="s">
        <v>265</v>
      </c>
      <c r="H21" s="278" t="s">
        <v>247</v>
      </c>
      <c r="I21" s="278" t="s">
        <v>266</v>
      </c>
      <c r="K21" s="279">
        <f t="shared" si="4"/>
        <v>1356.8915347774796</v>
      </c>
      <c r="M21" s="279">
        <v>1400</v>
      </c>
      <c r="O21" s="278">
        <v>1356.8915347774796</v>
      </c>
      <c r="R21" s="278" t="str">
        <f>IF(AND((J21="This"),(L21="Only")),VLOOKUP(G21,#REF!,7,FALSE),"")</f>
        <v/>
      </c>
    </row>
    <row r="22" spans="1:22" x14ac:dyDescent="0.25">
      <c r="A22" s="278">
        <v>4</v>
      </c>
      <c r="C22" s="278">
        <f t="shared" si="0"/>
        <v>13</v>
      </c>
      <c r="D22" s="278">
        <f t="shared" si="1"/>
        <v>9</v>
      </c>
      <c r="E22" s="278">
        <f t="shared" si="2"/>
        <v>12</v>
      </c>
      <c r="F22" s="278" t="str">
        <f t="shared" si="3"/>
        <v>pm</v>
      </c>
      <c r="G22" s="278" t="s">
        <v>267</v>
      </c>
      <c r="H22" s="278" t="s">
        <v>268</v>
      </c>
      <c r="I22" s="278" t="s">
        <v>269</v>
      </c>
      <c r="K22" s="279">
        <f t="shared" si="4"/>
        <v>1584.5549621974531</v>
      </c>
      <c r="M22" s="279">
        <v>1400</v>
      </c>
      <c r="O22" s="278">
        <v>1424.8014199287991</v>
      </c>
      <c r="R22" s="278" t="str">
        <f>IF(AND((J22="This"),(L22="Only")),VLOOKUP(G22,#REF!,7,FALSE),"")</f>
        <v/>
      </c>
      <c r="T22" s="278">
        <v>1531.814236061155</v>
      </c>
      <c r="V22" s="278">
        <v>1584.5549621974531</v>
      </c>
    </row>
    <row r="23" spans="1:22" x14ac:dyDescent="0.25">
      <c r="A23" s="278">
        <v>3</v>
      </c>
      <c r="C23" s="278">
        <f t="shared" si="0"/>
        <v>14</v>
      </c>
      <c r="D23" s="278">
        <f t="shared" si="1"/>
        <v>9</v>
      </c>
      <c r="E23" s="278">
        <f t="shared" si="2"/>
        <v>12</v>
      </c>
      <c r="F23" s="278" t="str">
        <f t="shared" si="3"/>
        <v>pm</v>
      </c>
      <c r="G23" s="278" t="s">
        <v>270</v>
      </c>
      <c r="H23" s="278" t="s">
        <v>217</v>
      </c>
      <c r="I23" s="278" t="s">
        <v>271</v>
      </c>
      <c r="K23" s="279">
        <f t="shared" si="4"/>
        <v>1547.6054388640575</v>
      </c>
      <c r="M23" s="279">
        <v>1400</v>
      </c>
      <c r="O23" s="278">
        <v>1474.9258546035371</v>
      </c>
      <c r="R23" s="278" t="str">
        <f>IF(AND((J23="This"),(L23="Only")),VLOOKUP(G23,#REF!,7,FALSE),"")</f>
        <v/>
      </c>
      <c r="S23" s="278">
        <v>1547.6054388640575</v>
      </c>
    </row>
    <row r="24" spans="1:22" x14ac:dyDescent="0.25">
      <c r="A24" s="278">
        <v>3</v>
      </c>
      <c r="C24" s="278">
        <f t="shared" si="0"/>
        <v>15</v>
      </c>
      <c r="D24" s="278">
        <f t="shared" si="1"/>
        <v>9</v>
      </c>
      <c r="E24" s="278">
        <f t="shared" si="2"/>
        <v>12</v>
      </c>
      <c r="F24" s="278" t="str">
        <f t="shared" si="3"/>
        <v>pm</v>
      </c>
      <c r="G24" s="278" t="s">
        <v>272</v>
      </c>
      <c r="H24" s="278" t="s">
        <v>217</v>
      </c>
      <c r="I24" s="278" t="s">
        <v>273</v>
      </c>
      <c r="K24" s="279">
        <f t="shared" si="4"/>
        <v>1597.0988941571195</v>
      </c>
      <c r="M24" s="279">
        <v>1400</v>
      </c>
      <c r="O24" s="278">
        <v>1490.8936464090691</v>
      </c>
      <c r="R24" s="278" t="str">
        <f>IF(AND((J24="This"),(L24="Only")),VLOOKUP(G24,#REF!,7,FALSE),"")</f>
        <v/>
      </c>
      <c r="S24" s="278">
        <v>1597.0988941571195</v>
      </c>
    </row>
    <row r="25" spans="1:22" x14ac:dyDescent="0.25">
      <c r="A25" s="278">
        <v>3</v>
      </c>
      <c r="C25" s="278">
        <f t="shared" si="0"/>
        <v>16</v>
      </c>
      <c r="D25" s="278">
        <f t="shared" si="1"/>
        <v>9</v>
      </c>
      <c r="E25" s="278">
        <f t="shared" si="2"/>
        <v>12</v>
      </c>
      <c r="F25" s="278" t="str">
        <f t="shared" si="3"/>
        <v>pm</v>
      </c>
      <c r="G25" s="278" t="s">
        <v>274</v>
      </c>
      <c r="H25" s="278" t="s">
        <v>217</v>
      </c>
      <c r="I25" s="278" t="s">
        <v>275</v>
      </c>
      <c r="K25" s="279">
        <f t="shared" si="4"/>
        <v>1552.5217618694735</v>
      </c>
      <c r="M25" s="279">
        <v>1400</v>
      </c>
      <c r="O25" s="278">
        <v>1470.8271049211355</v>
      </c>
      <c r="R25" s="278" t="str">
        <f>IF(AND((J25="This"),(L25="Only")),VLOOKUP(G25,#REF!,7,FALSE),"")</f>
        <v/>
      </c>
      <c r="S25" s="278">
        <v>1552.5217618694735</v>
      </c>
    </row>
    <row r="26" spans="1:22" x14ac:dyDescent="0.25">
      <c r="A26" s="278">
        <v>3</v>
      </c>
      <c r="C26" s="278">
        <f t="shared" si="0"/>
        <v>17</v>
      </c>
      <c r="D26" s="278">
        <f t="shared" si="1"/>
        <v>9</v>
      </c>
      <c r="E26" s="278">
        <f t="shared" si="2"/>
        <v>12</v>
      </c>
      <c r="F26" s="278" t="str">
        <f t="shared" si="3"/>
        <v>pm</v>
      </c>
      <c r="G26" s="278" t="s">
        <v>276</v>
      </c>
      <c r="H26" s="278" t="s">
        <v>217</v>
      </c>
      <c r="I26" s="278" t="s">
        <v>277</v>
      </c>
      <c r="K26" s="279">
        <f t="shared" si="4"/>
        <v>1314.8627941243271</v>
      </c>
      <c r="M26" s="279">
        <v>1400</v>
      </c>
      <c r="R26" s="278" t="str">
        <f>IF(AND((J26="This"),(L26="Only")),VLOOKUP(G26,#REF!,7,FALSE),"")</f>
        <v/>
      </c>
      <c r="S26" s="278">
        <v>1395.3301340799349</v>
      </c>
      <c r="T26" s="278">
        <v>1314.8627941243271</v>
      </c>
    </row>
    <row r="27" spans="1:22" x14ac:dyDescent="0.25">
      <c r="A27" s="278">
        <v>3</v>
      </c>
      <c r="C27" s="278">
        <f t="shared" si="0"/>
        <v>18</v>
      </c>
      <c r="D27" s="278">
        <f t="shared" si="1"/>
        <v>9</v>
      </c>
      <c r="E27" s="278">
        <f t="shared" si="2"/>
        <v>12</v>
      </c>
      <c r="F27" s="278" t="str">
        <f t="shared" si="3"/>
        <v>pm</v>
      </c>
      <c r="G27" s="278" t="s">
        <v>278</v>
      </c>
      <c r="H27" s="278" t="s">
        <v>217</v>
      </c>
      <c r="I27" s="278" t="s">
        <v>279</v>
      </c>
      <c r="K27" s="279">
        <f t="shared" si="4"/>
        <v>1344.0894005280031</v>
      </c>
      <c r="M27" s="279">
        <v>1400</v>
      </c>
      <c r="R27" s="278" t="str">
        <f>IF(AND((J27="This"),(L27="Only")),VLOOKUP(G27,#REF!,7,FALSE),"")</f>
        <v/>
      </c>
      <c r="S27" s="278">
        <v>1313.5677811716366</v>
      </c>
      <c r="T27" s="278">
        <v>1344.0894005280031</v>
      </c>
    </row>
    <row r="28" spans="1:22" x14ac:dyDescent="0.25">
      <c r="A28" s="278">
        <v>4</v>
      </c>
      <c r="C28" s="278">
        <f t="shared" si="0"/>
        <v>19</v>
      </c>
      <c r="D28" s="278">
        <f t="shared" si="1"/>
        <v>9</v>
      </c>
      <c r="E28" s="278">
        <f t="shared" si="2"/>
        <v>12</v>
      </c>
      <c r="F28" s="278" t="str">
        <f t="shared" si="3"/>
        <v>pm</v>
      </c>
      <c r="G28" s="278" t="s">
        <v>280</v>
      </c>
      <c r="H28" s="278" t="s">
        <v>281</v>
      </c>
      <c r="I28" s="278" t="s">
        <v>282</v>
      </c>
      <c r="K28" s="279">
        <f t="shared" si="4"/>
        <v>1482.7085948011659</v>
      </c>
      <c r="M28" s="279">
        <v>1400</v>
      </c>
      <c r="R28" s="278" t="str">
        <f>IF(AND((J28="This"),(L28="Only")),VLOOKUP(G28,#REF!,7,FALSE),"")</f>
        <v/>
      </c>
      <c r="S28" s="278">
        <v>1481.9064108927323</v>
      </c>
      <c r="T28" s="278">
        <v>1482.7085948011659</v>
      </c>
    </row>
    <row r="29" spans="1:22" x14ac:dyDescent="0.25">
      <c r="A29" s="278">
        <v>5</v>
      </c>
      <c r="C29" s="278">
        <f t="shared" si="0"/>
        <v>20</v>
      </c>
      <c r="D29" s="278">
        <f t="shared" si="1"/>
        <v>9</v>
      </c>
      <c r="E29" s="278">
        <f t="shared" si="2"/>
        <v>12</v>
      </c>
      <c r="F29" s="278" t="str">
        <f t="shared" si="3"/>
        <v>pm</v>
      </c>
      <c r="G29" s="278" t="s">
        <v>283</v>
      </c>
      <c r="H29" s="278" t="s">
        <v>284</v>
      </c>
      <c r="I29" s="278" t="s">
        <v>285</v>
      </c>
      <c r="K29" s="279">
        <f t="shared" si="4"/>
        <v>1428.9948068214296</v>
      </c>
      <c r="M29" s="279">
        <v>1400</v>
      </c>
      <c r="R29" s="278" t="str">
        <f>IF(AND((J29="This"),(L29="Only")),VLOOKUP(G29,#REF!,7,FALSE),"")</f>
        <v/>
      </c>
      <c r="S29" s="278">
        <v>1439.3040279119832</v>
      </c>
      <c r="T29" s="278">
        <v>1410.8128235954669</v>
      </c>
      <c r="V29" s="278">
        <v>1428.9948068214296</v>
      </c>
    </row>
    <row r="30" spans="1:22" x14ac:dyDescent="0.25">
      <c r="A30" s="278">
        <v>4</v>
      </c>
      <c r="C30" s="278">
        <f t="shared" si="0"/>
        <v>21</v>
      </c>
      <c r="D30" s="278">
        <f t="shared" si="1"/>
        <v>9</v>
      </c>
      <c r="E30" s="278">
        <f t="shared" si="2"/>
        <v>12</v>
      </c>
      <c r="F30" s="278" t="str">
        <f t="shared" si="3"/>
        <v>pm</v>
      </c>
      <c r="G30" s="278" t="s">
        <v>286</v>
      </c>
      <c r="H30" s="278" t="s">
        <v>287</v>
      </c>
      <c r="I30" s="278" t="s">
        <v>288</v>
      </c>
      <c r="K30" s="279">
        <f t="shared" si="4"/>
        <v>1182.3261223768773</v>
      </c>
      <c r="M30" s="279">
        <v>1400</v>
      </c>
      <c r="R30" s="278" t="str">
        <f>IF(AND((J30="This"),(L30="Only")),VLOOKUP(G30,#REF!,7,FALSE),"")</f>
        <v/>
      </c>
      <c r="S30" s="278">
        <v>1296.3634893108842</v>
      </c>
      <c r="T30" s="278">
        <v>1221.8365208689011</v>
      </c>
      <c r="V30" s="278">
        <v>1182.3261223768773</v>
      </c>
    </row>
    <row r="31" spans="1:22" x14ac:dyDescent="0.25">
      <c r="A31" s="278">
        <v>2</v>
      </c>
      <c r="C31" s="278">
        <f t="shared" si="0"/>
        <v>22</v>
      </c>
      <c r="D31" s="278">
        <f t="shared" si="1"/>
        <v>9</v>
      </c>
      <c r="E31" s="278">
        <f t="shared" si="2"/>
        <v>12</v>
      </c>
      <c r="F31" s="278" t="str">
        <f t="shared" si="3"/>
        <v>pm</v>
      </c>
      <c r="G31" s="278" t="s">
        <v>289</v>
      </c>
      <c r="H31" s="278" t="s">
        <v>290</v>
      </c>
      <c r="I31" s="278" t="s">
        <v>291</v>
      </c>
      <c r="K31" s="279">
        <f t="shared" si="4"/>
        <v>1457.5420336558111</v>
      </c>
      <c r="M31" s="279">
        <v>1400</v>
      </c>
      <c r="R31" s="278" t="str">
        <f>IF(AND((J31="This"),(L31="Only")),VLOOKUP(G31,#REF!,7,FALSE),"")</f>
        <v/>
      </c>
      <c r="T31" s="278">
        <v>1457.5420336558111</v>
      </c>
    </row>
    <row r="32" spans="1:22" x14ac:dyDescent="0.25">
      <c r="A32" s="278">
        <v>6</v>
      </c>
      <c r="C32" s="278">
        <f t="shared" si="0"/>
        <v>23</v>
      </c>
      <c r="D32" s="278">
        <f t="shared" si="1"/>
        <v>9</v>
      </c>
      <c r="E32" s="278">
        <f t="shared" si="2"/>
        <v>12</v>
      </c>
      <c r="F32" s="278" t="str">
        <f t="shared" si="3"/>
        <v>pm</v>
      </c>
      <c r="G32" s="278" t="s">
        <v>292</v>
      </c>
      <c r="H32" s="278" t="s">
        <v>293</v>
      </c>
      <c r="I32" s="278" t="s">
        <v>294</v>
      </c>
      <c r="K32" s="279">
        <f t="shared" si="4"/>
        <v>1172.8946927404108</v>
      </c>
      <c r="M32" s="279">
        <v>1400</v>
      </c>
      <c r="O32" s="278">
        <v>1301.6735721662928</v>
      </c>
      <c r="R32" s="278" t="str">
        <f>IF(AND((J32="This"),(L32="Only")),VLOOKUP(G32,#REF!,7,FALSE),"")</f>
        <v/>
      </c>
      <c r="S32" s="278">
        <v>1246.3111984541233</v>
      </c>
      <c r="T32" s="278">
        <v>1226.0702313271092</v>
      </c>
      <c r="V32" s="278">
        <v>1172.8946927404108</v>
      </c>
    </row>
    <row r="33" spans="1:22" x14ac:dyDescent="0.25">
      <c r="A33" s="278">
        <v>4</v>
      </c>
      <c r="C33" s="278">
        <f t="shared" si="0"/>
        <v>24</v>
      </c>
      <c r="D33" s="278">
        <f t="shared" si="1"/>
        <v>9</v>
      </c>
      <c r="E33" s="278">
        <f t="shared" si="2"/>
        <v>12</v>
      </c>
      <c r="F33" s="278" t="str">
        <f t="shared" si="3"/>
        <v>pm</v>
      </c>
      <c r="G33" s="278" t="s">
        <v>295</v>
      </c>
      <c r="H33" s="278" t="s">
        <v>296</v>
      </c>
      <c r="I33" s="278" t="s">
        <v>297</v>
      </c>
      <c r="K33" s="279">
        <f t="shared" si="4"/>
        <v>1354.0026826130036</v>
      </c>
      <c r="M33" s="279">
        <v>1400</v>
      </c>
      <c r="R33" s="278" t="str">
        <f>IF(AND((J33="This"),(L33="Only")),VLOOKUP(G33,#REF!,7,FALSE),"")</f>
        <v/>
      </c>
      <c r="S33" s="278">
        <v>1339.4461517631892</v>
      </c>
      <c r="T33" s="278">
        <v>1354.0026826130036</v>
      </c>
    </row>
    <row r="34" spans="1:22" x14ac:dyDescent="0.25">
      <c r="A34" s="278">
        <v>3</v>
      </c>
      <c r="C34" s="278">
        <f t="shared" si="0"/>
        <v>25</v>
      </c>
      <c r="D34" s="278">
        <f t="shared" si="1"/>
        <v>9</v>
      </c>
      <c r="E34" s="278">
        <f t="shared" si="2"/>
        <v>12</v>
      </c>
      <c r="F34" s="278" t="str">
        <f t="shared" si="3"/>
        <v>pm</v>
      </c>
      <c r="G34" s="278" t="s">
        <v>298</v>
      </c>
      <c r="H34" s="278" t="s">
        <v>296</v>
      </c>
      <c r="I34" s="278" t="s">
        <v>299</v>
      </c>
      <c r="K34" s="279">
        <f t="shared" si="4"/>
        <v>1262.2688698980021</v>
      </c>
      <c r="M34" s="279">
        <v>1400</v>
      </c>
      <c r="R34" s="278" t="str">
        <f>IF(AND((J34="This"),(L34="Only")),VLOOKUP(G34,#REF!,7,FALSE),"")</f>
        <v/>
      </c>
      <c r="T34" s="278">
        <v>1262.2688698980021</v>
      </c>
    </row>
    <row r="35" spans="1:22" x14ac:dyDescent="0.25">
      <c r="A35" s="278">
        <v>4</v>
      </c>
      <c r="C35" s="278">
        <f t="shared" si="0"/>
        <v>26</v>
      </c>
      <c r="D35" s="278">
        <f t="shared" si="1"/>
        <v>9</v>
      </c>
      <c r="E35" s="278">
        <f t="shared" si="2"/>
        <v>12</v>
      </c>
      <c r="F35" s="278" t="str">
        <f t="shared" si="3"/>
        <v>pm</v>
      </c>
      <c r="G35" s="278" t="s">
        <v>300</v>
      </c>
      <c r="H35" s="278" t="s">
        <v>301</v>
      </c>
      <c r="I35" s="278" t="s">
        <v>302</v>
      </c>
      <c r="K35" s="279">
        <f t="shared" si="4"/>
        <v>1282.8814689298702</v>
      </c>
      <c r="M35" s="279">
        <v>1400</v>
      </c>
      <c r="R35" s="278" t="str">
        <f>IF(AND((J35="This"),(L35="Only")),VLOOKUP(G35,#REF!,7,FALSE),"")</f>
        <v/>
      </c>
      <c r="T35" s="278">
        <v>1304.5564991499768</v>
      </c>
      <c r="V35" s="278">
        <v>1282.8814689298702</v>
      </c>
    </row>
    <row r="36" spans="1:22" x14ac:dyDescent="0.25">
      <c r="A36" s="278">
        <v>2</v>
      </c>
      <c r="C36" s="278">
        <f t="shared" si="0"/>
        <v>27</v>
      </c>
      <c r="D36" s="278">
        <f t="shared" si="1"/>
        <v>9</v>
      </c>
      <c r="E36" s="278">
        <f t="shared" si="2"/>
        <v>12</v>
      </c>
      <c r="F36" s="278" t="str">
        <f t="shared" si="3"/>
        <v>cr</v>
      </c>
      <c r="G36" s="278" t="s">
        <v>303</v>
      </c>
      <c r="H36" s="278" t="s">
        <v>304</v>
      </c>
      <c r="I36" s="278" t="s">
        <v>305</v>
      </c>
      <c r="K36" s="279">
        <f t="shared" si="4"/>
        <v>1453.7727056479055</v>
      </c>
      <c r="M36" s="279">
        <v>1400</v>
      </c>
      <c r="R36" s="278" t="str">
        <f>IF(AND((J36="This"),(L36="Only")),VLOOKUP(G36,#REF!,7,FALSE),"")</f>
        <v/>
      </c>
      <c r="T36" s="278">
        <v>1453.7727056479055</v>
      </c>
    </row>
    <row r="37" spans="1:22" x14ac:dyDescent="0.25">
      <c r="A37" s="278">
        <v>3</v>
      </c>
      <c r="C37" s="278">
        <f t="shared" si="0"/>
        <v>28</v>
      </c>
      <c r="D37" s="278">
        <f t="shared" si="1"/>
        <v>9</v>
      </c>
      <c r="E37" s="278">
        <f t="shared" si="2"/>
        <v>12</v>
      </c>
      <c r="F37" s="278" t="str">
        <f t="shared" si="3"/>
        <v>pm</v>
      </c>
      <c r="G37" s="278" t="s">
        <v>306</v>
      </c>
      <c r="H37" s="278" t="s">
        <v>226</v>
      </c>
      <c r="I37" s="278" t="s">
        <v>307</v>
      </c>
      <c r="K37" s="279">
        <f t="shared" si="4"/>
        <v>1498.741500196315</v>
      </c>
      <c r="M37" s="279">
        <v>1400</v>
      </c>
      <c r="R37" s="278" t="str">
        <f>IF(AND((J37="This"),(L37="Only")),VLOOKUP(G37,#REF!,7,FALSE),"")</f>
        <v/>
      </c>
      <c r="V37" s="278">
        <v>1498.741500196315</v>
      </c>
    </row>
    <row r="38" spans="1:22" x14ac:dyDescent="0.25">
      <c r="A38" s="278">
        <v>3</v>
      </c>
      <c r="C38" s="278">
        <f t="shared" si="0"/>
        <v>29</v>
      </c>
      <c r="D38" s="278">
        <f t="shared" si="1"/>
        <v>9</v>
      </c>
      <c r="E38" s="278">
        <f t="shared" si="2"/>
        <v>12</v>
      </c>
      <c r="F38" s="278" t="str">
        <f t="shared" si="3"/>
        <v>pm</v>
      </c>
      <c r="G38" s="278" t="s">
        <v>308</v>
      </c>
      <c r="H38" s="278" t="s">
        <v>226</v>
      </c>
      <c r="I38" s="278" t="s">
        <v>309</v>
      </c>
      <c r="K38" s="279">
        <f t="shared" si="4"/>
        <v>1298.9950797310169</v>
      </c>
      <c r="M38" s="279">
        <v>1400</v>
      </c>
      <c r="R38" s="278" t="str">
        <f>IF(AND((J38="This"),(L38="Only")),VLOOKUP(G38,#REF!,7,FALSE),"")</f>
        <v/>
      </c>
      <c r="S38" s="278">
        <v>1298.9950797310169</v>
      </c>
    </row>
    <row r="39" spans="1:22" x14ac:dyDescent="0.25">
      <c r="A39" s="278">
        <v>3</v>
      </c>
      <c r="C39" s="278">
        <f t="shared" si="0"/>
        <v>30</v>
      </c>
      <c r="D39" s="278">
        <f t="shared" si="1"/>
        <v>9</v>
      </c>
      <c r="E39" s="278">
        <f t="shared" si="2"/>
        <v>12</v>
      </c>
      <c r="F39" s="278" t="str">
        <f t="shared" si="3"/>
        <v>pm</v>
      </c>
      <c r="G39" s="278" t="s">
        <v>310</v>
      </c>
      <c r="H39" s="278" t="s">
        <v>226</v>
      </c>
      <c r="I39" s="278" t="s">
        <v>311</v>
      </c>
      <c r="K39" s="279">
        <f t="shared" si="4"/>
        <v>1363.4627166828639</v>
      </c>
      <c r="M39" s="279">
        <v>1400</v>
      </c>
      <c r="R39" s="278" t="str">
        <f>IF(AND((J39="This"),(L39="Only")),VLOOKUP(G39,#REF!,7,FALSE),"")</f>
        <v/>
      </c>
      <c r="S39" s="278">
        <v>1363.4627166828639</v>
      </c>
    </row>
    <row r="40" spans="1:22" x14ac:dyDescent="0.25">
      <c r="A40" s="278">
        <v>3</v>
      </c>
      <c r="C40" s="278">
        <f t="shared" si="0"/>
        <v>31</v>
      </c>
      <c r="D40" s="278">
        <f t="shared" si="1"/>
        <v>9</v>
      </c>
      <c r="E40" s="278">
        <f t="shared" si="2"/>
        <v>12</v>
      </c>
      <c r="F40" s="278" t="str">
        <f t="shared" si="3"/>
        <v>pm</v>
      </c>
      <c r="G40" s="278" t="s">
        <v>312</v>
      </c>
      <c r="H40" s="278" t="s">
        <v>226</v>
      </c>
      <c r="I40" s="278" t="s">
        <v>313</v>
      </c>
      <c r="K40" s="279">
        <f t="shared" si="4"/>
        <v>1392.8100796128085</v>
      </c>
      <c r="M40" s="279">
        <v>1400</v>
      </c>
      <c r="R40" s="278" t="str">
        <f>IF(AND((J40="This"),(L40="Only")),VLOOKUP(G40,#REF!,7,FALSE),"")</f>
        <v/>
      </c>
      <c r="V40" s="278">
        <v>1392.8100796128085</v>
      </c>
    </row>
    <row r="41" spans="1:22" x14ac:dyDescent="0.25">
      <c r="A41" s="278">
        <v>5</v>
      </c>
      <c r="C41" s="278">
        <f t="shared" si="0"/>
        <v>32</v>
      </c>
      <c r="D41" s="278">
        <f t="shared" si="1"/>
        <v>9</v>
      </c>
      <c r="E41" s="278">
        <f t="shared" si="2"/>
        <v>12</v>
      </c>
      <c r="F41" s="278" t="str">
        <f t="shared" si="3"/>
        <v>pm</v>
      </c>
      <c r="G41" s="278" t="s">
        <v>314</v>
      </c>
      <c r="H41" s="278" t="s">
        <v>315</v>
      </c>
      <c r="I41" s="278" t="s">
        <v>316</v>
      </c>
      <c r="K41" s="279">
        <f t="shared" si="4"/>
        <v>1375.4433983168517</v>
      </c>
      <c r="M41" s="279">
        <v>1400</v>
      </c>
      <c r="O41" s="278">
        <v>1317.0177436725585</v>
      </c>
      <c r="R41" s="278" t="str">
        <f>IF(AND((J41="This"),(L41="Only")),VLOOKUP(G41,#REF!,7,FALSE),"")</f>
        <v/>
      </c>
      <c r="T41" s="278">
        <v>1396.2263060585235</v>
      </c>
      <c r="V41" s="278">
        <v>1375.4433983168517</v>
      </c>
    </row>
    <row r="42" spans="1:22" x14ac:dyDescent="0.25">
      <c r="A42" s="278">
        <v>5</v>
      </c>
      <c r="C42" s="278">
        <f t="shared" si="0"/>
        <v>33</v>
      </c>
      <c r="D42" s="278">
        <f t="shared" si="1"/>
        <v>9</v>
      </c>
      <c r="E42" s="278">
        <f t="shared" si="2"/>
        <v>12</v>
      </c>
      <c r="F42" s="278" t="str">
        <f t="shared" si="3"/>
        <v>pm</v>
      </c>
      <c r="G42" s="278" t="s">
        <v>317</v>
      </c>
      <c r="H42" s="278" t="s">
        <v>318</v>
      </c>
      <c r="I42" s="278" t="s">
        <v>319</v>
      </c>
      <c r="K42" s="279">
        <f t="shared" si="4"/>
        <v>1439.4176887113954</v>
      </c>
      <c r="M42" s="279">
        <v>1400</v>
      </c>
      <c r="R42" s="278" t="str">
        <f>IF(AND((J42="This"),(L42="Only")),VLOOKUP(G42,#REF!,7,FALSE),"")</f>
        <v/>
      </c>
      <c r="S42" s="278">
        <v>1420.6812562153646</v>
      </c>
      <c r="T42" s="278">
        <v>1439.4176887113954</v>
      </c>
    </row>
    <row r="43" spans="1:22" x14ac:dyDescent="0.25">
      <c r="A43" s="278">
        <v>5</v>
      </c>
      <c r="C43" s="278">
        <f t="shared" si="0"/>
        <v>34</v>
      </c>
      <c r="D43" s="278">
        <f t="shared" si="1"/>
        <v>9</v>
      </c>
      <c r="E43" s="278">
        <f t="shared" si="2"/>
        <v>12</v>
      </c>
      <c r="F43" s="278" t="str">
        <f t="shared" si="3"/>
        <v>pm</v>
      </c>
      <c r="G43" s="278" t="s">
        <v>320</v>
      </c>
      <c r="H43" s="278" t="s">
        <v>232</v>
      </c>
      <c r="I43" s="278" t="s">
        <v>321</v>
      </c>
      <c r="K43" s="279">
        <f t="shared" si="4"/>
        <v>1438.2606481323326</v>
      </c>
      <c r="M43" s="279">
        <v>1400</v>
      </c>
      <c r="R43" s="278" t="str">
        <f>IF(AND((J43="This"),(L43="Only")),VLOOKUP(G43,#REF!,7,FALSE),"")</f>
        <v/>
      </c>
      <c r="S43" s="278">
        <v>1394.6922807192168</v>
      </c>
      <c r="T43" s="278">
        <v>1450.3242032415919</v>
      </c>
      <c r="V43" s="278">
        <v>1438.2606481323326</v>
      </c>
    </row>
    <row r="44" spans="1:22" x14ac:dyDescent="0.25">
      <c r="A44" s="278">
        <v>4</v>
      </c>
      <c r="C44" s="278">
        <f t="shared" si="0"/>
        <v>35</v>
      </c>
      <c r="D44" s="278">
        <f t="shared" si="1"/>
        <v>9</v>
      </c>
      <c r="E44" s="278">
        <f t="shared" si="2"/>
        <v>12</v>
      </c>
      <c r="F44" s="278" t="str">
        <f t="shared" si="3"/>
        <v>pm</v>
      </c>
      <c r="G44" s="278" t="s">
        <v>322</v>
      </c>
      <c r="H44" s="278" t="s">
        <v>323</v>
      </c>
      <c r="I44" s="278" t="s">
        <v>324</v>
      </c>
      <c r="K44" s="279">
        <f t="shared" si="4"/>
        <v>1411.3842368219443</v>
      </c>
      <c r="M44" s="279">
        <v>1400</v>
      </c>
      <c r="R44" s="278" t="str">
        <f>IF(AND((J44="This"),(L44="Only")),VLOOKUP(G44,#REF!,7,FALSE),"")</f>
        <v/>
      </c>
      <c r="S44" s="278">
        <v>1365.2789041780873</v>
      </c>
      <c r="T44" s="278">
        <v>1411.3842368219443</v>
      </c>
    </row>
    <row r="45" spans="1:22" x14ac:dyDescent="0.25">
      <c r="A45" s="278">
        <v>4</v>
      </c>
      <c r="C45" s="278">
        <f t="shared" si="0"/>
        <v>36</v>
      </c>
      <c r="D45" s="278">
        <f t="shared" si="1"/>
        <v>9</v>
      </c>
      <c r="E45" s="278">
        <f t="shared" si="2"/>
        <v>12</v>
      </c>
      <c r="F45" s="278" t="str">
        <f t="shared" si="3"/>
        <v>pm</v>
      </c>
      <c r="G45" s="278" t="s">
        <v>325</v>
      </c>
      <c r="H45" s="278" t="s">
        <v>323</v>
      </c>
      <c r="I45" s="278" t="s">
        <v>326</v>
      </c>
      <c r="K45" s="279">
        <f t="shared" si="4"/>
        <v>1340.443133695343</v>
      </c>
      <c r="M45" s="279">
        <v>1400</v>
      </c>
      <c r="R45" s="278" t="str">
        <f>IF(AND((J45="This"),(L45="Only")),VLOOKUP(G45,#REF!,7,FALSE),"")</f>
        <v/>
      </c>
      <c r="S45" s="278">
        <v>1441.9714593347824</v>
      </c>
      <c r="T45" s="278">
        <v>1340.443133695343</v>
      </c>
    </row>
    <row r="46" spans="1:22" x14ac:dyDescent="0.25">
      <c r="A46" s="278">
        <v>1</v>
      </c>
      <c r="C46" s="278">
        <f t="shared" si="0"/>
        <v>37</v>
      </c>
      <c r="D46" s="278">
        <f t="shared" si="1"/>
        <v>9</v>
      </c>
      <c r="E46" s="278">
        <f t="shared" si="2"/>
        <v>12</v>
      </c>
      <c r="F46" s="278" t="str">
        <f t="shared" si="3"/>
        <v>crx</v>
      </c>
      <c r="G46" s="278" t="s">
        <v>327</v>
      </c>
      <c r="H46" s="278" t="s">
        <v>328</v>
      </c>
      <c r="I46" s="278" t="s">
        <v>329</v>
      </c>
      <c r="K46" s="279">
        <f t="shared" si="4"/>
        <v>1400</v>
      </c>
      <c r="M46" s="279">
        <v>1400</v>
      </c>
      <c r="R46" s="278" t="str">
        <f>IF(AND((J46="This"),(L46="Only")),VLOOKUP(G46,#REF!,7,FALSE),"")</f>
        <v/>
      </c>
    </row>
    <row r="47" spans="1:22" x14ac:dyDescent="0.25">
      <c r="A47" s="278">
        <v>1</v>
      </c>
      <c r="C47" s="278">
        <f t="shared" si="0"/>
        <v>38</v>
      </c>
      <c r="D47" s="278">
        <f t="shared" si="1"/>
        <v>9</v>
      </c>
      <c r="E47" s="278">
        <f t="shared" si="2"/>
        <v>12</v>
      </c>
      <c r="F47" s="278" t="str">
        <f t="shared" si="3"/>
        <v>crx</v>
      </c>
      <c r="G47" s="278" t="s">
        <v>330</v>
      </c>
      <c r="H47" s="278" t="s">
        <v>328</v>
      </c>
      <c r="I47" s="278" t="s">
        <v>331</v>
      </c>
      <c r="K47" s="279">
        <f t="shared" si="4"/>
        <v>1400</v>
      </c>
      <c r="M47" s="279">
        <v>1400</v>
      </c>
      <c r="R47" s="278" t="str">
        <f>IF(AND((J47="This"),(L47="Only")),VLOOKUP(G47,#REF!,7,FALSE),"")</f>
        <v/>
      </c>
    </row>
    <row r="48" spans="1:22" x14ac:dyDescent="0.25">
      <c r="A48" s="278">
        <v>6</v>
      </c>
      <c r="C48" s="278">
        <f t="shared" si="0"/>
        <v>39</v>
      </c>
      <c r="D48" s="278">
        <f t="shared" si="1"/>
        <v>39</v>
      </c>
      <c r="E48" s="278">
        <f t="shared" si="2"/>
        <v>12</v>
      </c>
      <c r="F48" s="278" t="str">
        <f t="shared" si="3"/>
        <v>pm</v>
      </c>
      <c r="G48" s="278" t="s">
        <v>332</v>
      </c>
      <c r="H48" s="278" t="s">
        <v>333</v>
      </c>
      <c r="I48" s="278" t="s">
        <v>334</v>
      </c>
      <c r="K48" s="279">
        <f t="shared" si="4"/>
        <v>1405.1025780622188</v>
      </c>
      <c r="M48" s="279">
        <v>1366.6666666666667</v>
      </c>
      <c r="O48" s="278">
        <v>1368.846762184352</v>
      </c>
      <c r="R48" s="278" t="str">
        <f>IF(AND((J48="This"),(L48="Only")),VLOOKUP(G48,#REF!,7,FALSE),"")</f>
        <v/>
      </c>
      <c r="S48" s="278">
        <v>1343.7160524871026</v>
      </c>
      <c r="T48" s="278">
        <v>1420.369437083843</v>
      </c>
      <c r="V48" s="278">
        <v>1405.1025780622188</v>
      </c>
    </row>
    <row r="49" spans="1:22" x14ac:dyDescent="0.25">
      <c r="A49" s="278">
        <v>3</v>
      </c>
      <c r="C49" s="278">
        <f t="shared" si="0"/>
        <v>40</v>
      </c>
      <c r="D49" s="278">
        <f t="shared" si="1"/>
        <v>40</v>
      </c>
      <c r="E49" s="278">
        <f t="shared" si="2"/>
        <v>12</v>
      </c>
      <c r="F49" s="278" t="str">
        <f t="shared" si="3"/>
        <v>pm</v>
      </c>
      <c r="G49" s="280" t="s">
        <v>335</v>
      </c>
      <c r="H49" s="278" t="s">
        <v>259</v>
      </c>
      <c r="I49" s="278" t="s">
        <v>336</v>
      </c>
      <c r="K49" s="279">
        <f t="shared" si="4"/>
        <v>1138.6942092454178</v>
      </c>
      <c r="M49" s="279">
        <v>1200</v>
      </c>
      <c r="R49" s="278" t="str">
        <f>IF(AND((J49="This"),(L49="Only")),VLOOKUP(G49,#REF!,7,FALSE),"")</f>
        <v/>
      </c>
      <c r="S49" s="278">
        <v>1159.5990105628869</v>
      </c>
      <c r="T49" s="278">
        <v>1138.6942092454178</v>
      </c>
    </row>
    <row r="50" spans="1:22" x14ac:dyDescent="0.25">
      <c r="A50" s="278">
        <v>3</v>
      </c>
      <c r="C50" s="278">
        <f t="shared" si="0"/>
        <v>41</v>
      </c>
      <c r="D50" s="278">
        <f t="shared" si="1"/>
        <v>40</v>
      </c>
      <c r="E50" s="278">
        <f t="shared" si="2"/>
        <v>12</v>
      </c>
      <c r="F50" s="278" t="str">
        <f t="shared" si="3"/>
        <v>pm</v>
      </c>
      <c r="G50" s="278" t="s">
        <v>337</v>
      </c>
      <c r="H50" s="278" t="s">
        <v>217</v>
      </c>
      <c r="I50" s="278" t="s">
        <v>338</v>
      </c>
      <c r="K50" s="279">
        <f t="shared" si="4"/>
        <v>1232.4333282362945</v>
      </c>
      <c r="M50" s="279">
        <v>1200</v>
      </c>
      <c r="R50" s="278" t="str">
        <f>IF(AND((J50="This"),(L50="Only")),VLOOKUP(G50,#REF!,7,FALSE),"")</f>
        <v/>
      </c>
      <c r="S50" s="278">
        <v>1198.7332252889023</v>
      </c>
      <c r="T50" s="278">
        <v>1207.2949680843783</v>
      </c>
      <c r="V50" s="278">
        <v>1232.4333282362945</v>
      </c>
    </row>
    <row r="51" spans="1:22" x14ac:dyDescent="0.25">
      <c r="A51" s="278">
        <v>3</v>
      </c>
      <c r="C51" s="278">
        <f t="shared" si="0"/>
        <v>42</v>
      </c>
      <c r="D51" s="278">
        <f t="shared" si="1"/>
        <v>40</v>
      </c>
      <c r="E51" s="278">
        <f t="shared" si="2"/>
        <v>12</v>
      </c>
      <c r="F51" s="278" t="str">
        <f t="shared" si="3"/>
        <v>pm</v>
      </c>
      <c r="G51" s="278" t="s">
        <v>339</v>
      </c>
      <c r="H51" s="278" t="s">
        <v>217</v>
      </c>
      <c r="I51" s="278" t="s">
        <v>340</v>
      </c>
      <c r="K51" s="279">
        <f t="shared" si="4"/>
        <v>1107.1369587677066</v>
      </c>
      <c r="M51" s="279">
        <v>1200</v>
      </c>
      <c r="R51" s="278" t="str">
        <f>IF(AND((J51="This"),(L51="Only")),VLOOKUP(G51,#REF!,7,FALSE),"")</f>
        <v/>
      </c>
      <c r="S51" s="278">
        <v>1164.9127778263323</v>
      </c>
      <c r="T51" s="278">
        <v>1162.9144133651291</v>
      </c>
      <c r="V51" s="278">
        <v>1107.1369587677066</v>
      </c>
    </row>
    <row r="52" spans="1:22" x14ac:dyDescent="0.25">
      <c r="A52" s="278">
        <v>1</v>
      </c>
      <c r="C52" s="278">
        <f t="shared" si="0"/>
        <v>43</v>
      </c>
      <c r="D52" s="278">
        <f t="shared" si="1"/>
        <v>40</v>
      </c>
      <c r="E52" s="278">
        <f t="shared" si="2"/>
        <v>12</v>
      </c>
      <c r="F52" s="278" t="str">
        <f t="shared" si="3"/>
        <v>pmx</v>
      </c>
      <c r="G52" s="278" t="s">
        <v>341</v>
      </c>
      <c r="H52" s="278" t="s">
        <v>287</v>
      </c>
      <c r="I52" s="278" t="s">
        <v>342</v>
      </c>
      <c r="K52" s="279">
        <f t="shared" si="4"/>
        <v>1164.88819190138</v>
      </c>
      <c r="M52" s="279">
        <v>1200</v>
      </c>
      <c r="R52" s="278" t="str">
        <f>IF(AND((J52="This"),(L52="Only")),VLOOKUP(G52,#REF!,7,FALSE),"")</f>
        <v/>
      </c>
      <c r="S52" s="278">
        <v>1208.7030381965719</v>
      </c>
      <c r="T52" s="278">
        <v>1192.3440303301518</v>
      </c>
      <c r="V52" s="278">
        <v>1164.88819190138</v>
      </c>
    </row>
    <row r="53" spans="1:22" x14ac:dyDescent="0.25">
      <c r="A53" s="278">
        <v>1</v>
      </c>
      <c r="C53" s="278">
        <f t="shared" si="0"/>
        <v>44</v>
      </c>
      <c r="D53" s="278">
        <f t="shared" si="1"/>
        <v>40</v>
      </c>
      <c r="E53" s="278">
        <f t="shared" si="2"/>
        <v>12</v>
      </c>
      <c r="F53" s="278" t="str">
        <f t="shared" si="3"/>
        <v>pmx</v>
      </c>
      <c r="G53" s="278" t="s">
        <v>343</v>
      </c>
      <c r="H53" s="278" t="s">
        <v>287</v>
      </c>
      <c r="I53" s="278" t="s">
        <v>344</v>
      </c>
      <c r="K53" s="279">
        <f t="shared" si="4"/>
        <v>1121.134561842277</v>
      </c>
      <c r="M53" s="279">
        <v>1200</v>
      </c>
      <c r="R53" s="278" t="str">
        <f>IF(AND((J53="This"),(L53="Only")),VLOOKUP(G53,#REF!,7,FALSE),"")</f>
        <v/>
      </c>
      <c r="S53" s="278">
        <v>1206.6525831479435</v>
      </c>
      <c r="T53" s="278">
        <v>1154.8449608707572</v>
      </c>
      <c r="V53" s="278">
        <v>1121.134561842277</v>
      </c>
    </row>
    <row r="54" spans="1:22" x14ac:dyDescent="0.25">
      <c r="A54" s="278">
        <v>3</v>
      </c>
      <c r="C54" s="278">
        <f t="shared" si="0"/>
        <v>45</v>
      </c>
      <c r="D54" s="278">
        <f t="shared" si="1"/>
        <v>40</v>
      </c>
      <c r="E54" s="278">
        <f t="shared" si="2"/>
        <v>12</v>
      </c>
      <c r="F54" s="278" t="str">
        <f t="shared" si="3"/>
        <v>pm</v>
      </c>
      <c r="G54" s="278" t="s">
        <v>345</v>
      </c>
      <c r="H54" s="278" t="s">
        <v>252</v>
      </c>
      <c r="I54" s="278" t="s">
        <v>346</v>
      </c>
      <c r="K54" s="279">
        <f t="shared" si="4"/>
        <v>1293.6267294435881</v>
      </c>
      <c r="M54" s="279">
        <v>1200</v>
      </c>
      <c r="R54" s="278" t="str">
        <f>IF(AND((J54="This"),(L54="Only")),VLOOKUP(G54,#REF!,7,FALSE),"")</f>
        <v/>
      </c>
      <c r="S54" s="278">
        <v>1222.3604297626539</v>
      </c>
      <c r="T54" s="278">
        <v>1250.6062258294207</v>
      </c>
      <c r="V54" s="278">
        <v>1293.6267294435881</v>
      </c>
    </row>
    <row r="55" spans="1:22" x14ac:dyDescent="0.25">
      <c r="A55" s="278">
        <v>2</v>
      </c>
      <c r="C55" s="278">
        <f t="shared" si="0"/>
        <v>46</v>
      </c>
      <c r="D55" s="278">
        <f t="shared" si="1"/>
        <v>40</v>
      </c>
      <c r="E55" s="278">
        <f t="shared" si="2"/>
        <v>12</v>
      </c>
      <c r="F55" s="278" t="str">
        <f t="shared" si="3"/>
        <v>pm</v>
      </c>
      <c r="G55" s="278" t="s">
        <v>347</v>
      </c>
      <c r="H55" s="278" t="s">
        <v>252</v>
      </c>
      <c r="I55" s="278" t="s">
        <v>348</v>
      </c>
      <c r="K55" s="279">
        <f t="shared" si="4"/>
        <v>1252.9739815801377</v>
      </c>
      <c r="M55" s="279">
        <v>1200</v>
      </c>
      <c r="R55" s="278" t="str">
        <f>IF(AND((J55="This"),(L55="Only")),VLOOKUP(G55,#REF!,7,FALSE),"")</f>
        <v/>
      </c>
      <c r="S55" s="278">
        <v>1177.5284599285887</v>
      </c>
      <c r="T55" s="278">
        <v>1231.7907169886246</v>
      </c>
      <c r="V55" s="278">
        <v>1252.9739815801377</v>
      </c>
    </row>
    <row r="56" spans="1:22" x14ac:dyDescent="0.25">
      <c r="A56" s="278">
        <v>2</v>
      </c>
      <c r="C56" s="278">
        <f t="shared" si="0"/>
        <v>47</v>
      </c>
      <c r="D56" s="278">
        <f t="shared" si="1"/>
        <v>40</v>
      </c>
      <c r="E56" s="278">
        <f t="shared" si="2"/>
        <v>12</v>
      </c>
      <c r="F56" s="278" t="str">
        <f t="shared" si="3"/>
        <v>pm</v>
      </c>
      <c r="G56" s="278" t="s">
        <v>349</v>
      </c>
      <c r="H56" s="278" t="s">
        <v>296</v>
      </c>
      <c r="I56" s="278" t="s">
        <v>350</v>
      </c>
      <c r="K56" s="279">
        <f t="shared" si="4"/>
        <v>1190.8699600920074</v>
      </c>
      <c r="M56" s="279">
        <v>1200</v>
      </c>
      <c r="R56" s="278" t="str">
        <f>IF(AND((J56="This"),(L56="Only")),VLOOKUP(G56,#REF!,7,FALSE),"")</f>
        <v/>
      </c>
      <c r="V56" s="278">
        <v>1190.8699600920074</v>
      </c>
    </row>
    <row r="57" spans="1:22" x14ac:dyDescent="0.25">
      <c r="A57" s="278">
        <v>1</v>
      </c>
      <c r="C57" s="278">
        <f t="shared" si="0"/>
        <v>48</v>
      </c>
      <c r="D57" s="278">
        <f t="shared" si="1"/>
        <v>40</v>
      </c>
      <c r="E57" s="278">
        <f t="shared" si="2"/>
        <v>12</v>
      </c>
      <c r="F57" s="278" t="str">
        <f t="shared" si="3"/>
        <v>sox</v>
      </c>
      <c r="G57" s="278" t="s">
        <v>351</v>
      </c>
      <c r="H57" s="278" t="s">
        <v>352</v>
      </c>
      <c r="I57" s="278" t="s">
        <v>353</v>
      </c>
      <c r="K57" s="279">
        <f t="shared" si="4"/>
        <v>1200</v>
      </c>
      <c r="M57" s="279">
        <v>1200</v>
      </c>
      <c r="R57" s="278" t="str">
        <f>IF(AND((J57="This"),(L57="Only")),VLOOKUP(G57,#REF!,7,FALSE),"")</f>
        <v/>
      </c>
    </row>
    <row r="58" spans="1:22" x14ac:dyDescent="0.25">
      <c r="A58" s="278">
        <v>4</v>
      </c>
      <c r="C58" s="278">
        <f t="shared" si="0"/>
        <v>49</v>
      </c>
      <c r="D58" s="278">
        <f t="shared" si="1"/>
        <v>40</v>
      </c>
      <c r="E58" s="278">
        <f t="shared" si="2"/>
        <v>12</v>
      </c>
      <c r="F58" s="278" t="str">
        <f t="shared" si="3"/>
        <v>pm</v>
      </c>
      <c r="G58" s="278" t="s">
        <v>354</v>
      </c>
      <c r="H58" s="278" t="s">
        <v>232</v>
      </c>
      <c r="I58" s="278" t="s">
        <v>355</v>
      </c>
      <c r="K58" s="279">
        <f t="shared" si="4"/>
        <v>1206.7266798132362</v>
      </c>
      <c r="M58" s="279">
        <v>1200</v>
      </c>
      <c r="R58" s="278" t="str">
        <f>IF(AND((J58="This"),(L58="Only")),VLOOKUP(G58,#REF!,7,FALSE),"")</f>
        <v/>
      </c>
      <c r="S58" s="278">
        <v>1210.0364093066682</v>
      </c>
      <c r="V58" s="278">
        <v>1206.7266798132362</v>
      </c>
    </row>
    <row r="59" spans="1:22" x14ac:dyDescent="0.25">
      <c r="A59" s="278">
        <v>4</v>
      </c>
      <c r="C59" s="278">
        <f t="shared" si="0"/>
        <v>50</v>
      </c>
      <c r="D59" s="278">
        <f t="shared" si="1"/>
        <v>40</v>
      </c>
      <c r="E59" s="278">
        <f t="shared" si="2"/>
        <v>12</v>
      </c>
      <c r="F59" s="278" t="str">
        <f t="shared" si="3"/>
        <v>pm</v>
      </c>
      <c r="G59" s="278" t="s">
        <v>356</v>
      </c>
      <c r="H59" s="278" t="s">
        <v>232</v>
      </c>
      <c r="I59" s="278" t="s">
        <v>357</v>
      </c>
      <c r="K59" s="279">
        <f t="shared" si="4"/>
        <v>1332.4149795123046</v>
      </c>
      <c r="M59" s="279">
        <v>1200</v>
      </c>
      <c r="R59" s="278" t="str">
        <f>IF(AND((J59="This"),(L59="Only")),VLOOKUP(G59,#REF!,7,FALSE),"")</f>
        <v/>
      </c>
      <c r="S59" s="278">
        <v>1268.8246362009256</v>
      </c>
      <c r="V59" s="278">
        <v>1332.4149795123046</v>
      </c>
    </row>
    <row r="60" spans="1:22" x14ac:dyDescent="0.25">
      <c r="A60" s="278">
        <v>1</v>
      </c>
      <c r="C60" s="278">
        <f t="shared" si="0"/>
        <v>51</v>
      </c>
      <c r="D60" s="278">
        <f t="shared" si="1"/>
        <v>40</v>
      </c>
      <c r="E60" s="278">
        <f t="shared" si="2"/>
        <v>12</v>
      </c>
      <c r="F60" s="278" t="str">
        <f t="shared" si="3"/>
        <v>pmx</v>
      </c>
      <c r="G60" s="278" t="s">
        <v>358</v>
      </c>
      <c r="H60" s="278" t="s">
        <v>232</v>
      </c>
      <c r="I60" s="278" t="s">
        <v>359</v>
      </c>
      <c r="K60" s="279">
        <f t="shared" si="4"/>
        <v>1200</v>
      </c>
      <c r="M60" s="279">
        <v>1200</v>
      </c>
      <c r="R60" s="278" t="str">
        <f>IF(AND((J60="This"),(L60="Only")),VLOOKUP(G60,#REF!,7,FALSE),"")</f>
        <v/>
      </c>
    </row>
    <row r="61" spans="1:22" x14ac:dyDescent="0.25">
      <c r="A61" s="278">
        <v>4</v>
      </c>
      <c r="C61" s="278">
        <f t="shared" si="0"/>
        <v>52</v>
      </c>
      <c r="D61" s="278">
        <f t="shared" si="1"/>
        <v>40</v>
      </c>
      <c r="E61" s="278">
        <f t="shared" si="2"/>
        <v>12</v>
      </c>
      <c r="F61" s="278" t="str">
        <f t="shared" si="3"/>
        <v>pm</v>
      </c>
      <c r="G61" s="278" t="s">
        <v>360</v>
      </c>
      <c r="H61" s="278" t="s">
        <v>361</v>
      </c>
      <c r="I61" s="278" t="s">
        <v>362</v>
      </c>
      <c r="K61" s="279">
        <f t="shared" si="4"/>
        <v>1141.2104363370433</v>
      </c>
      <c r="M61" s="279">
        <v>1200</v>
      </c>
      <c r="R61" s="278" t="str">
        <f>IF(AND((J61="This"),(L61="Only")),VLOOKUP(G61,#REF!,7,FALSE),"")</f>
        <v/>
      </c>
      <c r="S61" s="278">
        <v>1235.9114015896889</v>
      </c>
      <c r="V61" s="278">
        <v>1141.2104363370433</v>
      </c>
    </row>
    <row r="62" spans="1:22" x14ac:dyDescent="0.25">
      <c r="A62" s="278">
        <v>0</v>
      </c>
      <c r="C62" s="278">
        <f t="shared" si="0"/>
        <v>53</v>
      </c>
      <c r="D62" s="278">
        <f t="shared" si="1"/>
        <v>40</v>
      </c>
      <c r="E62" s="278">
        <f t="shared" si="2"/>
        <v>12</v>
      </c>
      <c r="F62" s="278" t="str">
        <f t="shared" si="3"/>
        <v>pmx</v>
      </c>
      <c r="G62" s="278" t="s">
        <v>363</v>
      </c>
      <c r="H62" s="278" t="s">
        <v>247</v>
      </c>
      <c r="I62" s="278" t="s">
        <v>364</v>
      </c>
      <c r="K62" s="279">
        <f t="shared" si="4"/>
        <v>1276.5963499507407</v>
      </c>
      <c r="M62" s="279">
        <v>1200</v>
      </c>
      <c r="O62" s="278">
        <v>1276.5963499507407</v>
      </c>
      <c r="R62" s="278" t="str">
        <f>IF(AND((J62="This"),(L62="Only")),VLOOKUP(G62,#REF!,7,FALSE),"")</f>
        <v/>
      </c>
    </row>
    <row r="63" spans="1:22" x14ac:dyDescent="0.25">
      <c r="A63" s="278">
        <v>2</v>
      </c>
      <c r="C63" s="278">
        <f t="shared" si="0"/>
        <v>1</v>
      </c>
      <c r="D63" s="278">
        <f t="shared" si="1"/>
        <v>1</v>
      </c>
      <c r="E63" s="278">
        <f t="shared" si="2"/>
        <v>13</v>
      </c>
      <c r="F63" s="278" t="str">
        <f t="shared" si="3"/>
        <v>cr</v>
      </c>
      <c r="G63" s="280" t="s">
        <v>365</v>
      </c>
      <c r="H63" s="278" t="s">
        <v>366</v>
      </c>
      <c r="I63" s="278" t="s">
        <v>367</v>
      </c>
      <c r="K63" s="279">
        <f t="shared" si="4"/>
        <v>2111.8344007482601</v>
      </c>
      <c r="M63" s="279">
        <v>2100</v>
      </c>
      <c r="P63" s="278">
        <v>2111.1803947450967</v>
      </c>
      <c r="R63" s="278" t="str">
        <f>IF(AND((J63="This"),(L63="Only")),VLOOKUP(G63,#REF!,7,FALSE),"")</f>
        <v/>
      </c>
      <c r="S63" s="278">
        <v>2111.8344007482601</v>
      </c>
    </row>
    <row r="64" spans="1:22" x14ac:dyDescent="0.25">
      <c r="A64" s="278">
        <v>1</v>
      </c>
      <c r="C64" s="278">
        <f t="shared" si="0"/>
        <v>2</v>
      </c>
      <c r="D64" s="278">
        <f t="shared" si="1"/>
        <v>2</v>
      </c>
      <c r="E64" s="278">
        <f t="shared" si="2"/>
        <v>13</v>
      </c>
      <c r="F64" s="278" t="str">
        <f t="shared" si="3"/>
        <v>sox</v>
      </c>
      <c r="G64" s="278" t="s">
        <v>368</v>
      </c>
      <c r="H64" s="278" t="s">
        <v>244</v>
      </c>
      <c r="I64" s="278" t="s">
        <v>369</v>
      </c>
      <c r="K64" s="279">
        <f t="shared" si="4"/>
        <v>1923.4584917001632</v>
      </c>
      <c r="M64" s="279">
        <v>2000</v>
      </c>
      <c r="R64" s="278" t="str">
        <f>IF(AND((J64="This"),(L64="Only")),VLOOKUP(G64,#REF!,7,FALSE),"")</f>
        <v/>
      </c>
      <c r="U64" s="278">
        <v>1923.4584917001632</v>
      </c>
    </row>
    <row r="65" spans="1:21" x14ac:dyDescent="0.25">
      <c r="A65" s="278">
        <v>2</v>
      </c>
      <c r="C65" s="278">
        <f t="shared" si="0"/>
        <v>3</v>
      </c>
      <c r="D65" s="278">
        <f t="shared" si="1"/>
        <v>2</v>
      </c>
      <c r="E65" s="278">
        <f t="shared" si="2"/>
        <v>13</v>
      </c>
      <c r="F65" s="278" t="str">
        <f t="shared" si="3"/>
        <v>pm</v>
      </c>
      <c r="G65" s="278" t="s">
        <v>370</v>
      </c>
      <c r="H65" s="278" t="s">
        <v>268</v>
      </c>
      <c r="I65" s="278" t="s">
        <v>371</v>
      </c>
      <c r="K65" s="279">
        <f t="shared" si="4"/>
        <v>1957.4424167884204</v>
      </c>
      <c r="M65" s="279">
        <v>2000</v>
      </c>
      <c r="N65" s="278">
        <v>1957.4424167884204</v>
      </c>
      <c r="R65" s="278" t="str">
        <f>IF(AND((J65="This"),(L65="Only")),VLOOKUP(G65,#REF!,7,FALSE),"")</f>
        <v/>
      </c>
    </row>
    <row r="66" spans="1:21" x14ac:dyDescent="0.25">
      <c r="A66" s="278">
        <v>1</v>
      </c>
      <c r="C66" s="278">
        <f t="shared" ref="C66:C129" si="5">IF(E66=E65,C65+1,1)</f>
        <v>4</v>
      </c>
      <c r="D66" s="278">
        <f t="shared" ref="D66:D129" si="6">IF(M66=M65,D65,C66)</f>
        <v>2</v>
      </c>
      <c r="E66" s="278">
        <f t="shared" ref="E66:E129" si="7">10+VALUE(RIGHT(LEFT(G66,3),1))</f>
        <v>13</v>
      </c>
      <c r="F66" s="278" t="str">
        <f t="shared" ref="F66:F129" si="8">RIGHT(G66,2) &amp; IF(A66&lt;2,"x","")</f>
        <v>crx</v>
      </c>
      <c r="G66" s="278" t="s">
        <v>372</v>
      </c>
      <c r="H66" s="278" t="s">
        <v>373</v>
      </c>
      <c r="I66" s="278" t="s">
        <v>374</v>
      </c>
      <c r="K66" s="279">
        <f t="shared" ref="K66:K129" si="9">LOOKUP(1E+100,M66:AC66)</f>
        <v>2019.1725953669204</v>
      </c>
      <c r="M66" s="279">
        <v>2000</v>
      </c>
      <c r="N66" s="278">
        <v>2019.1725953669204</v>
      </c>
      <c r="R66" s="278" t="str">
        <f>IF(AND((J66="This"),(L66="Only")),VLOOKUP(G66,#REF!,7,FALSE),"")</f>
        <v/>
      </c>
    </row>
    <row r="67" spans="1:21" x14ac:dyDescent="0.25">
      <c r="A67" s="278">
        <v>4</v>
      </c>
      <c r="C67" s="278">
        <f t="shared" si="5"/>
        <v>5</v>
      </c>
      <c r="D67" s="278">
        <f t="shared" si="6"/>
        <v>2</v>
      </c>
      <c r="E67" s="278">
        <f t="shared" si="7"/>
        <v>13</v>
      </c>
      <c r="F67" s="278" t="str">
        <f t="shared" si="8"/>
        <v>pm</v>
      </c>
      <c r="G67" s="278" t="s">
        <v>375</v>
      </c>
      <c r="H67" s="278" t="s">
        <v>217</v>
      </c>
      <c r="I67" s="278" t="s">
        <v>376</v>
      </c>
      <c r="K67" s="279">
        <f t="shared" si="9"/>
        <v>2179.8632995599451</v>
      </c>
      <c r="M67" s="279">
        <v>2000</v>
      </c>
      <c r="N67" s="278">
        <v>2136.3174765642048</v>
      </c>
      <c r="R67" s="278" t="str">
        <f>IF(AND((J67="This"),(L67="Only")),VLOOKUP(G67,#REF!,7,FALSE),"")</f>
        <v/>
      </c>
      <c r="U67" s="278">
        <v>2179.8632995599451</v>
      </c>
    </row>
    <row r="68" spans="1:21" x14ac:dyDescent="0.25">
      <c r="A68" s="278">
        <v>6</v>
      </c>
      <c r="C68" s="278">
        <f t="shared" si="5"/>
        <v>6</v>
      </c>
      <c r="D68" s="278">
        <f t="shared" si="6"/>
        <v>2</v>
      </c>
      <c r="E68" s="278">
        <f t="shared" si="7"/>
        <v>13</v>
      </c>
      <c r="F68" s="278" t="str">
        <f t="shared" si="8"/>
        <v>pm</v>
      </c>
      <c r="G68" s="278" t="s">
        <v>377</v>
      </c>
      <c r="H68" s="278" t="s">
        <v>284</v>
      </c>
      <c r="I68" s="278" t="s">
        <v>378</v>
      </c>
      <c r="K68" s="279">
        <f t="shared" si="9"/>
        <v>2056.8719586490975</v>
      </c>
      <c r="M68" s="279">
        <v>2000</v>
      </c>
      <c r="N68" s="278">
        <v>2121.6308368759796</v>
      </c>
      <c r="P68" s="278">
        <v>2175.8772912480499</v>
      </c>
      <c r="R68" s="278" t="str">
        <f>IF(AND((J68="This"),(L68="Only")),VLOOKUP(G68,#REF!,7,FALSE),"")</f>
        <v/>
      </c>
      <c r="S68" s="278">
        <v>2102.4237747330426</v>
      </c>
      <c r="U68" s="278">
        <v>2056.8719586490975</v>
      </c>
    </row>
    <row r="69" spans="1:21" x14ac:dyDescent="0.25">
      <c r="A69" s="278">
        <v>3</v>
      </c>
      <c r="C69" s="278">
        <f t="shared" si="5"/>
        <v>7</v>
      </c>
      <c r="D69" s="278">
        <f t="shared" si="6"/>
        <v>2</v>
      </c>
      <c r="E69" s="278">
        <f t="shared" si="7"/>
        <v>13</v>
      </c>
      <c r="F69" s="278" t="str">
        <f t="shared" si="8"/>
        <v>pm</v>
      </c>
      <c r="G69" s="278" t="s">
        <v>379</v>
      </c>
      <c r="H69" s="278" t="s">
        <v>290</v>
      </c>
      <c r="I69" s="278" t="s">
        <v>380</v>
      </c>
      <c r="K69" s="279">
        <f t="shared" si="9"/>
        <v>2032.4693952819664</v>
      </c>
      <c r="M69" s="279">
        <v>2000</v>
      </c>
      <c r="R69" s="278" t="str">
        <f>IF(AND((J69="This"),(L69="Only")),VLOOKUP(G69,#REF!,7,FALSE),"")</f>
        <v/>
      </c>
      <c r="S69" s="278">
        <v>2019.5944937514193</v>
      </c>
      <c r="U69" s="278">
        <v>2032.4693952819664</v>
      </c>
    </row>
    <row r="70" spans="1:21" x14ac:dyDescent="0.25">
      <c r="A70" s="278">
        <v>1</v>
      </c>
      <c r="C70" s="278">
        <f t="shared" si="5"/>
        <v>8</v>
      </c>
      <c r="D70" s="278">
        <f t="shared" si="6"/>
        <v>2</v>
      </c>
      <c r="E70" s="278">
        <f t="shared" si="7"/>
        <v>13</v>
      </c>
      <c r="F70" s="278" t="str">
        <f t="shared" si="8"/>
        <v>pmx</v>
      </c>
      <c r="G70" s="278" t="s">
        <v>381</v>
      </c>
      <c r="H70" s="278" t="s">
        <v>382</v>
      </c>
      <c r="I70" s="278" t="s">
        <v>383</v>
      </c>
      <c r="K70" s="279">
        <f t="shared" si="9"/>
        <v>2103.1493812409949</v>
      </c>
      <c r="M70" s="279">
        <v>2000</v>
      </c>
      <c r="R70" s="278" t="str">
        <f>IF(AND((J70="This"),(L70="Only")),VLOOKUP(G70,#REF!,7,FALSE),"")</f>
        <v/>
      </c>
      <c r="U70" s="278">
        <v>2103.1493812409949</v>
      </c>
    </row>
    <row r="71" spans="1:21" x14ac:dyDescent="0.25">
      <c r="A71" s="278">
        <v>3</v>
      </c>
      <c r="C71" s="278">
        <f t="shared" si="5"/>
        <v>9</v>
      </c>
      <c r="D71" s="278">
        <f t="shared" si="6"/>
        <v>2</v>
      </c>
      <c r="E71" s="278">
        <f t="shared" si="7"/>
        <v>13</v>
      </c>
      <c r="F71" s="278" t="str">
        <f t="shared" si="8"/>
        <v>pm</v>
      </c>
      <c r="G71" s="278" t="s">
        <v>384</v>
      </c>
      <c r="H71" s="278" t="s">
        <v>385</v>
      </c>
      <c r="I71" s="278" t="s">
        <v>386</v>
      </c>
      <c r="K71" s="279">
        <f t="shared" si="9"/>
        <v>2126.7732935713634</v>
      </c>
      <c r="M71" s="279">
        <v>2000</v>
      </c>
      <c r="N71" s="278">
        <v>2068.8673410456058</v>
      </c>
      <c r="R71" s="278" t="str">
        <f>IF(AND((J71="This"),(L71="Only")),VLOOKUP(G71,#REF!,7,FALSE),"")</f>
        <v/>
      </c>
      <c r="U71" s="278">
        <v>2126.7732935713634</v>
      </c>
    </row>
    <row r="72" spans="1:21" x14ac:dyDescent="0.25">
      <c r="A72" s="278">
        <v>2</v>
      </c>
      <c r="C72" s="278">
        <f t="shared" si="5"/>
        <v>10</v>
      </c>
      <c r="D72" s="278">
        <f t="shared" si="6"/>
        <v>2</v>
      </c>
      <c r="E72" s="278">
        <f t="shared" si="7"/>
        <v>13</v>
      </c>
      <c r="F72" s="278" t="str">
        <f t="shared" si="8"/>
        <v>pm</v>
      </c>
      <c r="G72" s="278" t="s">
        <v>387</v>
      </c>
      <c r="H72" s="278" t="s">
        <v>226</v>
      </c>
      <c r="I72" s="278" t="s">
        <v>388</v>
      </c>
      <c r="K72" s="279">
        <f t="shared" si="9"/>
        <v>2070.7625433400967</v>
      </c>
      <c r="M72" s="279">
        <v>2000</v>
      </c>
      <c r="R72" s="278" t="str">
        <f>IF(AND((J72="This"),(L72="Only")),VLOOKUP(G72,#REF!,7,FALSE),"")</f>
        <v/>
      </c>
      <c r="S72" s="278">
        <v>2070.7625433400967</v>
      </c>
    </row>
    <row r="73" spans="1:21" x14ac:dyDescent="0.25">
      <c r="A73" s="278">
        <v>2</v>
      </c>
      <c r="C73" s="278">
        <f t="shared" si="5"/>
        <v>11</v>
      </c>
      <c r="D73" s="278">
        <f t="shared" si="6"/>
        <v>2</v>
      </c>
      <c r="E73" s="278">
        <f t="shared" si="7"/>
        <v>13</v>
      </c>
      <c r="F73" s="278" t="str">
        <f t="shared" si="8"/>
        <v>pm</v>
      </c>
      <c r="G73" s="278" t="s">
        <v>389</v>
      </c>
      <c r="H73" s="278" t="s">
        <v>226</v>
      </c>
      <c r="I73" s="278" t="s">
        <v>390</v>
      </c>
      <c r="K73" s="279">
        <f t="shared" si="9"/>
        <v>1981.8462673264924</v>
      </c>
      <c r="M73" s="279">
        <v>2000</v>
      </c>
      <c r="R73" s="278" t="str">
        <f>IF(AND((J73="This"),(L73="Only")),VLOOKUP(G73,#REF!,7,FALSE),"")</f>
        <v/>
      </c>
      <c r="S73" s="278">
        <v>1981.8462673264924</v>
      </c>
    </row>
    <row r="74" spans="1:21" x14ac:dyDescent="0.25">
      <c r="A74" s="278">
        <v>2</v>
      </c>
      <c r="C74" s="278">
        <f t="shared" si="5"/>
        <v>12</v>
      </c>
      <c r="D74" s="278">
        <f t="shared" si="6"/>
        <v>2</v>
      </c>
      <c r="E74" s="278">
        <f t="shared" si="7"/>
        <v>13</v>
      </c>
      <c r="F74" s="278" t="str">
        <f t="shared" si="8"/>
        <v>pm</v>
      </c>
      <c r="G74" s="278" t="s">
        <v>391</v>
      </c>
      <c r="H74" s="278" t="s">
        <v>226</v>
      </c>
      <c r="I74" s="278" t="s">
        <v>392</v>
      </c>
      <c r="K74" s="279">
        <f t="shared" si="9"/>
        <v>2000</v>
      </c>
      <c r="M74" s="279">
        <v>2000</v>
      </c>
      <c r="R74" s="278" t="str">
        <f>IF(AND((J74="This"),(L74="Only")),VLOOKUP(G74,#REF!,7,FALSE),"")</f>
        <v/>
      </c>
    </row>
    <row r="75" spans="1:21" x14ac:dyDescent="0.25">
      <c r="A75" s="278">
        <v>3</v>
      </c>
      <c r="C75" s="278">
        <f t="shared" si="5"/>
        <v>13</v>
      </c>
      <c r="D75" s="278">
        <f t="shared" si="6"/>
        <v>2</v>
      </c>
      <c r="E75" s="278">
        <f t="shared" si="7"/>
        <v>13</v>
      </c>
      <c r="F75" s="278" t="str">
        <f t="shared" si="8"/>
        <v>pm</v>
      </c>
      <c r="G75" s="278" t="s">
        <v>393</v>
      </c>
      <c r="H75" s="278" t="s">
        <v>315</v>
      </c>
      <c r="I75" s="278" t="s">
        <v>394</v>
      </c>
      <c r="K75" s="279">
        <f t="shared" si="9"/>
        <v>1890.178619221768</v>
      </c>
      <c r="M75" s="279">
        <v>2000</v>
      </c>
      <c r="P75" s="278">
        <v>1982.4597396585023</v>
      </c>
      <c r="R75" s="278" t="str">
        <f>IF(AND((J75="This"),(L75="Only")),VLOOKUP(G75,#REF!,7,FALSE),"")</f>
        <v/>
      </c>
      <c r="S75" s="278">
        <v>1890.178619221768</v>
      </c>
    </row>
    <row r="76" spans="1:21" x14ac:dyDescent="0.25">
      <c r="A76" s="278">
        <v>3</v>
      </c>
      <c r="C76" s="278">
        <f t="shared" si="5"/>
        <v>14</v>
      </c>
      <c r="D76" s="278">
        <f t="shared" si="6"/>
        <v>2</v>
      </c>
      <c r="E76" s="278">
        <f t="shared" si="7"/>
        <v>13</v>
      </c>
      <c r="F76" s="278" t="str">
        <f t="shared" si="8"/>
        <v>pm</v>
      </c>
      <c r="G76" s="278" t="s">
        <v>395</v>
      </c>
      <c r="H76" s="278" t="s">
        <v>315</v>
      </c>
      <c r="I76" s="278" t="s">
        <v>396</v>
      </c>
      <c r="K76" s="279">
        <f t="shared" si="9"/>
        <v>1903.1806533714757</v>
      </c>
      <c r="M76" s="279">
        <v>2000</v>
      </c>
      <c r="P76" s="278">
        <v>1955.7555748936616</v>
      </c>
      <c r="R76" s="278" t="str">
        <f>IF(AND((J76="This"),(L76="Only")),VLOOKUP(G76,#REF!,7,FALSE),"")</f>
        <v/>
      </c>
      <c r="S76" s="278">
        <v>1903.1806533714757</v>
      </c>
    </row>
    <row r="77" spans="1:21" x14ac:dyDescent="0.25">
      <c r="A77" s="278">
        <v>1</v>
      </c>
      <c r="C77" s="278">
        <f t="shared" si="5"/>
        <v>15</v>
      </c>
      <c r="D77" s="278">
        <f t="shared" si="6"/>
        <v>2</v>
      </c>
      <c r="E77" s="278">
        <f t="shared" si="7"/>
        <v>13</v>
      </c>
      <c r="F77" s="278" t="str">
        <f t="shared" si="8"/>
        <v>odx</v>
      </c>
      <c r="G77" s="278" t="s">
        <v>397</v>
      </c>
      <c r="H77" s="278" t="s">
        <v>398</v>
      </c>
      <c r="I77" s="278" t="s">
        <v>399</v>
      </c>
      <c r="K77" s="279">
        <f t="shared" si="9"/>
        <v>1968.9126868555159</v>
      </c>
      <c r="M77" s="279">
        <v>2000</v>
      </c>
      <c r="R77" s="278" t="str">
        <f>IF(AND((J77="This"),(L77="Only")),VLOOKUP(G77,#REF!,7,FALSE),"")</f>
        <v/>
      </c>
      <c r="U77" s="278">
        <v>1968.9126868555159</v>
      </c>
    </row>
    <row r="78" spans="1:21" x14ac:dyDescent="0.25">
      <c r="A78" s="278">
        <v>2</v>
      </c>
      <c r="C78" s="278">
        <f t="shared" si="5"/>
        <v>16</v>
      </c>
      <c r="D78" s="278">
        <f t="shared" si="6"/>
        <v>2</v>
      </c>
      <c r="E78" s="278">
        <f t="shared" si="7"/>
        <v>13</v>
      </c>
      <c r="F78" s="278" t="str">
        <f t="shared" si="8"/>
        <v>pm</v>
      </c>
      <c r="G78" s="278" t="s">
        <v>400</v>
      </c>
      <c r="H78" s="278" t="s">
        <v>232</v>
      </c>
      <c r="I78" s="278" t="s">
        <v>401</v>
      </c>
      <c r="K78" s="279">
        <f t="shared" si="9"/>
        <v>1993.5078969377387</v>
      </c>
      <c r="M78" s="279">
        <v>2000</v>
      </c>
      <c r="R78" s="278" t="str">
        <f>IF(AND((J78="This"),(L78="Only")),VLOOKUP(G78,#REF!,7,FALSE),"")</f>
        <v/>
      </c>
      <c r="U78" s="278">
        <v>1993.5078969377387</v>
      </c>
    </row>
    <row r="79" spans="1:21" x14ac:dyDescent="0.25">
      <c r="A79" s="278">
        <v>1</v>
      </c>
      <c r="C79" s="278">
        <f t="shared" si="5"/>
        <v>17</v>
      </c>
      <c r="D79" s="278">
        <f t="shared" si="6"/>
        <v>2</v>
      </c>
      <c r="E79" s="278">
        <f t="shared" si="7"/>
        <v>13</v>
      </c>
      <c r="F79" s="278" t="str">
        <f t="shared" si="8"/>
        <v>crx</v>
      </c>
      <c r="G79" s="278" t="s">
        <v>402</v>
      </c>
      <c r="H79" s="278" t="s">
        <v>403</v>
      </c>
      <c r="I79" s="278" t="s">
        <v>404</v>
      </c>
      <c r="K79" s="279">
        <f t="shared" si="9"/>
        <v>1965.1680982309992</v>
      </c>
      <c r="M79" s="279">
        <v>2000</v>
      </c>
      <c r="R79" s="278" t="str">
        <f>IF(AND((J79="This"),(L79="Only")),VLOOKUP(G79,#REF!,7,FALSE),"")</f>
        <v/>
      </c>
      <c r="U79" s="278">
        <v>1965.1680982309992</v>
      </c>
    </row>
    <row r="80" spans="1:21" x14ac:dyDescent="0.25">
      <c r="A80" s="278">
        <v>1</v>
      </c>
      <c r="C80" s="278">
        <f t="shared" si="5"/>
        <v>18</v>
      </c>
      <c r="D80" s="278">
        <f t="shared" si="6"/>
        <v>2</v>
      </c>
      <c r="E80" s="278">
        <f t="shared" si="7"/>
        <v>13</v>
      </c>
      <c r="F80" s="278" t="str">
        <f t="shared" si="8"/>
        <v>crx</v>
      </c>
      <c r="G80" s="278" t="s">
        <v>405</v>
      </c>
      <c r="H80" s="278" t="s">
        <v>328</v>
      </c>
      <c r="I80" s="278" t="s">
        <v>406</v>
      </c>
      <c r="K80" s="279">
        <f t="shared" si="9"/>
        <v>1940.6695289847978</v>
      </c>
      <c r="M80" s="279">
        <v>2000</v>
      </c>
      <c r="P80" s="278">
        <v>1940.6695289847978</v>
      </c>
      <c r="R80" s="278" t="str">
        <f>IF(AND((J80="This"),(L80="Only")),VLOOKUP(G80,#REF!,7,FALSE),"")</f>
        <v/>
      </c>
    </row>
    <row r="81" spans="1:22" x14ac:dyDescent="0.25">
      <c r="A81" s="278">
        <v>1</v>
      </c>
      <c r="C81" s="278">
        <f t="shared" si="5"/>
        <v>19</v>
      </c>
      <c r="D81" s="278">
        <f t="shared" si="6"/>
        <v>2</v>
      </c>
      <c r="E81" s="278">
        <f t="shared" si="7"/>
        <v>13</v>
      </c>
      <c r="F81" s="278" t="str">
        <f t="shared" si="8"/>
        <v>pmx</v>
      </c>
      <c r="G81" s="278" t="s">
        <v>407</v>
      </c>
      <c r="H81" s="278" t="s">
        <v>239</v>
      </c>
      <c r="I81" s="278" t="s">
        <v>408</v>
      </c>
      <c r="K81" s="279">
        <f t="shared" si="9"/>
        <v>2000</v>
      </c>
      <c r="M81" s="279">
        <v>2000</v>
      </c>
      <c r="R81" s="278" t="str">
        <f>IF(AND((J81="This"),(L81="Only")),VLOOKUP(G81,#REF!,7,FALSE),"")</f>
        <v/>
      </c>
    </row>
    <row r="82" spans="1:22" x14ac:dyDescent="0.25">
      <c r="A82" s="278">
        <v>1</v>
      </c>
      <c r="C82" s="278">
        <f t="shared" si="5"/>
        <v>20</v>
      </c>
      <c r="D82" s="278">
        <f t="shared" si="6"/>
        <v>2</v>
      </c>
      <c r="E82" s="278">
        <f t="shared" si="7"/>
        <v>13</v>
      </c>
      <c r="F82" s="278" t="str">
        <f t="shared" si="8"/>
        <v>pmx</v>
      </c>
      <c r="G82" s="278" t="s">
        <v>409</v>
      </c>
      <c r="H82" s="278" t="s">
        <v>239</v>
      </c>
      <c r="I82" s="278" t="s">
        <v>410</v>
      </c>
      <c r="K82" s="279">
        <f t="shared" si="9"/>
        <v>2000</v>
      </c>
      <c r="M82" s="279">
        <v>2000</v>
      </c>
      <c r="R82" s="278" t="str">
        <f>IF(AND((J82="This"),(L82="Only")),VLOOKUP(G82,#REF!,7,FALSE),"")</f>
        <v/>
      </c>
    </row>
    <row r="83" spans="1:22" x14ac:dyDescent="0.25">
      <c r="A83" s="278">
        <v>1</v>
      </c>
      <c r="C83" s="278">
        <f t="shared" si="5"/>
        <v>21</v>
      </c>
      <c r="D83" s="278">
        <f t="shared" si="6"/>
        <v>2</v>
      </c>
      <c r="E83" s="278">
        <f t="shared" si="7"/>
        <v>13</v>
      </c>
      <c r="F83" s="278" t="str">
        <f t="shared" si="8"/>
        <v>pmx</v>
      </c>
      <c r="G83" s="278" t="s">
        <v>411</v>
      </c>
      <c r="H83" s="278" t="s">
        <v>239</v>
      </c>
      <c r="I83" s="278" t="s">
        <v>412</v>
      </c>
      <c r="K83" s="279">
        <f t="shared" si="9"/>
        <v>2000</v>
      </c>
      <c r="M83" s="279">
        <v>2000</v>
      </c>
      <c r="R83" s="278" t="str">
        <f>IF(AND((J83="This"),(L83="Only")),VLOOKUP(G83,#REF!,7,FALSE),"")</f>
        <v/>
      </c>
    </row>
    <row r="84" spans="1:22" x14ac:dyDescent="0.25">
      <c r="A84" s="278">
        <v>1</v>
      </c>
      <c r="C84" s="278">
        <f t="shared" si="5"/>
        <v>22</v>
      </c>
      <c r="D84" s="278">
        <f t="shared" si="6"/>
        <v>2</v>
      </c>
      <c r="E84" s="278">
        <f t="shared" si="7"/>
        <v>13</v>
      </c>
      <c r="F84" s="278" t="str">
        <f t="shared" si="8"/>
        <v>pmx</v>
      </c>
      <c r="G84" s="278" t="s">
        <v>413</v>
      </c>
      <c r="H84" s="278" t="s">
        <v>239</v>
      </c>
      <c r="I84" s="278" t="s">
        <v>414</v>
      </c>
      <c r="K84" s="279">
        <f t="shared" si="9"/>
        <v>2000</v>
      </c>
      <c r="M84" s="279">
        <v>2000</v>
      </c>
      <c r="R84" s="278" t="str">
        <f>IF(AND((J84="This"),(L84="Only")),VLOOKUP(G84,#REF!,7,FALSE),"")</f>
        <v/>
      </c>
    </row>
    <row r="85" spans="1:22" x14ac:dyDescent="0.25">
      <c r="A85" s="278">
        <v>3</v>
      </c>
      <c r="C85" s="278">
        <f t="shared" si="5"/>
        <v>23</v>
      </c>
      <c r="D85" s="278">
        <f t="shared" si="6"/>
        <v>2</v>
      </c>
      <c r="E85" s="278">
        <f t="shared" si="7"/>
        <v>13</v>
      </c>
      <c r="F85" s="278" t="str">
        <f t="shared" si="8"/>
        <v>pm</v>
      </c>
      <c r="G85" s="278" t="s">
        <v>415</v>
      </c>
      <c r="H85" s="278" t="s">
        <v>416</v>
      </c>
      <c r="I85" s="278" t="s">
        <v>417</v>
      </c>
      <c r="K85" s="279">
        <f t="shared" si="9"/>
        <v>2108.9668891287279</v>
      </c>
      <c r="M85" s="279">
        <v>2000</v>
      </c>
      <c r="P85" s="278">
        <v>2108.9668891287279</v>
      </c>
      <c r="R85" s="278" t="str">
        <f>IF(AND((J85="This"),(L85="Only")),VLOOKUP(G85,#REF!,7,FALSE),"")</f>
        <v/>
      </c>
    </row>
    <row r="86" spans="1:22" x14ac:dyDescent="0.25">
      <c r="A86" s="278">
        <v>4</v>
      </c>
      <c r="C86" s="278">
        <f t="shared" si="5"/>
        <v>24</v>
      </c>
      <c r="D86" s="278">
        <f t="shared" si="6"/>
        <v>24</v>
      </c>
      <c r="E86" s="278">
        <f t="shared" si="7"/>
        <v>13</v>
      </c>
      <c r="F86" s="278" t="str">
        <f t="shared" si="8"/>
        <v>pm</v>
      </c>
      <c r="G86" s="278" t="s">
        <v>418</v>
      </c>
      <c r="H86" s="278" t="s">
        <v>252</v>
      </c>
      <c r="I86" s="278" t="s">
        <v>419</v>
      </c>
      <c r="K86" s="279">
        <f t="shared" si="9"/>
        <v>2043.9635883050619</v>
      </c>
      <c r="M86" s="279">
        <v>1950</v>
      </c>
      <c r="R86" s="278" t="str">
        <f>IF(AND((J86="This"),(L86="Only")),VLOOKUP(G86,#REF!,7,FALSE),"")</f>
        <v/>
      </c>
      <c r="S86" s="278">
        <v>2043.9635883050619</v>
      </c>
    </row>
    <row r="87" spans="1:22" x14ac:dyDescent="0.25">
      <c r="A87" s="278">
        <v>5</v>
      </c>
      <c r="C87" s="278">
        <f t="shared" si="5"/>
        <v>25</v>
      </c>
      <c r="D87" s="278">
        <f t="shared" si="6"/>
        <v>25</v>
      </c>
      <c r="E87" s="278">
        <f t="shared" si="7"/>
        <v>13</v>
      </c>
      <c r="F87" s="278" t="str">
        <f t="shared" si="8"/>
        <v>pm</v>
      </c>
      <c r="G87" s="278" t="s">
        <v>420</v>
      </c>
      <c r="H87" s="278" t="s">
        <v>252</v>
      </c>
      <c r="I87" s="278" t="s">
        <v>421</v>
      </c>
      <c r="K87" s="279">
        <f t="shared" si="9"/>
        <v>1725.6641033884546</v>
      </c>
      <c r="M87" s="279">
        <v>1920</v>
      </c>
      <c r="P87" s="278">
        <v>1850.7216154182379</v>
      </c>
      <c r="R87" s="278" t="str">
        <f>IF(AND((J87="This"),(L87="Only")),VLOOKUP(G87,#REF!,7,FALSE),"")</f>
        <v/>
      </c>
      <c r="S87" s="278">
        <v>1725.6641033884546</v>
      </c>
    </row>
    <row r="88" spans="1:22" x14ac:dyDescent="0.25">
      <c r="A88" s="278">
        <v>3</v>
      </c>
      <c r="C88" s="278">
        <f t="shared" si="5"/>
        <v>26</v>
      </c>
      <c r="D88" s="278">
        <f t="shared" si="6"/>
        <v>26</v>
      </c>
      <c r="E88" s="278">
        <f t="shared" si="7"/>
        <v>13</v>
      </c>
      <c r="F88" s="278" t="str">
        <f t="shared" si="8"/>
        <v>pm</v>
      </c>
      <c r="G88" s="278" t="s">
        <v>422</v>
      </c>
      <c r="H88" s="278" t="s">
        <v>423</v>
      </c>
      <c r="I88" s="278" t="s">
        <v>423</v>
      </c>
      <c r="K88" s="279">
        <f t="shared" si="9"/>
        <v>1853.6534291311473</v>
      </c>
      <c r="M88" s="279">
        <v>1800</v>
      </c>
      <c r="O88" s="278">
        <v>1834.3577946522198</v>
      </c>
      <c r="R88" s="278" t="str">
        <f>IF(AND((J88="This"),(L88="Only")),VLOOKUP(G88,#REF!,7,FALSE),"")</f>
        <v/>
      </c>
      <c r="S88" s="278">
        <v>1820.8676337248239</v>
      </c>
      <c r="V88" s="278">
        <v>1853.6534291311473</v>
      </c>
    </row>
    <row r="89" spans="1:22" x14ac:dyDescent="0.25">
      <c r="A89" s="278">
        <v>1</v>
      </c>
      <c r="C89" s="278">
        <f t="shared" si="5"/>
        <v>27</v>
      </c>
      <c r="D89" s="278">
        <f t="shared" si="6"/>
        <v>26</v>
      </c>
      <c r="E89" s="278">
        <f t="shared" si="7"/>
        <v>13</v>
      </c>
      <c r="F89" s="278" t="str">
        <f t="shared" si="8"/>
        <v>crx</v>
      </c>
      <c r="G89" s="278" t="s">
        <v>424</v>
      </c>
      <c r="H89" s="278" t="s">
        <v>425</v>
      </c>
      <c r="I89" s="278" t="s">
        <v>426</v>
      </c>
      <c r="K89" s="279">
        <f t="shared" si="9"/>
        <v>1860.0180291254051</v>
      </c>
      <c r="M89" s="279">
        <v>1800</v>
      </c>
      <c r="O89" s="278">
        <v>1860.0180291254051</v>
      </c>
      <c r="R89" s="278" t="str">
        <f>IF(AND((J89="This"),(L89="Only")),VLOOKUP(G89,#REF!,7,FALSE),"")</f>
        <v/>
      </c>
    </row>
    <row r="90" spans="1:22" x14ac:dyDescent="0.25">
      <c r="A90" s="278">
        <v>5</v>
      </c>
      <c r="C90" s="278">
        <f t="shared" si="5"/>
        <v>28</v>
      </c>
      <c r="D90" s="278">
        <f t="shared" si="6"/>
        <v>28</v>
      </c>
      <c r="E90" s="278">
        <f t="shared" si="7"/>
        <v>13</v>
      </c>
      <c r="F90" s="278" t="str">
        <f t="shared" si="8"/>
        <v>pm</v>
      </c>
      <c r="G90" s="278" t="s">
        <v>427</v>
      </c>
      <c r="H90" s="278" t="s">
        <v>223</v>
      </c>
      <c r="I90" s="278" t="s">
        <v>428</v>
      </c>
      <c r="K90" s="279">
        <f t="shared" si="9"/>
        <v>1795.4888670336384</v>
      </c>
      <c r="M90" s="279">
        <v>1760</v>
      </c>
      <c r="O90" s="278">
        <v>1754.0671620760272</v>
      </c>
      <c r="R90" s="278" t="str">
        <f>IF(AND((J90="This"),(L90="Only")),VLOOKUP(G90,#REF!,7,FALSE),"")</f>
        <v/>
      </c>
      <c r="S90" s="278">
        <v>1795.4888670336384</v>
      </c>
    </row>
    <row r="91" spans="1:22" x14ac:dyDescent="0.25">
      <c r="A91" s="278">
        <v>3</v>
      </c>
      <c r="C91" s="278">
        <f t="shared" si="5"/>
        <v>29</v>
      </c>
      <c r="D91" s="278">
        <f t="shared" si="6"/>
        <v>29</v>
      </c>
      <c r="E91" s="278">
        <f t="shared" si="7"/>
        <v>13</v>
      </c>
      <c r="F91" s="278" t="str">
        <f t="shared" si="8"/>
        <v>pm</v>
      </c>
      <c r="G91" s="278" t="s">
        <v>429</v>
      </c>
      <c r="H91" s="278" t="s">
        <v>268</v>
      </c>
      <c r="I91" s="278" t="s">
        <v>430</v>
      </c>
      <c r="K91" s="279">
        <f t="shared" si="9"/>
        <v>1800.3799320591111</v>
      </c>
      <c r="M91" s="279">
        <v>1733.3333333333333</v>
      </c>
      <c r="O91" s="278">
        <v>1800.3799320591111</v>
      </c>
      <c r="R91" s="278" t="str">
        <f>IF(AND((J91="This"),(L91="Only")),VLOOKUP(G91,#REF!,7,FALSE),"")</f>
        <v/>
      </c>
    </row>
    <row r="92" spans="1:22" x14ac:dyDescent="0.25">
      <c r="A92" s="278">
        <v>3</v>
      </c>
      <c r="C92" s="278">
        <f t="shared" si="5"/>
        <v>30</v>
      </c>
      <c r="D92" s="278">
        <f t="shared" si="6"/>
        <v>29</v>
      </c>
      <c r="E92" s="278">
        <f t="shared" si="7"/>
        <v>13</v>
      </c>
      <c r="F92" s="278" t="str">
        <f t="shared" si="8"/>
        <v>pm</v>
      </c>
      <c r="G92" s="278" t="s">
        <v>431</v>
      </c>
      <c r="H92" s="278" t="s">
        <v>226</v>
      </c>
      <c r="I92" s="278" t="s">
        <v>432</v>
      </c>
      <c r="K92" s="279">
        <f t="shared" si="9"/>
        <v>1767.6030214270597</v>
      </c>
      <c r="M92" s="279">
        <v>1733.3333333333333</v>
      </c>
      <c r="R92" s="278" t="str">
        <f>IF(AND((J92="This"),(L92="Only")),VLOOKUP(G92,#REF!,7,FALSE),"")</f>
        <v/>
      </c>
      <c r="S92" s="278">
        <v>1767.6030214270597</v>
      </c>
    </row>
    <row r="93" spans="1:22" x14ac:dyDescent="0.25">
      <c r="A93" s="278">
        <v>5</v>
      </c>
      <c r="C93" s="278">
        <f t="shared" si="5"/>
        <v>31</v>
      </c>
      <c r="D93" s="278">
        <f t="shared" si="6"/>
        <v>31</v>
      </c>
      <c r="E93" s="278">
        <f t="shared" si="7"/>
        <v>13</v>
      </c>
      <c r="F93" s="278" t="str">
        <f t="shared" si="8"/>
        <v>pm</v>
      </c>
      <c r="G93" s="278" t="s">
        <v>433</v>
      </c>
      <c r="H93" s="278" t="s">
        <v>434</v>
      </c>
      <c r="I93" s="278" t="s">
        <v>435</v>
      </c>
      <c r="K93" s="279">
        <f t="shared" si="9"/>
        <v>1868.4106312164884</v>
      </c>
      <c r="M93" s="279">
        <v>1680</v>
      </c>
      <c r="O93" s="278">
        <v>1727.4141373732955</v>
      </c>
      <c r="R93" s="278" t="str">
        <f>IF(AND((J93="This"),(L93="Only")),VLOOKUP(G93,#REF!,7,FALSE),"")</f>
        <v/>
      </c>
      <c r="S93" s="278">
        <v>1802.3707013759865</v>
      </c>
      <c r="U93" s="278">
        <v>1818.9402748303323</v>
      </c>
      <c r="V93" s="278">
        <v>1868.4106312164884</v>
      </c>
    </row>
    <row r="94" spans="1:22" x14ac:dyDescent="0.25">
      <c r="A94" s="278">
        <v>5</v>
      </c>
      <c r="C94" s="278">
        <f t="shared" si="5"/>
        <v>32</v>
      </c>
      <c r="D94" s="278">
        <f t="shared" si="6"/>
        <v>31</v>
      </c>
      <c r="E94" s="278">
        <f t="shared" si="7"/>
        <v>13</v>
      </c>
      <c r="F94" s="278" t="str">
        <f t="shared" si="8"/>
        <v>pm</v>
      </c>
      <c r="G94" s="278" t="s">
        <v>436</v>
      </c>
      <c r="H94" s="278" t="s">
        <v>434</v>
      </c>
      <c r="I94" s="278" t="s">
        <v>437</v>
      </c>
      <c r="K94" s="279">
        <f t="shared" si="9"/>
        <v>1532.3959580712301</v>
      </c>
      <c r="M94" s="279">
        <v>1680</v>
      </c>
      <c r="O94" s="278">
        <v>1638.9266878949168</v>
      </c>
      <c r="R94" s="278" t="str">
        <f>IF(AND((J94="This"),(L94="Only")),VLOOKUP(G94,#REF!,7,FALSE),"")</f>
        <v/>
      </c>
      <c r="S94" s="278">
        <v>1615.8472257401343</v>
      </c>
      <c r="V94" s="278">
        <v>1532.3959580712301</v>
      </c>
    </row>
    <row r="95" spans="1:22" x14ac:dyDescent="0.25">
      <c r="A95" s="278">
        <v>2</v>
      </c>
      <c r="C95" s="278">
        <f t="shared" si="5"/>
        <v>33</v>
      </c>
      <c r="D95" s="278">
        <f t="shared" si="6"/>
        <v>33</v>
      </c>
      <c r="E95" s="278">
        <f t="shared" si="7"/>
        <v>13</v>
      </c>
      <c r="F95" s="278" t="str">
        <f t="shared" si="8"/>
        <v>cr</v>
      </c>
      <c r="G95" s="278" t="s">
        <v>438</v>
      </c>
      <c r="H95" s="278" t="s">
        <v>229</v>
      </c>
      <c r="I95" s="278" t="s">
        <v>439</v>
      </c>
      <c r="K95" s="279">
        <f t="shared" si="9"/>
        <v>1600</v>
      </c>
      <c r="M95" s="279">
        <v>1600</v>
      </c>
      <c r="R95" s="278" t="str">
        <f>IF(AND((J95="This"),(L95="Only")),VLOOKUP(G95,#REF!,7,FALSE),"")</f>
        <v/>
      </c>
    </row>
    <row r="96" spans="1:22" x14ac:dyDescent="0.25">
      <c r="A96" s="278">
        <v>3</v>
      </c>
      <c r="C96" s="278">
        <f t="shared" si="5"/>
        <v>34</v>
      </c>
      <c r="D96" s="278">
        <f t="shared" si="6"/>
        <v>33</v>
      </c>
      <c r="E96" s="278">
        <f t="shared" si="7"/>
        <v>13</v>
      </c>
      <c r="F96" s="278" t="str">
        <f t="shared" si="8"/>
        <v>cr</v>
      </c>
      <c r="G96" s="278" t="s">
        <v>440</v>
      </c>
      <c r="H96" s="278" t="s">
        <v>229</v>
      </c>
      <c r="I96" s="278" t="s">
        <v>441</v>
      </c>
      <c r="K96" s="279">
        <f t="shared" si="9"/>
        <v>1637.3083549280275</v>
      </c>
      <c r="M96" s="279">
        <v>1600</v>
      </c>
      <c r="R96" s="278" t="str">
        <f>IF(AND((J96="This"),(L96="Only")),VLOOKUP(G96,#REF!,7,FALSE),"")</f>
        <v/>
      </c>
      <c r="S96" s="278">
        <v>1637.3083549280275</v>
      </c>
    </row>
    <row r="97" spans="1:22" x14ac:dyDescent="0.25">
      <c r="A97" s="278">
        <v>1</v>
      </c>
      <c r="C97" s="278">
        <f t="shared" si="5"/>
        <v>35</v>
      </c>
      <c r="D97" s="278">
        <f t="shared" si="6"/>
        <v>33</v>
      </c>
      <c r="E97" s="278">
        <f t="shared" si="7"/>
        <v>13</v>
      </c>
      <c r="F97" s="278" t="str">
        <f t="shared" si="8"/>
        <v>crx</v>
      </c>
      <c r="G97" s="278" t="s">
        <v>442</v>
      </c>
      <c r="H97" s="278" t="s">
        <v>229</v>
      </c>
      <c r="I97" s="278" t="s">
        <v>443</v>
      </c>
      <c r="K97" s="279">
        <f t="shared" si="9"/>
        <v>1523.7931400751718</v>
      </c>
      <c r="M97" s="279">
        <v>1600</v>
      </c>
      <c r="R97" s="278" t="str">
        <f>IF(AND((J97="This"),(L97="Only")),VLOOKUP(G97,#REF!,7,FALSE),"")</f>
        <v/>
      </c>
      <c r="S97" s="278">
        <v>1523.7931400751718</v>
      </c>
    </row>
    <row r="98" spans="1:22" x14ac:dyDescent="0.25">
      <c r="A98" s="278">
        <v>5</v>
      </c>
      <c r="C98" s="278">
        <f t="shared" si="5"/>
        <v>36</v>
      </c>
      <c r="D98" s="278">
        <f t="shared" si="6"/>
        <v>33</v>
      </c>
      <c r="E98" s="278">
        <f t="shared" si="7"/>
        <v>13</v>
      </c>
      <c r="F98" s="278" t="str">
        <f t="shared" si="8"/>
        <v>pm</v>
      </c>
      <c r="G98" s="278" t="s">
        <v>444</v>
      </c>
      <c r="H98" s="278" t="s">
        <v>445</v>
      </c>
      <c r="I98" s="278" t="s">
        <v>446</v>
      </c>
      <c r="K98" s="279">
        <f t="shared" si="9"/>
        <v>1467.8957556218759</v>
      </c>
      <c r="M98" s="279">
        <v>1600</v>
      </c>
      <c r="O98" s="278">
        <v>1543.1379599637289</v>
      </c>
      <c r="R98" s="278" t="str">
        <f>IF(AND((J98="This"),(L98="Only")),VLOOKUP(G98,#REF!,7,FALSE),"")</f>
        <v/>
      </c>
      <c r="T98" s="278">
        <v>1458.4555688261864</v>
      </c>
      <c r="V98" s="278">
        <v>1467.8957556218759</v>
      </c>
    </row>
    <row r="99" spans="1:22" x14ac:dyDescent="0.25">
      <c r="A99" s="278">
        <v>4</v>
      </c>
      <c r="C99" s="278">
        <f t="shared" si="5"/>
        <v>37</v>
      </c>
      <c r="D99" s="278">
        <f t="shared" si="6"/>
        <v>33</v>
      </c>
      <c r="E99" s="278">
        <f t="shared" si="7"/>
        <v>13</v>
      </c>
      <c r="F99" s="278" t="str">
        <f t="shared" si="8"/>
        <v>pm</v>
      </c>
      <c r="G99" s="278" t="s">
        <v>447</v>
      </c>
      <c r="H99" s="278" t="s">
        <v>268</v>
      </c>
      <c r="I99" s="278" t="s">
        <v>448</v>
      </c>
      <c r="K99" s="279">
        <f t="shared" si="9"/>
        <v>1605.5410773854333</v>
      </c>
      <c r="M99" s="279">
        <v>1600</v>
      </c>
      <c r="O99" s="278">
        <v>1510.6135428350065</v>
      </c>
      <c r="R99" s="278" t="str">
        <f>IF(AND((J99="This"),(L99="Only")),VLOOKUP(G99,#REF!,7,FALSE),"")</f>
        <v/>
      </c>
      <c r="V99" s="278">
        <v>1605.5410773854333</v>
      </c>
    </row>
    <row r="100" spans="1:22" x14ac:dyDescent="0.25">
      <c r="A100" s="278">
        <v>3</v>
      </c>
      <c r="C100" s="278">
        <f t="shared" si="5"/>
        <v>38</v>
      </c>
      <c r="D100" s="278">
        <f t="shared" si="6"/>
        <v>33</v>
      </c>
      <c r="E100" s="278">
        <f t="shared" si="7"/>
        <v>13</v>
      </c>
      <c r="F100" s="278" t="str">
        <f t="shared" si="8"/>
        <v>pm</v>
      </c>
      <c r="G100" s="278" t="s">
        <v>449</v>
      </c>
      <c r="H100" s="278" t="s">
        <v>217</v>
      </c>
      <c r="I100" s="278" t="s">
        <v>450</v>
      </c>
      <c r="K100" s="279">
        <f t="shared" si="9"/>
        <v>1718.3151948204377</v>
      </c>
      <c r="M100" s="279">
        <v>1600</v>
      </c>
      <c r="O100" s="278">
        <v>1640.5992668477998</v>
      </c>
      <c r="R100" s="278" t="str">
        <f>IF(AND((J100="This"),(L100="Only")),VLOOKUP(G100,#REF!,7,FALSE),"")</f>
        <v/>
      </c>
      <c r="S100" s="278">
        <v>1718.3151948204377</v>
      </c>
    </row>
    <row r="101" spans="1:22" x14ac:dyDescent="0.25">
      <c r="A101" s="278">
        <v>3</v>
      </c>
      <c r="C101" s="278">
        <f t="shared" si="5"/>
        <v>39</v>
      </c>
      <c r="D101" s="278">
        <f t="shared" si="6"/>
        <v>33</v>
      </c>
      <c r="E101" s="278">
        <f t="shared" si="7"/>
        <v>13</v>
      </c>
      <c r="F101" s="278" t="str">
        <f t="shared" si="8"/>
        <v>pm</v>
      </c>
      <c r="G101" s="278" t="s">
        <v>451</v>
      </c>
      <c r="H101" s="278" t="s">
        <v>217</v>
      </c>
      <c r="I101" s="278" t="s">
        <v>452</v>
      </c>
      <c r="K101" s="279">
        <f t="shared" si="9"/>
        <v>1592.2302498222155</v>
      </c>
      <c r="M101" s="279">
        <v>1600</v>
      </c>
      <c r="R101" s="278" t="str">
        <f>IF(AND((J101="This"),(L101="Only")),VLOOKUP(G101,#REF!,7,FALSE),"")</f>
        <v/>
      </c>
      <c r="S101" s="278">
        <v>1612.3030183432836</v>
      </c>
      <c r="T101" s="278">
        <v>1592.2302498222155</v>
      </c>
    </row>
    <row r="102" spans="1:22" x14ac:dyDescent="0.25">
      <c r="A102" s="278">
        <v>3</v>
      </c>
      <c r="C102" s="278">
        <f t="shared" si="5"/>
        <v>40</v>
      </c>
      <c r="D102" s="278">
        <f t="shared" si="6"/>
        <v>33</v>
      </c>
      <c r="E102" s="278">
        <f t="shared" si="7"/>
        <v>13</v>
      </c>
      <c r="F102" s="278" t="str">
        <f t="shared" si="8"/>
        <v>pm</v>
      </c>
      <c r="G102" s="278" t="s">
        <v>453</v>
      </c>
      <c r="H102" s="278" t="s">
        <v>217</v>
      </c>
      <c r="I102" s="278" t="s">
        <v>454</v>
      </c>
      <c r="K102" s="279">
        <f t="shared" si="9"/>
        <v>1559.0584600733771</v>
      </c>
      <c r="M102" s="279">
        <v>1600</v>
      </c>
      <c r="R102" s="278" t="str">
        <f>IF(AND((J102="This"),(L102="Only")),VLOOKUP(G102,#REF!,7,FALSE),"")</f>
        <v/>
      </c>
      <c r="S102" s="278">
        <v>1673.4893306775402</v>
      </c>
      <c r="T102" s="278">
        <v>1559.0584600733771</v>
      </c>
    </row>
    <row r="103" spans="1:22" x14ac:dyDescent="0.25">
      <c r="A103" s="278">
        <v>5</v>
      </c>
      <c r="C103" s="278">
        <f t="shared" si="5"/>
        <v>41</v>
      </c>
      <c r="D103" s="278">
        <f t="shared" si="6"/>
        <v>33</v>
      </c>
      <c r="E103" s="278">
        <f t="shared" si="7"/>
        <v>13</v>
      </c>
      <c r="F103" s="278" t="str">
        <f t="shared" si="8"/>
        <v>pm</v>
      </c>
      <c r="G103" s="278" t="s">
        <v>455</v>
      </c>
      <c r="H103" s="278" t="s">
        <v>281</v>
      </c>
      <c r="I103" s="278" t="s">
        <v>456</v>
      </c>
      <c r="K103" s="279">
        <f t="shared" si="9"/>
        <v>1880.9536423839288</v>
      </c>
      <c r="M103" s="279">
        <v>1600</v>
      </c>
      <c r="O103" s="278">
        <v>1728.897291095632</v>
      </c>
      <c r="R103" s="278" t="str">
        <f>IF(AND((J103="This"),(L103="Only")),VLOOKUP(G103,#REF!,7,FALSE),"")</f>
        <v/>
      </c>
      <c r="S103" s="278">
        <v>1819.6471570862507</v>
      </c>
      <c r="T103" s="278">
        <v>1880.9536423839288</v>
      </c>
    </row>
    <row r="104" spans="1:22" x14ac:dyDescent="0.25">
      <c r="A104" s="278">
        <v>6</v>
      </c>
      <c r="C104" s="278">
        <f t="shared" si="5"/>
        <v>42</v>
      </c>
      <c r="D104" s="278">
        <f t="shared" si="6"/>
        <v>33</v>
      </c>
      <c r="E104" s="278">
        <f t="shared" si="7"/>
        <v>13</v>
      </c>
      <c r="F104" s="278" t="str">
        <f t="shared" si="8"/>
        <v>pm</v>
      </c>
      <c r="G104" s="278" t="s">
        <v>457</v>
      </c>
      <c r="H104" s="278" t="s">
        <v>284</v>
      </c>
      <c r="I104" s="278" t="s">
        <v>458</v>
      </c>
      <c r="K104" s="279">
        <f t="shared" si="9"/>
        <v>1649.1598067006576</v>
      </c>
      <c r="M104" s="279">
        <v>1600</v>
      </c>
      <c r="O104" s="278">
        <v>1625.3262917022503</v>
      </c>
      <c r="R104" s="278" t="str">
        <f>IF(AND((J104="This"),(L104="Only")),VLOOKUP(G104,#REF!,7,FALSE),"")</f>
        <v/>
      </c>
      <c r="S104" s="278">
        <v>1619.5179443157126</v>
      </c>
      <c r="T104" s="278">
        <v>1693.3818306474545</v>
      </c>
      <c r="V104" s="278">
        <v>1649.1598067006576</v>
      </c>
    </row>
    <row r="105" spans="1:22" x14ac:dyDescent="0.25">
      <c r="A105" s="278">
        <v>5</v>
      </c>
      <c r="C105" s="278">
        <f t="shared" si="5"/>
        <v>43</v>
      </c>
      <c r="D105" s="278">
        <f t="shared" si="6"/>
        <v>33</v>
      </c>
      <c r="E105" s="278">
        <f t="shared" si="7"/>
        <v>13</v>
      </c>
      <c r="F105" s="278" t="str">
        <f t="shared" si="8"/>
        <v>pm</v>
      </c>
      <c r="G105" s="278" t="s">
        <v>459</v>
      </c>
      <c r="H105" s="278" t="s">
        <v>284</v>
      </c>
      <c r="I105" s="278" t="s">
        <v>460</v>
      </c>
      <c r="K105" s="279">
        <f t="shared" si="9"/>
        <v>1506.9929479813056</v>
      </c>
      <c r="M105" s="279">
        <v>1600</v>
      </c>
      <c r="R105" s="278" t="str">
        <f>IF(AND((J105="This"),(L105="Only")),VLOOKUP(G105,#REF!,7,FALSE),"")</f>
        <v/>
      </c>
      <c r="S105" s="278">
        <v>1521.1076517388424</v>
      </c>
      <c r="T105" s="278">
        <v>1577.3037892908403</v>
      </c>
      <c r="V105" s="278">
        <v>1506.9929479813056</v>
      </c>
    </row>
    <row r="106" spans="1:22" x14ac:dyDescent="0.25">
      <c r="A106" s="278">
        <v>1</v>
      </c>
      <c r="C106" s="278">
        <f t="shared" si="5"/>
        <v>44</v>
      </c>
      <c r="D106" s="278">
        <f t="shared" si="6"/>
        <v>33</v>
      </c>
      <c r="E106" s="278">
        <f t="shared" si="7"/>
        <v>13</v>
      </c>
      <c r="F106" s="278" t="str">
        <f t="shared" si="8"/>
        <v>sox</v>
      </c>
      <c r="G106" s="278" t="s">
        <v>461</v>
      </c>
      <c r="H106" s="278" t="s">
        <v>462</v>
      </c>
      <c r="I106" s="278" t="s">
        <v>463</v>
      </c>
      <c r="K106" s="279">
        <f t="shared" si="9"/>
        <v>1600</v>
      </c>
      <c r="M106" s="279">
        <v>1600</v>
      </c>
      <c r="R106" s="278" t="str">
        <f>IF(AND((J106="This"),(L106="Only")),VLOOKUP(G106,#REF!,7,FALSE),"")</f>
        <v/>
      </c>
    </row>
    <row r="107" spans="1:22" x14ac:dyDescent="0.25">
      <c r="A107" s="278">
        <v>2</v>
      </c>
      <c r="C107" s="278">
        <f t="shared" si="5"/>
        <v>45</v>
      </c>
      <c r="D107" s="278">
        <f t="shared" si="6"/>
        <v>33</v>
      </c>
      <c r="E107" s="278">
        <f t="shared" si="7"/>
        <v>13</v>
      </c>
      <c r="F107" s="278" t="str">
        <f t="shared" si="8"/>
        <v>so</v>
      </c>
      <c r="G107" s="278" t="s">
        <v>464</v>
      </c>
      <c r="H107" s="278" t="s">
        <v>462</v>
      </c>
      <c r="I107" s="278" t="s">
        <v>465</v>
      </c>
      <c r="K107" s="279">
        <f t="shared" si="9"/>
        <v>1565.2223545511395</v>
      </c>
      <c r="M107" s="279">
        <v>1600</v>
      </c>
      <c r="R107" s="278" t="str">
        <f>IF(AND((J107="This"),(L107="Only")),VLOOKUP(G107,#REF!,7,FALSE),"")</f>
        <v/>
      </c>
      <c r="S107" s="278">
        <v>1565.2223545511395</v>
      </c>
    </row>
    <row r="108" spans="1:22" x14ac:dyDescent="0.25">
      <c r="A108" s="278">
        <v>5</v>
      </c>
      <c r="C108" s="278">
        <f t="shared" si="5"/>
        <v>46</v>
      </c>
      <c r="D108" s="278">
        <f t="shared" si="6"/>
        <v>33</v>
      </c>
      <c r="E108" s="278">
        <f t="shared" si="7"/>
        <v>13</v>
      </c>
      <c r="F108" s="278" t="str">
        <f t="shared" si="8"/>
        <v>pm</v>
      </c>
      <c r="G108" s="278" t="s">
        <v>466</v>
      </c>
      <c r="H108" s="278" t="s">
        <v>287</v>
      </c>
      <c r="I108" s="278" t="s">
        <v>467</v>
      </c>
      <c r="K108" s="279">
        <f t="shared" si="9"/>
        <v>1753.5034142818647</v>
      </c>
      <c r="M108" s="279">
        <v>1600</v>
      </c>
      <c r="O108" s="278">
        <v>1605.2989833259981</v>
      </c>
      <c r="R108" s="278" t="str">
        <f>IF(AND((J108="This"),(L108="Only")),VLOOKUP(G108,#REF!,7,FALSE),"")</f>
        <v/>
      </c>
      <c r="S108" s="278">
        <v>1690.2861109118255</v>
      </c>
      <c r="V108" s="278">
        <v>1753.5034142818647</v>
      </c>
    </row>
    <row r="109" spans="1:22" x14ac:dyDescent="0.25">
      <c r="A109" s="278">
        <v>6</v>
      </c>
      <c r="C109" s="278">
        <f t="shared" si="5"/>
        <v>47</v>
      </c>
      <c r="D109" s="278">
        <f t="shared" si="6"/>
        <v>33</v>
      </c>
      <c r="E109" s="278">
        <f t="shared" si="7"/>
        <v>13</v>
      </c>
      <c r="F109" s="278" t="str">
        <f t="shared" si="8"/>
        <v>pm</v>
      </c>
      <c r="G109" s="278" t="s">
        <v>468</v>
      </c>
      <c r="H109" s="278" t="s">
        <v>293</v>
      </c>
      <c r="I109" s="278" t="s">
        <v>469</v>
      </c>
      <c r="K109" s="279">
        <f t="shared" si="9"/>
        <v>1541.5139178594579</v>
      </c>
      <c r="M109" s="279">
        <v>1600</v>
      </c>
      <c r="O109" s="278">
        <v>1508.2672187375808</v>
      </c>
      <c r="R109" s="278" t="str">
        <f>IF(AND((J109="This"),(L109="Only")),VLOOKUP(G109,#REF!,7,FALSE),"")</f>
        <v/>
      </c>
      <c r="S109" s="278">
        <v>1540.7626731767975</v>
      </c>
      <c r="T109" s="278">
        <v>1618.6634729877185</v>
      </c>
      <c r="V109" s="278">
        <v>1541.5139178594579</v>
      </c>
    </row>
    <row r="110" spans="1:22" x14ac:dyDescent="0.25">
      <c r="A110" s="278">
        <v>4</v>
      </c>
      <c r="C110" s="278">
        <f t="shared" si="5"/>
        <v>48</v>
      </c>
      <c r="D110" s="278">
        <f t="shared" si="6"/>
        <v>33</v>
      </c>
      <c r="E110" s="278">
        <f t="shared" si="7"/>
        <v>13</v>
      </c>
      <c r="F110" s="278" t="str">
        <f t="shared" si="8"/>
        <v>pm</v>
      </c>
      <c r="G110" s="278" t="s">
        <v>470</v>
      </c>
      <c r="H110" s="278" t="s">
        <v>296</v>
      </c>
      <c r="I110" s="278" t="s">
        <v>471</v>
      </c>
      <c r="K110" s="279">
        <f t="shared" si="9"/>
        <v>1677.3980559149245</v>
      </c>
      <c r="M110" s="279">
        <v>1600</v>
      </c>
      <c r="R110" s="278" t="str">
        <f>IF(AND((J110="This"),(L110="Only")),VLOOKUP(G110,#REF!,7,FALSE),"")</f>
        <v/>
      </c>
      <c r="T110" s="278">
        <v>1669.8390646286034</v>
      </c>
      <c r="V110" s="278">
        <v>1677.3980559149245</v>
      </c>
    </row>
    <row r="111" spans="1:22" x14ac:dyDescent="0.25">
      <c r="A111" s="278">
        <v>3</v>
      </c>
      <c r="C111" s="278">
        <f t="shared" si="5"/>
        <v>49</v>
      </c>
      <c r="D111" s="278">
        <f t="shared" si="6"/>
        <v>33</v>
      </c>
      <c r="E111" s="278">
        <f t="shared" si="7"/>
        <v>13</v>
      </c>
      <c r="F111" s="278" t="str">
        <f t="shared" si="8"/>
        <v>pm</v>
      </c>
      <c r="G111" s="278" t="s">
        <v>472</v>
      </c>
      <c r="H111" s="278" t="s">
        <v>473</v>
      </c>
      <c r="I111" s="278" t="s">
        <v>474</v>
      </c>
      <c r="K111" s="279">
        <f t="shared" si="9"/>
        <v>1604.6972640134418</v>
      </c>
      <c r="M111" s="279">
        <v>1600</v>
      </c>
      <c r="R111" s="278" t="str">
        <f>IF(AND((J111="This"),(L111="Only")),VLOOKUP(G111,#REF!,7,FALSE),"")</f>
        <v/>
      </c>
      <c r="T111" s="278">
        <v>1604.6972640134418</v>
      </c>
    </row>
    <row r="112" spans="1:22" x14ac:dyDescent="0.25">
      <c r="A112" s="278">
        <v>1</v>
      </c>
      <c r="C112" s="278">
        <f t="shared" si="5"/>
        <v>50</v>
      </c>
      <c r="D112" s="278">
        <f t="shared" si="6"/>
        <v>33</v>
      </c>
      <c r="E112" s="278">
        <f t="shared" si="7"/>
        <v>13</v>
      </c>
      <c r="F112" s="278" t="str">
        <f t="shared" si="8"/>
        <v>sox</v>
      </c>
      <c r="G112" s="278" t="s">
        <v>475</v>
      </c>
      <c r="H112" s="278" t="s">
        <v>476</v>
      </c>
      <c r="I112" s="278" t="s">
        <v>477</v>
      </c>
      <c r="K112" s="279">
        <f t="shared" si="9"/>
        <v>1600</v>
      </c>
      <c r="M112" s="279">
        <v>1600</v>
      </c>
      <c r="R112" s="278" t="str">
        <f>IF(AND((J112="This"),(L112="Only")),VLOOKUP(G112,#REF!,7,FALSE),"")</f>
        <v/>
      </c>
    </row>
    <row r="113" spans="1:22" x14ac:dyDescent="0.25">
      <c r="A113" s="278">
        <v>5</v>
      </c>
      <c r="C113" s="278">
        <f t="shared" si="5"/>
        <v>51</v>
      </c>
      <c r="D113" s="278">
        <f t="shared" si="6"/>
        <v>33</v>
      </c>
      <c r="E113" s="278">
        <f t="shared" si="7"/>
        <v>13</v>
      </c>
      <c r="F113" s="278" t="str">
        <f t="shared" si="8"/>
        <v>pm</v>
      </c>
      <c r="G113" s="278" t="s">
        <v>478</v>
      </c>
      <c r="H113" s="278" t="s">
        <v>301</v>
      </c>
      <c r="I113" s="278" t="s">
        <v>479</v>
      </c>
      <c r="K113" s="279">
        <f t="shared" si="9"/>
        <v>1600</v>
      </c>
      <c r="M113" s="279">
        <v>1600</v>
      </c>
      <c r="R113" s="278" t="str">
        <f>IF(AND((J113="This"),(L113="Only")),VLOOKUP(G113,#REF!,7,FALSE),"")</f>
        <v/>
      </c>
    </row>
    <row r="114" spans="1:22" x14ac:dyDescent="0.25">
      <c r="A114" s="278">
        <v>6</v>
      </c>
      <c r="C114" s="278">
        <f t="shared" si="5"/>
        <v>52</v>
      </c>
      <c r="D114" s="278">
        <f t="shared" si="6"/>
        <v>33</v>
      </c>
      <c r="E114" s="278">
        <f t="shared" si="7"/>
        <v>13</v>
      </c>
      <c r="F114" s="278" t="str">
        <f t="shared" si="8"/>
        <v>pm</v>
      </c>
      <c r="G114" s="278" t="s">
        <v>480</v>
      </c>
      <c r="H114" s="278" t="s">
        <v>333</v>
      </c>
      <c r="I114" s="278" t="s">
        <v>481</v>
      </c>
      <c r="K114" s="279">
        <f t="shared" si="9"/>
        <v>1724.0595262997672</v>
      </c>
      <c r="M114" s="279">
        <v>1600</v>
      </c>
      <c r="O114" s="278">
        <v>1645.408006056949</v>
      </c>
      <c r="R114" s="278" t="str">
        <f>IF(AND((J114="This"),(L114="Only")),VLOOKUP(G114,#REF!,7,FALSE),"")</f>
        <v/>
      </c>
      <c r="S114" s="278">
        <v>1656.4894223319777</v>
      </c>
      <c r="T114" s="278">
        <v>1696.3067637980012</v>
      </c>
      <c r="V114" s="278">
        <v>1724.0595262997672</v>
      </c>
    </row>
    <row r="115" spans="1:22" x14ac:dyDescent="0.25">
      <c r="A115" s="278">
        <v>2</v>
      </c>
      <c r="C115" s="278">
        <f t="shared" si="5"/>
        <v>53</v>
      </c>
      <c r="D115" s="278">
        <f t="shared" si="6"/>
        <v>33</v>
      </c>
      <c r="E115" s="278">
        <f t="shared" si="7"/>
        <v>13</v>
      </c>
      <c r="F115" s="278" t="str">
        <f t="shared" si="8"/>
        <v>cr</v>
      </c>
      <c r="G115" s="278" t="s">
        <v>482</v>
      </c>
      <c r="H115" s="278" t="s">
        <v>304</v>
      </c>
      <c r="I115" s="278" t="s">
        <v>483</v>
      </c>
      <c r="K115" s="279">
        <f t="shared" si="9"/>
        <v>1694.6591687633331</v>
      </c>
      <c r="M115" s="279">
        <v>1600</v>
      </c>
      <c r="R115" s="278" t="str">
        <f>IF(AND((J115="This"),(L115="Only")),VLOOKUP(G115,#REF!,7,FALSE),"")</f>
        <v/>
      </c>
      <c r="T115" s="278">
        <v>1694.6591687633331</v>
      </c>
    </row>
    <row r="116" spans="1:22" x14ac:dyDescent="0.25">
      <c r="A116" s="278">
        <v>2</v>
      </c>
      <c r="C116" s="278">
        <f t="shared" si="5"/>
        <v>54</v>
      </c>
      <c r="D116" s="278">
        <f t="shared" si="6"/>
        <v>33</v>
      </c>
      <c r="E116" s="278">
        <f t="shared" si="7"/>
        <v>13</v>
      </c>
      <c r="F116" s="278" t="str">
        <f t="shared" si="8"/>
        <v>cr</v>
      </c>
      <c r="G116" s="278" t="s">
        <v>484</v>
      </c>
      <c r="H116" s="278" t="s">
        <v>304</v>
      </c>
      <c r="I116" s="278" t="s">
        <v>485</v>
      </c>
      <c r="K116" s="279">
        <f t="shared" si="9"/>
        <v>1582.7925814313389</v>
      </c>
      <c r="M116" s="279">
        <v>1600</v>
      </c>
      <c r="R116" s="278" t="str">
        <f>IF(AND((J116="This"),(L116="Only")),VLOOKUP(G116,#REF!,7,FALSE),"")</f>
        <v/>
      </c>
      <c r="T116" s="278">
        <v>1582.7925814313389</v>
      </c>
    </row>
    <row r="117" spans="1:22" x14ac:dyDescent="0.25">
      <c r="A117" s="278">
        <v>2</v>
      </c>
      <c r="C117" s="278">
        <f t="shared" si="5"/>
        <v>55</v>
      </c>
      <c r="D117" s="278">
        <f t="shared" si="6"/>
        <v>33</v>
      </c>
      <c r="E117" s="278">
        <f t="shared" si="7"/>
        <v>13</v>
      </c>
      <c r="F117" s="278" t="str">
        <f t="shared" si="8"/>
        <v>pm</v>
      </c>
      <c r="G117" s="278" t="s">
        <v>486</v>
      </c>
      <c r="H117" s="278" t="s">
        <v>226</v>
      </c>
      <c r="I117" s="278" t="s">
        <v>487</v>
      </c>
      <c r="K117" s="279">
        <f t="shared" si="9"/>
        <v>1660.7607370584117</v>
      </c>
      <c r="M117" s="279">
        <v>1600</v>
      </c>
      <c r="R117" s="278" t="str">
        <f>IF(AND((J117="This"),(L117="Only")),VLOOKUP(G117,#REF!,7,FALSE),"")</f>
        <v/>
      </c>
      <c r="S117" s="278">
        <v>1660.7607370584117</v>
      </c>
    </row>
    <row r="118" spans="1:22" x14ac:dyDescent="0.25">
      <c r="A118" s="278">
        <v>2</v>
      </c>
      <c r="C118" s="278">
        <f t="shared" si="5"/>
        <v>56</v>
      </c>
      <c r="D118" s="278">
        <f t="shared" si="6"/>
        <v>33</v>
      </c>
      <c r="E118" s="278">
        <f t="shared" si="7"/>
        <v>13</v>
      </c>
      <c r="F118" s="278" t="str">
        <f t="shared" si="8"/>
        <v>pm</v>
      </c>
      <c r="G118" s="278" t="s">
        <v>488</v>
      </c>
      <c r="H118" s="278" t="s">
        <v>226</v>
      </c>
      <c r="I118" s="278" t="s">
        <v>489</v>
      </c>
      <c r="K118" s="279">
        <f t="shared" si="9"/>
        <v>1617.872536849952</v>
      </c>
      <c r="M118" s="279">
        <v>1600</v>
      </c>
      <c r="R118" s="278" t="str">
        <f>IF(AND((J118="This"),(L118="Only")),VLOOKUP(G118,#REF!,7,FALSE),"")</f>
        <v/>
      </c>
      <c r="V118" s="278">
        <v>1617.872536849952</v>
      </c>
    </row>
    <row r="119" spans="1:22" x14ac:dyDescent="0.25">
      <c r="A119" s="278">
        <v>2</v>
      </c>
      <c r="C119" s="278">
        <f t="shared" si="5"/>
        <v>57</v>
      </c>
      <c r="D119" s="278">
        <f t="shared" si="6"/>
        <v>33</v>
      </c>
      <c r="E119" s="278">
        <f t="shared" si="7"/>
        <v>13</v>
      </c>
      <c r="F119" s="278" t="str">
        <f t="shared" si="8"/>
        <v>pm</v>
      </c>
      <c r="G119" s="278" t="s">
        <v>490</v>
      </c>
      <c r="H119" s="278" t="s">
        <v>226</v>
      </c>
      <c r="I119" s="278" t="s">
        <v>491</v>
      </c>
      <c r="K119" s="279">
        <f t="shared" si="9"/>
        <v>1520.584890435453</v>
      </c>
      <c r="M119" s="279">
        <v>1600</v>
      </c>
      <c r="R119" s="278" t="str">
        <f>IF(AND((J119="This"),(L119="Only")),VLOOKUP(G119,#REF!,7,FALSE),"")</f>
        <v/>
      </c>
      <c r="S119" s="278">
        <v>1520.584890435453</v>
      </c>
    </row>
    <row r="120" spans="1:22" x14ac:dyDescent="0.25">
      <c r="A120" s="278">
        <v>2</v>
      </c>
      <c r="C120" s="278">
        <f t="shared" si="5"/>
        <v>58</v>
      </c>
      <c r="D120" s="278">
        <f t="shared" si="6"/>
        <v>33</v>
      </c>
      <c r="E120" s="278">
        <f t="shared" si="7"/>
        <v>13</v>
      </c>
      <c r="F120" s="278" t="str">
        <f t="shared" si="8"/>
        <v>pm</v>
      </c>
      <c r="G120" s="278" t="s">
        <v>492</v>
      </c>
      <c r="H120" s="278" t="s">
        <v>226</v>
      </c>
      <c r="I120" s="278" t="s">
        <v>493</v>
      </c>
      <c r="K120" s="279">
        <f t="shared" si="9"/>
        <v>1554.3863321425481</v>
      </c>
      <c r="M120" s="279">
        <v>1600</v>
      </c>
      <c r="R120" s="278" t="str">
        <f>IF(AND((J120="This"),(L120="Only")),VLOOKUP(G120,#REF!,7,FALSE),"")</f>
        <v/>
      </c>
      <c r="S120" s="278">
        <v>1554.3863321425481</v>
      </c>
    </row>
    <row r="121" spans="1:22" x14ac:dyDescent="0.25">
      <c r="A121" s="278">
        <v>5</v>
      </c>
      <c r="C121" s="278">
        <f t="shared" si="5"/>
        <v>59</v>
      </c>
      <c r="D121" s="278">
        <f t="shared" si="6"/>
        <v>33</v>
      </c>
      <c r="E121" s="278">
        <f t="shared" si="7"/>
        <v>13</v>
      </c>
      <c r="F121" s="278" t="str">
        <f t="shared" si="8"/>
        <v>pm</v>
      </c>
      <c r="G121" s="278" t="s">
        <v>494</v>
      </c>
      <c r="H121" s="278" t="s">
        <v>223</v>
      </c>
      <c r="I121" s="278" t="s">
        <v>495</v>
      </c>
      <c r="K121" s="279">
        <f t="shared" si="9"/>
        <v>1420.2404492297683</v>
      </c>
      <c r="M121" s="279">
        <v>1600</v>
      </c>
      <c r="O121" s="278">
        <v>1496.0605297120387</v>
      </c>
      <c r="R121" s="278" t="str">
        <f>IF(AND((J121="This"),(L121="Only")),VLOOKUP(G121,#REF!,7,FALSE),"")</f>
        <v/>
      </c>
      <c r="T121" s="278">
        <v>1420.2404492297683</v>
      </c>
    </row>
    <row r="122" spans="1:22" x14ac:dyDescent="0.25">
      <c r="A122" s="278">
        <v>2</v>
      </c>
      <c r="C122" s="278">
        <f t="shared" si="5"/>
        <v>60</v>
      </c>
      <c r="D122" s="278">
        <f t="shared" si="6"/>
        <v>33</v>
      </c>
      <c r="E122" s="278">
        <f t="shared" si="7"/>
        <v>13</v>
      </c>
      <c r="F122" s="278" t="str">
        <f t="shared" si="8"/>
        <v>pm</v>
      </c>
      <c r="G122" s="278" t="s">
        <v>496</v>
      </c>
      <c r="H122" s="278" t="s">
        <v>497</v>
      </c>
      <c r="I122" s="278" t="s">
        <v>498</v>
      </c>
      <c r="K122" s="279">
        <f t="shared" si="9"/>
        <v>1510.9636495195373</v>
      </c>
      <c r="M122" s="279">
        <v>1600</v>
      </c>
      <c r="R122" s="278" t="str">
        <f>IF(AND((J122="This"),(L122="Only")),VLOOKUP(G122,#REF!,7,FALSE),"")</f>
        <v/>
      </c>
      <c r="S122" s="278">
        <v>1510.9636495195373</v>
      </c>
    </row>
    <row r="123" spans="1:22" x14ac:dyDescent="0.25">
      <c r="A123" s="278">
        <v>1</v>
      </c>
      <c r="C123" s="278">
        <f t="shared" si="5"/>
        <v>61</v>
      </c>
      <c r="D123" s="278">
        <f t="shared" si="6"/>
        <v>33</v>
      </c>
      <c r="E123" s="278">
        <f t="shared" si="7"/>
        <v>13</v>
      </c>
      <c r="F123" s="278" t="str">
        <f t="shared" si="8"/>
        <v>sox</v>
      </c>
      <c r="G123" s="278" t="s">
        <v>499</v>
      </c>
      <c r="H123" s="278" t="s">
        <v>352</v>
      </c>
      <c r="I123" s="278" t="s">
        <v>500</v>
      </c>
      <c r="K123" s="279">
        <f t="shared" si="9"/>
        <v>1677.9066198304924</v>
      </c>
      <c r="M123" s="279">
        <v>1600</v>
      </c>
      <c r="R123" s="278" t="str">
        <f>IF(AND((J123="This"),(L123="Only")),VLOOKUP(G123,#REF!,7,FALSE),"")</f>
        <v/>
      </c>
      <c r="T123" s="278">
        <v>1677.9066198304924</v>
      </c>
    </row>
    <row r="124" spans="1:22" x14ac:dyDescent="0.25">
      <c r="A124" s="278">
        <v>2</v>
      </c>
      <c r="C124" s="278">
        <f t="shared" si="5"/>
        <v>62</v>
      </c>
      <c r="D124" s="278">
        <f t="shared" si="6"/>
        <v>33</v>
      </c>
      <c r="E124" s="278">
        <f t="shared" si="7"/>
        <v>13</v>
      </c>
      <c r="F124" s="278" t="str">
        <f t="shared" si="8"/>
        <v>so</v>
      </c>
      <c r="G124" s="278" t="s">
        <v>501</v>
      </c>
      <c r="H124" s="278" t="s">
        <v>352</v>
      </c>
      <c r="I124" s="278" t="s">
        <v>502</v>
      </c>
      <c r="K124" s="279">
        <f t="shared" si="9"/>
        <v>1578.5432678949517</v>
      </c>
      <c r="M124" s="279">
        <v>1600</v>
      </c>
      <c r="R124" s="278" t="str">
        <f>IF(AND((J124="This"),(L124="Only")),VLOOKUP(G124,#REF!,7,FALSE),"")</f>
        <v/>
      </c>
      <c r="T124" s="278">
        <v>1578.5432678949517</v>
      </c>
    </row>
    <row r="125" spans="1:22" x14ac:dyDescent="0.25">
      <c r="A125" s="278">
        <v>7</v>
      </c>
      <c r="C125" s="278">
        <f t="shared" si="5"/>
        <v>63</v>
      </c>
      <c r="D125" s="278">
        <f t="shared" si="6"/>
        <v>33</v>
      </c>
      <c r="E125" s="278">
        <f t="shared" si="7"/>
        <v>13</v>
      </c>
      <c r="F125" s="278" t="str">
        <f t="shared" si="8"/>
        <v>pm</v>
      </c>
      <c r="G125" s="278" t="s">
        <v>503</v>
      </c>
      <c r="H125" s="278" t="s">
        <v>318</v>
      </c>
      <c r="I125" s="278" t="s">
        <v>504</v>
      </c>
      <c r="K125" s="279">
        <f t="shared" si="9"/>
        <v>1641.1631745399584</v>
      </c>
      <c r="M125" s="279">
        <v>1600</v>
      </c>
      <c r="O125" s="278">
        <v>1577.4900729060989</v>
      </c>
      <c r="R125" s="278" t="str">
        <f>IF(AND((J125="This"),(L125="Only")),VLOOKUP(G125,#REF!,7,FALSE),"")</f>
        <v/>
      </c>
      <c r="S125" s="278">
        <v>1551.9367302009932</v>
      </c>
      <c r="T125" s="278">
        <v>1570.0470154155958</v>
      </c>
      <c r="V125" s="278">
        <v>1641.1631745399584</v>
      </c>
    </row>
    <row r="126" spans="1:22" x14ac:dyDescent="0.25">
      <c r="A126" s="278">
        <v>5</v>
      </c>
      <c r="C126" s="278">
        <f t="shared" si="5"/>
        <v>64</v>
      </c>
      <c r="D126" s="278">
        <f t="shared" si="6"/>
        <v>33</v>
      </c>
      <c r="E126" s="278">
        <f t="shared" si="7"/>
        <v>13</v>
      </c>
      <c r="F126" s="278" t="str">
        <f t="shared" si="8"/>
        <v>pm</v>
      </c>
      <c r="G126" s="278" t="s">
        <v>505</v>
      </c>
      <c r="H126" s="278" t="s">
        <v>232</v>
      </c>
      <c r="I126" s="278" t="s">
        <v>506</v>
      </c>
      <c r="K126" s="279">
        <f t="shared" si="9"/>
        <v>1479.2171814305723</v>
      </c>
      <c r="M126" s="279">
        <v>1600</v>
      </c>
      <c r="R126" s="278" t="str">
        <f>IF(AND((J126="This"),(L126="Only")),VLOOKUP(G126,#REF!,7,FALSE),"")</f>
        <v/>
      </c>
      <c r="S126" s="278">
        <v>1501.4152753915264</v>
      </c>
      <c r="T126" s="278">
        <v>1488.4874647585782</v>
      </c>
      <c r="V126" s="278">
        <v>1479.2171814305723</v>
      </c>
    </row>
    <row r="127" spans="1:22" x14ac:dyDescent="0.25">
      <c r="A127" s="278">
        <v>5</v>
      </c>
      <c r="C127" s="278">
        <f t="shared" si="5"/>
        <v>65</v>
      </c>
      <c r="D127" s="278">
        <f t="shared" si="6"/>
        <v>33</v>
      </c>
      <c r="E127" s="278">
        <f t="shared" si="7"/>
        <v>13</v>
      </c>
      <c r="F127" s="278" t="str">
        <f t="shared" si="8"/>
        <v>pm</v>
      </c>
      <c r="G127" s="278" t="s">
        <v>507</v>
      </c>
      <c r="H127" s="278" t="s">
        <v>232</v>
      </c>
      <c r="I127" s="278" t="s">
        <v>508</v>
      </c>
      <c r="K127" s="279">
        <f t="shared" si="9"/>
        <v>1425.4109540497846</v>
      </c>
      <c r="M127" s="279">
        <v>1600</v>
      </c>
      <c r="R127" s="278" t="str">
        <f>IF(AND((J127="This"),(L127="Only")),VLOOKUP(G127,#REF!,7,FALSE),"")</f>
        <v/>
      </c>
      <c r="S127" s="278">
        <v>1526.5577404254093</v>
      </c>
      <c r="T127" s="278">
        <v>1447.3909581757298</v>
      </c>
      <c r="V127" s="278">
        <v>1425.4109540497846</v>
      </c>
    </row>
    <row r="128" spans="1:22" x14ac:dyDescent="0.25">
      <c r="A128" s="278">
        <v>3</v>
      </c>
      <c r="C128" s="278">
        <f t="shared" si="5"/>
        <v>66</v>
      </c>
      <c r="D128" s="278">
        <f t="shared" si="6"/>
        <v>33</v>
      </c>
      <c r="E128" s="278">
        <f t="shared" si="7"/>
        <v>13</v>
      </c>
      <c r="F128" s="278" t="str">
        <f t="shared" si="8"/>
        <v>pm</v>
      </c>
      <c r="G128" s="278" t="s">
        <v>509</v>
      </c>
      <c r="H128" s="278" t="s">
        <v>323</v>
      </c>
      <c r="I128" s="278" t="s">
        <v>510</v>
      </c>
      <c r="K128" s="279">
        <f t="shared" si="9"/>
        <v>1672.8922772837741</v>
      </c>
      <c r="M128" s="279">
        <v>1600</v>
      </c>
      <c r="R128" s="278" t="str">
        <f>IF(AND((J128="This"),(L128="Only")),VLOOKUP(G128,#REF!,7,FALSE),"")</f>
        <v/>
      </c>
      <c r="S128" s="278">
        <v>1663.3222275324013</v>
      </c>
      <c r="T128" s="278">
        <v>1672.8922772837741</v>
      </c>
    </row>
    <row r="129" spans="1:22" x14ac:dyDescent="0.25">
      <c r="A129" s="278">
        <v>5</v>
      </c>
      <c r="C129" s="278">
        <f t="shared" si="5"/>
        <v>67</v>
      </c>
      <c r="D129" s="278">
        <f t="shared" si="6"/>
        <v>33</v>
      </c>
      <c r="E129" s="278">
        <f t="shared" si="7"/>
        <v>13</v>
      </c>
      <c r="F129" s="278" t="str">
        <f t="shared" si="8"/>
        <v>pm</v>
      </c>
      <c r="G129" s="278" t="s">
        <v>511</v>
      </c>
      <c r="H129" s="278" t="s">
        <v>512</v>
      </c>
      <c r="I129" s="278" t="s">
        <v>513</v>
      </c>
      <c r="K129" s="279">
        <f t="shared" si="9"/>
        <v>1571.3271481700851</v>
      </c>
      <c r="M129" s="279">
        <v>1600</v>
      </c>
      <c r="R129" s="278" t="str">
        <f>IF(AND((J129="This"),(L129="Only")),VLOOKUP(G129,#REF!,7,FALSE),"")</f>
        <v/>
      </c>
      <c r="S129" s="278">
        <v>1571.3618286035594</v>
      </c>
      <c r="T129" s="278">
        <v>1568.1003447488174</v>
      </c>
      <c r="V129" s="278">
        <v>1571.3271481700851</v>
      </c>
    </row>
    <row r="130" spans="1:22" x14ac:dyDescent="0.25">
      <c r="A130" s="278">
        <v>4</v>
      </c>
      <c r="C130" s="278">
        <f t="shared" ref="C130:C193" si="10">IF(E130=E129,C129+1,1)</f>
        <v>68</v>
      </c>
      <c r="D130" s="278">
        <f t="shared" ref="D130:D193" si="11">IF(M130=M129,D129,C130)</f>
        <v>33</v>
      </c>
      <c r="E130" s="278">
        <f t="shared" ref="E130:E193" si="12">10+VALUE(RIGHT(LEFT(G130,3),1))</f>
        <v>13</v>
      </c>
      <c r="F130" s="278" t="str">
        <f t="shared" ref="F130:F193" si="13">RIGHT(G130,2) &amp; IF(A130&lt;2,"x","")</f>
        <v>pm</v>
      </c>
      <c r="G130" s="278" t="s">
        <v>514</v>
      </c>
      <c r="H130" s="278" t="s">
        <v>416</v>
      </c>
      <c r="I130" s="278" t="s">
        <v>515</v>
      </c>
      <c r="K130" s="279">
        <f t="shared" ref="K130:K193" si="14">LOOKUP(1E+100,M130:AC130)</f>
        <v>1754.9535955038507</v>
      </c>
      <c r="M130" s="279">
        <v>1600</v>
      </c>
      <c r="R130" s="278" t="str">
        <f>IF(AND((J130="This"),(L130="Only")),VLOOKUP(G130,#REF!,7,FALSE),"")</f>
        <v/>
      </c>
      <c r="S130" s="278">
        <v>1696.7395363532391</v>
      </c>
      <c r="V130" s="278">
        <v>1754.9535955038507</v>
      </c>
    </row>
    <row r="131" spans="1:22" x14ac:dyDescent="0.25">
      <c r="A131" s="278">
        <v>4</v>
      </c>
      <c r="C131" s="278">
        <f t="shared" si="10"/>
        <v>69</v>
      </c>
      <c r="D131" s="278">
        <f t="shared" si="11"/>
        <v>33</v>
      </c>
      <c r="E131" s="278">
        <f t="shared" si="12"/>
        <v>13</v>
      </c>
      <c r="F131" s="278" t="str">
        <f t="shared" si="13"/>
        <v>pm</v>
      </c>
      <c r="G131" s="278" t="s">
        <v>516</v>
      </c>
      <c r="H131" s="278" t="s">
        <v>416</v>
      </c>
      <c r="I131" s="278" t="s">
        <v>517</v>
      </c>
      <c r="K131" s="279">
        <f t="shared" si="14"/>
        <v>1531.9857171026847</v>
      </c>
      <c r="M131" s="279">
        <v>1600</v>
      </c>
      <c r="R131" s="278" t="str">
        <f>IF(AND((J131="This"),(L131="Only")),VLOOKUP(G131,#REF!,7,FALSE),"")</f>
        <v/>
      </c>
      <c r="S131" s="278">
        <v>1636.6616321677709</v>
      </c>
      <c r="V131" s="278">
        <v>1531.9857171026847</v>
      </c>
    </row>
    <row r="132" spans="1:22" x14ac:dyDescent="0.25">
      <c r="A132" s="278">
        <v>1</v>
      </c>
      <c r="C132" s="278">
        <f t="shared" si="10"/>
        <v>1</v>
      </c>
      <c r="D132" s="278">
        <f t="shared" si="11"/>
        <v>1</v>
      </c>
      <c r="E132" s="278">
        <f t="shared" si="12"/>
        <v>14</v>
      </c>
      <c r="F132" s="278" t="str">
        <f t="shared" si="13"/>
        <v>sox</v>
      </c>
      <c r="G132" s="278" t="s">
        <v>518</v>
      </c>
      <c r="H132" s="278" t="s">
        <v>519</v>
      </c>
      <c r="I132" s="278" t="s">
        <v>520</v>
      </c>
      <c r="K132" s="279">
        <f t="shared" si="14"/>
        <v>2200</v>
      </c>
      <c r="M132" s="279">
        <v>2200</v>
      </c>
      <c r="R132" s="278" t="str">
        <f>IF(AND((J132="This"),(L132="Only")),VLOOKUP(G132,#REF!,7,FALSE),"")</f>
        <v/>
      </c>
    </row>
    <row r="133" spans="1:22" x14ac:dyDescent="0.25">
      <c r="A133" s="278">
        <v>1</v>
      </c>
      <c r="C133" s="278">
        <f t="shared" si="10"/>
        <v>2</v>
      </c>
      <c r="D133" s="278">
        <f t="shared" si="11"/>
        <v>1</v>
      </c>
      <c r="E133" s="278">
        <f t="shared" si="12"/>
        <v>14</v>
      </c>
      <c r="F133" s="278" t="str">
        <f t="shared" si="13"/>
        <v>sox</v>
      </c>
      <c r="G133" s="278" t="s">
        <v>521</v>
      </c>
      <c r="H133" s="278" t="s">
        <v>244</v>
      </c>
      <c r="I133" s="278" t="s">
        <v>522</v>
      </c>
      <c r="K133" s="279">
        <f t="shared" si="14"/>
        <v>2200</v>
      </c>
      <c r="M133" s="279">
        <v>2200</v>
      </c>
      <c r="R133" s="278" t="str">
        <f>IF(AND((J133="This"),(L133="Only")),VLOOKUP(G133,#REF!,7,FALSE),"")</f>
        <v/>
      </c>
    </row>
    <row r="134" spans="1:22" x14ac:dyDescent="0.25">
      <c r="A134" s="278">
        <v>2</v>
      </c>
      <c r="C134" s="278">
        <f t="shared" si="10"/>
        <v>3</v>
      </c>
      <c r="D134" s="278">
        <f t="shared" si="11"/>
        <v>1</v>
      </c>
      <c r="E134" s="278">
        <f t="shared" si="12"/>
        <v>14</v>
      </c>
      <c r="F134" s="278" t="str">
        <f t="shared" si="13"/>
        <v>cr</v>
      </c>
      <c r="G134" s="278" t="s">
        <v>523</v>
      </c>
      <c r="H134" s="278" t="s">
        <v>229</v>
      </c>
      <c r="I134" s="278" t="s">
        <v>524</v>
      </c>
      <c r="K134" s="279">
        <f t="shared" si="14"/>
        <v>2256.4726642229521</v>
      </c>
      <c r="M134" s="279">
        <v>2200</v>
      </c>
      <c r="P134" s="278">
        <v>2256.4726642229521</v>
      </c>
      <c r="R134" s="278" t="str">
        <f>IF(AND((J134="This"),(L134="Only")),VLOOKUP(G134,#REF!,7,FALSE),"")</f>
        <v/>
      </c>
    </row>
    <row r="135" spans="1:22" x14ac:dyDescent="0.25">
      <c r="A135" s="278">
        <v>2</v>
      </c>
      <c r="C135" s="278">
        <f t="shared" si="10"/>
        <v>4</v>
      </c>
      <c r="D135" s="278">
        <f t="shared" si="11"/>
        <v>1</v>
      </c>
      <c r="E135" s="278">
        <f t="shared" si="12"/>
        <v>14</v>
      </c>
      <c r="F135" s="278" t="str">
        <f t="shared" si="13"/>
        <v>pm</v>
      </c>
      <c r="G135" s="278" t="s">
        <v>525</v>
      </c>
      <c r="H135" s="278" t="s">
        <v>268</v>
      </c>
      <c r="I135" s="278" t="s">
        <v>526</v>
      </c>
      <c r="K135" s="279">
        <f t="shared" si="14"/>
        <v>2242.8082264482937</v>
      </c>
      <c r="M135" s="279">
        <v>2200</v>
      </c>
      <c r="N135" s="278">
        <v>2242.8082264482937</v>
      </c>
      <c r="R135" s="278" t="str">
        <f>IF(AND((J135="This"),(L135="Only")),VLOOKUP(G135,#REF!,7,FALSE),"")</f>
        <v/>
      </c>
    </row>
    <row r="136" spans="1:22" x14ac:dyDescent="0.25">
      <c r="A136" s="278">
        <v>2</v>
      </c>
      <c r="C136" s="278">
        <f t="shared" si="10"/>
        <v>5</v>
      </c>
      <c r="D136" s="278">
        <f t="shared" si="11"/>
        <v>1</v>
      </c>
      <c r="E136" s="278">
        <f t="shared" si="12"/>
        <v>14</v>
      </c>
      <c r="F136" s="278" t="str">
        <f t="shared" si="13"/>
        <v>pm</v>
      </c>
      <c r="G136" s="278" t="s">
        <v>527</v>
      </c>
      <c r="H136" s="278" t="s">
        <v>268</v>
      </c>
      <c r="I136" s="278" t="s">
        <v>528</v>
      </c>
      <c r="K136" s="279">
        <f t="shared" si="14"/>
        <v>2148.0572046490697</v>
      </c>
      <c r="M136" s="279">
        <v>2200</v>
      </c>
      <c r="N136" s="278">
        <v>2148.0572046490697</v>
      </c>
      <c r="R136" s="278" t="str">
        <f>IF(AND((J136="This"),(L136="Only")),VLOOKUP(G136,#REF!,7,FALSE),"")</f>
        <v/>
      </c>
    </row>
    <row r="137" spans="1:22" x14ac:dyDescent="0.25">
      <c r="A137" s="278">
        <v>3</v>
      </c>
      <c r="C137" s="278">
        <f t="shared" si="10"/>
        <v>6</v>
      </c>
      <c r="D137" s="278">
        <f t="shared" si="11"/>
        <v>1</v>
      </c>
      <c r="E137" s="278">
        <f t="shared" si="12"/>
        <v>14</v>
      </c>
      <c r="F137" s="278" t="str">
        <f t="shared" si="13"/>
        <v>pm</v>
      </c>
      <c r="G137" s="278" t="s">
        <v>529</v>
      </c>
      <c r="H137" s="278" t="s">
        <v>217</v>
      </c>
      <c r="I137" s="278" t="s">
        <v>530</v>
      </c>
      <c r="K137" s="279">
        <f t="shared" si="14"/>
        <v>2360.4440637068092</v>
      </c>
      <c r="M137" s="279">
        <v>2200</v>
      </c>
      <c r="N137" s="278">
        <v>2306.5141993458815</v>
      </c>
      <c r="R137" s="278" t="str">
        <f>IF(AND((J137="This"),(L137="Only")),VLOOKUP(G137,#REF!,7,FALSE),"")</f>
        <v/>
      </c>
      <c r="U137" s="278">
        <v>2360.4440637068092</v>
      </c>
    </row>
    <row r="138" spans="1:22" x14ac:dyDescent="0.25">
      <c r="A138" s="278">
        <v>4</v>
      </c>
      <c r="C138" s="278">
        <f t="shared" si="10"/>
        <v>7</v>
      </c>
      <c r="D138" s="278">
        <f t="shared" si="11"/>
        <v>1</v>
      </c>
      <c r="E138" s="278">
        <f t="shared" si="12"/>
        <v>14</v>
      </c>
      <c r="F138" s="278" t="str">
        <f t="shared" si="13"/>
        <v>pm</v>
      </c>
      <c r="G138" s="278" t="s">
        <v>531</v>
      </c>
      <c r="H138" s="278" t="s">
        <v>217</v>
      </c>
      <c r="I138" s="278" t="s">
        <v>532</v>
      </c>
      <c r="K138" s="279">
        <f t="shared" si="14"/>
        <v>2295.955969587601</v>
      </c>
      <c r="M138" s="279">
        <v>2200</v>
      </c>
      <c r="N138" s="278">
        <v>2234.317086556041</v>
      </c>
      <c r="R138" s="278" t="str">
        <f>IF(AND((J138="This"),(L138="Only")),VLOOKUP(G138,#REF!,7,FALSE),"")</f>
        <v/>
      </c>
      <c r="U138" s="278">
        <v>2295.955969587601</v>
      </c>
    </row>
    <row r="139" spans="1:22" x14ac:dyDescent="0.25">
      <c r="A139" s="278">
        <v>4</v>
      </c>
      <c r="C139" s="278">
        <f t="shared" si="10"/>
        <v>8</v>
      </c>
      <c r="D139" s="278">
        <f t="shared" si="11"/>
        <v>1</v>
      </c>
      <c r="E139" s="278">
        <f t="shared" si="12"/>
        <v>14</v>
      </c>
      <c r="F139" s="278" t="str">
        <f t="shared" si="13"/>
        <v>pm</v>
      </c>
      <c r="G139" s="278" t="s">
        <v>533</v>
      </c>
      <c r="H139" s="278" t="s">
        <v>217</v>
      </c>
      <c r="I139" s="278" t="s">
        <v>534</v>
      </c>
      <c r="K139" s="279">
        <f t="shared" si="14"/>
        <v>2148.9859090201348</v>
      </c>
      <c r="M139" s="279">
        <v>2200</v>
      </c>
      <c r="N139" s="278">
        <v>2160.6945874992289</v>
      </c>
      <c r="R139" s="278" t="str">
        <f>IF(AND((J139="This"),(L139="Only")),VLOOKUP(G139,#REF!,7,FALSE),"")</f>
        <v/>
      </c>
      <c r="U139" s="278">
        <v>2148.9859090201348</v>
      </c>
    </row>
    <row r="140" spans="1:22" x14ac:dyDescent="0.25">
      <c r="A140" s="278">
        <v>6</v>
      </c>
      <c r="C140" s="278">
        <f t="shared" si="10"/>
        <v>9</v>
      </c>
      <c r="D140" s="278">
        <f t="shared" si="11"/>
        <v>1</v>
      </c>
      <c r="E140" s="278">
        <f t="shared" si="12"/>
        <v>14</v>
      </c>
      <c r="F140" s="278" t="str">
        <f t="shared" si="13"/>
        <v>pm</v>
      </c>
      <c r="G140" s="278" t="s">
        <v>535</v>
      </c>
      <c r="H140" s="278" t="s">
        <v>284</v>
      </c>
      <c r="I140" s="278" t="s">
        <v>536</v>
      </c>
      <c r="K140" s="279">
        <f t="shared" si="14"/>
        <v>2153.2095704362496</v>
      </c>
      <c r="M140" s="279">
        <v>2200</v>
      </c>
      <c r="N140" s="278">
        <v>2142.6540778770523</v>
      </c>
      <c r="P140" s="278">
        <v>2105.2510909599187</v>
      </c>
      <c r="R140" s="278" t="str">
        <f>IF(AND((J140="This"),(L140="Only")),VLOOKUP(G140,#REF!,7,FALSE),"")</f>
        <v/>
      </c>
      <c r="S140" s="278">
        <v>2097.7644613858624</v>
      </c>
      <c r="U140" s="278">
        <v>2153.2095704362496</v>
      </c>
    </row>
    <row r="141" spans="1:22" x14ac:dyDescent="0.25">
      <c r="A141" s="278">
        <v>2</v>
      </c>
      <c r="C141" s="278">
        <f t="shared" si="10"/>
        <v>10</v>
      </c>
      <c r="D141" s="278">
        <f t="shared" si="11"/>
        <v>1</v>
      </c>
      <c r="E141" s="278">
        <f t="shared" si="12"/>
        <v>14</v>
      </c>
      <c r="F141" s="278" t="str">
        <f t="shared" si="13"/>
        <v>pm</v>
      </c>
      <c r="G141" s="278" t="s">
        <v>537</v>
      </c>
      <c r="H141" s="278" t="s">
        <v>259</v>
      </c>
      <c r="I141" s="278" t="s">
        <v>538</v>
      </c>
      <c r="K141" s="279">
        <f t="shared" si="14"/>
        <v>2335.7533430560889</v>
      </c>
      <c r="M141" s="279">
        <v>2200</v>
      </c>
      <c r="N141" s="278">
        <v>2248.7430591333896</v>
      </c>
      <c r="R141" s="278" t="str">
        <f>IF(AND((J141="This"),(L141="Only")),VLOOKUP(G141,#REF!,7,FALSE),"")</f>
        <v/>
      </c>
      <c r="S141" s="278">
        <v>2335.7533430560889</v>
      </c>
    </row>
    <row r="142" spans="1:22" x14ac:dyDescent="0.25">
      <c r="A142" s="278">
        <v>1</v>
      </c>
      <c r="C142" s="278">
        <f t="shared" si="10"/>
        <v>11</v>
      </c>
      <c r="D142" s="278">
        <f t="shared" si="11"/>
        <v>1</v>
      </c>
      <c r="E142" s="278">
        <f t="shared" si="12"/>
        <v>14</v>
      </c>
      <c r="F142" s="278" t="str">
        <f t="shared" si="13"/>
        <v>pmx</v>
      </c>
      <c r="G142" s="278" t="s">
        <v>539</v>
      </c>
      <c r="H142" s="278" t="s">
        <v>382</v>
      </c>
      <c r="I142" s="278" t="s">
        <v>540</v>
      </c>
      <c r="K142" s="279">
        <f t="shared" si="14"/>
        <v>2249.9246776686837</v>
      </c>
      <c r="M142" s="279">
        <v>2200</v>
      </c>
      <c r="R142" s="278" t="str">
        <f>IF(AND((J142="This"),(L142="Only")),VLOOKUP(G142,#REF!,7,FALSE),"")</f>
        <v/>
      </c>
      <c r="U142" s="278">
        <v>2249.9246776686837</v>
      </c>
    </row>
    <row r="143" spans="1:22" x14ac:dyDescent="0.25">
      <c r="A143" s="278">
        <v>1</v>
      </c>
      <c r="C143" s="278">
        <f t="shared" si="10"/>
        <v>12</v>
      </c>
      <c r="D143" s="278">
        <f t="shared" si="11"/>
        <v>1</v>
      </c>
      <c r="E143" s="278">
        <f t="shared" si="12"/>
        <v>14</v>
      </c>
      <c r="F143" s="278" t="str">
        <f t="shared" si="13"/>
        <v>pmx</v>
      </c>
      <c r="G143" s="278" t="s">
        <v>541</v>
      </c>
      <c r="H143" s="278" t="s">
        <v>382</v>
      </c>
      <c r="I143" s="278" t="s">
        <v>542</v>
      </c>
      <c r="K143" s="279">
        <f t="shared" si="14"/>
        <v>2103.2414788342721</v>
      </c>
      <c r="M143" s="279">
        <v>2200</v>
      </c>
      <c r="R143" s="278" t="str">
        <f>IF(AND((J143="This"),(L143="Only")),VLOOKUP(G143,#REF!,7,FALSE),"")</f>
        <v/>
      </c>
      <c r="U143" s="278">
        <v>2103.2414788342721</v>
      </c>
    </row>
    <row r="144" spans="1:22" x14ac:dyDescent="0.25">
      <c r="A144" s="278">
        <v>1</v>
      </c>
      <c r="C144" s="278">
        <f t="shared" si="10"/>
        <v>13</v>
      </c>
      <c r="D144" s="278">
        <f t="shared" si="11"/>
        <v>1</v>
      </c>
      <c r="E144" s="278">
        <f t="shared" si="12"/>
        <v>14</v>
      </c>
      <c r="F144" s="278" t="str">
        <f t="shared" si="13"/>
        <v>crx</v>
      </c>
      <c r="G144" s="278" t="s">
        <v>543</v>
      </c>
      <c r="H144" s="278" t="s">
        <v>544</v>
      </c>
      <c r="I144" s="278" t="s">
        <v>545</v>
      </c>
      <c r="K144" s="279">
        <f t="shared" si="14"/>
        <v>2200</v>
      </c>
      <c r="M144" s="279">
        <v>2200</v>
      </c>
      <c r="R144" s="278" t="str">
        <f>IF(AND((J144="This"),(L144="Only")),VLOOKUP(G144,#REF!,7,FALSE),"")</f>
        <v/>
      </c>
    </row>
    <row r="145" spans="1:21" x14ac:dyDescent="0.25">
      <c r="A145" s="278">
        <v>1</v>
      </c>
      <c r="C145" s="278">
        <f t="shared" si="10"/>
        <v>14</v>
      </c>
      <c r="D145" s="278">
        <f t="shared" si="11"/>
        <v>1</v>
      </c>
      <c r="E145" s="278">
        <f t="shared" si="12"/>
        <v>14</v>
      </c>
      <c r="F145" s="278" t="str">
        <f t="shared" si="13"/>
        <v>crx</v>
      </c>
      <c r="G145" s="278" t="s">
        <v>546</v>
      </c>
      <c r="H145" s="278" t="s">
        <v>544</v>
      </c>
      <c r="I145" s="278" t="s">
        <v>547</v>
      </c>
      <c r="K145" s="279">
        <f t="shared" si="14"/>
        <v>2200</v>
      </c>
      <c r="M145" s="279">
        <v>2200</v>
      </c>
      <c r="R145" s="278" t="str">
        <f>IF(AND((J145="This"),(L145="Only")),VLOOKUP(G145,#REF!,7,FALSE),"")</f>
        <v/>
      </c>
    </row>
    <row r="146" spans="1:21" x14ac:dyDescent="0.25">
      <c r="A146" s="278">
        <v>4</v>
      </c>
      <c r="C146" s="278">
        <f t="shared" si="10"/>
        <v>15</v>
      </c>
      <c r="D146" s="278">
        <f t="shared" si="11"/>
        <v>1</v>
      </c>
      <c r="E146" s="278">
        <f t="shared" si="12"/>
        <v>14</v>
      </c>
      <c r="F146" s="278" t="str">
        <f t="shared" si="13"/>
        <v>pm</v>
      </c>
      <c r="G146" s="278" t="s">
        <v>548</v>
      </c>
      <c r="H146" s="278" t="s">
        <v>296</v>
      </c>
      <c r="I146" s="278" t="s">
        <v>549</v>
      </c>
      <c r="K146" s="279">
        <f t="shared" si="14"/>
        <v>2174.4435664290072</v>
      </c>
      <c r="M146" s="279">
        <v>2200</v>
      </c>
      <c r="P146" s="278">
        <v>2233.7867329179321</v>
      </c>
      <c r="R146" s="278" t="str">
        <f>IF(AND((J146="This"),(L146="Only")),VLOOKUP(G146,#REF!,7,FALSE),"")</f>
        <v/>
      </c>
      <c r="S146" s="278">
        <v>2194.7898785702087</v>
      </c>
      <c r="U146" s="278">
        <v>2174.4435664290072</v>
      </c>
    </row>
    <row r="147" spans="1:21" x14ac:dyDescent="0.25">
      <c r="A147" s="278">
        <v>6</v>
      </c>
      <c r="C147" s="278">
        <f t="shared" si="10"/>
        <v>16</v>
      </c>
      <c r="D147" s="278">
        <f t="shared" si="11"/>
        <v>1</v>
      </c>
      <c r="E147" s="278">
        <f t="shared" si="12"/>
        <v>14</v>
      </c>
      <c r="F147" s="278" t="str">
        <f t="shared" si="13"/>
        <v>pm</v>
      </c>
      <c r="G147" s="278" t="s">
        <v>550</v>
      </c>
      <c r="H147" s="278" t="s">
        <v>333</v>
      </c>
      <c r="I147" s="278" t="s">
        <v>551</v>
      </c>
      <c r="K147" s="279">
        <f t="shared" si="14"/>
        <v>2276.7378483263374</v>
      </c>
      <c r="M147" s="279">
        <v>2200</v>
      </c>
      <c r="N147" s="278">
        <v>2235.4451064009868</v>
      </c>
      <c r="P147" s="278">
        <v>2278.4614151352116</v>
      </c>
      <c r="R147" s="278" t="str">
        <f>IF(AND((J147="This"),(L147="Only")),VLOOKUP(G147,#REF!,7,FALSE),"")</f>
        <v/>
      </c>
      <c r="S147" s="278">
        <v>2248.6070344959771</v>
      </c>
      <c r="U147" s="278">
        <v>2276.7378483263374</v>
      </c>
    </row>
    <row r="148" spans="1:21" x14ac:dyDescent="0.25">
      <c r="A148" s="278">
        <v>5</v>
      </c>
      <c r="C148" s="278">
        <f t="shared" si="10"/>
        <v>17</v>
      </c>
      <c r="D148" s="278">
        <f t="shared" si="11"/>
        <v>1</v>
      </c>
      <c r="E148" s="278">
        <f t="shared" si="12"/>
        <v>14</v>
      </c>
      <c r="F148" s="278" t="str">
        <f t="shared" si="13"/>
        <v>pm</v>
      </c>
      <c r="G148" s="278" t="s">
        <v>552</v>
      </c>
      <c r="H148" s="278" t="s">
        <v>385</v>
      </c>
      <c r="I148" s="278" t="s">
        <v>553</v>
      </c>
      <c r="K148" s="279">
        <f t="shared" si="14"/>
        <v>2117.4442736423839</v>
      </c>
      <c r="M148" s="279">
        <v>2200</v>
      </c>
      <c r="N148" s="278">
        <v>2158.7277915153195</v>
      </c>
      <c r="R148" s="278" t="str">
        <f>IF(AND((J148="This"),(L148="Only")),VLOOKUP(G148,#REF!,7,FALSE),"")</f>
        <v/>
      </c>
      <c r="U148" s="278">
        <v>2117.4442736423839</v>
      </c>
    </row>
    <row r="149" spans="1:21" x14ac:dyDescent="0.25">
      <c r="A149" s="278">
        <v>2</v>
      </c>
      <c r="C149" s="278">
        <f t="shared" si="10"/>
        <v>18</v>
      </c>
      <c r="D149" s="278">
        <f t="shared" si="11"/>
        <v>1</v>
      </c>
      <c r="E149" s="278">
        <f t="shared" si="12"/>
        <v>14</v>
      </c>
      <c r="F149" s="278" t="str">
        <f t="shared" si="13"/>
        <v>pm</v>
      </c>
      <c r="G149" s="278" t="s">
        <v>554</v>
      </c>
      <c r="H149" s="278" t="s">
        <v>226</v>
      </c>
      <c r="I149" s="278" t="s">
        <v>555</v>
      </c>
      <c r="K149" s="279">
        <f t="shared" si="14"/>
        <v>2234.955109981981</v>
      </c>
      <c r="M149" s="279">
        <v>2200</v>
      </c>
      <c r="R149" s="278" t="str">
        <f>IF(AND((J149="This"),(L149="Only")),VLOOKUP(G149,#REF!,7,FALSE),"")</f>
        <v/>
      </c>
      <c r="S149" s="278">
        <v>2234.955109981981</v>
      </c>
    </row>
    <row r="150" spans="1:21" x14ac:dyDescent="0.25">
      <c r="A150" s="278">
        <v>2</v>
      </c>
      <c r="C150" s="278">
        <f t="shared" si="10"/>
        <v>19</v>
      </c>
      <c r="D150" s="278">
        <f t="shared" si="11"/>
        <v>1</v>
      </c>
      <c r="E150" s="278">
        <f t="shared" si="12"/>
        <v>14</v>
      </c>
      <c r="F150" s="278" t="str">
        <f t="shared" si="13"/>
        <v>pm</v>
      </c>
      <c r="G150" s="278" t="s">
        <v>556</v>
      </c>
      <c r="H150" s="278" t="s">
        <v>226</v>
      </c>
      <c r="I150" s="278" t="s">
        <v>557</v>
      </c>
      <c r="K150" s="279">
        <f t="shared" si="14"/>
        <v>2262.6255966977401</v>
      </c>
      <c r="M150" s="279">
        <v>2200</v>
      </c>
      <c r="R150" s="278" t="str">
        <f>IF(AND((J150="This"),(L150="Only")),VLOOKUP(G150,#REF!,7,FALSE),"")</f>
        <v/>
      </c>
      <c r="S150" s="278">
        <v>2262.6255966977401</v>
      </c>
    </row>
    <row r="151" spans="1:21" x14ac:dyDescent="0.25">
      <c r="A151" s="278">
        <v>2</v>
      </c>
      <c r="C151" s="278">
        <f t="shared" si="10"/>
        <v>20</v>
      </c>
      <c r="D151" s="278">
        <f t="shared" si="11"/>
        <v>1</v>
      </c>
      <c r="E151" s="278">
        <f t="shared" si="12"/>
        <v>14</v>
      </c>
      <c r="F151" s="278" t="str">
        <f t="shared" si="13"/>
        <v>pm</v>
      </c>
      <c r="G151" s="278" t="s">
        <v>558</v>
      </c>
      <c r="H151" s="278" t="s">
        <v>226</v>
      </c>
      <c r="I151" s="278" t="s">
        <v>559</v>
      </c>
      <c r="K151" s="279">
        <f t="shared" si="14"/>
        <v>2200</v>
      </c>
      <c r="M151" s="279">
        <v>2200</v>
      </c>
      <c r="R151" s="278" t="str">
        <f>IF(AND((J151="This"),(L151="Only")),VLOOKUP(G151,#REF!,7,FALSE),"")</f>
        <v/>
      </c>
    </row>
    <row r="152" spans="1:21" x14ac:dyDescent="0.25">
      <c r="A152" s="278">
        <v>1</v>
      </c>
      <c r="C152" s="278">
        <f t="shared" si="10"/>
        <v>21</v>
      </c>
      <c r="D152" s="278">
        <f t="shared" si="11"/>
        <v>1</v>
      </c>
      <c r="E152" s="278">
        <f t="shared" si="12"/>
        <v>14</v>
      </c>
      <c r="F152" s="278" t="str">
        <f t="shared" si="13"/>
        <v>sox</v>
      </c>
      <c r="G152" s="278" t="s">
        <v>560</v>
      </c>
      <c r="H152" s="278" t="s">
        <v>561</v>
      </c>
      <c r="I152" s="278" t="s">
        <v>562</v>
      </c>
      <c r="K152" s="279">
        <f t="shared" si="14"/>
        <v>2163.8222309199368</v>
      </c>
      <c r="M152" s="279">
        <v>2200</v>
      </c>
      <c r="R152" s="278" t="str">
        <f>IF(AND((J152="This"),(L152="Only")),VLOOKUP(G152,#REF!,7,FALSE),"")</f>
        <v/>
      </c>
      <c r="U152" s="278">
        <v>2163.8222309199368</v>
      </c>
    </row>
    <row r="153" spans="1:21" x14ac:dyDescent="0.25">
      <c r="A153" s="278">
        <v>1</v>
      </c>
      <c r="C153" s="278">
        <f t="shared" si="10"/>
        <v>22</v>
      </c>
      <c r="D153" s="278">
        <f t="shared" si="11"/>
        <v>1</v>
      </c>
      <c r="E153" s="278">
        <f t="shared" si="12"/>
        <v>14</v>
      </c>
      <c r="F153" s="278" t="str">
        <f t="shared" si="13"/>
        <v>sox</v>
      </c>
      <c r="G153" s="278" t="s">
        <v>563</v>
      </c>
      <c r="H153" s="278" t="s">
        <v>352</v>
      </c>
      <c r="I153" s="278" t="s">
        <v>564</v>
      </c>
      <c r="K153" s="279">
        <f t="shared" si="14"/>
        <v>2110.2833451779379</v>
      </c>
      <c r="M153" s="279">
        <v>2200</v>
      </c>
      <c r="P153" s="278">
        <v>2110.2833451779379</v>
      </c>
      <c r="R153" s="278" t="str">
        <f>IF(AND((J153="This"),(L153="Only")),VLOOKUP(G153,#REF!,7,FALSE),"")</f>
        <v/>
      </c>
    </row>
    <row r="154" spans="1:21" x14ac:dyDescent="0.25">
      <c r="A154" s="278">
        <v>1</v>
      </c>
      <c r="C154" s="278">
        <f t="shared" si="10"/>
        <v>23</v>
      </c>
      <c r="D154" s="278">
        <f t="shared" si="11"/>
        <v>1</v>
      </c>
      <c r="E154" s="278">
        <f t="shared" si="12"/>
        <v>14</v>
      </c>
      <c r="F154" s="278" t="str">
        <f t="shared" si="13"/>
        <v>odx</v>
      </c>
      <c r="G154" s="278" t="s">
        <v>565</v>
      </c>
      <c r="H154" s="278" t="s">
        <v>566</v>
      </c>
      <c r="I154" s="278" t="s">
        <v>567</v>
      </c>
      <c r="K154" s="279">
        <f t="shared" si="14"/>
        <v>2200</v>
      </c>
      <c r="M154" s="279">
        <v>2200</v>
      </c>
      <c r="R154" s="278" t="str">
        <f>IF(AND((J154="This"),(L154="Only")),VLOOKUP(G154,#REF!,7,FALSE),"")</f>
        <v/>
      </c>
    </row>
    <row r="155" spans="1:21" x14ac:dyDescent="0.25">
      <c r="A155" s="278">
        <v>3</v>
      </c>
      <c r="C155" s="278">
        <f t="shared" si="10"/>
        <v>24</v>
      </c>
      <c r="D155" s="278">
        <f t="shared" si="11"/>
        <v>1</v>
      </c>
      <c r="E155" s="278">
        <f t="shared" si="12"/>
        <v>14</v>
      </c>
      <c r="F155" s="278" t="str">
        <f t="shared" si="13"/>
        <v>pm</v>
      </c>
      <c r="G155" s="278" t="s">
        <v>568</v>
      </c>
      <c r="H155" s="278" t="s">
        <v>434</v>
      </c>
      <c r="I155" s="278" t="s">
        <v>569</v>
      </c>
      <c r="K155" s="279">
        <f t="shared" si="14"/>
        <v>1962.4290924555107</v>
      </c>
      <c r="M155" s="279">
        <v>2200</v>
      </c>
      <c r="N155" s="278">
        <v>2089.6484920282369</v>
      </c>
      <c r="R155" s="278" t="str">
        <f>IF(AND((J155="This"),(L155="Only")),VLOOKUP(G155,#REF!,7,FALSE),"")</f>
        <v/>
      </c>
      <c r="S155" s="278">
        <v>2006.2959936375398</v>
      </c>
      <c r="U155" s="278">
        <v>1962.4290924555107</v>
      </c>
    </row>
    <row r="156" spans="1:21" x14ac:dyDescent="0.25">
      <c r="A156" s="278">
        <v>3</v>
      </c>
      <c r="C156" s="278">
        <f t="shared" si="10"/>
        <v>25</v>
      </c>
      <c r="D156" s="278">
        <f t="shared" si="11"/>
        <v>1</v>
      </c>
      <c r="E156" s="278">
        <f t="shared" si="12"/>
        <v>14</v>
      </c>
      <c r="F156" s="278" t="str">
        <f t="shared" si="13"/>
        <v>pm</v>
      </c>
      <c r="G156" s="278" t="s">
        <v>570</v>
      </c>
      <c r="H156" s="278" t="s">
        <v>315</v>
      </c>
      <c r="I156" s="278" t="s">
        <v>571</v>
      </c>
      <c r="K156" s="279">
        <f t="shared" si="14"/>
        <v>2071.4063032898539</v>
      </c>
      <c r="M156" s="279">
        <v>2200</v>
      </c>
      <c r="P156" s="278">
        <v>2078.3089119158358</v>
      </c>
      <c r="R156" s="278" t="str">
        <f>IF(AND((J156="This"),(L156="Only")),VLOOKUP(G156,#REF!,7,FALSE),"")</f>
        <v/>
      </c>
      <c r="S156" s="278">
        <v>2071.4063032898539</v>
      </c>
    </row>
    <row r="157" spans="1:21" x14ac:dyDescent="0.25">
      <c r="A157" s="278">
        <v>7</v>
      </c>
      <c r="C157" s="278">
        <f t="shared" si="10"/>
        <v>26</v>
      </c>
      <c r="D157" s="278">
        <f t="shared" si="11"/>
        <v>1</v>
      </c>
      <c r="E157" s="278">
        <f t="shared" si="12"/>
        <v>14</v>
      </c>
      <c r="F157" s="278" t="str">
        <f t="shared" si="13"/>
        <v>pm</v>
      </c>
      <c r="G157" s="278" t="s">
        <v>572</v>
      </c>
      <c r="H157" s="278" t="s">
        <v>318</v>
      </c>
      <c r="I157" s="278" t="s">
        <v>573</v>
      </c>
      <c r="K157" s="279">
        <f t="shared" si="14"/>
        <v>2051.882735573779</v>
      </c>
      <c r="M157" s="279">
        <v>2200</v>
      </c>
      <c r="N157" s="278">
        <v>2083.9994997349372</v>
      </c>
      <c r="P157" s="278">
        <v>2109.776316100691</v>
      </c>
      <c r="R157" s="278" t="str">
        <f>IF(AND((J157="This"),(L157="Only")),VLOOKUP(G157,#REF!,7,FALSE),"")</f>
        <v/>
      </c>
      <c r="S157" s="278">
        <v>2072.4598338911765</v>
      </c>
      <c r="U157" s="278">
        <v>2051.882735573779</v>
      </c>
    </row>
    <row r="158" spans="1:21" x14ac:dyDescent="0.25">
      <c r="A158" s="278">
        <v>2</v>
      </c>
      <c r="C158" s="278">
        <f t="shared" si="10"/>
        <v>27</v>
      </c>
      <c r="D158" s="278">
        <f t="shared" si="11"/>
        <v>1</v>
      </c>
      <c r="E158" s="278">
        <f t="shared" si="12"/>
        <v>14</v>
      </c>
      <c r="F158" s="278" t="str">
        <f t="shared" si="13"/>
        <v>pm</v>
      </c>
      <c r="G158" s="278" t="s">
        <v>574</v>
      </c>
      <c r="H158" s="278" t="s">
        <v>232</v>
      </c>
      <c r="I158" s="278" t="s">
        <v>575</v>
      </c>
      <c r="K158" s="279">
        <f t="shared" si="14"/>
        <v>2326.0573699748429</v>
      </c>
      <c r="M158" s="279">
        <v>2200</v>
      </c>
      <c r="R158" s="278" t="str">
        <f>IF(AND((J158="This"),(L158="Only")),VLOOKUP(G158,#REF!,7,FALSE),"")</f>
        <v/>
      </c>
      <c r="U158" s="278">
        <v>2326.0573699748429</v>
      </c>
    </row>
    <row r="159" spans="1:21" x14ac:dyDescent="0.25">
      <c r="A159" s="278">
        <v>4</v>
      </c>
      <c r="C159" s="278">
        <f t="shared" si="10"/>
        <v>28</v>
      </c>
      <c r="D159" s="278">
        <f t="shared" si="11"/>
        <v>1</v>
      </c>
      <c r="E159" s="278">
        <f t="shared" si="12"/>
        <v>14</v>
      </c>
      <c r="F159" s="278" t="str">
        <f t="shared" si="13"/>
        <v>pm</v>
      </c>
      <c r="G159" s="278" t="s">
        <v>576</v>
      </c>
      <c r="H159" s="278" t="s">
        <v>232</v>
      </c>
      <c r="I159" s="278" t="s">
        <v>577</v>
      </c>
      <c r="K159" s="279">
        <f t="shared" si="14"/>
        <v>2163.1779238560807</v>
      </c>
      <c r="M159" s="279">
        <v>2200</v>
      </c>
      <c r="P159" s="278">
        <v>2181.4831126580739</v>
      </c>
      <c r="R159" s="278" t="str">
        <f>IF(AND((J159="This"),(L159="Only")),VLOOKUP(G159,#REF!,7,FALSE),"")</f>
        <v/>
      </c>
      <c r="U159" s="278">
        <v>2163.1779238560807</v>
      </c>
    </row>
    <row r="160" spans="1:21" x14ac:dyDescent="0.25">
      <c r="A160" s="278">
        <v>1</v>
      </c>
      <c r="C160" s="278">
        <f t="shared" si="10"/>
        <v>29</v>
      </c>
      <c r="D160" s="278">
        <f t="shared" si="11"/>
        <v>1</v>
      </c>
      <c r="E160" s="278">
        <f t="shared" si="12"/>
        <v>14</v>
      </c>
      <c r="F160" s="278" t="str">
        <f t="shared" si="13"/>
        <v>crx</v>
      </c>
      <c r="G160" s="278" t="s">
        <v>578</v>
      </c>
      <c r="H160" s="278" t="s">
        <v>403</v>
      </c>
      <c r="I160" s="278" t="s">
        <v>579</v>
      </c>
      <c r="K160" s="279">
        <f t="shared" si="14"/>
        <v>2223.720133126676</v>
      </c>
      <c r="M160" s="279">
        <v>2200</v>
      </c>
      <c r="R160" s="278" t="str">
        <f>IF(AND((J160="This"),(L160="Only")),VLOOKUP(G160,#REF!,7,FALSE),"")</f>
        <v/>
      </c>
      <c r="U160" s="278">
        <v>2223.720133126676</v>
      </c>
    </row>
    <row r="161" spans="1:22" x14ac:dyDescent="0.25">
      <c r="A161" s="278">
        <v>1</v>
      </c>
      <c r="C161" s="278">
        <f t="shared" si="10"/>
        <v>30</v>
      </c>
      <c r="D161" s="278">
        <f t="shared" si="11"/>
        <v>1</v>
      </c>
      <c r="E161" s="278">
        <f t="shared" si="12"/>
        <v>14</v>
      </c>
      <c r="F161" s="278" t="str">
        <f t="shared" si="13"/>
        <v>crx</v>
      </c>
      <c r="G161" s="278" t="s">
        <v>580</v>
      </c>
      <c r="H161" s="278" t="s">
        <v>403</v>
      </c>
      <c r="I161" s="278" t="s">
        <v>581</v>
      </c>
      <c r="K161" s="279">
        <f t="shared" si="14"/>
        <v>2150.1762617273243</v>
      </c>
      <c r="M161" s="279">
        <v>2200</v>
      </c>
      <c r="R161" s="278" t="str">
        <f>IF(AND((J161="This"),(L161="Only")),VLOOKUP(G161,#REF!,7,FALSE),"")</f>
        <v/>
      </c>
      <c r="U161" s="278">
        <v>2150.1762617273243</v>
      </c>
    </row>
    <row r="162" spans="1:22" x14ac:dyDescent="0.25">
      <c r="A162" s="278">
        <v>1</v>
      </c>
      <c r="C162" s="278">
        <f t="shared" si="10"/>
        <v>31</v>
      </c>
      <c r="D162" s="278">
        <f t="shared" si="11"/>
        <v>1</v>
      </c>
      <c r="E162" s="278">
        <f t="shared" si="12"/>
        <v>14</v>
      </c>
      <c r="F162" s="278" t="str">
        <f t="shared" si="13"/>
        <v>pmx</v>
      </c>
      <c r="G162" s="278" t="s">
        <v>582</v>
      </c>
      <c r="H162" s="278" t="s">
        <v>323</v>
      </c>
      <c r="I162" s="278" t="s">
        <v>583</v>
      </c>
      <c r="K162" s="279">
        <f t="shared" si="14"/>
        <v>2205.0583548575696</v>
      </c>
      <c r="M162" s="279">
        <v>2200</v>
      </c>
      <c r="P162" s="278">
        <v>2205.0583548575696</v>
      </c>
      <c r="R162" s="278" t="str">
        <f>IF(AND((J162="This"),(L162="Only")),VLOOKUP(G162,#REF!,7,FALSE),"")</f>
        <v/>
      </c>
    </row>
    <row r="163" spans="1:22" x14ac:dyDescent="0.25">
      <c r="A163" s="278">
        <v>1</v>
      </c>
      <c r="C163" s="278">
        <f t="shared" si="10"/>
        <v>32</v>
      </c>
      <c r="D163" s="278">
        <f t="shared" si="11"/>
        <v>1</v>
      </c>
      <c r="E163" s="278">
        <f t="shared" si="12"/>
        <v>14</v>
      </c>
      <c r="F163" s="278" t="str">
        <f t="shared" si="13"/>
        <v>crx</v>
      </c>
      <c r="G163" s="278" t="s">
        <v>584</v>
      </c>
      <c r="H163" s="278" t="s">
        <v>328</v>
      </c>
      <c r="I163" s="278" t="s">
        <v>585</v>
      </c>
      <c r="K163" s="279">
        <f t="shared" si="14"/>
        <v>2235.9520901444639</v>
      </c>
      <c r="M163" s="279">
        <v>2200</v>
      </c>
      <c r="P163" s="278">
        <v>2235.9520901444639</v>
      </c>
      <c r="R163" s="278" t="str">
        <f>IF(AND((J163="This"),(L163="Only")),VLOOKUP(G163,#REF!,7,FALSE),"")</f>
        <v/>
      </c>
    </row>
    <row r="164" spans="1:22" x14ac:dyDescent="0.25">
      <c r="A164" s="278">
        <v>4</v>
      </c>
      <c r="C164" s="278">
        <f t="shared" si="10"/>
        <v>33</v>
      </c>
      <c r="D164" s="278">
        <f t="shared" si="11"/>
        <v>1</v>
      </c>
      <c r="E164" s="278">
        <f t="shared" si="12"/>
        <v>14</v>
      </c>
      <c r="F164" s="278" t="str">
        <f t="shared" si="13"/>
        <v>pm</v>
      </c>
      <c r="G164" s="278" t="s">
        <v>586</v>
      </c>
      <c r="H164" s="278" t="s">
        <v>587</v>
      </c>
      <c r="I164" s="278" t="s">
        <v>588</v>
      </c>
      <c r="K164" s="279">
        <f t="shared" si="14"/>
        <v>2125.9611979965498</v>
      </c>
      <c r="M164" s="279">
        <v>2200</v>
      </c>
      <c r="N164" s="278">
        <v>2154.4080062376902</v>
      </c>
      <c r="R164" s="278" t="str">
        <f>IF(AND((J164="This"),(L164="Only")),VLOOKUP(G164,#REF!,7,FALSE),"")</f>
        <v/>
      </c>
      <c r="S164" s="278">
        <v>2153.5198214457323</v>
      </c>
      <c r="U164" s="278">
        <v>2125.9611979965498</v>
      </c>
    </row>
    <row r="165" spans="1:22" x14ac:dyDescent="0.25">
      <c r="A165" s="278">
        <v>1</v>
      </c>
      <c r="C165" s="278">
        <f t="shared" si="10"/>
        <v>34</v>
      </c>
      <c r="D165" s="278">
        <f t="shared" si="11"/>
        <v>1</v>
      </c>
      <c r="E165" s="278">
        <f t="shared" si="12"/>
        <v>14</v>
      </c>
      <c r="F165" s="278" t="str">
        <f t="shared" si="13"/>
        <v>pmx</v>
      </c>
      <c r="G165" s="278" t="s">
        <v>589</v>
      </c>
      <c r="H165" s="278" t="s">
        <v>239</v>
      </c>
      <c r="I165" s="278" t="s">
        <v>590</v>
      </c>
      <c r="K165" s="279">
        <f t="shared" si="14"/>
        <v>2200</v>
      </c>
      <c r="M165" s="279">
        <v>2200</v>
      </c>
      <c r="R165" s="278" t="str">
        <f>IF(AND((J165="This"),(L165="Only")),VLOOKUP(G165,#REF!,7,FALSE),"")</f>
        <v/>
      </c>
    </row>
    <row r="166" spans="1:22" x14ac:dyDescent="0.25">
      <c r="A166" s="278">
        <v>3</v>
      </c>
      <c r="C166" s="278">
        <f t="shared" si="10"/>
        <v>35</v>
      </c>
      <c r="D166" s="278">
        <f t="shared" si="11"/>
        <v>1</v>
      </c>
      <c r="E166" s="278">
        <f t="shared" si="12"/>
        <v>14</v>
      </c>
      <c r="F166" s="278" t="str">
        <f t="shared" si="13"/>
        <v>pm</v>
      </c>
      <c r="G166" s="278" t="s">
        <v>591</v>
      </c>
      <c r="H166" s="278" t="s">
        <v>416</v>
      </c>
      <c r="I166" s="278" t="s">
        <v>592</v>
      </c>
      <c r="K166" s="279">
        <f t="shared" si="14"/>
        <v>2240.256748099006</v>
      </c>
      <c r="M166" s="279">
        <v>2200</v>
      </c>
      <c r="P166" s="278">
        <v>2240.256748099006</v>
      </c>
      <c r="R166" s="278" t="str">
        <f>IF(AND((J166="This"),(L166="Only")),VLOOKUP(G166,#REF!,7,FALSE),"")</f>
        <v/>
      </c>
    </row>
    <row r="167" spans="1:22" x14ac:dyDescent="0.25">
      <c r="A167" s="278">
        <v>4</v>
      </c>
      <c r="C167" s="278">
        <f t="shared" si="10"/>
        <v>36</v>
      </c>
      <c r="D167" s="278">
        <f t="shared" si="11"/>
        <v>36</v>
      </c>
      <c r="E167" s="278">
        <f t="shared" si="12"/>
        <v>14</v>
      </c>
      <c r="F167" s="278" t="str">
        <f t="shared" si="13"/>
        <v>pm</v>
      </c>
      <c r="G167" s="278" t="s">
        <v>593</v>
      </c>
      <c r="H167" s="278" t="s">
        <v>252</v>
      </c>
      <c r="I167" s="278" t="s">
        <v>594</v>
      </c>
      <c r="K167" s="279">
        <f t="shared" si="14"/>
        <v>2244.178282513466</v>
      </c>
      <c r="M167" s="279">
        <v>2150</v>
      </c>
      <c r="R167" s="278" t="str">
        <f>IF(AND((J167="This"),(L167="Only")),VLOOKUP(G167,#REF!,7,FALSE),"")</f>
        <v/>
      </c>
      <c r="S167" s="278">
        <v>2244.178282513466</v>
      </c>
    </row>
    <row r="168" spans="1:22" x14ac:dyDescent="0.25">
      <c r="A168" s="278">
        <v>6</v>
      </c>
      <c r="C168" s="278">
        <f t="shared" si="10"/>
        <v>37</v>
      </c>
      <c r="D168" s="278">
        <f t="shared" si="11"/>
        <v>37</v>
      </c>
      <c r="E168" s="278">
        <f t="shared" si="12"/>
        <v>14</v>
      </c>
      <c r="F168" s="278" t="str">
        <f t="shared" si="13"/>
        <v>pm</v>
      </c>
      <c r="G168" s="278" t="s">
        <v>595</v>
      </c>
      <c r="H168" s="278" t="s">
        <v>445</v>
      </c>
      <c r="I168" s="278" t="s">
        <v>596</v>
      </c>
      <c r="K168" s="279">
        <f t="shared" si="14"/>
        <v>1942.5335283191307</v>
      </c>
      <c r="M168" s="279">
        <v>2133.3333333333335</v>
      </c>
      <c r="N168" s="278">
        <v>2016.8195230308613</v>
      </c>
      <c r="R168" s="278" t="str">
        <f>IF(AND((J168="This"),(L168="Only")),VLOOKUP(G168,#REF!,7,FALSE),"")</f>
        <v/>
      </c>
      <c r="S168" s="278">
        <v>1960.2450351185873</v>
      </c>
      <c r="U168" s="278">
        <v>1942.5335283191307</v>
      </c>
    </row>
    <row r="169" spans="1:22" x14ac:dyDescent="0.25">
      <c r="A169" s="278">
        <v>4</v>
      </c>
      <c r="C169" s="278">
        <f t="shared" si="10"/>
        <v>38</v>
      </c>
      <c r="D169" s="278">
        <f t="shared" si="11"/>
        <v>38</v>
      </c>
      <c r="E169" s="278">
        <f t="shared" si="12"/>
        <v>14</v>
      </c>
      <c r="F169" s="278" t="str">
        <f t="shared" si="13"/>
        <v>pm</v>
      </c>
      <c r="G169" s="278" t="s">
        <v>597</v>
      </c>
      <c r="H169" s="278" t="s">
        <v>252</v>
      </c>
      <c r="I169" s="278" t="s">
        <v>598</v>
      </c>
      <c r="K169" s="279">
        <f t="shared" si="14"/>
        <v>1992.6977665424979</v>
      </c>
      <c r="M169" s="279">
        <v>2100</v>
      </c>
      <c r="P169" s="278">
        <v>2027.2781141395997</v>
      </c>
      <c r="R169" s="278" t="str">
        <f>IF(AND((J169="This"),(L169="Only")),VLOOKUP(G169,#REF!,7,FALSE),"")</f>
        <v/>
      </c>
      <c r="S169" s="278">
        <v>1992.6977665424979</v>
      </c>
    </row>
    <row r="170" spans="1:22" x14ac:dyDescent="0.25">
      <c r="A170" s="278">
        <v>3</v>
      </c>
      <c r="C170" s="278">
        <f t="shared" si="10"/>
        <v>39</v>
      </c>
      <c r="D170" s="278">
        <f t="shared" si="11"/>
        <v>39</v>
      </c>
      <c r="E170" s="278">
        <f t="shared" si="12"/>
        <v>14</v>
      </c>
      <c r="F170" s="278" t="str">
        <f t="shared" si="13"/>
        <v>pm</v>
      </c>
      <c r="G170" s="278" t="s">
        <v>599</v>
      </c>
      <c r="H170" s="278" t="s">
        <v>473</v>
      </c>
      <c r="I170" s="278" t="s">
        <v>600</v>
      </c>
      <c r="K170" s="279">
        <f t="shared" si="14"/>
        <v>2253.0290632225715</v>
      </c>
      <c r="M170" s="279">
        <v>2066.6666666666665</v>
      </c>
      <c r="P170" s="278">
        <v>2159.383839052045</v>
      </c>
      <c r="R170" s="278" t="str">
        <f>IF(AND((J170="This"),(L170="Only")),VLOOKUP(G170,#REF!,7,FALSE),"")</f>
        <v/>
      </c>
      <c r="S170" s="278">
        <v>2224.1169108397717</v>
      </c>
      <c r="V170" s="278">
        <v>2253.0290632225715</v>
      </c>
    </row>
    <row r="171" spans="1:22" x14ac:dyDescent="0.25">
      <c r="A171" s="278">
        <v>3</v>
      </c>
      <c r="C171" s="278">
        <f t="shared" si="10"/>
        <v>40</v>
      </c>
      <c r="D171" s="278">
        <f t="shared" si="11"/>
        <v>39</v>
      </c>
      <c r="E171" s="278">
        <f t="shared" si="12"/>
        <v>14</v>
      </c>
      <c r="F171" s="278" t="str">
        <f t="shared" si="13"/>
        <v>pm</v>
      </c>
      <c r="G171" s="278" t="s">
        <v>601</v>
      </c>
      <c r="H171" s="278" t="s">
        <v>497</v>
      </c>
      <c r="I171" s="278" t="s">
        <v>602</v>
      </c>
      <c r="K171" s="279">
        <f t="shared" si="14"/>
        <v>2073.7324729018796</v>
      </c>
      <c r="M171" s="279">
        <v>2066.6666666666665</v>
      </c>
      <c r="N171" s="278">
        <v>2073.7324729018796</v>
      </c>
      <c r="R171" s="278" t="str">
        <f>IF(AND((J171="This"),(L171="Only")),VLOOKUP(G171,#REF!,7,FALSE),"")</f>
        <v/>
      </c>
    </row>
    <row r="172" spans="1:22" x14ac:dyDescent="0.25">
      <c r="A172" s="278">
        <v>5</v>
      </c>
      <c r="C172" s="278">
        <f t="shared" si="10"/>
        <v>41</v>
      </c>
      <c r="D172" s="278">
        <f t="shared" si="11"/>
        <v>41</v>
      </c>
      <c r="E172" s="278">
        <f t="shared" si="12"/>
        <v>14</v>
      </c>
      <c r="F172" s="278" t="str">
        <f t="shared" si="13"/>
        <v>pm</v>
      </c>
      <c r="G172" s="278" t="s">
        <v>603</v>
      </c>
      <c r="H172" s="278" t="s">
        <v>604</v>
      </c>
      <c r="I172" s="278" t="s">
        <v>605</v>
      </c>
      <c r="K172" s="279">
        <f t="shared" si="14"/>
        <v>2205.4841047721684</v>
      </c>
      <c r="M172" s="281">
        <v>2120</v>
      </c>
      <c r="O172" s="278">
        <v>2163.8355327864051</v>
      </c>
      <c r="P172" s="278">
        <v>2170.8481480848104</v>
      </c>
      <c r="R172" s="278" t="str">
        <f>IF(AND((J172="This"),(L172="Only")),VLOOKUP(G172,#REF!,7,FALSE),"")</f>
        <v/>
      </c>
      <c r="S172" s="278">
        <v>2193.5433511420206</v>
      </c>
      <c r="U172" s="278">
        <v>2205.4841047721684</v>
      </c>
    </row>
    <row r="173" spans="1:22" x14ac:dyDescent="0.25">
      <c r="A173" s="278">
        <v>5</v>
      </c>
      <c r="C173" s="278">
        <f t="shared" si="10"/>
        <v>42</v>
      </c>
      <c r="D173" s="278">
        <f t="shared" si="11"/>
        <v>42</v>
      </c>
      <c r="E173" s="278">
        <f t="shared" si="12"/>
        <v>14</v>
      </c>
      <c r="F173" s="278" t="str">
        <f t="shared" si="13"/>
        <v>pm</v>
      </c>
      <c r="G173" s="278" t="s">
        <v>606</v>
      </c>
      <c r="H173" s="278" t="s">
        <v>223</v>
      </c>
      <c r="I173" s="278" t="s">
        <v>607</v>
      </c>
      <c r="K173" s="279">
        <f t="shared" si="14"/>
        <v>1865.9020532314012</v>
      </c>
      <c r="M173" s="279">
        <v>1960</v>
      </c>
      <c r="O173" s="278">
        <v>1886.1471271036833</v>
      </c>
      <c r="R173" s="278" t="str">
        <f>IF(AND((J173="This"),(L173="Only")),VLOOKUP(G173,#REF!,7,FALSE),"")</f>
        <v/>
      </c>
      <c r="S173" s="278">
        <v>1865.9020532314012</v>
      </c>
    </row>
    <row r="174" spans="1:22" x14ac:dyDescent="0.25">
      <c r="A174" s="278">
        <v>4</v>
      </c>
      <c r="C174" s="278">
        <f t="shared" si="10"/>
        <v>43</v>
      </c>
      <c r="D174" s="278">
        <f t="shared" si="11"/>
        <v>43</v>
      </c>
      <c r="E174" s="278">
        <f t="shared" si="12"/>
        <v>14</v>
      </c>
      <c r="F174" s="278" t="str">
        <f t="shared" si="13"/>
        <v>pm</v>
      </c>
      <c r="G174" s="278" t="s">
        <v>608</v>
      </c>
      <c r="H174" s="278" t="s">
        <v>609</v>
      </c>
      <c r="I174" s="278" t="s">
        <v>610</v>
      </c>
      <c r="K174" s="279">
        <f t="shared" si="14"/>
        <v>1775.1763729480085</v>
      </c>
      <c r="M174" s="279">
        <v>1900</v>
      </c>
      <c r="O174" s="278">
        <v>1778.9420275432644</v>
      </c>
      <c r="R174" s="278" t="str">
        <f>IF(AND((J174="This"),(L174="Only")),VLOOKUP(G174,#REF!,7,FALSE),"")</f>
        <v/>
      </c>
      <c r="T174" s="278">
        <v>1801.8461220598372</v>
      </c>
      <c r="U174" s="278">
        <v>1775.1763729480085</v>
      </c>
    </row>
    <row r="175" spans="1:22" x14ac:dyDescent="0.25">
      <c r="A175" s="278">
        <v>4</v>
      </c>
      <c r="C175" s="278">
        <f t="shared" si="10"/>
        <v>44</v>
      </c>
      <c r="D175" s="278">
        <f t="shared" si="11"/>
        <v>43</v>
      </c>
      <c r="E175" s="278">
        <f t="shared" si="12"/>
        <v>14</v>
      </c>
      <c r="F175" s="278" t="str">
        <f t="shared" si="13"/>
        <v>pm</v>
      </c>
      <c r="G175" s="278" t="s">
        <v>611</v>
      </c>
      <c r="H175" s="278" t="s">
        <v>587</v>
      </c>
      <c r="I175" s="278" t="s">
        <v>612</v>
      </c>
      <c r="K175" s="279">
        <f t="shared" si="14"/>
        <v>1695.6949666343532</v>
      </c>
      <c r="M175" s="279">
        <v>1900</v>
      </c>
      <c r="O175" s="278">
        <v>1765.0448102640312</v>
      </c>
      <c r="R175" s="278" t="str">
        <f>IF(AND((J175="This"),(L175="Only")),VLOOKUP(G175,#REF!,7,FALSE),"")</f>
        <v/>
      </c>
      <c r="S175" s="278">
        <v>1716.6048936697202</v>
      </c>
      <c r="U175" s="278">
        <v>1695.6949666343532</v>
      </c>
    </row>
    <row r="176" spans="1:22" x14ac:dyDescent="0.25">
      <c r="A176" s="278">
        <v>5</v>
      </c>
      <c r="C176" s="278">
        <f t="shared" si="10"/>
        <v>45</v>
      </c>
      <c r="D176" s="278">
        <f t="shared" si="11"/>
        <v>45</v>
      </c>
      <c r="E176" s="278">
        <f t="shared" si="12"/>
        <v>14</v>
      </c>
      <c r="F176" s="278" t="str">
        <f t="shared" si="13"/>
        <v>pm</v>
      </c>
      <c r="G176" s="278" t="s">
        <v>613</v>
      </c>
      <c r="H176" s="278" t="s">
        <v>604</v>
      </c>
      <c r="I176" s="278" t="s">
        <v>614</v>
      </c>
      <c r="K176" s="279">
        <f t="shared" si="14"/>
        <v>1850.7380858738534</v>
      </c>
      <c r="M176" s="279">
        <v>1800</v>
      </c>
      <c r="O176" s="278">
        <v>1878.114620855217</v>
      </c>
      <c r="R176" s="278" t="str">
        <f>IF(AND((J176="This"),(L176="Only")),VLOOKUP(G176,#REF!,7,FALSE),"")</f>
        <v/>
      </c>
      <c r="T176" s="278">
        <v>1899.6480727597882</v>
      </c>
      <c r="V176" s="278">
        <v>1850.7380858738534</v>
      </c>
    </row>
    <row r="177" spans="1:22" x14ac:dyDescent="0.25">
      <c r="A177" s="278">
        <v>3</v>
      </c>
      <c r="C177" s="278">
        <f t="shared" si="10"/>
        <v>46</v>
      </c>
      <c r="D177" s="278">
        <f t="shared" si="11"/>
        <v>45</v>
      </c>
      <c r="E177" s="278">
        <f t="shared" si="12"/>
        <v>14</v>
      </c>
      <c r="F177" s="278" t="str">
        <f t="shared" si="13"/>
        <v>cr</v>
      </c>
      <c r="G177" s="278" t="s">
        <v>615</v>
      </c>
      <c r="H177" s="278" t="s">
        <v>229</v>
      </c>
      <c r="I177" s="278" t="s">
        <v>616</v>
      </c>
      <c r="K177" s="279">
        <f t="shared" si="14"/>
        <v>1805.2356241346474</v>
      </c>
      <c r="M177" s="279">
        <v>1800</v>
      </c>
      <c r="R177" s="278" t="str">
        <f>IF(AND((J177="This"),(L177="Only")),VLOOKUP(G177,#REF!,7,FALSE),"")</f>
        <v/>
      </c>
      <c r="S177" s="278">
        <v>1805.2356241346474</v>
      </c>
    </row>
    <row r="178" spans="1:22" x14ac:dyDescent="0.25">
      <c r="A178" s="278">
        <v>3</v>
      </c>
      <c r="C178" s="278">
        <f t="shared" si="10"/>
        <v>47</v>
      </c>
      <c r="D178" s="278">
        <f t="shared" si="11"/>
        <v>45</v>
      </c>
      <c r="E178" s="278">
        <f t="shared" si="12"/>
        <v>14</v>
      </c>
      <c r="F178" s="278" t="str">
        <f t="shared" si="13"/>
        <v>cr</v>
      </c>
      <c r="G178" s="278" t="s">
        <v>617</v>
      </c>
      <c r="H178" s="278" t="s">
        <v>229</v>
      </c>
      <c r="I178" s="278" t="s">
        <v>618</v>
      </c>
      <c r="K178" s="279">
        <f t="shared" si="14"/>
        <v>1811.1441592697583</v>
      </c>
      <c r="M178" s="279">
        <v>1800</v>
      </c>
      <c r="R178" s="278" t="str">
        <f>IF(AND((J178="This"),(L178="Only")),VLOOKUP(G178,#REF!,7,FALSE),"")</f>
        <v/>
      </c>
      <c r="S178" s="278">
        <v>1811.1441592697583</v>
      </c>
    </row>
    <row r="179" spans="1:22" x14ac:dyDescent="0.25">
      <c r="A179" s="278">
        <v>5</v>
      </c>
      <c r="C179" s="278">
        <f t="shared" si="10"/>
        <v>48</v>
      </c>
      <c r="D179" s="278">
        <f t="shared" si="11"/>
        <v>45</v>
      </c>
      <c r="E179" s="278">
        <f t="shared" si="12"/>
        <v>14</v>
      </c>
      <c r="F179" s="278" t="str">
        <f t="shared" si="13"/>
        <v>pm</v>
      </c>
      <c r="G179" s="278" t="s">
        <v>619</v>
      </c>
      <c r="H179" s="278" t="s">
        <v>620</v>
      </c>
      <c r="I179" s="278" t="s">
        <v>621</v>
      </c>
      <c r="K179" s="279">
        <f t="shared" si="14"/>
        <v>1644.9049961515773</v>
      </c>
      <c r="M179" s="279">
        <v>1800</v>
      </c>
      <c r="O179" s="278">
        <v>1721.0245607386446</v>
      </c>
      <c r="R179" s="278" t="str">
        <f>IF(AND((J179="This"),(L179="Only")),VLOOKUP(G179,#REF!,7,FALSE),"")</f>
        <v/>
      </c>
      <c r="S179" s="278">
        <v>1700.0432703271169</v>
      </c>
      <c r="T179" s="278">
        <v>1636.641799015636</v>
      </c>
      <c r="V179" s="278">
        <v>1644.9049961515773</v>
      </c>
    </row>
    <row r="180" spans="1:22" x14ac:dyDescent="0.25">
      <c r="A180" s="278">
        <v>1</v>
      </c>
      <c r="C180" s="278">
        <f t="shared" si="10"/>
        <v>49</v>
      </c>
      <c r="D180" s="278">
        <f t="shared" si="11"/>
        <v>45</v>
      </c>
      <c r="E180" s="278">
        <f t="shared" si="12"/>
        <v>14</v>
      </c>
      <c r="F180" s="278" t="str">
        <f t="shared" si="13"/>
        <v>pmx</v>
      </c>
      <c r="G180" s="278" t="s">
        <v>622</v>
      </c>
      <c r="H180" s="278" t="s">
        <v>247</v>
      </c>
      <c r="I180" s="278" t="s">
        <v>623</v>
      </c>
      <c r="K180" s="279">
        <f t="shared" si="14"/>
        <v>1807.3210148453811</v>
      </c>
      <c r="M180" s="279">
        <v>1800</v>
      </c>
      <c r="O180" s="278">
        <v>1807.3210148453811</v>
      </c>
      <c r="R180" s="278" t="str">
        <f>IF(AND((J180="This"),(L180="Only")),VLOOKUP(G180,#REF!,7,FALSE),"")</f>
        <v/>
      </c>
    </row>
    <row r="181" spans="1:22" x14ac:dyDescent="0.25">
      <c r="A181" s="278">
        <v>4</v>
      </c>
      <c r="C181" s="278">
        <f t="shared" si="10"/>
        <v>50</v>
      </c>
      <c r="D181" s="278">
        <f t="shared" si="11"/>
        <v>45</v>
      </c>
      <c r="E181" s="278">
        <f t="shared" si="12"/>
        <v>14</v>
      </c>
      <c r="F181" s="278" t="str">
        <f t="shared" si="13"/>
        <v>pm</v>
      </c>
      <c r="G181" s="278" t="s">
        <v>624</v>
      </c>
      <c r="H181" s="278" t="s">
        <v>268</v>
      </c>
      <c r="I181" s="278" t="s">
        <v>625</v>
      </c>
      <c r="K181" s="279">
        <f t="shared" si="14"/>
        <v>1830.5436089119114</v>
      </c>
      <c r="M181" s="279">
        <v>1800</v>
      </c>
      <c r="O181" s="278">
        <v>1831.4590904430709</v>
      </c>
      <c r="R181" s="278" t="str">
        <f>IF(AND((J181="This"),(L181="Only")),VLOOKUP(G181,#REF!,7,FALSE),"")</f>
        <v/>
      </c>
      <c r="T181" s="278">
        <v>1880.3757698226127</v>
      </c>
      <c r="V181" s="278">
        <v>1830.5436089119114</v>
      </c>
    </row>
    <row r="182" spans="1:22" x14ac:dyDescent="0.25">
      <c r="A182" s="278">
        <v>1</v>
      </c>
      <c r="C182" s="278">
        <f t="shared" si="10"/>
        <v>51</v>
      </c>
      <c r="D182" s="278">
        <f t="shared" si="11"/>
        <v>45</v>
      </c>
      <c r="E182" s="278">
        <f t="shared" si="12"/>
        <v>14</v>
      </c>
      <c r="F182" s="278" t="str">
        <f t="shared" si="13"/>
        <v>crx</v>
      </c>
      <c r="G182" s="278" t="s">
        <v>626</v>
      </c>
      <c r="H182" s="278" t="s">
        <v>627</v>
      </c>
      <c r="I182" s="278" t="s">
        <v>628</v>
      </c>
      <c r="K182" s="279">
        <f t="shared" si="14"/>
        <v>1917.7652604016778</v>
      </c>
      <c r="M182" s="279">
        <v>1800</v>
      </c>
      <c r="R182" s="278" t="str">
        <f>IF(AND((J182="This"),(L182="Only")),VLOOKUP(G182,#REF!,7,FALSE),"")</f>
        <v/>
      </c>
      <c r="S182" s="278">
        <v>1917.7652604016778</v>
      </c>
    </row>
    <row r="183" spans="1:22" x14ac:dyDescent="0.25">
      <c r="A183" s="278">
        <v>3</v>
      </c>
      <c r="C183" s="278">
        <f t="shared" si="10"/>
        <v>52</v>
      </c>
      <c r="D183" s="278">
        <f t="shared" si="11"/>
        <v>45</v>
      </c>
      <c r="E183" s="278">
        <f t="shared" si="12"/>
        <v>14</v>
      </c>
      <c r="F183" s="278" t="str">
        <f t="shared" si="13"/>
        <v>pm</v>
      </c>
      <c r="G183" s="278" t="s">
        <v>629</v>
      </c>
      <c r="H183" s="278" t="s">
        <v>217</v>
      </c>
      <c r="I183" s="278" t="s">
        <v>630</v>
      </c>
      <c r="K183" s="279">
        <f t="shared" si="14"/>
        <v>1891.4603047981896</v>
      </c>
      <c r="M183" s="279">
        <v>1800</v>
      </c>
      <c r="O183" s="278">
        <v>1885.5732286269356</v>
      </c>
      <c r="R183" s="278" t="str">
        <f>IF(AND((J183="This"),(L183="Only")),VLOOKUP(G183,#REF!,7,FALSE),"")</f>
        <v/>
      </c>
      <c r="S183" s="278">
        <v>1891.4603047981896</v>
      </c>
    </row>
    <row r="184" spans="1:22" x14ac:dyDescent="0.25">
      <c r="A184" s="278">
        <v>3</v>
      </c>
      <c r="C184" s="278">
        <f t="shared" si="10"/>
        <v>53</v>
      </c>
      <c r="D184" s="278">
        <f t="shared" si="11"/>
        <v>45</v>
      </c>
      <c r="E184" s="278">
        <f t="shared" si="12"/>
        <v>14</v>
      </c>
      <c r="F184" s="278" t="str">
        <f t="shared" si="13"/>
        <v>pm</v>
      </c>
      <c r="G184" s="278" t="s">
        <v>631</v>
      </c>
      <c r="H184" s="278" t="s">
        <v>217</v>
      </c>
      <c r="I184" s="278" t="s">
        <v>632</v>
      </c>
      <c r="K184" s="279">
        <f t="shared" si="14"/>
        <v>1895.4903689374637</v>
      </c>
      <c r="M184" s="279">
        <v>1800</v>
      </c>
      <c r="O184" s="278">
        <v>1897.8835552697344</v>
      </c>
      <c r="R184" s="278" t="str">
        <f>IF(AND((J184="This"),(L184="Only")),VLOOKUP(G184,#REF!,7,FALSE),"")</f>
        <v/>
      </c>
      <c r="S184" s="278">
        <v>1895.4903689374637</v>
      </c>
    </row>
    <row r="185" spans="1:22" x14ac:dyDescent="0.25">
      <c r="A185" s="278">
        <v>3</v>
      </c>
      <c r="C185" s="278">
        <f t="shared" si="10"/>
        <v>54</v>
      </c>
      <c r="D185" s="278">
        <f t="shared" si="11"/>
        <v>45</v>
      </c>
      <c r="E185" s="278">
        <f t="shared" si="12"/>
        <v>14</v>
      </c>
      <c r="F185" s="278" t="str">
        <f t="shared" si="13"/>
        <v>pm</v>
      </c>
      <c r="G185" s="278" t="s">
        <v>633</v>
      </c>
      <c r="H185" s="278" t="s">
        <v>217</v>
      </c>
      <c r="I185" s="278" t="s">
        <v>634</v>
      </c>
      <c r="K185" s="279">
        <f t="shared" si="14"/>
        <v>1828.7521321234813</v>
      </c>
      <c r="M185" s="279">
        <v>1800</v>
      </c>
      <c r="O185" s="278">
        <v>1797.7221920256341</v>
      </c>
      <c r="R185" s="278" t="str">
        <f>IF(AND((J185="This"),(L185="Only")),VLOOKUP(G185,#REF!,7,FALSE),"")</f>
        <v/>
      </c>
      <c r="S185" s="278">
        <v>1828.7521321234813</v>
      </c>
    </row>
    <row r="186" spans="1:22" x14ac:dyDescent="0.25">
      <c r="A186" s="278">
        <v>3</v>
      </c>
      <c r="C186" s="278">
        <f t="shared" si="10"/>
        <v>55</v>
      </c>
      <c r="D186" s="278">
        <f t="shared" si="11"/>
        <v>45</v>
      </c>
      <c r="E186" s="278">
        <f t="shared" si="12"/>
        <v>14</v>
      </c>
      <c r="F186" s="278" t="str">
        <f t="shared" si="13"/>
        <v>pm</v>
      </c>
      <c r="G186" s="278" t="s">
        <v>635</v>
      </c>
      <c r="H186" s="278" t="s">
        <v>217</v>
      </c>
      <c r="I186" s="278" t="s">
        <v>636</v>
      </c>
      <c r="K186" s="279">
        <f t="shared" si="14"/>
        <v>1890.1692768639286</v>
      </c>
      <c r="M186" s="279">
        <v>1800</v>
      </c>
      <c r="R186" s="278" t="str">
        <f>IF(AND((J186="This"),(L186="Only")),VLOOKUP(G186,#REF!,7,FALSE),"")</f>
        <v/>
      </c>
      <c r="S186" s="278">
        <v>1917.047248554828</v>
      </c>
      <c r="T186" s="278">
        <v>1890.1692768639286</v>
      </c>
    </row>
    <row r="187" spans="1:22" x14ac:dyDescent="0.25">
      <c r="A187" s="278">
        <v>6</v>
      </c>
      <c r="C187" s="278">
        <f t="shared" si="10"/>
        <v>56</v>
      </c>
      <c r="D187" s="278">
        <f t="shared" si="11"/>
        <v>45</v>
      </c>
      <c r="E187" s="278">
        <f t="shared" si="12"/>
        <v>14</v>
      </c>
      <c r="F187" s="278" t="str">
        <f t="shared" si="13"/>
        <v>pm</v>
      </c>
      <c r="G187" s="278" t="s">
        <v>637</v>
      </c>
      <c r="H187" s="278" t="s">
        <v>284</v>
      </c>
      <c r="I187" s="278" t="s">
        <v>638</v>
      </c>
      <c r="K187" s="279">
        <f t="shared" si="14"/>
        <v>1914.8405147891358</v>
      </c>
      <c r="M187" s="279">
        <v>1800</v>
      </c>
      <c r="O187" s="278">
        <v>1832.7769050427903</v>
      </c>
      <c r="R187" s="278" t="str">
        <f>IF(AND((J187="This"),(L187="Only")),VLOOKUP(G187,#REF!,7,FALSE),"")</f>
        <v/>
      </c>
      <c r="S187" s="278">
        <v>1858.1436790158755</v>
      </c>
      <c r="T187" s="278">
        <v>1907.7374614602916</v>
      </c>
      <c r="V187" s="278">
        <v>1914.8405147891358</v>
      </c>
    </row>
    <row r="188" spans="1:22" x14ac:dyDescent="0.25">
      <c r="A188" s="278">
        <v>1</v>
      </c>
      <c r="C188" s="278">
        <f t="shared" si="10"/>
        <v>57</v>
      </c>
      <c r="D188" s="278">
        <f t="shared" si="11"/>
        <v>45</v>
      </c>
      <c r="E188" s="278">
        <f t="shared" si="12"/>
        <v>14</v>
      </c>
      <c r="F188" s="278" t="str">
        <f t="shared" si="13"/>
        <v>sox</v>
      </c>
      <c r="G188" s="278" t="s">
        <v>639</v>
      </c>
      <c r="H188" s="278" t="s">
        <v>462</v>
      </c>
      <c r="I188" s="278" t="s">
        <v>640</v>
      </c>
      <c r="K188" s="279">
        <f t="shared" si="14"/>
        <v>1800</v>
      </c>
      <c r="M188" s="279">
        <v>1800</v>
      </c>
      <c r="R188" s="278" t="str">
        <f>IF(AND((J188="This"),(L188="Only")),VLOOKUP(G188,#REF!,7,FALSE),"")</f>
        <v/>
      </c>
    </row>
    <row r="189" spans="1:22" x14ac:dyDescent="0.25">
      <c r="A189" s="278">
        <v>2</v>
      </c>
      <c r="C189" s="278">
        <f t="shared" si="10"/>
        <v>58</v>
      </c>
      <c r="D189" s="278">
        <f t="shared" si="11"/>
        <v>45</v>
      </c>
      <c r="E189" s="278">
        <f t="shared" si="12"/>
        <v>14</v>
      </c>
      <c r="F189" s="278" t="str">
        <f t="shared" si="13"/>
        <v>so</v>
      </c>
      <c r="G189" s="278" t="s">
        <v>641</v>
      </c>
      <c r="H189" s="278" t="s">
        <v>462</v>
      </c>
      <c r="I189" s="278" t="s">
        <v>642</v>
      </c>
      <c r="K189" s="279">
        <f t="shared" si="14"/>
        <v>1800</v>
      </c>
      <c r="M189" s="279">
        <v>1800</v>
      </c>
      <c r="R189" s="278" t="str">
        <f>IF(AND((J189="This"),(L189="Only")),VLOOKUP(G189,#REF!,7,FALSE),"")</f>
        <v/>
      </c>
    </row>
    <row r="190" spans="1:22" x14ac:dyDescent="0.25">
      <c r="A190" s="278">
        <v>5</v>
      </c>
      <c r="C190" s="278">
        <f t="shared" si="10"/>
        <v>59</v>
      </c>
      <c r="D190" s="278">
        <f t="shared" si="11"/>
        <v>45</v>
      </c>
      <c r="E190" s="278">
        <f t="shared" si="12"/>
        <v>14</v>
      </c>
      <c r="F190" s="278" t="str">
        <f t="shared" si="13"/>
        <v>pm</v>
      </c>
      <c r="G190" s="278" t="s">
        <v>643</v>
      </c>
      <c r="H190" s="278" t="s">
        <v>287</v>
      </c>
      <c r="I190" s="278" t="s">
        <v>644</v>
      </c>
      <c r="K190" s="279">
        <f t="shared" si="14"/>
        <v>1963.0509671228099</v>
      </c>
      <c r="M190" s="279">
        <v>1800</v>
      </c>
      <c r="O190" s="278">
        <v>1913.6326230156692</v>
      </c>
      <c r="R190" s="278" t="str">
        <f>IF(AND((J190="This"),(L190="Only")),VLOOKUP(G190,#REF!,7,FALSE),"")</f>
        <v/>
      </c>
      <c r="S190" s="278">
        <v>1925.0434236172341</v>
      </c>
      <c r="V190" s="278">
        <v>1963.0509671228099</v>
      </c>
    </row>
    <row r="191" spans="1:22" x14ac:dyDescent="0.25">
      <c r="A191" s="278">
        <v>2</v>
      </c>
      <c r="C191" s="278">
        <f t="shared" si="10"/>
        <v>60</v>
      </c>
      <c r="D191" s="278">
        <f t="shared" si="11"/>
        <v>45</v>
      </c>
      <c r="E191" s="278">
        <f t="shared" si="12"/>
        <v>14</v>
      </c>
      <c r="F191" s="278" t="str">
        <f t="shared" si="13"/>
        <v>pm</v>
      </c>
      <c r="G191" s="278" t="s">
        <v>645</v>
      </c>
      <c r="H191" s="278" t="s">
        <v>252</v>
      </c>
      <c r="I191" s="278" t="s">
        <v>646</v>
      </c>
      <c r="K191" s="279">
        <f t="shared" si="14"/>
        <v>1647.1294488255151</v>
      </c>
      <c r="M191" s="279">
        <v>1800</v>
      </c>
      <c r="R191" s="278" t="str">
        <f>IF(AND((J191="This"),(L191="Only")),VLOOKUP(G191,#REF!,7,FALSE),"")</f>
        <v/>
      </c>
      <c r="S191" s="278">
        <v>1687.89017886652</v>
      </c>
      <c r="T191" s="278">
        <v>1606.0897183893037</v>
      </c>
      <c r="V191" s="278">
        <v>1647.1294488255151</v>
      </c>
    </row>
    <row r="192" spans="1:22" x14ac:dyDescent="0.25">
      <c r="A192" s="278">
        <v>4</v>
      </c>
      <c r="C192" s="278">
        <f t="shared" si="10"/>
        <v>61</v>
      </c>
      <c r="D192" s="278">
        <f t="shared" si="11"/>
        <v>45</v>
      </c>
      <c r="E192" s="278">
        <f t="shared" si="12"/>
        <v>14</v>
      </c>
      <c r="F192" s="278" t="str">
        <f t="shared" si="13"/>
        <v>pm</v>
      </c>
      <c r="G192" s="278" t="s">
        <v>647</v>
      </c>
      <c r="H192" s="278" t="s">
        <v>296</v>
      </c>
      <c r="I192" s="278" t="s">
        <v>648</v>
      </c>
      <c r="K192" s="279">
        <f t="shared" si="14"/>
        <v>1681.5214943555018</v>
      </c>
      <c r="M192" s="279">
        <v>1800</v>
      </c>
      <c r="R192" s="278" t="str">
        <f>IF(AND((J192="This"),(L192="Only")),VLOOKUP(G192,#REF!,7,FALSE),"")</f>
        <v/>
      </c>
      <c r="S192" s="278">
        <v>1706.6302599197058</v>
      </c>
      <c r="T192" s="278">
        <v>1681.5214943555018</v>
      </c>
    </row>
    <row r="193" spans="1:22" x14ac:dyDescent="0.25">
      <c r="A193" s="278">
        <v>6</v>
      </c>
      <c r="C193" s="278">
        <f t="shared" si="10"/>
        <v>62</v>
      </c>
      <c r="D193" s="278">
        <f t="shared" si="11"/>
        <v>45</v>
      </c>
      <c r="E193" s="278">
        <f t="shared" si="12"/>
        <v>14</v>
      </c>
      <c r="F193" s="278" t="str">
        <f t="shared" si="13"/>
        <v>pm</v>
      </c>
      <c r="G193" s="278" t="s">
        <v>649</v>
      </c>
      <c r="H193" s="278" t="s">
        <v>333</v>
      </c>
      <c r="I193" s="278" t="s">
        <v>650</v>
      </c>
      <c r="K193" s="279">
        <f t="shared" si="14"/>
        <v>1838.133719846739</v>
      </c>
      <c r="M193" s="279">
        <v>1800</v>
      </c>
      <c r="O193" s="278">
        <v>1779.977065877883</v>
      </c>
      <c r="R193" s="278" t="str">
        <f>IF(AND((J193="This"),(L193="Only")),VLOOKUP(G193,#REF!,7,FALSE),"")</f>
        <v/>
      </c>
      <c r="S193" s="278">
        <v>1830.0095482937588</v>
      </c>
      <c r="T193" s="278">
        <v>1800.3848611781038</v>
      </c>
      <c r="V193" s="278">
        <v>1838.133719846739</v>
      </c>
    </row>
    <row r="194" spans="1:22" x14ac:dyDescent="0.25">
      <c r="A194" s="278">
        <v>2</v>
      </c>
      <c r="C194" s="278">
        <f t="shared" ref="C194:C257" si="15">IF(E194=E193,C193+1,1)</f>
        <v>63</v>
      </c>
      <c r="D194" s="278">
        <f t="shared" ref="D194:D257" si="16">IF(M194=M193,D193,C194)</f>
        <v>45</v>
      </c>
      <c r="E194" s="278">
        <f t="shared" ref="E194:E257" si="17">10+VALUE(RIGHT(LEFT(G194,3),1))</f>
        <v>14</v>
      </c>
      <c r="F194" s="278" t="str">
        <f t="shared" ref="F194:F257" si="18">RIGHT(G194,2) &amp; IF(A194&lt;2,"x","")</f>
        <v>cr</v>
      </c>
      <c r="G194" s="278" t="s">
        <v>651</v>
      </c>
      <c r="H194" s="278" t="s">
        <v>304</v>
      </c>
      <c r="I194" s="278" t="s">
        <v>652</v>
      </c>
      <c r="K194" s="279">
        <f t="shared" ref="K194:K257" si="19">LOOKUP(1E+100,M194:AC194)</f>
        <v>1932.2992373846746</v>
      </c>
      <c r="M194" s="279">
        <v>1800</v>
      </c>
      <c r="R194" s="278" t="str">
        <f>IF(AND((J194="This"),(L194="Only")),VLOOKUP(G194,#REF!,7,FALSE),"")</f>
        <v/>
      </c>
      <c r="T194" s="278">
        <v>1932.2992373846746</v>
      </c>
    </row>
    <row r="195" spans="1:22" x14ac:dyDescent="0.25">
      <c r="A195" s="278">
        <v>2</v>
      </c>
      <c r="C195" s="278">
        <f t="shared" si="15"/>
        <v>64</v>
      </c>
      <c r="D195" s="278">
        <f t="shared" si="16"/>
        <v>45</v>
      </c>
      <c r="E195" s="278">
        <f t="shared" si="17"/>
        <v>14</v>
      </c>
      <c r="F195" s="278" t="str">
        <f t="shared" si="18"/>
        <v>pm</v>
      </c>
      <c r="G195" s="278" t="s">
        <v>653</v>
      </c>
      <c r="H195" s="278" t="s">
        <v>226</v>
      </c>
      <c r="I195" s="278" t="s">
        <v>654</v>
      </c>
      <c r="K195" s="279">
        <f t="shared" si="19"/>
        <v>1900.734248323354</v>
      </c>
      <c r="M195" s="279">
        <v>1800</v>
      </c>
      <c r="R195" s="278" t="str">
        <f>IF(AND((J195="This"),(L195="Only")),VLOOKUP(G195,#REF!,7,FALSE),"")</f>
        <v/>
      </c>
      <c r="V195" s="278">
        <v>1900.734248323354</v>
      </c>
    </row>
    <row r="196" spans="1:22" x14ac:dyDescent="0.25">
      <c r="A196" s="278">
        <v>2</v>
      </c>
      <c r="C196" s="278">
        <f t="shared" si="15"/>
        <v>65</v>
      </c>
      <c r="D196" s="278">
        <f t="shared" si="16"/>
        <v>45</v>
      </c>
      <c r="E196" s="278">
        <f t="shared" si="17"/>
        <v>14</v>
      </c>
      <c r="F196" s="278" t="str">
        <f t="shared" si="18"/>
        <v>pm</v>
      </c>
      <c r="G196" s="278" t="s">
        <v>655</v>
      </c>
      <c r="H196" s="278" t="s">
        <v>226</v>
      </c>
      <c r="I196" s="278" t="s">
        <v>656</v>
      </c>
      <c r="K196" s="279">
        <f t="shared" si="19"/>
        <v>1814.5725518335212</v>
      </c>
      <c r="M196" s="279">
        <v>1800</v>
      </c>
      <c r="R196" s="278" t="str">
        <f>IF(AND((J196="This"),(L196="Only")),VLOOKUP(G196,#REF!,7,FALSE),"")</f>
        <v/>
      </c>
      <c r="V196" s="278">
        <v>1814.5725518335212</v>
      </c>
    </row>
    <row r="197" spans="1:22" x14ac:dyDescent="0.25">
      <c r="A197" s="278">
        <v>2</v>
      </c>
      <c r="C197" s="278">
        <f t="shared" si="15"/>
        <v>66</v>
      </c>
      <c r="D197" s="278">
        <f t="shared" si="16"/>
        <v>45</v>
      </c>
      <c r="E197" s="278">
        <f t="shared" si="17"/>
        <v>14</v>
      </c>
      <c r="F197" s="278" t="str">
        <f t="shared" si="18"/>
        <v>pm</v>
      </c>
      <c r="G197" s="278" t="s">
        <v>657</v>
      </c>
      <c r="H197" s="278" t="s">
        <v>226</v>
      </c>
      <c r="I197" s="278" t="s">
        <v>658</v>
      </c>
      <c r="K197" s="279">
        <f t="shared" si="19"/>
        <v>1700.2368709686421</v>
      </c>
      <c r="M197" s="279">
        <v>1800</v>
      </c>
      <c r="R197" s="278" t="str">
        <f>IF(AND((J197="This"),(L197="Only")),VLOOKUP(G197,#REF!,7,FALSE),"")</f>
        <v/>
      </c>
      <c r="V197" s="278">
        <v>1700.2368709686421</v>
      </c>
    </row>
    <row r="198" spans="1:22" x14ac:dyDescent="0.25">
      <c r="A198" s="278">
        <v>2</v>
      </c>
      <c r="C198" s="278">
        <f t="shared" si="15"/>
        <v>67</v>
      </c>
      <c r="D198" s="278">
        <f t="shared" si="16"/>
        <v>45</v>
      </c>
      <c r="E198" s="278">
        <f t="shared" si="17"/>
        <v>14</v>
      </c>
      <c r="F198" s="278" t="str">
        <f t="shared" si="18"/>
        <v>pm</v>
      </c>
      <c r="G198" s="278" t="s">
        <v>659</v>
      </c>
      <c r="H198" s="278" t="s">
        <v>226</v>
      </c>
      <c r="I198" s="278" t="s">
        <v>660</v>
      </c>
      <c r="K198" s="279">
        <f t="shared" si="19"/>
        <v>1800</v>
      </c>
      <c r="M198" s="279">
        <v>1800</v>
      </c>
      <c r="R198" s="278" t="str">
        <f>IF(AND((J198="This"),(L198="Only")),VLOOKUP(G198,#REF!,7,FALSE),"")</f>
        <v/>
      </c>
    </row>
    <row r="199" spans="1:22" x14ac:dyDescent="0.25">
      <c r="A199" s="278">
        <v>2</v>
      </c>
      <c r="C199" s="278">
        <f t="shared" si="15"/>
        <v>68</v>
      </c>
      <c r="D199" s="278">
        <f t="shared" si="16"/>
        <v>45</v>
      </c>
      <c r="E199" s="278">
        <f t="shared" si="17"/>
        <v>14</v>
      </c>
      <c r="F199" s="278" t="str">
        <f t="shared" si="18"/>
        <v>pm</v>
      </c>
      <c r="G199" s="278" t="s">
        <v>661</v>
      </c>
      <c r="H199" s="278" t="s">
        <v>226</v>
      </c>
      <c r="I199" s="278" t="s">
        <v>662</v>
      </c>
      <c r="K199" s="279">
        <f t="shared" si="19"/>
        <v>1694.6804953151775</v>
      </c>
      <c r="M199" s="279">
        <v>1800</v>
      </c>
      <c r="R199" s="278" t="str">
        <f>IF(AND((J199="This"),(L199="Only")),VLOOKUP(G199,#REF!,7,FALSE),"")</f>
        <v/>
      </c>
      <c r="V199" s="278">
        <v>1694.6804953151775</v>
      </c>
    </row>
    <row r="200" spans="1:22" x14ac:dyDescent="0.25">
      <c r="A200" s="278">
        <v>2</v>
      </c>
      <c r="C200" s="278">
        <f t="shared" si="15"/>
        <v>69</v>
      </c>
      <c r="D200" s="278">
        <f t="shared" si="16"/>
        <v>45</v>
      </c>
      <c r="E200" s="278">
        <f t="shared" si="17"/>
        <v>14</v>
      </c>
      <c r="F200" s="278" t="str">
        <f t="shared" si="18"/>
        <v>pm</v>
      </c>
      <c r="G200" s="278" t="s">
        <v>663</v>
      </c>
      <c r="H200" s="278" t="s">
        <v>226</v>
      </c>
      <c r="I200" s="278" t="s">
        <v>664</v>
      </c>
      <c r="K200" s="279">
        <f t="shared" si="19"/>
        <v>1734.7837101165069</v>
      </c>
      <c r="M200" s="279">
        <v>1800</v>
      </c>
      <c r="R200" s="278" t="str">
        <f>IF(AND((J200="This"),(L200="Only")),VLOOKUP(G200,#REF!,7,FALSE),"")</f>
        <v/>
      </c>
      <c r="V200" s="278">
        <v>1734.7837101165069</v>
      </c>
    </row>
    <row r="201" spans="1:22" x14ac:dyDescent="0.25">
      <c r="A201" s="278">
        <v>3</v>
      </c>
      <c r="C201" s="278">
        <f t="shared" si="15"/>
        <v>70</v>
      </c>
      <c r="D201" s="278">
        <f t="shared" si="16"/>
        <v>45</v>
      </c>
      <c r="E201" s="278">
        <f t="shared" si="17"/>
        <v>14</v>
      </c>
      <c r="F201" s="278" t="str">
        <f t="shared" si="18"/>
        <v>pm</v>
      </c>
      <c r="G201" s="278" t="s">
        <v>665</v>
      </c>
      <c r="H201" s="278" t="s">
        <v>609</v>
      </c>
      <c r="I201" s="278" t="s">
        <v>666</v>
      </c>
      <c r="K201" s="279">
        <f t="shared" si="19"/>
        <v>1625.5722405667989</v>
      </c>
      <c r="M201" s="279">
        <v>1800</v>
      </c>
      <c r="O201" s="278">
        <v>1756.3448786492454</v>
      </c>
      <c r="R201" s="278" t="str">
        <f>IF(AND((J201="This"),(L201="Only")),VLOOKUP(G201,#REF!,7,FALSE),"")</f>
        <v/>
      </c>
      <c r="T201" s="278">
        <v>1625.5722405667989</v>
      </c>
    </row>
    <row r="202" spans="1:22" x14ac:dyDescent="0.25">
      <c r="A202" s="278">
        <v>1</v>
      </c>
      <c r="C202" s="278">
        <f t="shared" si="15"/>
        <v>71</v>
      </c>
      <c r="D202" s="278">
        <f t="shared" si="16"/>
        <v>45</v>
      </c>
      <c r="E202" s="278">
        <f t="shared" si="17"/>
        <v>14</v>
      </c>
      <c r="F202" s="278" t="str">
        <f t="shared" si="18"/>
        <v>sox</v>
      </c>
      <c r="G202" s="278" t="s">
        <v>667</v>
      </c>
      <c r="H202" s="278" t="s">
        <v>352</v>
      </c>
      <c r="I202" s="278" t="s">
        <v>668</v>
      </c>
      <c r="K202" s="279">
        <f t="shared" si="19"/>
        <v>1800</v>
      </c>
      <c r="M202" s="279">
        <v>1800</v>
      </c>
      <c r="R202" s="278" t="str">
        <f>IF(AND((J202="This"),(L202="Only")),VLOOKUP(G202,#REF!,7,FALSE),"")</f>
        <v/>
      </c>
    </row>
    <row r="203" spans="1:22" x14ac:dyDescent="0.25">
      <c r="A203" s="278">
        <v>4</v>
      </c>
      <c r="C203" s="278">
        <f t="shared" si="15"/>
        <v>72</v>
      </c>
      <c r="D203" s="278">
        <f t="shared" si="16"/>
        <v>45</v>
      </c>
      <c r="E203" s="278">
        <f t="shared" si="17"/>
        <v>14</v>
      </c>
      <c r="F203" s="278" t="str">
        <f t="shared" si="18"/>
        <v>pm</v>
      </c>
      <c r="G203" s="278" t="s">
        <v>669</v>
      </c>
      <c r="H203" s="278" t="s">
        <v>315</v>
      </c>
      <c r="I203" s="278" t="s">
        <v>670</v>
      </c>
      <c r="K203" s="279">
        <f t="shared" si="19"/>
        <v>1741.3689204677482</v>
      </c>
      <c r="M203" s="279">
        <v>1800</v>
      </c>
      <c r="O203" s="278">
        <v>1783.7626751486391</v>
      </c>
      <c r="R203" s="278" t="str">
        <f>IF(AND((J203="This"),(L203="Only")),VLOOKUP(G203,#REF!,7,FALSE),"")</f>
        <v/>
      </c>
      <c r="T203" s="278">
        <v>1706.7949714909773</v>
      </c>
      <c r="V203" s="278">
        <v>1741.3689204677482</v>
      </c>
    </row>
    <row r="204" spans="1:22" x14ac:dyDescent="0.25">
      <c r="A204" s="278">
        <v>7</v>
      </c>
      <c r="C204" s="278">
        <f t="shared" si="15"/>
        <v>73</v>
      </c>
      <c r="D204" s="278">
        <f t="shared" si="16"/>
        <v>45</v>
      </c>
      <c r="E204" s="278">
        <f t="shared" si="17"/>
        <v>14</v>
      </c>
      <c r="F204" s="278" t="str">
        <f t="shared" si="18"/>
        <v>pm</v>
      </c>
      <c r="G204" s="278" t="s">
        <v>671</v>
      </c>
      <c r="H204" s="278" t="s">
        <v>318</v>
      </c>
      <c r="I204" s="278" t="s">
        <v>672</v>
      </c>
      <c r="K204" s="279">
        <f t="shared" si="19"/>
        <v>1716.1266950832369</v>
      </c>
      <c r="M204" s="279">
        <v>1800</v>
      </c>
      <c r="O204" s="278">
        <v>1721.8318533664537</v>
      </c>
      <c r="R204" s="278" t="str">
        <f>IF(AND((J204="This"),(L204="Only")),VLOOKUP(G204,#REF!,7,FALSE),"")</f>
        <v/>
      </c>
      <c r="S204" s="278">
        <v>1690.476591806912</v>
      </c>
      <c r="T204" s="278">
        <v>1697.8792064296672</v>
      </c>
      <c r="V204" s="278">
        <v>1716.1266950832369</v>
      </c>
    </row>
    <row r="205" spans="1:22" x14ac:dyDescent="0.25">
      <c r="A205" s="278">
        <v>5</v>
      </c>
      <c r="C205" s="278">
        <f t="shared" si="15"/>
        <v>74</v>
      </c>
      <c r="D205" s="278">
        <f t="shared" si="16"/>
        <v>45</v>
      </c>
      <c r="E205" s="278">
        <f t="shared" si="17"/>
        <v>14</v>
      </c>
      <c r="F205" s="278" t="str">
        <f t="shared" si="18"/>
        <v>pm</v>
      </c>
      <c r="G205" s="278" t="s">
        <v>673</v>
      </c>
      <c r="H205" s="278" t="s">
        <v>232</v>
      </c>
      <c r="I205" s="278" t="s">
        <v>674</v>
      </c>
      <c r="K205" s="279">
        <f t="shared" si="19"/>
        <v>1570.7017546104134</v>
      </c>
      <c r="M205" s="279">
        <v>1800</v>
      </c>
      <c r="R205" s="278" t="str">
        <f>IF(AND((J205="This"),(L205="Only")),VLOOKUP(G205,#REF!,7,FALSE),"")</f>
        <v/>
      </c>
      <c r="S205" s="278">
        <v>1704.9165570856503</v>
      </c>
      <c r="T205" s="278">
        <v>1651.4456963857826</v>
      </c>
      <c r="V205" s="278">
        <v>1570.7017546104134</v>
      </c>
    </row>
    <row r="206" spans="1:22" x14ac:dyDescent="0.25">
      <c r="A206" s="278">
        <v>5</v>
      </c>
      <c r="C206" s="278">
        <f t="shared" si="15"/>
        <v>75</v>
      </c>
      <c r="D206" s="278">
        <f t="shared" si="16"/>
        <v>45</v>
      </c>
      <c r="E206" s="278">
        <f t="shared" si="17"/>
        <v>14</v>
      </c>
      <c r="F206" s="278" t="str">
        <f t="shared" si="18"/>
        <v>pm</v>
      </c>
      <c r="G206" s="278" t="s">
        <v>675</v>
      </c>
      <c r="H206" s="278" t="s">
        <v>232</v>
      </c>
      <c r="I206" s="278" t="s">
        <v>676</v>
      </c>
      <c r="K206" s="279">
        <f t="shared" si="19"/>
        <v>1720.2289335203257</v>
      </c>
      <c r="M206" s="279">
        <v>1800</v>
      </c>
      <c r="R206" s="278" t="str">
        <f>IF(AND((J206="This"),(L206="Only")),VLOOKUP(G206,#REF!,7,FALSE),"")</f>
        <v/>
      </c>
      <c r="S206" s="278">
        <v>1728.9414825506315</v>
      </c>
      <c r="T206" s="278">
        <v>1684.852427864196</v>
      </c>
      <c r="V206" s="278">
        <v>1720.2289335203257</v>
      </c>
    </row>
    <row r="207" spans="1:22" x14ac:dyDescent="0.25">
      <c r="A207" s="278">
        <v>1</v>
      </c>
      <c r="C207" s="278">
        <f t="shared" si="15"/>
        <v>76</v>
      </c>
      <c r="D207" s="278">
        <f t="shared" si="16"/>
        <v>45</v>
      </c>
      <c r="E207" s="278">
        <f t="shared" si="17"/>
        <v>14</v>
      </c>
      <c r="F207" s="278" t="str">
        <f t="shared" si="18"/>
        <v>crx</v>
      </c>
      <c r="G207" s="278" t="s">
        <v>677</v>
      </c>
      <c r="H207" s="278" t="s">
        <v>678</v>
      </c>
      <c r="I207" s="278" t="s">
        <v>678</v>
      </c>
      <c r="K207" s="279">
        <f t="shared" si="19"/>
        <v>1945.8582482864797</v>
      </c>
      <c r="M207" s="279">
        <v>1800</v>
      </c>
      <c r="R207" s="278" t="str">
        <f>IF(AND((J207="This"),(L207="Only")),VLOOKUP(G207,#REF!,7,FALSE),"")</f>
        <v/>
      </c>
      <c r="T207" s="278">
        <v>1871.6837848905743</v>
      </c>
      <c r="V207" s="278">
        <v>1945.8582482864797</v>
      </c>
    </row>
    <row r="208" spans="1:22" x14ac:dyDescent="0.25">
      <c r="A208" s="278">
        <v>1</v>
      </c>
      <c r="C208" s="278">
        <f t="shared" si="15"/>
        <v>77</v>
      </c>
      <c r="D208" s="278">
        <f t="shared" si="16"/>
        <v>45</v>
      </c>
      <c r="E208" s="278">
        <f t="shared" si="17"/>
        <v>14</v>
      </c>
      <c r="F208" s="278" t="str">
        <f t="shared" si="18"/>
        <v>crx</v>
      </c>
      <c r="G208" s="278" t="s">
        <v>679</v>
      </c>
      <c r="H208" s="278" t="s">
        <v>680</v>
      </c>
      <c r="I208" s="278" t="s">
        <v>681</v>
      </c>
      <c r="K208" s="279">
        <f t="shared" si="19"/>
        <v>1800</v>
      </c>
      <c r="M208" s="279">
        <v>1800</v>
      </c>
      <c r="R208" s="278" t="str">
        <f>IF(AND((J208="This"),(L208="Only")),VLOOKUP(G208,#REF!,7,FALSE),"")</f>
        <v/>
      </c>
    </row>
    <row r="209" spans="1:22" x14ac:dyDescent="0.25">
      <c r="A209" s="278">
        <v>1</v>
      </c>
      <c r="C209" s="278">
        <f t="shared" si="15"/>
        <v>78</v>
      </c>
      <c r="D209" s="278">
        <f t="shared" si="16"/>
        <v>45</v>
      </c>
      <c r="E209" s="278">
        <f t="shared" si="17"/>
        <v>14</v>
      </c>
      <c r="F209" s="278" t="str">
        <f t="shared" si="18"/>
        <v>pmx</v>
      </c>
      <c r="G209" s="278" t="s">
        <v>682</v>
      </c>
      <c r="H209" s="278" t="s">
        <v>323</v>
      </c>
      <c r="I209" s="278" t="s">
        <v>683</v>
      </c>
      <c r="K209" s="279">
        <f t="shared" si="19"/>
        <v>1865.2574148016322</v>
      </c>
      <c r="M209" s="279">
        <v>1800</v>
      </c>
      <c r="R209" s="278" t="str">
        <f>IF(AND((J209="This"),(L209="Only")),VLOOKUP(G209,#REF!,7,FALSE),"")</f>
        <v/>
      </c>
      <c r="S209" s="278">
        <v>1865.2574148016322</v>
      </c>
    </row>
    <row r="210" spans="1:22" x14ac:dyDescent="0.25">
      <c r="A210" s="278">
        <v>5</v>
      </c>
      <c r="C210" s="278">
        <f t="shared" si="15"/>
        <v>79</v>
      </c>
      <c r="D210" s="278">
        <f t="shared" si="16"/>
        <v>45</v>
      </c>
      <c r="E210" s="278">
        <f t="shared" si="17"/>
        <v>14</v>
      </c>
      <c r="F210" s="278" t="str">
        <f t="shared" si="18"/>
        <v>pm</v>
      </c>
      <c r="G210" s="278" t="s">
        <v>684</v>
      </c>
      <c r="H210" s="278" t="s">
        <v>512</v>
      </c>
      <c r="I210" s="278" t="s">
        <v>685</v>
      </c>
      <c r="K210" s="279">
        <f t="shared" si="19"/>
        <v>1805.1071930791211</v>
      </c>
      <c r="M210" s="279">
        <v>1800</v>
      </c>
      <c r="R210" s="278" t="str">
        <f>IF(AND((J210="This"),(L210="Only")),VLOOKUP(G210,#REF!,7,FALSE),"")</f>
        <v/>
      </c>
      <c r="S210" s="278">
        <v>1816.3597723411556</v>
      </c>
      <c r="T210" s="278">
        <v>1799.9656310899888</v>
      </c>
      <c r="V210" s="278">
        <v>1805.1071930791211</v>
      </c>
    </row>
    <row r="211" spans="1:22" x14ac:dyDescent="0.25">
      <c r="A211" s="278">
        <v>1</v>
      </c>
      <c r="C211" s="278">
        <f t="shared" si="15"/>
        <v>80</v>
      </c>
      <c r="D211" s="278">
        <f t="shared" si="16"/>
        <v>45</v>
      </c>
      <c r="E211" s="278">
        <f t="shared" si="17"/>
        <v>14</v>
      </c>
      <c r="F211" s="278" t="str">
        <f t="shared" si="18"/>
        <v>sox</v>
      </c>
      <c r="G211" s="278" t="s">
        <v>686</v>
      </c>
      <c r="H211" s="278" t="s">
        <v>687</v>
      </c>
      <c r="I211" s="278" t="s">
        <v>688</v>
      </c>
      <c r="K211" s="279">
        <f t="shared" si="19"/>
        <v>1800</v>
      </c>
      <c r="M211" s="279">
        <v>1800</v>
      </c>
      <c r="R211" s="278" t="str">
        <f>IF(AND((J211="This"),(L211="Only")),VLOOKUP(G211,#REF!,7,FALSE),"")</f>
        <v/>
      </c>
    </row>
    <row r="212" spans="1:22" x14ac:dyDescent="0.25">
      <c r="A212" s="278">
        <v>1</v>
      </c>
      <c r="C212" s="278">
        <f t="shared" si="15"/>
        <v>81</v>
      </c>
      <c r="D212" s="278">
        <f t="shared" si="16"/>
        <v>45</v>
      </c>
      <c r="E212" s="278">
        <f t="shared" si="17"/>
        <v>14</v>
      </c>
      <c r="F212" s="278" t="str">
        <f t="shared" si="18"/>
        <v>sox</v>
      </c>
      <c r="G212" s="278" t="s">
        <v>689</v>
      </c>
      <c r="H212" s="278" t="s">
        <v>687</v>
      </c>
      <c r="I212" s="278" t="s">
        <v>690</v>
      </c>
      <c r="K212" s="279">
        <f t="shared" si="19"/>
        <v>1800</v>
      </c>
      <c r="M212" s="279">
        <v>1800</v>
      </c>
      <c r="R212" s="278" t="str">
        <f>IF(AND((J212="This"),(L212="Only")),VLOOKUP(G212,#REF!,7,FALSE),"")</f>
        <v/>
      </c>
    </row>
    <row r="213" spans="1:22" x14ac:dyDescent="0.25">
      <c r="A213" s="278">
        <v>4</v>
      </c>
      <c r="C213" s="278">
        <f t="shared" si="15"/>
        <v>82</v>
      </c>
      <c r="D213" s="278">
        <f t="shared" si="16"/>
        <v>45</v>
      </c>
      <c r="E213" s="278">
        <f t="shared" si="17"/>
        <v>14</v>
      </c>
      <c r="F213" s="278" t="str">
        <f t="shared" si="18"/>
        <v>pm</v>
      </c>
      <c r="G213" s="278" t="s">
        <v>691</v>
      </c>
      <c r="H213" s="278" t="s">
        <v>416</v>
      </c>
      <c r="I213" s="278" t="s">
        <v>692</v>
      </c>
      <c r="K213" s="279">
        <f t="shared" si="19"/>
        <v>1741.8911152621556</v>
      </c>
      <c r="M213" s="279">
        <v>1800</v>
      </c>
      <c r="R213" s="278" t="str">
        <f>IF(AND((J213="This"),(L213="Only")),VLOOKUP(G213,#REF!,7,FALSE),"")</f>
        <v/>
      </c>
      <c r="S213" s="278">
        <v>1810.7634942276854</v>
      </c>
      <c r="V213" s="278">
        <v>1741.8911152621556</v>
      </c>
    </row>
    <row r="214" spans="1:22" x14ac:dyDescent="0.25">
      <c r="A214" s="278">
        <v>2</v>
      </c>
      <c r="C214" s="278">
        <f t="shared" si="15"/>
        <v>1</v>
      </c>
      <c r="D214" s="278">
        <f t="shared" si="16"/>
        <v>1</v>
      </c>
      <c r="E214" s="278">
        <f t="shared" si="17"/>
        <v>15</v>
      </c>
      <c r="F214" s="278" t="str">
        <f t="shared" si="18"/>
        <v>pm</v>
      </c>
      <c r="G214" s="278" t="s">
        <v>693</v>
      </c>
      <c r="H214" s="278" t="s">
        <v>232</v>
      </c>
      <c r="I214" s="278" t="s">
        <v>694</v>
      </c>
      <c r="K214" s="279">
        <f t="shared" si="19"/>
        <v>2493.626289433224</v>
      </c>
      <c r="M214" s="279">
        <v>2400</v>
      </c>
      <c r="R214" s="278" t="str">
        <f>IF(AND((J214="This"),(L214="Only")),VLOOKUP(G214,#REF!,7,FALSE),"")</f>
        <v/>
      </c>
      <c r="U214" s="278">
        <v>2493.626289433224</v>
      </c>
    </row>
    <row r="215" spans="1:22" x14ac:dyDescent="0.25">
      <c r="A215" s="278">
        <v>7</v>
      </c>
      <c r="C215" s="278">
        <f t="shared" si="15"/>
        <v>2</v>
      </c>
      <c r="D215" s="278">
        <f t="shared" si="16"/>
        <v>2</v>
      </c>
      <c r="E215" s="278">
        <f t="shared" si="17"/>
        <v>15</v>
      </c>
      <c r="F215" s="278" t="str">
        <f t="shared" si="18"/>
        <v>pm</v>
      </c>
      <c r="G215" s="278" t="s">
        <v>695</v>
      </c>
      <c r="H215" s="278" t="s">
        <v>445</v>
      </c>
      <c r="I215" s="278" t="s">
        <v>696</v>
      </c>
      <c r="K215" s="279">
        <f t="shared" si="19"/>
        <v>2043.4409293967788</v>
      </c>
      <c r="M215" s="279">
        <v>2428.5714285714284</v>
      </c>
      <c r="O215" s="278">
        <v>2268.7826308362091</v>
      </c>
      <c r="P215" s="278">
        <v>2236.1285794773908</v>
      </c>
      <c r="R215" s="278" t="str">
        <f>IF(AND((J215="This"),(L215="Only")),VLOOKUP(G215,#REF!,7,FALSE),"")</f>
        <v/>
      </c>
      <c r="S215" s="278">
        <v>2195.5636434586636</v>
      </c>
      <c r="U215" s="278">
        <v>2140.9672825573971</v>
      </c>
      <c r="V215" s="278">
        <v>2043.4409293967788</v>
      </c>
    </row>
    <row r="216" spans="1:22" x14ac:dyDescent="0.25">
      <c r="A216" s="278">
        <v>1</v>
      </c>
      <c r="C216" s="278">
        <f t="shared" si="15"/>
        <v>3</v>
      </c>
      <c r="D216" s="278">
        <f t="shared" si="16"/>
        <v>3</v>
      </c>
      <c r="E216" s="278">
        <f t="shared" si="17"/>
        <v>15</v>
      </c>
      <c r="F216" s="278" t="str">
        <f t="shared" si="18"/>
        <v>sox</v>
      </c>
      <c r="G216" s="278" t="s">
        <v>697</v>
      </c>
      <c r="H216" s="278" t="s">
        <v>244</v>
      </c>
      <c r="I216" s="278" t="s">
        <v>698</v>
      </c>
      <c r="K216" s="279">
        <f t="shared" si="19"/>
        <v>2282.1780115266283</v>
      </c>
      <c r="M216" s="279">
        <v>2400</v>
      </c>
      <c r="R216" s="278" t="str">
        <f>IF(AND((J216="This"),(L216="Only")),VLOOKUP(G216,#REF!,7,FALSE),"")</f>
        <v/>
      </c>
      <c r="U216" s="278">
        <v>2282.1780115266283</v>
      </c>
    </row>
    <row r="217" spans="1:22" x14ac:dyDescent="0.25">
      <c r="A217" s="278">
        <v>1</v>
      </c>
      <c r="C217" s="278">
        <f t="shared" si="15"/>
        <v>4</v>
      </c>
      <c r="D217" s="278">
        <f t="shared" si="16"/>
        <v>3</v>
      </c>
      <c r="E217" s="278">
        <f t="shared" si="17"/>
        <v>15</v>
      </c>
      <c r="F217" s="278" t="str">
        <f t="shared" si="18"/>
        <v>crx</v>
      </c>
      <c r="G217" s="278" t="s">
        <v>699</v>
      </c>
      <c r="H217" s="278" t="s">
        <v>229</v>
      </c>
      <c r="I217" s="278" t="s">
        <v>700</v>
      </c>
      <c r="K217" s="279">
        <f t="shared" si="19"/>
        <v>2400</v>
      </c>
      <c r="M217" s="279">
        <v>2400</v>
      </c>
      <c r="R217" s="278" t="str">
        <f>IF(AND((J217="This"),(L217="Only")),VLOOKUP(G217,#REF!,7,FALSE),"")</f>
        <v/>
      </c>
    </row>
    <row r="218" spans="1:22" x14ac:dyDescent="0.25">
      <c r="A218" s="278">
        <v>2</v>
      </c>
      <c r="C218" s="278">
        <f t="shared" si="15"/>
        <v>5</v>
      </c>
      <c r="D218" s="278">
        <f t="shared" si="16"/>
        <v>3</v>
      </c>
      <c r="E218" s="278">
        <f t="shared" si="17"/>
        <v>15</v>
      </c>
      <c r="F218" s="278" t="str">
        <f t="shared" si="18"/>
        <v>cr</v>
      </c>
      <c r="G218" s="278" t="s">
        <v>701</v>
      </c>
      <c r="H218" s="278" t="s">
        <v>229</v>
      </c>
      <c r="I218" s="278" t="s">
        <v>702</v>
      </c>
      <c r="K218" s="279">
        <f t="shared" si="19"/>
        <v>2400</v>
      </c>
      <c r="M218" s="279">
        <v>2400</v>
      </c>
      <c r="R218" s="278" t="str">
        <f>IF(AND((J218="This"),(L218="Only")),VLOOKUP(G218,#REF!,7,FALSE),"")</f>
        <v/>
      </c>
    </row>
    <row r="219" spans="1:22" x14ac:dyDescent="0.25">
      <c r="A219" s="278">
        <v>1</v>
      </c>
      <c r="C219" s="278">
        <f t="shared" si="15"/>
        <v>6</v>
      </c>
      <c r="D219" s="278">
        <f t="shared" si="16"/>
        <v>3</v>
      </c>
      <c r="E219" s="278">
        <f t="shared" si="17"/>
        <v>15</v>
      </c>
      <c r="F219" s="278" t="str">
        <f t="shared" si="18"/>
        <v>sox</v>
      </c>
      <c r="G219" s="278" t="s">
        <v>703</v>
      </c>
      <c r="H219" s="278" t="s">
        <v>704</v>
      </c>
      <c r="I219" s="278" t="s">
        <v>705</v>
      </c>
      <c r="K219" s="279">
        <f t="shared" si="19"/>
        <v>2400</v>
      </c>
      <c r="M219" s="279">
        <v>2400</v>
      </c>
      <c r="R219" s="278" t="str">
        <f>IF(AND((J219="This"),(L219="Only")),VLOOKUP(G219,#REF!,7,FALSE),"")</f>
        <v/>
      </c>
    </row>
    <row r="220" spans="1:22" x14ac:dyDescent="0.25">
      <c r="A220" s="278">
        <v>2</v>
      </c>
      <c r="C220" s="278">
        <f t="shared" si="15"/>
        <v>7</v>
      </c>
      <c r="D220" s="278">
        <f t="shared" si="16"/>
        <v>3</v>
      </c>
      <c r="E220" s="278">
        <f t="shared" si="17"/>
        <v>15</v>
      </c>
      <c r="F220" s="278" t="str">
        <f t="shared" si="18"/>
        <v>pm</v>
      </c>
      <c r="G220" s="278" t="s">
        <v>706</v>
      </c>
      <c r="H220" s="278" t="s">
        <v>268</v>
      </c>
      <c r="I220" s="278" t="s">
        <v>707</v>
      </c>
      <c r="K220" s="279">
        <f t="shared" si="19"/>
        <v>2492.2492453469672</v>
      </c>
      <c r="M220" s="279">
        <v>2400</v>
      </c>
      <c r="N220" s="278">
        <v>2492.2492453469672</v>
      </c>
      <c r="R220" s="278" t="str">
        <f>IF(AND((J220="This"),(L220="Only")),VLOOKUP(G220,#REF!,7,FALSE),"")</f>
        <v/>
      </c>
    </row>
    <row r="221" spans="1:22" x14ac:dyDescent="0.25">
      <c r="A221" s="278">
        <v>1</v>
      </c>
      <c r="C221" s="278">
        <f t="shared" si="15"/>
        <v>8</v>
      </c>
      <c r="D221" s="278">
        <f t="shared" si="16"/>
        <v>3</v>
      </c>
      <c r="E221" s="278">
        <f t="shared" si="17"/>
        <v>15</v>
      </c>
      <c r="F221" s="278" t="str">
        <f t="shared" si="18"/>
        <v>crx</v>
      </c>
      <c r="G221" s="278" t="s">
        <v>708</v>
      </c>
      <c r="H221" s="278" t="s">
        <v>709</v>
      </c>
      <c r="I221" s="278" t="s">
        <v>710</v>
      </c>
      <c r="K221" s="279">
        <f t="shared" si="19"/>
        <v>2553.7103374604826</v>
      </c>
      <c r="M221" s="279">
        <v>2400</v>
      </c>
      <c r="R221" s="278" t="str">
        <f>IF(AND((J221="This"),(L221="Only")),VLOOKUP(G221,#REF!,7,FALSE),"")</f>
        <v/>
      </c>
      <c r="U221" s="278">
        <v>2553.7103374604826</v>
      </c>
    </row>
    <row r="222" spans="1:22" x14ac:dyDescent="0.25">
      <c r="A222" s="278">
        <v>3</v>
      </c>
      <c r="C222" s="278">
        <f t="shared" si="15"/>
        <v>9</v>
      </c>
      <c r="D222" s="278">
        <f t="shared" si="16"/>
        <v>3</v>
      </c>
      <c r="E222" s="278">
        <f t="shared" si="17"/>
        <v>15</v>
      </c>
      <c r="F222" s="278" t="str">
        <f t="shared" si="18"/>
        <v>pm</v>
      </c>
      <c r="G222" s="278" t="s">
        <v>711</v>
      </c>
      <c r="H222" s="278" t="s">
        <v>217</v>
      </c>
      <c r="I222" s="278" t="s">
        <v>712</v>
      </c>
      <c r="K222" s="279">
        <f t="shared" si="19"/>
        <v>2502.5098735044567</v>
      </c>
      <c r="M222" s="279">
        <v>2400</v>
      </c>
      <c r="N222" s="278">
        <v>2499.7117552915306</v>
      </c>
      <c r="R222" s="278" t="str">
        <f>IF(AND((J222="This"),(L222="Only")),VLOOKUP(G222,#REF!,7,FALSE),"")</f>
        <v/>
      </c>
      <c r="U222" s="278">
        <v>2502.5098735044567</v>
      </c>
    </row>
    <row r="223" spans="1:22" x14ac:dyDescent="0.25">
      <c r="A223" s="278">
        <v>4</v>
      </c>
      <c r="C223" s="278">
        <f t="shared" si="15"/>
        <v>10</v>
      </c>
      <c r="D223" s="278">
        <f t="shared" si="16"/>
        <v>3</v>
      </c>
      <c r="E223" s="278">
        <f t="shared" si="17"/>
        <v>15</v>
      </c>
      <c r="F223" s="278" t="str">
        <f t="shared" si="18"/>
        <v>pm</v>
      </c>
      <c r="G223" s="278" t="s">
        <v>713</v>
      </c>
      <c r="H223" s="278" t="s">
        <v>217</v>
      </c>
      <c r="I223" s="278" t="s">
        <v>714</v>
      </c>
      <c r="K223" s="279">
        <f t="shared" si="19"/>
        <v>2527.2786745948765</v>
      </c>
      <c r="M223" s="279">
        <v>2400</v>
      </c>
      <c r="N223" s="278">
        <v>2470.5474448149635</v>
      </c>
      <c r="R223" s="278" t="str">
        <f>IF(AND((J223="This"),(L223="Only")),VLOOKUP(G223,#REF!,7,FALSE),"")</f>
        <v/>
      </c>
      <c r="U223" s="278">
        <v>2527.2786745948765</v>
      </c>
    </row>
    <row r="224" spans="1:22" x14ac:dyDescent="0.25">
      <c r="A224" s="278">
        <v>4</v>
      </c>
      <c r="C224" s="278">
        <f t="shared" si="15"/>
        <v>11</v>
      </c>
      <c r="D224" s="278">
        <f t="shared" si="16"/>
        <v>3</v>
      </c>
      <c r="E224" s="278">
        <f t="shared" si="17"/>
        <v>15</v>
      </c>
      <c r="F224" s="278" t="str">
        <f t="shared" si="18"/>
        <v>pm</v>
      </c>
      <c r="G224" s="278" t="s">
        <v>715</v>
      </c>
      <c r="H224" s="278" t="s">
        <v>217</v>
      </c>
      <c r="I224" s="278" t="s">
        <v>716</v>
      </c>
      <c r="K224" s="279">
        <f t="shared" si="19"/>
        <v>2359.4300065726879</v>
      </c>
      <c r="M224" s="279">
        <v>2400</v>
      </c>
      <c r="N224" s="278">
        <v>2369.6009381256022</v>
      </c>
      <c r="R224" s="278" t="str">
        <f>IF(AND((J224="This"),(L224="Only")),VLOOKUP(G224,#REF!,7,FALSE),"")</f>
        <v/>
      </c>
      <c r="U224" s="278">
        <v>2359.4300065726879</v>
      </c>
    </row>
    <row r="225" spans="1:21" x14ac:dyDescent="0.25">
      <c r="A225" s="278">
        <v>5</v>
      </c>
      <c r="C225" s="278">
        <f t="shared" si="15"/>
        <v>12</v>
      </c>
      <c r="D225" s="278">
        <f t="shared" si="16"/>
        <v>3</v>
      </c>
      <c r="E225" s="278">
        <f t="shared" si="17"/>
        <v>15</v>
      </c>
      <c r="F225" s="278" t="str">
        <f t="shared" si="18"/>
        <v>pm</v>
      </c>
      <c r="G225" s="278" t="s">
        <v>717</v>
      </c>
      <c r="H225" s="278" t="s">
        <v>281</v>
      </c>
      <c r="I225" s="278" t="s">
        <v>718</v>
      </c>
      <c r="K225" s="279">
        <f t="shared" si="19"/>
        <v>2381.8006957841599</v>
      </c>
      <c r="M225" s="279">
        <v>2400</v>
      </c>
      <c r="N225" s="278">
        <v>2394.4035633824892</v>
      </c>
      <c r="R225" s="278" t="str">
        <f>IF(AND((J225="This"),(L225="Only")),VLOOKUP(G225,#REF!,7,FALSE),"")</f>
        <v/>
      </c>
      <c r="S225" s="278">
        <v>2392.8165751582583</v>
      </c>
      <c r="U225" s="278">
        <v>2381.8006957841599</v>
      </c>
    </row>
    <row r="226" spans="1:21" x14ac:dyDescent="0.25">
      <c r="A226" s="278">
        <v>6</v>
      </c>
      <c r="C226" s="278">
        <f t="shared" si="15"/>
        <v>13</v>
      </c>
      <c r="D226" s="278">
        <f t="shared" si="16"/>
        <v>3</v>
      </c>
      <c r="E226" s="278">
        <f t="shared" si="17"/>
        <v>15</v>
      </c>
      <c r="F226" s="278" t="str">
        <f t="shared" si="18"/>
        <v>pm</v>
      </c>
      <c r="G226" s="278" t="s">
        <v>719</v>
      </c>
      <c r="H226" s="278" t="s">
        <v>284</v>
      </c>
      <c r="I226" s="278" t="s">
        <v>720</v>
      </c>
      <c r="K226" s="279">
        <f t="shared" si="19"/>
        <v>2442.1065800796255</v>
      </c>
      <c r="M226" s="279">
        <v>2400</v>
      </c>
      <c r="N226" s="278">
        <v>2461.9045489450959</v>
      </c>
      <c r="P226" s="278">
        <v>2478.9577728246177</v>
      </c>
      <c r="R226" s="278" t="str">
        <f>IF(AND((J226="This"),(L226="Only")),VLOOKUP(G226,#REF!,7,FALSE),"")</f>
        <v/>
      </c>
      <c r="S226" s="278">
        <v>2469.2170727327562</v>
      </c>
      <c r="U226" s="278">
        <v>2442.1065800796255</v>
      </c>
    </row>
    <row r="227" spans="1:21" x14ac:dyDescent="0.25">
      <c r="A227" s="278">
        <v>3</v>
      </c>
      <c r="C227" s="278">
        <f t="shared" si="15"/>
        <v>14</v>
      </c>
      <c r="D227" s="278">
        <f t="shared" si="16"/>
        <v>3</v>
      </c>
      <c r="E227" s="278">
        <f t="shared" si="17"/>
        <v>15</v>
      </c>
      <c r="F227" s="278" t="str">
        <f t="shared" si="18"/>
        <v>pm</v>
      </c>
      <c r="G227" s="278" t="s">
        <v>721</v>
      </c>
      <c r="H227" s="278" t="s">
        <v>290</v>
      </c>
      <c r="I227" s="278" t="s">
        <v>722</v>
      </c>
      <c r="K227" s="279">
        <f t="shared" si="19"/>
        <v>2382.5277444743001</v>
      </c>
      <c r="M227" s="279">
        <v>2400</v>
      </c>
      <c r="R227" s="278" t="str">
        <f>IF(AND((J227="This"),(L227="Only")),VLOOKUP(G227,#REF!,7,FALSE),"")</f>
        <v/>
      </c>
      <c r="S227" s="278">
        <v>2354.7201914323136</v>
      </c>
      <c r="U227" s="278">
        <v>2382.5277444743001</v>
      </c>
    </row>
    <row r="228" spans="1:21" x14ac:dyDescent="0.25">
      <c r="A228" s="278">
        <v>1</v>
      </c>
      <c r="C228" s="278">
        <f t="shared" si="15"/>
        <v>15</v>
      </c>
      <c r="D228" s="278">
        <f t="shared" si="16"/>
        <v>3</v>
      </c>
      <c r="E228" s="278">
        <f t="shared" si="17"/>
        <v>15</v>
      </c>
      <c r="F228" s="278" t="str">
        <f t="shared" si="18"/>
        <v>pmx</v>
      </c>
      <c r="G228" s="278" t="s">
        <v>723</v>
      </c>
      <c r="H228" s="278" t="s">
        <v>382</v>
      </c>
      <c r="I228" s="278" t="s">
        <v>724</v>
      </c>
      <c r="K228" s="279">
        <f t="shared" si="19"/>
        <v>2469.0795299678753</v>
      </c>
      <c r="M228" s="279">
        <v>2400</v>
      </c>
      <c r="R228" s="278" t="str">
        <f>IF(AND((J228="This"),(L228="Only")),VLOOKUP(G228,#REF!,7,FALSE),"")</f>
        <v/>
      </c>
      <c r="U228" s="278">
        <v>2469.0795299678753</v>
      </c>
    </row>
    <row r="229" spans="1:21" x14ac:dyDescent="0.25">
      <c r="A229" s="278">
        <v>1</v>
      </c>
      <c r="C229" s="278">
        <f t="shared" si="15"/>
        <v>16</v>
      </c>
      <c r="D229" s="278">
        <f t="shared" si="16"/>
        <v>3</v>
      </c>
      <c r="E229" s="278">
        <f t="shared" si="17"/>
        <v>15</v>
      </c>
      <c r="F229" s="278" t="str">
        <f t="shared" si="18"/>
        <v>pmx</v>
      </c>
      <c r="G229" s="278" t="s">
        <v>725</v>
      </c>
      <c r="H229" s="278" t="s">
        <v>382</v>
      </c>
      <c r="I229" s="278" t="s">
        <v>726</v>
      </c>
      <c r="K229" s="279">
        <f t="shared" si="19"/>
        <v>2406.1102551230915</v>
      </c>
      <c r="M229" s="279">
        <v>2400</v>
      </c>
      <c r="R229" s="278" t="str">
        <f>IF(AND((J229="This"),(L229="Only")),VLOOKUP(G229,#REF!,7,FALSE),"")</f>
        <v/>
      </c>
      <c r="U229" s="278">
        <v>2406.1102551230915</v>
      </c>
    </row>
    <row r="230" spans="1:21" x14ac:dyDescent="0.25">
      <c r="A230" s="278">
        <v>1</v>
      </c>
      <c r="C230" s="278">
        <f t="shared" si="15"/>
        <v>17</v>
      </c>
      <c r="D230" s="278">
        <f t="shared" si="16"/>
        <v>3</v>
      </c>
      <c r="E230" s="278">
        <f t="shared" si="17"/>
        <v>15</v>
      </c>
      <c r="F230" s="278" t="str">
        <f t="shared" si="18"/>
        <v>crx</v>
      </c>
      <c r="G230" s="278" t="s">
        <v>727</v>
      </c>
      <c r="H230" s="278" t="s">
        <v>544</v>
      </c>
      <c r="I230" s="278" t="s">
        <v>728</v>
      </c>
      <c r="K230" s="279">
        <f t="shared" si="19"/>
        <v>2400</v>
      </c>
      <c r="M230" s="279">
        <v>2400</v>
      </c>
      <c r="R230" s="278" t="str">
        <f>IF(AND((J230="This"),(L230="Only")),VLOOKUP(G230,#REF!,7,FALSE),"")</f>
        <v/>
      </c>
    </row>
    <row r="231" spans="1:21" x14ac:dyDescent="0.25">
      <c r="A231" s="278">
        <v>4</v>
      </c>
      <c r="C231" s="278">
        <f t="shared" si="15"/>
        <v>18</v>
      </c>
      <c r="D231" s="278">
        <f t="shared" si="16"/>
        <v>3</v>
      </c>
      <c r="E231" s="278">
        <f t="shared" si="17"/>
        <v>15</v>
      </c>
      <c r="F231" s="278" t="str">
        <f t="shared" si="18"/>
        <v>pm</v>
      </c>
      <c r="G231" s="278" t="s">
        <v>729</v>
      </c>
      <c r="H231" s="278" t="s">
        <v>730</v>
      </c>
      <c r="I231" s="278" t="s">
        <v>731</v>
      </c>
      <c r="K231" s="279">
        <f t="shared" si="19"/>
        <v>2279.8314254027905</v>
      </c>
      <c r="M231" s="279">
        <v>2400</v>
      </c>
      <c r="N231" s="278">
        <v>2325.0939181579406</v>
      </c>
      <c r="R231" s="278" t="str">
        <f>IF(AND((J231="This"),(L231="Only")),VLOOKUP(G231,#REF!,7,FALSE),"")</f>
        <v/>
      </c>
      <c r="U231" s="278">
        <v>2279.8314254027905</v>
      </c>
    </row>
    <row r="232" spans="1:21" x14ac:dyDescent="0.25">
      <c r="A232" s="278">
        <v>6</v>
      </c>
      <c r="C232" s="278">
        <f t="shared" si="15"/>
        <v>19</v>
      </c>
      <c r="D232" s="278">
        <f t="shared" si="16"/>
        <v>3</v>
      </c>
      <c r="E232" s="278">
        <f t="shared" si="17"/>
        <v>15</v>
      </c>
      <c r="F232" s="278" t="str">
        <f t="shared" si="18"/>
        <v>pm</v>
      </c>
      <c r="G232" s="278" t="s">
        <v>732</v>
      </c>
      <c r="H232" s="278" t="s">
        <v>293</v>
      </c>
      <c r="I232" s="278" t="s">
        <v>733</v>
      </c>
      <c r="K232" s="279">
        <f t="shared" si="19"/>
        <v>2253.4757114355407</v>
      </c>
      <c r="M232" s="279">
        <v>2400</v>
      </c>
      <c r="P232" s="278">
        <v>2340.2463122800505</v>
      </c>
      <c r="R232" s="278" t="str">
        <f>IF(AND((J232="This"),(L232="Only")),VLOOKUP(G232,#REF!,7,FALSE),"")</f>
        <v/>
      </c>
      <c r="S232" s="278">
        <v>2305.7293444688644</v>
      </c>
      <c r="U232" s="278">
        <v>2253.4757114355407</v>
      </c>
    </row>
    <row r="233" spans="1:21" x14ac:dyDescent="0.25">
      <c r="A233" s="278">
        <v>6</v>
      </c>
      <c r="C233" s="278">
        <f t="shared" si="15"/>
        <v>20</v>
      </c>
      <c r="D233" s="278">
        <f t="shared" si="16"/>
        <v>3</v>
      </c>
      <c r="E233" s="278">
        <f t="shared" si="17"/>
        <v>15</v>
      </c>
      <c r="F233" s="278" t="str">
        <f t="shared" si="18"/>
        <v>pm</v>
      </c>
      <c r="G233" s="278" t="s">
        <v>734</v>
      </c>
      <c r="H233" s="278" t="s">
        <v>333</v>
      </c>
      <c r="I233" s="278" t="s">
        <v>735</v>
      </c>
      <c r="K233" s="279">
        <f t="shared" si="19"/>
        <v>2524.4972498882348</v>
      </c>
      <c r="M233" s="279">
        <v>2400</v>
      </c>
      <c r="N233" s="278">
        <v>2344.1797285208422</v>
      </c>
      <c r="P233" s="278">
        <v>2457.0746858546781</v>
      </c>
      <c r="R233" s="278" t="str">
        <f>IF(AND((J233="This"),(L233="Only")),VLOOKUP(G233,#REF!,7,FALSE),"")</f>
        <v/>
      </c>
      <c r="S233" s="278">
        <v>2512.3609527359577</v>
      </c>
      <c r="U233" s="278">
        <v>2524.4972498882348</v>
      </c>
    </row>
    <row r="234" spans="1:21" x14ac:dyDescent="0.25">
      <c r="A234" s="278">
        <v>1</v>
      </c>
      <c r="C234" s="278">
        <f t="shared" si="15"/>
        <v>21</v>
      </c>
      <c r="D234" s="278">
        <f t="shared" si="16"/>
        <v>3</v>
      </c>
      <c r="E234" s="278">
        <f t="shared" si="17"/>
        <v>15</v>
      </c>
      <c r="F234" s="278" t="str">
        <f t="shared" si="18"/>
        <v>crx</v>
      </c>
      <c r="G234" s="278" t="s">
        <v>736</v>
      </c>
      <c r="H234" s="278" t="s">
        <v>737</v>
      </c>
      <c r="I234" s="278" t="s">
        <v>738</v>
      </c>
      <c r="K234" s="279">
        <f t="shared" si="19"/>
        <v>2428.7307347628353</v>
      </c>
      <c r="M234" s="279">
        <v>2400</v>
      </c>
      <c r="N234" s="278">
        <v>2428.7307347628353</v>
      </c>
      <c r="R234" s="278" t="str">
        <f>IF(AND((J234="This"),(L234="Only")),VLOOKUP(G234,#REF!,7,FALSE),"")</f>
        <v/>
      </c>
    </row>
    <row r="235" spans="1:21" x14ac:dyDescent="0.25">
      <c r="A235" s="278">
        <v>3</v>
      </c>
      <c r="C235" s="278">
        <f t="shared" si="15"/>
        <v>22</v>
      </c>
      <c r="D235" s="278">
        <f t="shared" si="16"/>
        <v>3</v>
      </c>
      <c r="E235" s="278">
        <f t="shared" si="17"/>
        <v>15</v>
      </c>
      <c r="F235" s="278" t="str">
        <f t="shared" si="18"/>
        <v>pm</v>
      </c>
      <c r="G235" s="278" t="s">
        <v>739</v>
      </c>
      <c r="H235" s="278" t="s">
        <v>385</v>
      </c>
      <c r="I235" s="278" t="s">
        <v>740</v>
      </c>
      <c r="K235" s="279">
        <f t="shared" si="19"/>
        <v>2541.0917656759971</v>
      </c>
      <c r="M235" s="279">
        <v>2400</v>
      </c>
      <c r="N235" s="278">
        <v>2470.4562959885634</v>
      </c>
      <c r="R235" s="278" t="str">
        <f>IF(AND((J235="This"),(L235="Only")),VLOOKUP(G235,#REF!,7,FALSE),"")</f>
        <v/>
      </c>
      <c r="U235" s="278">
        <v>2541.0917656759971</v>
      </c>
    </row>
    <row r="236" spans="1:21" x14ac:dyDescent="0.25">
      <c r="A236" s="278">
        <v>1</v>
      </c>
      <c r="C236" s="278">
        <f t="shared" si="15"/>
        <v>23</v>
      </c>
      <c r="D236" s="278">
        <f t="shared" si="16"/>
        <v>3</v>
      </c>
      <c r="E236" s="278">
        <f t="shared" si="17"/>
        <v>15</v>
      </c>
      <c r="F236" s="278" t="str">
        <f t="shared" si="18"/>
        <v>odx</v>
      </c>
      <c r="G236" s="278" t="s">
        <v>741</v>
      </c>
      <c r="H236" s="278" t="s">
        <v>742</v>
      </c>
      <c r="I236" s="278" t="s">
        <v>743</v>
      </c>
      <c r="K236" s="279">
        <f t="shared" si="19"/>
        <v>2461.2633560320755</v>
      </c>
      <c r="M236" s="279">
        <v>2400</v>
      </c>
      <c r="N236" s="278">
        <v>2461.2633560320755</v>
      </c>
      <c r="R236" s="278" t="str">
        <f>IF(AND((J236="This"),(L236="Only")),VLOOKUP(G236,#REF!,7,FALSE),"")</f>
        <v/>
      </c>
    </row>
    <row r="237" spans="1:21" x14ac:dyDescent="0.25">
      <c r="A237" s="278">
        <v>2</v>
      </c>
      <c r="C237" s="278">
        <f t="shared" si="15"/>
        <v>24</v>
      </c>
      <c r="D237" s="278">
        <f t="shared" si="16"/>
        <v>3</v>
      </c>
      <c r="E237" s="278">
        <f t="shared" si="17"/>
        <v>15</v>
      </c>
      <c r="F237" s="278" t="str">
        <f t="shared" si="18"/>
        <v>pm</v>
      </c>
      <c r="G237" s="278" t="s">
        <v>744</v>
      </c>
      <c r="H237" s="278" t="s">
        <v>226</v>
      </c>
      <c r="I237" s="278" t="s">
        <v>745</v>
      </c>
      <c r="K237" s="279">
        <f t="shared" si="19"/>
        <v>2514.1564186642386</v>
      </c>
      <c r="M237" s="279">
        <v>2400</v>
      </c>
      <c r="R237" s="278" t="str">
        <f>IF(AND((J237="This"),(L237="Only")),VLOOKUP(G237,#REF!,7,FALSE),"")</f>
        <v/>
      </c>
      <c r="S237" s="278">
        <v>2514.1564186642386</v>
      </c>
    </row>
    <row r="238" spans="1:21" x14ac:dyDescent="0.25">
      <c r="A238" s="278">
        <v>2</v>
      </c>
      <c r="C238" s="278">
        <f t="shared" si="15"/>
        <v>25</v>
      </c>
      <c r="D238" s="278">
        <f t="shared" si="16"/>
        <v>3</v>
      </c>
      <c r="E238" s="278">
        <f t="shared" si="17"/>
        <v>15</v>
      </c>
      <c r="F238" s="278" t="str">
        <f t="shared" si="18"/>
        <v>pm</v>
      </c>
      <c r="G238" s="278" t="s">
        <v>746</v>
      </c>
      <c r="H238" s="278" t="s">
        <v>226</v>
      </c>
      <c r="I238" s="278" t="s">
        <v>747</v>
      </c>
      <c r="K238" s="279">
        <f t="shared" si="19"/>
        <v>2414.849046848939</v>
      </c>
      <c r="M238" s="279">
        <v>2400</v>
      </c>
      <c r="R238" s="278" t="str">
        <f>IF(AND((J238="This"),(L238="Only")),VLOOKUP(G238,#REF!,7,FALSE),"")</f>
        <v/>
      </c>
      <c r="S238" s="278">
        <v>2414.849046848939</v>
      </c>
    </row>
    <row r="239" spans="1:21" x14ac:dyDescent="0.25">
      <c r="A239" s="278">
        <v>2</v>
      </c>
      <c r="C239" s="278">
        <f t="shared" si="15"/>
        <v>26</v>
      </c>
      <c r="D239" s="278">
        <f t="shared" si="16"/>
        <v>3</v>
      </c>
      <c r="E239" s="278">
        <f t="shared" si="17"/>
        <v>15</v>
      </c>
      <c r="F239" s="278" t="str">
        <f t="shared" si="18"/>
        <v>pm</v>
      </c>
      <c r="G239" s="278" t="s">
        <v>748</v>
      </c>
      <c r="H239" s="278" t="s">
        <v>226</v>
      </c>
      <c r="I239" s="278" t="s">
        <v>749</v>
      </c>
      <c r="K239" s="279">
        <f t="shared" si="19"/>
        <v>2400</v>
      </c>
      <c r="M239" s="279">
        <v>2400</v>
      </c>
      <c r="R239" s="278" t="str">
        <f>IF(AND((J239="This"),(L239="Only")),VLOOKUP(G239,#REF!,7,FALSE),"")</f>
        <v/>
      </c>
    </row>
    <row r="240" spans="1:21" x14ac:dyDescent="0.25">
      <c r="A240" s="278">
        <v>2</v>
      </c>
      <c r="C240" s="278">
        <f t="shared" si="15"/>
        <v>27</v>
      </c>
      <c r="D240" s="278">
        <f t="shared" si="16"/>
        <v>3</v>
      </c>
      <c r="E240" s="278">
        <f t="shared" si="17"/>
        <v>15</v>
      </c>
      <c r="F240" s="278" t="str">
        <f t="shared" si="18"/>
        <v>pm</v>
      </c>
      <c r="G240" s="278" t="s">
        <v>750</v>
      </c>
      <c r="H240" s="278" t="s">
        <v>226</v>
      </c>
      <c r="I240" s="278" t="s">
        <v>751</v>
      </c>
      <c r="K240" s="279">
        <f t="shared" si="19"/>
        <v>2458.095796529813</v>
      </c>
      <c r="M240" s="279">
        <v>2400</v>
      </c>
      <c r="R240" s="278" t="str">
        <f>IF(AND((J240="This"),(L240="Only")),VLOOKUP(G240,#REF!,7,FALSE),"")</f>
        <v/>
      </c>
      <c r="S240" s="278">
        <v>2458.095796529813</v>
      </c>
    </row>
    <row r="241" spans="1:21" x14ac:dyDescent="0.25">
      <c r="A241" s="278">
        <v>1</v>
      </c>
      <c r="C241" s="278">
        <f t="shared" si="15"/>
        <v>28</v>
      </c>
      <c r="D241" s="278">
        <f t="shared" si="16"/>
        <v>3</v>
      </c>
      <c r="E241" s="278">
        <f t="shared" si="17"/>
        <v>15</v>
      </c>
      <c r="F241" s="278" t="str">
        <f t="shared" si="18"/>
        <v>sox</v>
      </c>
      <c r="G241" s="278" t="s">
        <v>752</v>
      </c>
      <c r="H241" s="278" t="s">
        <v>561</v>
      </c>
      <c r="I241" s="278" t="s">
        <v>753</v>
      </c>
      <c r="K241" s="279">
        <f t="shared" si="19"/>
        <v>2458.2149339259508</v>
      </c>
      <c r="M241" s="279">
        <v>2400</v>
      </c>
      <c r="R241" s="278" t="str">
        <f>IF(AND((J241="This"),(L241="Only")),VLOOKUP(G241,#REF!,7,FALSE),"")</f>
        <v/>
      </c>
      <c r="U241" s="278">
        <v>2458.2149339259508</v>
      </c>
    </row>
    <row r="242" spans="1:21" x14ac:dyDescent="0.25">
      <c r="A242" s="278">
        <v>2</v>
      </c>
      <c r="C242" s="278">
        <f t="shared" si="15"/>
        <v>29</v>
      </c>
      <c r="D242" s="278">
        <f t="shared" si="16"/>
        <v>3</v>
      </c>
      <c r="E242" s="278">
        <f t="shared" si="17"/>
        <v>15</v>
      </c>
      <c r="F242" s="278" t="str">
        <f t="shared" si="18"/>
        <v>pm</v>
      </c>
      <c r="G242" s="278" t="s">
        <v>754</v>
      </c>
      <c r="H242" s="278" t="s">
        <v>434</v>
      </c>
      <c r="I242" s="278" t="s">
        <v>755</v>
      </c>
      <c r="K242" s="279">
        <f t="shared" si="19"/>
        <v>2418.9011539857738</v>
      </c>
      <c r="M242" s="279">
        <v>2400</v>
      </c>
      <c r="N242" s="278">
        <v>2412.4969665615304</v>
      </c>
      <c r="R242" s="278" t="str">
        <f>IF(AND((J242="This"),(L242="Only")),VLOOKUP(G242,#REF!,7,FALSE),"")</f>
        <v/>
      </c>
      <c r="U242" s="278">
        <v>2418.9011539857738</v>
      </c>
    </row>
    <row r="243" spans="1:21" x14ac:dyDescent="0.25">
      <c r="A243" s="278">
        <v>2</v>
      </c>
      <c r="C243" s="278">
        <f t="shared" si="15"/>
        <v>30</v>
      </c>
      <c r="D243" s="278">
        <f t="shared" si="16"/>
        <v>3</v>
      </c>
      <c r="E243" s="278">
        <f t="shared" si="17"/>
        <v>15</v>
      </c>
      <c r="F243" s="278" t="str">
        <f t="shared" si="18"/>
        <v>pm</v>
      </c>
      <c r="G243" s="278" t="s">
        <v>756</v>
      </c>
      <c r="H243" s="278" t="s">
        <v>434</v>
      </c>
      <c r="I243" s="278" t="s">
        <v>757</v>
      </c>
      <c r="K243" s="279">
        <f t="shared" si="19"/>
        <v>2453.9766858733506</v>
      </c>
      <c r="M243" s="279">
        <v>2400</v>
      </c>
      <c r="N243" s="278">
        <v>2461.8822259540248</v>
      </c>
      <c r="R243" s="278" t="str">
        <f>IF(AND((J243="This"),(L243="Only")),VLOOKUP(G243,#REF!,7,FALSE),"")</f>
        <v/>
      </c>
      <c r="U243" s="278">
        <v>2453.9766858733506</v>
      </c>
    </row>
    <row r="244" spans="1:21" x14ac:dyDescent="0.25">
      <c r="A244" s="278">
        <v>3</v>
      </c>
      <c r="C244" s="278">
        <f t="shared" si="15"/>
        <v>31</v>
      </c>
      <c r="D244" s="278">
        <f t="shared" si="16"/>
        <v>3</v>
      </c>
      <c r="E244" s="278">
        <f t="shared" si="17"/>
        <v>15</v>
      </c>
      <c r="F244" s="278" t="str">
        <f t="shared" si="18"/>
        <v>pm</v>
      </c>
      <c r="G244" s="278" t="s">
        <v>758</v>
      </c>
      <c r="H244" s="278" t="s">
        <v>315</v>
      </c>
      <c r="I244" s="278" t="s">
        <v>759</v>
      </c>
      <c r="K244" s="279">
        <f t="shared" si="19"/>
        <v>2394.2141481145313</v>
      </c>
      <c r="M244" s="279">
        <v>2400</v>
      </c>
      <c r="R244" s="278" t="str">
        <f>IF(AND((J244="This"),(L244="Only")),VLOOKUP(G244,#REF!,7,FALSE),"")</f>
        <v/>
      </c>
      <c r="S244" s="278">
        <v>2394.2141481145313</v>
      </c>
    </row>
    <row r="245" spans="1:21" x14ac:dyDescent="0.25">
      <c r="A245" s="278">
        <v>5</v>
      </c>
      <c r="C245" s="278">
        <f t="shared" si="15"/>
        <v>32</v>
      </c>
      <c r="D245" s="278">
        <f t="shared" si="16"/>
        <v>3</v>
      </c>
      <c r="E245" s="278">
        <f t="shared" si="17"/>
        <v>15</v>
      </c>
      <c r="F245" s="278" t="str">
        <f t="shared" si="18"/>
        <v>pm</v>
      </c>
      <c r="G245" s="278" t="s">
        <v>760</v>
      </c>
      <c r="H245" s="278" t="s">
        <v>318</v>
      </c>
      <c r="I245" s="278" t="s">
        <v>761</v>
      </c>
      <c r="K245" s="279">
        <f t="shared" si="19"/>
        <v>2334.3319188437576</v>
      </c>
      <c r="M245" s="279">
        <v>2400</v>
      </c>
      <c r="N245" s="278">
        <v>2341.1233483976916</v>
      </c>
      <c r="R245" s="278" t="str">
        <f>IF(AND((J245="This"),(L245="Only")),VLOOKUP(G245,#REF!,7,FALSE),"")</f>
        <v/>
      </c>
      <c r="U245" s="278">
        <v>2334.3319188437576</v>
      </c>
    </row>
    <row r="246" spans="1:21" x14ac:dyDescent="0.25">
      <c r="A246" s="278">
        <v>7</v>
      </c>
      <c r="C246" s="278">
        <f t="shared" si="15"/>
        <v>33</v>
      </c>
      <c r="D246" s="278">
        <f t="shared" si="16"/>
        <v>3</v>
      </c>
      <c r="E246" s="278">
        <f t="shared" si="17"/>
        <v>15</v>
      </c>
      <c r="F246" s="278" t="str">
        <f t="shared" si="18"/>
        <v>pm</v>
      </c>
      <c r="G246" s="278" t="s">
        <v>762</v>
      </c>
      <c r="H246" s="278" t="s">
        <v>318</v>
      </c>
      <c r="I246" s="278" t="s">
        <v>763</v>
      </c>
      <c r="K246" s="279">
        <f t="shared" si="19"/>
        <v>2265.9230295280654</v>
      </c>
      <c r="M246" s="279">
        <v>2400</v>
      </c>
      <c r="N246" s="278">
        <v>2326.8645461765414</v>
      </c>
      <c r="P246" s="278">
        <v>2292.9055328887944</v>
      </c>
      <c r="R246" s="278" t="str">
        <f>IF(AND((J246="This"),(L246="Only")),VLOOKUP(G246,#REF!,7,FALSE),"")</f>
        <v/>
      </c>
      <c r="S246" s="278">
        <v>2267.6844132740748</v>
      </c>
      <c r="U246" s="278">
        <v>2265.9230295280654</v>
      </c>
    </row>
    <row r="247" spans="1:21" x14ac:dyDescent="0.25">
      <c r="A247" s="278">
        <v>4</v>
      </c>
      <c r="C247" s="278">
        <f t="shared" si="15"/>
        <v>34</v>
      </c>
      <c r="D247" s="278">
        <f t="shared" si="16"/>
        <v>3</v>
      </c>
      <c r="E247" s="278">
        <f t="shared" si="17"/>
        <v>15</v>
      </c>
      <c r="F247" s="278" t="str">
        <f t="shared" si="18"/>
        <v>pm</v>
      </c>
      <c r="G247" s="278" t="s">
        <v>764</v>
      </c>
      <c r="H247" s="278" t="s">
        <v>232</v>
      </c>
      <c r="I247" s="278" t="s">
        <v>765</v>
      </c>
      <c r="K247" s="279">
        <f t="shared" si="19"/>
        <v>2476.8536481597189</v>
      </c>
      <c r="M247" s="279">
        <v>2400</v>
      </c>
      <c r="P247" s="278">
        <v>2461.3928319711385</v>
      </c>
      <c r="R247" s="278" t="str">
        <f>IF(AND((J247="This"),(L247="Only")),VLOOKUP(G247,#REF!,7,FALSE),"")</f>
        <v/>
      </c>
      <c r="U247" s="278">
        <v>2476.8536481597189</v>
      </c>
    </row>
    <row r="248" spans="1:21" x14ac:dyDescent="0.25">
      <c r="A248" s="278">
        <v>1</v>
      </c>
      <c r="C248" s="278">
        <f t="shared" si="15"/>
        <v>35</v>
      </c>
      <c r="D248" s="278">
        <f t="shared" si="16"/>
        <v>3</v>
      </c>
      <c r="E248" s="278">
        <f t="shared" si="17"/>
        <v>15</v>
      </c>
      <c r="F248" s="278" t="str">
        <f t="shared" si="18"/>
        <v>crx</v>
      </c>
      <c r="G248" s="278" t="s">
        <v>766</v>
      </c>
      <c r="H248" s="278" t="s">
        <v>767</v>
      </c>
      <c r="I248" s="278" t="s">
        <v>768</v>
      </c>
      <c r="K248" s="279">
        <f t="shared" si="19"/>
        <v>2333.9496057080305</v>
      </c>
      <c r="M248" s="279">
        <v>2400</v>
      </c>
      <c r="R248" s="278" t="str">
        <f>IF(AND((J248="This"),(L248="Only")),VLOOKUP(G248,#REF!,7,FALSE),"")</f>
        <v/>
      </c>
      <c r="U248" s="278">
        <v>2333.9496057080305</v>
      </c>
    </row>
    <row r="249" spans="1:21" x14ac:dyDescent="0.25">
      <c r="A249" s="278">
        <v>1</v>
      </c>
      <c r="C249" s="278">
        <f t="shared" si="15"/>
        <v>36</v>
      </c>
      <c r="D249" s="278">
        <f t="shared" si="16"/>
        <v>3</v>
      </c>
      <c r="E249" s="278">
        <f t="shared" si="17"/>
        <v>15</v>
      </c>
      <c r="F249" s="278" t="str">
        <f t="shared" si="18"/>
        <v>crx</v>
      </c>
      <c r="G249" s="278" t="s">
        <v>769</v>
      </c>
      <c r="H249" s="278" t="s">
        <v>767</v>
      </c>
      <c r="I249" s="278" t="s">
        <v>770</v>
      </c>
      <c r="K249" s="279">
        <f t="shared" si="19"/>
        <v>2288.0945712632765</v>
      </c>
      <c r="M249" s="279">
        <v>2400</v>
      </c>
      <c r="R249" s="278" t="str">
        <f>IF(AND((J249="This"),(L249="Only")),VLOOKUP(G249,#REF!,7,FALSE),"")</f>
        <v/>
      </c>
      <c r="U249" s="278">
        <v>2288.0945712632765</v>
      </c>
    </row>
    <row r="250" spans="1:21" x14ac:dyDescent="0.25">
      <c r="A250" s="278">
        <v>1</v>
      </c>
      <c r="C250" s="278">
        <f t="shared" si="15"/>
        <v>37</v>
      </c>
      <c r="D250" s="278">
        <f t="shared" si="16"/>
        <v>3</v>
      </c>
      <c r="E250" s="278">
        <f t="shared" si="17"/>
        <v>15</v>
      </c>
      <c r="F250" s="278" t="str">
        <f t="shared" si="18"/>
        <v>crx</v>
      </c>
      <c r="G250" s="278" t="s">
        <v>771</v>
      </c>
      <c r="H250" s="278" t="s">
        <v>403</v>
      </c>
      <c r="I250" s="278" t="s">
        <v>772</v>
      </c>
      <c r="K250" s="279">
        <f t="shared" si="19"/>
        <v>2326.9108028137098</v>
      </c>
      <c r="M250" s="279">
        <v>2400</v>
      </c>
      <c r="R250" s="278" t="str">
        <f>IF(AND((J250="This"),(L250="Only")),VLOOKUP(G250,#REF!,7,FALSE),"")</f>
        <v/>
      </c>
      <c r="U250" s="278">
        <v>2326.9108028137098</v>
      </c>
    </row>
    <row r="251" spans="1:21" x14ac:dyDescent="0.25">
      <c r="A251" s="278">
        <v>2</v>
      </c>
      <c r="C251" s="278">
        <f t="shared" si="15"/>
        <v>38</v>
      </c>
      <c r="D251" s="278">
        <f t="shared" si="16"/>
        <v>3</v>
      </c>
      <c r="E251" s="278">
        <f t="shared" si="17"/>
        <v>15</v>
      </c>
      <c r="F251" s="278" t="str">
        <f t="shared" si="18"/>
        <v>cr</v>
      </c>
      <c r="G251" s="278" t="s">
        <v>773</v>
      </c>
      <c r="H251" s="278" t="s">
        <v>774</v>
      </c>
      <c r="I251" s="278" t="s">
        <v>775</v>
      </c>
      <c r="K251" s="279">
        <f t="shared" si="19"/>
        <v>2413.6581331682801</v>
      </c>
      <c r="M251" s="279">
        <v>2400</v>
      </c>
      <c r="N251" s="278">
        <v>2413.6581331682801</v>
      </c>
      <c r="R251" s="278" t="str">
        <f>IF(AND((J251="This"),(L251="Only")),VLOOKUP(G251,#REF!,7,FALSE),"")</f>
        <v/>
      </c>
    </row>
    <row r="252" spans="1:21" x14ac:dyDescent="0.25">
      <c r="A252" s="278">
        <v>1</v>
      </c>
      <c r="C252" s="278">
        <f t="shared" si="15"/>
        <v>39</v>
      </c>
      <c r="D252" s="278">
        <f t="shared" si="16"/>
        <v>3</v>
      </c>
      <c r="E252" s="278">
        <f t="shared" si="17"/>
        <v>15</v>
      </c>
      <c r="F252" s="278" t="str">
        <f t="shared" si="18"/>
        <v>crx</v>
      </c>
      <c r="G252" s="278" t="s">
        <v>776</v>
      </c>
      <c r="H252" s="278" t="s">
        <v>777</v>
      </c>
      <c r="I252" s="278" t="s">
        <v>778</v>
      </c>
      <c r="K252" s="279">
        <f t="shared" si="19"/>
        <v>2400</v>
      </c>
      <c r="M252" s="279">
        <v>2400</v>
      </c>
      <c r="R252" s="278" t="str">
        <f>IF(AND((J252="This"),(L252="Only")),VLOOKUP(G252,#REF!,7,FALSE),"")</f>
        <v/>
      </c>
    </row>
    <row r="253" spans="1:21" x14ac:dyDescent="0.25">
      <c r="A253" s="278">
        <v>3</v>
      </c>
      <c r="C253" s="278">
        <f t="shared" si="15"/>
        <v>40</v>
      </c>
      <c r="D253" s="278">
        <f t="shared" si="16"/>
        <v>3</v>
      </c>
      <c r="E253" s="278">
        <f t="shared" si="17"/>
        <v>15</v>
      </c>
      <c r="F253" s="278" t="str">
        <f t="shared" si="18"/>
        <v>pm</v>
      </c>
      <c r="G253" s="278" t="s">
        <v>779</v>
      </c>
      <c r="H253" s="278" t="s">
        <v>587</v>
      </c>
      <c r="I253" s="278" t="s">
        <v>780</v>
      </c>
      <c r="K253" s="279">
        <f t="shared" si="19"/>
        <v>2468.389371241949</v>
      </c>
      <c r="M253" s="279">
        <v>2400</v>
      </c>
      <c r="N253" s="278">
        <v>2445.1848084913613</v>
      </c>
      <c r="O253" s="278">
        <v>2480.5194251854841</v>
      </c>
      <c r="R253" s="278" t="str">
        <f>IF(AND((J253="This"),(L253="Only")),VLOOKUP(G253,#REF!,7,FALSE),"")</f>
        <v/>
      </c>
      <c r="U253" s="278">
        <v>2468.389371241949</v>
      </c>
    </row>
    <row r="254" spans="1:21" x14ac:dyDescent="0.25">
      <c r="A254" s="278">
        <v>4</v>
      </c>
      <c r="C254" s="278">
        <f t="shared" si="15"/>
        <v>41</v>
      </c>
      <c r="D254" s="278">
        <f t="shared" si="16"/>
        <v>3</v>
      </c>
      <c r="E254" s="278">
        <f t="shared" si="17"/>
        <v>15</v>
      </c>
      <c r="F254" s="278" t="str">
        <f t="shared" si="18"/>
        <v>pm</v>
      </c>
      <c r="G254" s="278" t="s">
        <v>781</v>
      </c>
      <c r="H254" s="278" t="s">
        <v>587</v>
      </c>
      <c r="I254" s="278" t="s">
        <v>782</v>
      </c>
      <c r="K254" s="279">
        <f t="shared" si="19"/>
        <v>2207.770555540747</v>
      </c>
      <c r="M254" s="279">
        <v>2400</v>
      </c>
      <c r="N254" s="278">
        <v>2300.028797134582</v>
      </c>
      <c r="R254" s="278" t="str">
        <f>IF(AND((J254="This"),(L254="Only")),VLOOKUP(G254,#REF!,7,FALSE),"")</f>
        <v/>
      </c>
      <c r="S254" s="278">
        <v>2238.8392128568562</v>
      </c>
      <c r="U254" s="278">
        <v>2207.770555540747</v>
      </c>
    </row>
    <row r="255" spans="1:21" x14ac:dyDescent="0.25">
      <c r="A255" s="278">
        <v>1</v>
      </c>
      <c r="C255" s="278">
        <f t="shared" si="15"/>
        <v>42</v>
      </c>
      <c r="D255" s="278">
        <f t="shared" si="16"/>
        <v>3</v>
      </c>
      <c r="E255" s="278">
        <f t="shared" si="17"/>
        <v>15</v>
      </c>
      <c r="F255" s="278" t="str">
        <f t="shared" si="18"/>
        <v>pmx</v>
      </c>
      <c r="G255" s="278" t="s">
        <v>783</v>
      </c>
      <c r="H255" s="278" t="s">
        <v>239</v>
      </c>
      <c r="I255" s="278" t="s">
        <v>784</v>
      </c>
      <c r="K255" s="279">
        <f t="shared" si="19"/>
        <v>2400</v>
      </c>
      <c r="M255" s="279">
        <v>2400</v>
      </c>
      <c r="R255" s="278" t="str">
        <f>IF(AND((J255="This"),(L255="Only")),VLOOKUP(G255,#REF!,7,FALSE),"")</f>
        <v/>
      </c>
    </row>
    <row r="256" spans="1:21" x14ac:dyDescent="0.25">
      <c r="A256" s="278">
        <v>1</v>
      </c>
      <c r="C256" s="278">
        <f t="shared" si="15"/>
        <v>43</v>
      </c>
      <c r="D256" s="278">
        <f t="shared" si="16"/>
        <v>3</v>
      </c>
      <c r="E256" s="278">
        <f t="shared" si="17"/>
        <v>15</v>
      </c>
      <c r="F256" s="278" t="str">
        <f t="shared" si="18"/>
        <v>pmx</v>
      </c>
      <c r="G256" s="278" t="s">
        <v>785</v>
      </c>
      <c r="H256" s="278" t="s">
        <v>239</v>
      </c>
      <c r="I256" s="278" t="s">
        <v>786</v>
      </c>
      <c r="K256" s="279">
        <f t="shared" si="19"/>
        <v>2400</v>
      </c>
      <c r="M256" s="279">
        <v>2400</v>
      </c>
      <c r="R256" s="278" t="str">
        <f>IF(AND((J256="This"),(L256="Only")),VLOOKUP(G256,#REF!,7,FALSE),"")</f>
        <v/>
      </c>
    </row>
    <row r="257" spans="1:22" x14ac:dyDescent="0.25">
      <c r="A257" s="278">
        <v>3</v>
      </c>
      <c r="C257" s="278">
        <f t="shared" si="15"/>
        <v>44</v>
      </c>
      <c r="D257" s="278">
        <f t="shared" si="16"/>
        <v>3</v>
      </c>
      <c r="E257" s="278">
        <f t="shared" si="17"/>
        <v>15</v>
      </c>
      <c r="F257" s="278" t="str">
        <f t="shared" si="18"/>
        <v>pm</v>
      </c>
      <c r="G257" s="278" t="s">
        <v>787</v>
      </c>
      <c r="H257" s="278" t="s">
        <v>416</v>
      </c>
      <c r="I257" s="278" t="s">
        <v>788</v>
      </c>
      <c r="K257" s="279">
        <f t="shared" si="19"/>
        <v>2452.7285452877954</v>
      </c>
      <c r="M257" s="279">
        <v>2400</v>
      </c>
      <c r="P257" s="278">
        <v>2452.7285452877954</v>
      </c>
      <c r="R257" s="278" t="str">
        <f>IF(AND((J257="This"),(L257="Only")),VLOOKUP(G257,#REF!,7,FALSE),"")</f>
        <v/>
      </c>
    </row>
    <row r="258" spans="1:22" x14ac:dyDescent="0.25">
      <c r="A258" s="278">
        <v>6</v>
      </c>
      <c r="C258" s="278">
        <f t="shared" ref="C258:C321" si="20">IF(E258=E257,C257+1,1)</f>
        <v>45</v>
      </c>
      <c r="D258" s="278">
        <f t="shared" ref="D258:D321" si="21">IF(M258=M257,D257,C258)</f>
        <v>45</v>
      </c>
      <c r="E258" s="278">
        <f t="shared" ref="E258:E321" si="22">10+VALUE(RIGHT(LEFT(G258,3),1))</f>
        <v>15</v>
      </c>
      <c r="F258" s="278" t="str">
        <f t="shared" ref="F258:F321" si="23">RIGHT(G258,2) &amp; IF(A258&lt;2,"x","")</f>
        <v>pm</v>
      </c>
      <c r="G258" s="278" t="s">
        <v>789</v>
      </c>
      <c r="H258" s="278" t="s">
        <v>284</v>
      </c>
      <c r="I258" s="278" t="s">
        <v>790</v>
      </c>
      <c r="K258" s="279">
        <f t="shared" ref="K258:K321" si="24">LOOKUP(1E+100,M258:AC258)</f>
        <v>2102.2891877313273</v>
      </c>
      <c r="M258" s="279">
        <v>2333.3333333333335</v>
      </c>
      <c r="O258" s="278">
        <v>2181.068342313471</v>
      </c>
      <c r="P258" s="278">
        <v>2153.6879824326447</v>
      </c>
      <c r="R258" s="278" t="str">
        <f>IF(AND((J258="This"),(L258="Only")),VLOOKUP(G258,#REF!,7,FALSE),"")</f>
        <v/>
      </c>
      <c r="S258" s="278">
        <v>2100.6667024320777</v>
      </c>
      <c r="U258" s="278">
        <v>2102.2891877313273</v>
      </c>
    </row>
    <row r="259" spans="1:22" x14ac:dyDescent="0.25">
      <c r="A259" s="278">
        <v>4</v>
      </c>
      <c r="C259" s="278">
        <f t="shared" si="20"/>
        <v>46</v>
      </c>
      <c r="D259" s="278">
        <f t="shared" si="21"/>
        <v>46</v>
      </c>
      <c r="E259" s="278">
        <f t="shared" si="22"/>
        <v>15</v>
      </c>
      <c r="F259" s="278" t="str">
        <f t="shared" si="23"/>
        <v>pm</v>
      </c>
      <c r="G259" s="278" t="s">
        <v>791</v>
      </c>
      <c r="H259" s="278" t="s">
        <v>252</v>
      </c>
      <c r="I259" s="278" t="s">
        <v>792</v>
      </c>
      <c r="K259" s="279">
        <f t="shared" si="24"/>
        <v>2376.6455222724007</v>
      </c>
      <c r="M259" s="279">
        <v>2300</v>
      </c>
      <c r="R259" s="278" t="str">
        <f>IF(AND((J259="This"),(L259="Only")),VLOOKUP(G259,#REF!,7,FALSE),"")</f>
        <v/>
      </c>
      <c r="S259" s="278">
        <v>2376.6455222724007</v>
      </c>
    </row>
    <row r="260" spans="1:22" x14ac:dyDescent="0.25">
      <c r="A260" s="278">
        <v>4</v>
      </c>
      <c r="C260" s="278">
        <f t="shared" si="20"/>
        <v>47</v>
      </c>
      <c r="D260" s="278">
        <f t="shared" si="21"/>
        <v>46</v>
      </c>
      <c r="E260" s="278">
        <f t="shared" si="22"/>
        <v>15</v>
      </c>
      <c r="F260" s="278" t="str">
        <f t="shared" si="23"/>
        <v>pm</v>
      </c>
      <c r="G260" s="278" t="s">
        <v>793</v>
      </c>
      <c r="H260" s="278" t="s">
        <v>315</v>
      </c>
      <c r="I260" s="278" t="s">
        <v>794</v>
      </c>
      <c r="K260" s="279">
        <f t="shared" si="24"/>
        <v>2268.3854422372378</v>
      </c>
      <c r="M260" s="279">
        <v>2300</v>
      </c>
      <c r="O260" s="278">
        <v>2235.0356284950308</v>
      </c>
      <c r="P260" s="278">
        <v>2322.1303862295704</v>
      </c>
      <c r="R260" s="278" t="str">
        <f>IF(AND((J260="This"),(L260="Only")),VLOOKUP(G260,#REF!,7,FALSE),"")</f>
        <v/>
      </c>
      <c r="S260" s="278">
        <v>2268.3854422372378</v>
      </c>
    </row>
    <row r="261" spans="1:22" x14ac:dyDescent="0.25">
      <c r="A261" s="278">
        <v>5</v>
      </c>
      <c r="C261" s="278">
        <f t="shared" si="20"/>
        <v>48</v>
      </c>
      <c r="D261" s="278">
        <f t="shared" si="21"/>
        <v>48</v>
      </c>
      <c r="E261" s="278">
        <f t="shared" si="22"/>
        <v>15</v>
      </c>
      <c r="F261" s="278" t="str">
        <f t="shared" si="23"/>
        <v>pm</v>
      </c>
      <c r="G261" s="278" t="s">
        <v>795</v>
      </c>
      <c r="H261" s="278" t="s">
        <v>223</v>
      </c>
      <c r="I261" s="278" t="s">
        <v>796</v>
      </c>
      <c r="K261" s="279">
        <f t="shared" si="24"/>
        <v>2137.7943142165154</v>
      </c>
      <c r="M261" s="279">
        <v>2160</v>
      </c>
      <c r="O261" s="278">
        <v>2166.7401209474078</v>
      </c>
      <c r="R261" s="278" t="str">
        <f>IF(AND((J261="This"),(L261="Only")),VLOOKUP(G261,#REF!,7,FALSE),"")</f>
        <v/>
      </c>
      <c r="S261" s="278">
        <v>2137.7943142165154</v>
      </c>
    </row>
    <row r="262" spans="1:22" x14ac:dyDescent="0.25">
      <c r="A262" s="278">
        <v>6</v>
      </c>
      <c r="C262" s="278">
        <f t="shared" si="20"/>
        <v>49</v>
      </c>
      <c r="D262" s="278">
        <f t="shared" si="21"/>
        <v>49</v>
      </c>
      <c r="E262" s="278">
        <f t="shared" si="22"/>
        <v>15</v>
      </c>
      <c r="F262" s="278" t="str">
        <f t="shared" si="23"/>
        <v>pm</v>
      </c>
      <c r="G262" s="278" t="s">
        <v>797</v>
      </c>
      <c r="H262" s="278" t="s">
        <v>604</v>
      </c>
      <c r="I262" s="278" t="s">
        <v>798</v>
      </c>
      <c r="K262" s="279">
        <f t="shared" si="24"/>
        <v>2261.5141533158635</v>
      </c>
      <c r="M262" s="279">
        <v>2066.6666666666665</v>
      </c>
      <c r="O262" s="278">
        <v>2144.1217834697964</v>
      </c>
      <c r="R262" s="278" t="str">
        <f>IF(AND((J262="This"),(L262="Only")),VLOOKUP(G262,#REF!,7,FALSE),"")</f>
        <v/>
      </c>
      <c r="T262" s="278">
        <v>2212.9846052971011</v>
      </c>
      <c r="V262" s="278">
        <v>2261.5141533158635</v>
      </c>
    </row>
    <row r="263" spans="1:22" x14ac:dyDescent="0.25">
      <c r="A263" s="278">
        <v>3</v>
      </c>
      <c r="C263" s="278">
        <f t="shared" si="20"/>
        <v>50</v>
      </c>
      <c r="D263" s="278">
        <f t="shared" si="21"/>
        <v>49</v>
      </c>
      <c r="E263" s="278">
        <f t="shared" si="22"/>
        <v>15</v>
      </c>
      <c r="F263" s="278" t="str">
        <f t="shared" si="23"/>
        <v>so</v>
      </c>
      <c r="G263" s="278" t="s">
        <v>799</v>
      </c>
      <c r="H263" s="278" t="s">
        <v>800</v>
      </c>
      <c r="I263" s="278" t="s">
        <v>801</v>
      </c>
      <c r="K263" s="279">
        <f t="shared" si="24"/>
        <v>2058.9575360453096</v>
      </c>
      <c r="M263" s="279">
        <v>2066.6666666666665</v>
      </c>
      <c r="R263" s="278" t="str">
        <f>IF(AND((J263="This"),(L263="Only")),VLOOKUP(G263,#REF!,7,FALSE),"")</f>
        <v/>
      </c>
      <c r="T263" s="278">
        <v>2068.7013691027805</v>
      </c>
      <c r="V263" s="278">
        <v>2058.9575360453096</v>
      </c>
    </row>
    <row r="264" spans="1:22" x14ac:dyDescent="0.25">
      <c r="A264" s="278">
        <v>5</v>
      </c>
      <c r="C264" s="278">
        <f t="shared" si="20"/>
        <v>51</v>
      </c>
      <c r="D264" s="278">
        <f t="shared" si="21"/>
        <v>51</v>
      </c>
      <c r="E264" s="278">
        <f t="shared" si="22"/>
        <v>15</v>
      </c>
      <c r="F264" s="278" t="str">
        <f t="shared" si="23"/>
        <v>pm</v>
      </c>
      <c r="G264" s="278" t="s">
        <v>193</v>
      </c>
      <c r="H264" s="278" t="s">
        <v>802</v>
      </c>
      <c r="I264" s="278" t="s">
        <v>192</v>
      </c>
      <c r="K264" s="279">
        <f t="shared" si="24"/>
        <v>1934.5993580275974</v>
      </c>
      <c r="M264" s="279">
        <v>2000</v>
      </c>
      <c r="O264" s="278">
        <v>1945.5835796928918</v>
      </c>
      <c r="R264" s="278" t="str">
        <f>IF(AND((J264="This"),(L264="Only")),VLOOKUP(G264,#REF!,7,FALSE),"")</f>
        <v/>
      </c>
      <c r="S264" s="278">
        <v>1904.1046446104472</v>
      </c>
      <c r="T264" s="278">
        <v>1881.9594079860281</v>
      </c>
      <c r="V264" s="278">
        <v>1934.5993580275974</v>
      </c>
    </row>
    <row r="265" spans="1:22" x14ac:dyDescent="0.25">
      <c r="A265" s="278">
        <v>1</v>
      </c>
      <c r="C265" s="278">
        <f t="shared" si="20"/>
        <v>52</v>
      </c>
      <c r="D265" s="278">
        <f t="shared" si="21"/>
        <v>51</v>
      </c>
      <c r="E265" s="278">
        <f t="shared" si="22"/>
        <v>15</v>
      </c>
      <c r="F265" s="278" t="str">
        <f t="shared" si="23"/>
        <v>crx</v>
      </c>
      <c r="G265" s="278" t="s">
        <v>803</v>
      </c>
      <c r="H265" s="278" t="s">
        <v>804</v>
      </c>
      <c r="I265" s="278" t="s">
        <v>805</v>
      </c>
      <c r="K265" s="279">
        <f t="shared" si="24"/>
        <v>2067.7629540639618</v>
      </c>
      <c r="M265" s="279">
        <v>2000</v>
      </c>
      <c r="O265" s="278">
        <v>2067.7629540639618</v>
      </c>
      <c r="R265" s="278" t="str">
        <f>IF(AND((J265="This"),(L265="Only")),VLOOKUP(G265,#REF!,7,FALSE),"")</f>
        <v/>
      </c>
    </row>
    <row r="266" spans="1:22" x14ac:dyDescent="0.25">
      <c r="A266" s="278">
        <v>3</v>
      </c>
      <c r="C266" s="278">
        <f t="shared" si="20"/>
        <v>53</v>
      </c>
      <c r="D266" s="278">
        <f t="shared" si="21"/>
        <v>51</v>
      </c>
      <c r="E266" s="278">
        <f t="shared" si="22"/>
        <v>15</v>
      </c>
      <c r="F266" s="278" t="str">
        <f t="shared" si="23"/>
        <v>pm</v>
      </c>
      <c r="G266" s="280" t="s">
        <v>806</v>
      </c>
      <c r="H266" s="278" t="s">
        <v>807</v>
      </c>
      <c r="I266" s="278" t="s">
        <v>808</v>
      </c>
      <c r="K266" s="279">
        <f t="shared" si="24"/>
        <v>2151.1670311235207</v>
      </c>
      <c r="M266" s="279">
        <v>2000</v>
      </c>
      <c r="R266" s="278" t="str">
        <f>IF(AND((J266="This"),(L266="Only")),VLOOKUP(G266,#REF!,7,FALSE),"")</f>
        <v/>
      </c>
      <c r="S266" s="278">
        <v>2125.6672368874802</v>
      </c>
      <c r="V266" s="278">
        <v>2151.1670311235207</v>
      </c>
    </row>
    <row r="267" spans="1:22" x14ac:dyDescent="0.25">
      <c r="A267" s="278">
        <v>2</v>
      </c>
      <c r="C267" s="278">
        <f t="shared" si="20"/>
        <v>54</v>
      </c>
      <c r="D267" s="278">
        <f t="shared" si="21"/>
        <v>51</v>
      </c>
      <c r="E267" s="278">
        <f t="shared" si="22"/>
        <v>15</v>
      </c>
      <c r="F267" s="278" t="str">
        <f t="shared" si="23"/>
        <v>cr</v>
      </c>
      <c r="G267" s="278" t="s">
        <v>809</v>
      </c>
      <c r="H267" s="278" t="s">
        <v>229</v>
      </c>
      <c r="I267" s="278" t="s">
        <v>810</v>
      </c>
      <c r="K267" s="279">
        <f t="shared" si="24"/>
        <v>2000</v>
      </c>
      <c r="M267" s="279">
        <v>2000</v>
      </c>
      <c r="R267" s="278" t="str">
        <f>IF(AND((J267="This"),(L267="Only")),VLOOKUP(G267,#REF!,7,FALSE),"")</f>
        <v/>
      </c>
    </row>
    <row r="268" spans="1:22" x14ac:dyDescent="0.25">
      <c r="A268" s="278">
        <v>1</v>
      </c>
      <c r="C268" s="278">
        <f t="shared" si="20"/>
        <v>55</v>
      </c>
      <c r="D268" s="278">
        <f t="shared" si="21"/>
        <v>51</v>
      </c>
      <c r="E268" s="278">
        <f t="shared" si="22"/>
        <v>15</v>
      </c>
      <c r="F268" s="278" t="str">
        <f t="shared" si="23"/>
        <v>pmx</v>
      </c>
      <c r="G268" s="278" t="s">
        <v>811</v>
      </c>
      <c r="H268" s="278" t="s">
        <v>247</v>
      </c>
      <c r="I268" s="278" t="s">
        <v>812</v>
      </c>
      <c r="K268" s="279">
        <f t="shared" si="24"/>
        <v>1956.945013216829</v>
      </c>
      <c r="M268" s="279">
        <v>2000</v>
      </c>
      <c r="O268" s="278">
        <v>1956.945013216829</v>
      </c>
      <c r="R268" s="278" t="str">
        <f>IF(AND((J268="This"),(L268="Only")),VLOOKUP(G268,#REF!,7,FALSE),"")</f>
        <v/>
      </c>
    </row>
    <row r="269" spans="1:22" x14ac:dyDescent="0.25">
      <c r="A269" s="278">
        <v>2</v>
      </c>
      <c r="C269" s="278">
        <f t="shared" si="20"/>
        <v>56</v>
      </c>
      <c r="D269" s="278">
        <f t="shared" si="21"/>
        <v>51</v>
      </c>
      <c r="E269" s="278">
        <f t="shared" si="22"/>
        <v>15</v>
      </c>
      <c r="F269" s="278" t="str">
        <f t="shared" si="23"/>
        <v>pm</v>
      </c>
      <c r="G269" s="278" t="s">
        <v>813</v>
      </c>
      <c r="H269" s="278" t="s">
        <v>268</v>
      </c>
      <c r="I269" s="278" t="s">
        <v>814</v>
      </c>
      <c r="K269" s="279">
        <f t="shared" si="24"/>
        <v>2016.1001377438922</v>
      </c>
      <c r="M269" s="279">
        <v>2000</v>
      </c>
      <c r="O269" s="278">
        <v>2026.0099610120353</v>
      </c>
      <c r="R269" s="278" t="str">
        <f>IF(AND((J269="This"),(L269="Only")),VLOOKUP(G269,#REF!,7,FALSE),"")</f>
        <v/>
      </c>
      <c r="V269" s="278">
        <v>2016.1001377438922</v>
      </c>
    </row>
    <row r="270" spans="1:22" x14ac:dyDescent="0.25">
      <c r="A270" s="278">
        <v>1</v>
      </c>
      <c r="C270" s="278">
        <f t="shared" si="20"/>
        <v>57</v>
      </c>
      <c r="D270" s="278">
        <f t="shared" si="21"/>
        <v>51</v>
      </c>
      <c r="E270" s="278">
        <f t="shared" si="22"/>
        <v>15</v>
      </c>
      <c r="F270" s="278" t="str">
        <f t="shared" si="23"/>
        <v>crx</v>
      </c>
      <c r="G270" s="278" t="s">
        <v>815</v>
      </c>
      <c r="H270" s="278" t="s">
        <v>373</v>
      </c>
      <c r="I270" s="278" t="s">
        <v>816</v>
      </c>
      <c r="K270" s="279">
        <f t="shared" si="24"/>
        <v>2186.2537904112141</v>
      </c>
      <c r="M270" s="279">
        <v>2000</v>
      </c>
      <c r="O270" s="278">
        <v>2186.2537904112141</v>
      </c>
      <c r="R270" s="278" t="str">
        <f>IF(AND((J270="This"),(L270="Only")),VLOOKUP(G270,#REF!,7,FALSE),"")</f>
        <v/>
      </c>
    </row>
    <row r="271" spans="1:22" x14ac:dyDescent="0.25">
      <c r="A271" s="278">
        <v>3</v>
      </c>
      <c r="C271" s="278">
        <f t="shared" si="20"/>
        <v>58</v>
      </c>
      <c r="D271" s="278">
        <f t="shared" si="21"/>
        <v>51</v>
      </c>
      <c r="E271" s="278">
        <f t="shared" si="22"/>
        <v>15</v>
      </c>
      <c r="F271" s="278" t="str">
        <f t="shared" si="23"/>
        <v>pm</v>
      </c>
      <c r="G271" s="278" t="s">
        <v>817</v>
      </c>
      <c r="H271" s="278" t="s">
        <v>217</v>
      </c>
      <c r="I271" s="278" t="s">
        <v>818</v>
      </c>
      <c r="K271" s="279">
        <f t="shared" si="24"/>
        <v>1946.6508848780252</v>
      </c>
      <c r="M271" s="279">
        <v>2000</v>
      </c>
      <c r="O271" s="278">
        <v>1946.6508848780252</v>
      </c>
      <c r="R271" s="278" t="str">
        <f>IF(AND((J271="This"),(L271="Only")),VLOOKUP(G271,#REF!,7,FALSE),"")</f>
        <v/>
      </c>
    </row>
    <row r="272" spans="1:22" x14ac:dyDescent="0.25">
      <c r="A272" s="278">
        <v>6</v>
      </c>
      <c r="C272" s="278">
        <f t="shared" si="20"/>
        <v>59</v>
      </c>
      <c r="D272" s="278">
        <f t="shared" si="21"/>
        <v>51</v>
      </c>
      <c r="E272" s="278">
        <f t="shared" si="22"/>
        <v>15</v>
      </c>
      <c r="F272" s="278" t="str">
        <f t="shared" si="23"/>
        <v>pm</v>
      </c>
      <c r="G272" s="278" t="s">
        <v>195</v>
      </c>
      <c r="H272" s="278" t="s">
        <v>284</v>
      </c>
      <c r="I272" s="278" t="s">
        <v>194</v>
      </c>
      <c r="K272" s="279">
        <f t="shared" si="24"/>
        <v>1769.7324273066286</v>
      </c>
      <c r="M272" s="279">
        <v>2000</v>
      </c>
      <c r="O272" s="278">
        <v>1899.8845696374212</v>
      </c>
      <c r="R272" s="278" t="str">
        <f>IF(AND((J272="This"),(L272="Only")),VLOOKUP(G272,#REF!,7,FALSE),"")</f>
        <v/>
      </c>
      <c r="S272" s="278">
        <v>1879.5086780308623</v>
      </c>
      <c r="T272" s="278">
        <v>1815.1405956068922</v>
      </c>
      <c r="V272" s="278">
        <v>1769.7324273066286</v>
      </c>
    </row>
    <row r="273" spans="1:22" x14ac:dyDescent="0.25">
      <c r="A273" s="278">
        <v>5</v>
      </c>
      <c r="C273" s="278">
        <f t="shared" si="20"/>
        <v>60</v>
      </c>
      <c r="D273" s="278">
        <f t="shared" si="21"/>
        <v>51</v>
      </c>
      <c r="E273" s="278">
        <f t="shared" si="22"/>
        <v>15</v>
      </c>
      <c r="F273" s="278" t="str">
        <f t="shared" si="23"/>
        <v>pm</v>
      </c>
      <c r="G273" s="278" t="s">
        <v>819</v>
      </c>
      <c r="H273" s="278" t="s">
        <v>287</v>
      </c>
      <c r="I273" s="278" t="s">
        <v>820</v>
      </c>
      <c r="K273" s="279">
        <f t="shared" si="24"/>
        <v>2037.3311358334597</v>
      </c>
      <c r="M273" s="279">
        <v>2000</v>
      </c>
      <c r="O273" s="278">
        <v>2082.3894703533642</v>
      </c>
      <c r="R273" s="278" t="str">
        <f>IF(AND((J273="This"),(L273="Only")),VLOOKUP(G273,#REF!,7,FALSE),"")</f>
        <v/>
      </c>
      <c r="S273" s="278">
        <v>1985.4963518902775</v>
      </c>
      <c r="V273" s="278">
        <v>2037.3311358334597</v>
      </c>
    </row>
    <row r="274" spans="1:22" x14ac:dyDescent="0.25">
      <c r="A274" s="278">
        <v>2</v>
      </c>
      <c r="C274" s="278">
        <f t="shared" si="20"/>
        <v>61</v>
      </c>
      <c r="D274" s="278">
        <f t="shared" si="21"/>
        <v>51</v>
      </c>
      <c r="E274" s="278">
        <f t="shared" si="22"/>
        <v>15</v>
      </c>
      <c r="F274" s="278" t="str">
        <f t="shared" si="23"/>
        <v>pm</v>
      </c>
      <c r="G274" s="278" t="s">
        <v>191</v>
      </c>
      <c r="H274" s="278" t="s">
        <v>252</v>
      </c>
      <c r="I274" s="278" t="s">
        <v>190</v>
      </c>
      <c r="K274" s="279">
        <f t="shared" si="24"/>
        <v>2009.442133194488</v>
      </c>
      <c r="M274" s="279">
        <v>2000</v>
      </c>
      <c r="R274" s="278" t="str">
        <f>IF(AND((J274="This"),(L274="Only")),VLOOKUP(G274,#REF!,7,FALSE),"")</f>
        <v/>
      </c>
      <c r="S274" s="278">
        <v>2019.4002681448881</v>
      </c>
      <c r="T274" s="278">
        <v>1937.3837972359004</v>
      </c>
      <c r="V274" s="278">
        <v>2009.442133194488</v>
      </c>
    </row>
    <row r="275" spans="1:22" x14ac:dyDescent="0.25">
      <c r="A275" s="278">
        <v>4</v>
      </c>
      <c r="C275" s="278">
        <f t="shared" si="20"/>
        <v>62</v>
      </c>
      <c r="D275" s="278">
        <f t="shared" si="21"/>
        <v>51</v>
      </c>
      <c r="E275" s="278">
        <f t="shared" si="22"/>
        <v>15</v>
      </c>
      <c r="F275" s="278" t="str">
        <f t="shared" si="23"/>
        <v>pm</v>
      </c>
      <c r="G275" s="278" t="s">
        <v>189</v>
      </c>
      <c r="H275" s="278" t="s">
        <v>296</v>
      </c>
      <c r="I275" s="278" t="s">
        <v>188</v>
      </c>
      <c r="K275" s="279">
        <f t="shared" si="24"/>
        <v>1968.6719369166094</v>
      </c>
      <c r="M275" s="279">
        <v>2000</v>
      </c>
      <c r="R275" s="278" t="str">
        <f>IF(AND((J275="This"),(L275="Only")),VLOOKUP(G275,#REF!,7,FALSE),"")</f>
        <v/>
      </c>
      <c r="T275" s="278">
        <v>1962.7309363652487</v>
      </c>
      <c r="V275" s="278">
        <v>1968.6719369166094</v>
      </c>
    </row>
    <row r="276" spans="1:22" x14ac:dyDescent="0.25">
      <c r="A276" s="278">
        <v>5</v>
      </c>
      <c r="C276" s="278">
        <f t="shared" si="20"/>
        <v>63</v>
      </c>
      <c r="D276" s="278">
        <f t="shared" si="21"/>
        <v>51</v>
      </c>
      <c r="E276" s="278">
        <f t="shared" si="22"/>
        <v>15</v>
      </c>
      <c r="F276" s="278" t="str">
        <f t="shared" si="23"/>
        <v>pm</v>
      </c>
      <c r="G276" s="278" t="s">
        <v>187</v>
      </c>
      <c r="H276" s="278" t="s">
        <v>301</v>
      </c>
      <c r="I276" s="278" t="s">
        <v>186</v>
      </c>
      <c r="K276" s="279">
        <f t="shared" si="24"/>
        <v>1882.3588043028437</v>
      </c>
      <c r="M276" s="279">
        <v>2000</v>
      </c>
      <c r="R276" s="278" t="str">
        <f>IF(AND((J276="This"),(L276="Only")),VLOOKUP(G276,#REF!,7,FALSE),"")</f>
        <v/>
      </c>
      <c r="S276" s="278">
        <v>1951.6936515310344</v>
      </c>
      <c r="T276" s="278">
        <v>1967.5899225540977</v>
      </c>
      <c r="V276" s="278">
        <v>1882.3588043028437</v>
      </c>
    </row>
    <row r="277" spans="1:22" x14ac:dyDescent="0.25">
      <c r="A277" s="278">
        <v>5</v>
      </c>
      <c r="C277" s="278">
        <f t="shared" si="20"/>
        <v>64</v>
      </c>
      <c r="D277" s="278">
        <f t="shared" si="21"/>
        <v>51</v>
      </c>
      <c r="E277" s="278">
        <f t="shared" si="22"/>
        <v>15</v>
      </c>
      <c r="F277" s="278" t="str">
        <f t="shared" si="23"/>
        <v>pm</v>
      </c>
      <c r="G277" s="278" t="s">
        <v>821</v>
      </c>
      <c r="H277" s="278" t="s">
        <v>301</v>
      </c>
      <c r="I277" s="278" t="s">
        <v>822</v>
      </c>
      <c r="K277" s="279">
        <f t="shared" si="24"/>
        <v>2000</v>
      </c>
      <c r="M277" s="279">
        <v>2000</v>
      </c>
      <c r="R277" s="278" t="str">
        <f>IF(AND((J277="This"),(L277="Only")),VLOOKUP(G277,#REF!,7,FALSE),"")</f>
        <v/>
      </c>
    </row>
    <row r="278" spans="1:22" x14ac:dyDescent="0.25">
      <c r="A278" s="278">
        <v>6</v>
      </c>
      <c r="C278" s="278">
        <f t="shared" si="20"/>
        <v>65</v>
      </c>
      <c r="D278" s="278">
        <f t="shared" si="21"/>
        <v>51</v>
      </c>
      <c r="E278" s="278">
        <f t="shared" si="22"/>
        <v>15</v>
      </c>
      <c r="F278" s="278" t="str">
        <f t="shared" si="23"/>
        <v>pm</v>
      </c>
      <c r="G278" s="278" t="s">
        <v>823</v>
      </c>
      <c r="H278" s="278" t="s">
        <v>333</v>
      </c>
      <c r="I278" s="278" t="s">
        <v>824</v>
      </c>
      <c r="K278" s="279">
        <f t="shared" si="24"/>
        <v>2075.6557959024376</v>
      </c>
      <c r="M278" s="279">
        <v>2000</v>
      </c>
      <c r="O278" s="278">
        <v>2021.5539015085499</v>
      </c>
      <c r="R278" s="278" t="str">
        <f>IF(AND((J278="This"),(L278="Only")),VLOOKUP(G278,#REF!,7,FALSE),"")</f>
        <v/>
      </c>
      <c r="S278" s="278">
        <v>2077.8601411897835</v>
      </c>
      <c r="T278" s="278">
        <v>2066.7296561866906</v>
      </c>
      <c r="V278" s="278">
        <v>2075.6557959024376</v>
      </c>
    </row>
    <row r="279" spans="1:22" x14ac:dyDescent="0.25">
      <c r="A279" s="278">
        <v>2</v>
      </c>
      <c r="C279" s="278">
        <f t="shared" si="20"/>
        <v>66</v>
      </c>
      <c r="D279" s="278">
        <f t="shared" si="21"/>
        <v>51</v>
      </c>
      <c r="E279" s="278">
        <f t="shared" si="22"/>
        <v>15</v>
      </c>
      <c r="F279" s="278" t="str">
        <f t="shared" si="23"/>
        <v>cr</v>
      </c>
      <c r="G279" s="278" t="s">
        <v>825</v>
      </c>
      <c r="H279" s="278" t="s">
        <v>304</v>
      </c>
      <c r="I279" s="278" t="s">
        <v>826</v>
      </c>
      <c r="K279" s="279">
        <f t="shared" si="24"/>
        <v>2092.5746381180716</v>
      </c>
      <c r="M279" s="279">
        <v>2000</v>
      </c>
      <c r="R279" s="278" t="str">
        <f>IF(AND((J279="This"),(L279="Only")),VLOOKUP(G279,#REF!,7,FALSE),"")</f>
        <v/>
      </c>
      <c r="T279" s="278">
        <v>2092.5746381180716</v>
      </c>
    </row>
    <row r="280" spans="1:22" x14ac:dyDescent="0.25">
      <c r="A280" s="278">
        <v>2</v>
      </c>
      <c r="C280" s="278">
        <f t="shared" si="20"/>
        <v>67</v>
      </c>
      <c r="D280" s="278">
        <f t="shared" si="21"/>
        <v>51</v>
      </c>
      <c r="E280" s="278">
        <f t="shared" si="22"/>
        <v>15</v>
      </c>
      <c r="F280" s="278" t="str">
        <f t="shared" si="23"/>
        <v>pm</v>
      </c>
      <c r="G280" s="278" t="s">
        <v>827</v>
      </c>
      <c r="H280" s="278" t="s">
        <v>226</v>
      </c>
      <c r="I280" s="278" t="s">
        <v>828</v>
      </c>
      <c r="K280" s="279">
        <f t="shared" si="24"/>
        <v>2045.640941405906</v>
      </c>
      <c r="M280" s="279">
        <v>2000</v>
      </c>
      <c r="R280" s="278" t="str">
        <f>IF(AND((J280="This"),(L280="Only")),VLOOKUP(G280,#REF!,7,FALSE),"")</f>
        <v/>
      </c>
      <c r="V280" s="278">
        <v>2045.640941405906</v>
      </c>
    </row>
    <row r="281" spans="1:22" x14ac:dyDescent="0.25">
      <c r="A281" s="278">
        <v>1</v>
      </c>
      <c r="C281" s="278">
        <f t="shared" si="20"/>
        <v>68</v>
      </c>
      <c r="D281" s="278">
        <f t="shared" si="21"/>
        <v>51</v>
      </c>
      <c r="E281" s="278">
        <f t="shared" si="22"/>
        <v>15</v>
      </c>
      <c r="F281" s="278" t="str">
        <f t="shared" si="23"/>
        <v>pmx</v>
      </c>
      <c r="G281" s="278" t="s">
        <v>829</v>
      </c>
      <c r="H281" s="278" t="s">
        <v>226</v>
      </c>
      <c r="I281" s="278" t="s">
        <v>830</v>
      </c>
      <c r="K281" s="279">
        <f t="shared" si="24"/>
        <v>2000</v>
      </c>
      <c r="M281" s="279">
        <v>2000</v>
      </c>
      <c r="R281" s="278" t="str">
        <f>IF(AND((J281="This"),(L281="Only")),VLOOKUP(G281,#REF!,7,FALSE),"")</f>
        <v/>
      </c>
    </row>
    <row r="282" spans="1:22" x14ac:dyDescent="0.25">
      <c r="A282" s="278">
        <v>5</v>
      </c>
      <c r="C282" s="278">
        <f t="shared" si="20"/>
        <v>69</v>
      </c>
      <c r="D282" s="278">
        <f t="shared" si="21"/>
        <v>51</v>
      </c>
      <c r="E282" s="278">
        <f t="shared" si="22"/>
        <v>15</v>
      </c>
      <c r="F282" s="278" t="str">
        <f t="shared" si="23"/>
        <v>pm</v>
      </c>
      <c r="G282" s="278" t="s">
        <v>831</v>
      </c>
      <c r="H282" s="278" t="s">
        <v>232</v>
      </c>
      <c r="I282" s="278" t="s">
        <v>832</v>
      </c>
      <c r="K282" s="279">
        <f t="shared" si="24"/>
        <v>1954.3026425151425</v>
      </c>
      <c r="M282" s="279">
        <v>2000</v>
      </c>
      <c r="R282" s="278" t="str">
        <f>IF(AND((J282="This"),(L282="Only")),VLOOKUP(G282,#REF!,7,FALSE),"")</f>
        <v/>
      </c>
      <c r="S282" s="278">
        <v>2021.1114002752317</v>
      </c>
      <c r="T282" s="278">
        <v>2058.6723054658987</v>
      </c>
      <c r="V282" s="278">
        <v>1954.3026425151425</v>
      </c>
    </row>
    <row r="283" spans="1:22" x14ac:dyDescent="0.25">
      <c r="A283" s="278">
        <v>1</v>
      </c>
      <c r="C283" s="278">
        <f t="shared" si="20"/>
        <v>70</v>
      </c>
      <c r="D283" s="278">
        <f t="shared" si="21"/>
        <v>51</v>
      </c>
      <c r="E283" s="278">
        <f t="shared" si="22"/>
        <v>15</v>
      </c>
      <c r="F283" s="278" t="str">
        <f t="shared" si="23"/>
        <v>sox</v>
      </c>
      <c r="G283" s="278" t="s">
        <v>833</v>
      </c>
      <c r="H283" s="278" t="s">
        <v>687</v>
      </c>
      <c r="I283" s="278" t="s">
        <v>834</v>
      </c>
      <c r="K283" s="279">
        <f t="shared" si="24"/>
        <v>2000</v>
      </c>
      <c r="M283" s="279">
        <v>2000</v>
      </c>
      <c r="R283" s="278" t="str">
        <f>IF(AND((J283="This"),(L283="Only")),VLOOKUP(G283,#REF!,7,FALSE),"")</f>
        <v/>
      </c>
    </row>
    <row r="284" spans="1:22" x14ac:dyDescent="0.25">
      <c r="A284" s="278">
        <v>1</v>
      </c>
      <c r="C284" s="278">
        <f t="shared" si="20"/>
        <v>1</v>
      </c>
      <c r="D284" s="278">
        <f t="shared" si="21"/>
        <v>1</v>
      </c>
      <c r="E284" s="278">
        <f t="shared" si="22"/>
        <v>16</v>
      </c>
      <c r="F284" s="278" t="str">
        <f t="shared" si="23"/>
        <v>sox</v>
      </c>
      <c r="G284" s="278" t="s">
        <v>835</v>
      </c>
      <c r="H284" s="278" t="s">
        <v>244</v>
      </c>
      <c r="I284" s="278" t="s">
        <v>836</v>
      </c>
      <c r="K284" s="279">
        <f t="shared" si="24"/>
        <v>2504.0110612829112</v>
      </c>
      <c r="M284" s="279">
        <v>2600</v>
      </c>
      <c r="R284" s="278" t="str">
        <f>IF(AND((J284="This"),(L284="Only")),VLOOKUP(G284,#REF!,7,FALSE),"")</f>
        <v/>
      </c>
      <c r="U284" s="278">
        <v>2504.0110612829112</v>
      </c>
    </row>
    <row r="285" spans="1:22" x14ac:dyDescent="0.25">
      <c r="A285" s="278">
        <v>1</v>
      </c>
      <c r="C285" s="278">
        <f t="shared" si="20"/>
        <v>2</v>
      </c>
      <c r="D285" s="278">
        <f t="shared" si="21"/>
        <v>1</v>
      </c>
      <c r="E285" s="278">
        <f t="shared" si="22"/>
        <v>16</v>
      </c>
      <c r="F285" s="278" t="str">
        <f t="shared" si="23"/>
        <v>crx</v>
      </c>
      <c r="G285" s="278" t="s">
        <v>837</v>
      </c>
      <c r="H285" s="278" t="s">
        <v>229</v>
      </c>
      <c r="I285" s="278" t="s">
        <v>838</v>
      </c>
      <c r="K285" s="279">
        <f t="shared" si="24"/>
        <v>2600</v>
      </c>
      <c r="M285" s="279">
        <v>2600</v>
      </c>
      <c r="R285" s="278" t="str">
        <f>IF(AND((J285="This"),(L285="Only")),VLOOKUP(G285,#REF!,7,FALSE),"")</f>
        <v/>
      </c>
    </row>
    <row r="286" spans="1:22" x14ac:dyDescent="0.25">
      <c r="A286" s="278">
        <v>1</v>
      </c>
      <c r="C286" s="278">
        <f t="shared" si="20"/>
        <v>3</v>
      </c>
      <c r="D286" s="278">
        <f t="shared" si="21"/>
        <v>1</v>
      </c>
      <c r="E286" s="278">
        <f t="shared" si="22"/>
        <v>16</v>
      </c>
      <c r="F286" s="278" t="str">
        <f t="shared" si="23"/>
        <v>crx</v>
      </c>
      <c r="G286" s="278" t="s">
        <v>839</v>
      </c>
      <c r="H286" s="278" t="s">
        <v>229</v>
      </c>
      <c r="I286" s="278" t="s">
        <v>840</v>
      </c>
      <c r="K286" s="279">
        <f t="shared" si="24"/>
        <v>2600</v>
      </c>
      <c r="M286" s="279">
        <v>2600</v>
      </c>
      <c r="R286" s="278" t="str">
        <f>IF(AND((J286="This"),(L286="Only")),VLOOKUP(G286,#REF!,7,FALSE),"")</f>
        <v/>
      </c>
    </row>
    <row r="287" spans="1:22" x14ac:dyDescent="0.25">
      <c r="A287" s="278">
        <v>2</v>
      </c>
      <c r="C287" s="278">
        <f t="shared" si="20"/>
        <v>4</v>
      </c>
      <c r="D287" s="278">
        <f t="shared" si="21"/>
        <v>1</v>
      </c>
      <c r="E287" s="278">
        <f t="shared" si="22"/>
        <v>16</v>
      </c>
      <c r="F287" s="278" t="str">
        <f t="shared" si="23"/>
        <v>pm</v>
      </c>
      <c r="G287" s="278" t="s">
        <v>841</v>
      </c>
      <c r="H287" s="278" t="s">
        <v>268</v>
      </c>
      <c r="I287" s="278" t="s">
        <v>842</v>
      </c>
      <c r="K287" s="279">
        <f t="shared" si="24"/>
        <v>2733.3498205891706</v>
      </c>
      <c r="M287" s="279">
        <v>2600</v>
      </c>
      <c r="N287" s="278">
        <v>2733.3498205891706</v>
      </c>
      <c r="R287" s="278" t="str">
        <f>IF(AND((J287="This"),(L287="Only")),VLOOKUP(G287,#REF!,7,FALSE),"")</f>
        <v/>
      </c>
    </row>
    <row r="288" spans="1:22" x14ac:dyDescent="0.25">
      <c r="A288" s="278">
        <v>1</v>
      </c>
      <c r="C288" s="278">
        <f t="shared" si="20"/>
        <v>5</v>
      </c>
      <c r="D288" s="278">
        <f t="shared" si="21"/>
        <v>1</v>
      </c>
      <c r="E288" s="278">
        <f t="shared" si="22"/>
        <v>16</v>
      </c>
      <c r="F288" s="278" t="str">
        <f t="shared" si="23"/>
        <v>crx</v>
      </c>
      <c r="G288" s="278" t="s">
        <v>843</v>
      </c>
      <c r="H288" s="278" t="s">
        <v>709</v>
      </c>
      <c r="I288" s="278" t="s">
        <v>844</v>
      </c>
      <c r="K288" s="279">
        <f t="shared" si="24"/>
        <v>2632.2998562242606</v>
      </c>
      <c r="M288" s="279">
        <v>2600</v>
      </c>
      <c r="R288" s="278" t="str">
        <f>IF(AND((J288="This"),(L288="Only")),VLOOKUP(G288,#REF!,7,FALSE),"")</f>
        <v/>
      </c>
      <c r="U288" s="278">
        <v>2632.2998562242606</v>
      </c>
    </row>
    <row r="289" spans="1:21" x14ac:dyDescent="0.25">
      <c r="A289" s="278">
        <v>4</v>
      </c>
      <c r="C289" s="278">
        <f t="shared" si="20"/>
        <v>6</v>
      </c>
      <c r="D289" s="278">
        <f t="shared" si="21"/>
        <v>1</v>
      </c>
      <c r="E289" s="278">
        <f t="shared" si="22"/>
        <v>16</v>
      </c>
      <c r="F289" s="278" t="str">
        <f t="shared" si="23"/>
        <v>pm</v>
      </c>
      <c r="G289" s="278" t="s">
        <v>845</v>
      </c>
      <c r="H289" s="278" t="s">
        <v>217</v>
      </c>
      <c r="I289" s="278" t="s">
        <v>846</v>
      </c>
      <c r="K289" s="279">
        <f t="shared" si="24"/>
        <v>2486.488090625131</v>
      </c>
      <c r="M289" s="279">
        <v>2600</v>
      </c>
      <c r="N289" s="278">
        <v>2526.5055164901037</v>
      </c>
      <c r="R289" s="278" t="str">
        <f>IF(AND((J289="This"),(L289="Only")),VLOOKUP(G289,#REF!,7,FALSE),"")</f>
        <v/>
      </c>
      <c r="U289" s="278">
        <v>2486.488090625131</v>
      </c>
    </row>
    <row r="290" spans="1:21" x14ac:dyDescent="0.25">
      <c r="A290" s="278">
        <v>4</v>
      </c>
      <c r="C290" s="278">
        <f t="shared" si="20"/>
        <v>7</v>
      </c>
      <c r="D290" s="278">
        <f t="shared" si="21"/>
        <v>1</v>
      </c>
      <c r="E290" s="278">
        <f t="shared" si="22"/>
        <v>16</v>
      </c>
      <c r="F290" s="278" t="str">
        <f t="shared" si="23"/>
        <v>pm</v>
      </c>
      <c r="G290" s="278" t="s">
        <v>847</v>
      </c>
      <c r="H290" s="278" t="s">
        <v>281</v>
      </c>
      <c r="I290" s="278" t="s">
        <v>848</v>
      </c>
      <c r="K290" s="279">
        <f t="shared" si="24"/>
        <v>2535.9077333062396</v>
      </c>
      <c r="M290" s="279">
        <v>2600</v>
      </c>
      <c r="N290" s="278">
        <v>2579.117618958388</v>
      </c>
      <c r="R290" s="278" t="str">
        <f>IF(AND((J290="This"),(L290="Only")),VLOOKUP(G290,#REF!,7,FALSE),"")</f>
        <v/>
      </c>
      <c r="U290" s="278">
        <v>2535.9077333062396</v>
      </c>
    </row>
    <row r="291" spans="1:21" x14ac:dyDescent="0.25">
      <c r="A291" s="278">
        <v>6</v>
      </c>
      <c r="C291" s="278">
        <f t="shared" si="20"/>
        <v>8</v>
      </c>
      <c r="D291" s="278">
        <f t="shared" si="21"/>
        <v>1</v>
      </c>
      <c r="E291" s="278">
        <f t="shared" si="22"/>
        <v>16</v>
      </c>
      <c r="F291" s="278" t="str">
        <f t="shared" si="23"/>
        <v>pm</v>
      </c>
      <c r="G291" s="278" t="s">
        <v>849</v>
      </c>
      <c r="H291" s="278" t="s">
        <v>284</v>
      </c>
      <c r="I291" s="278" t="s">
        <v>850</v>
      </c>
      <c r="K291" s="279">
        <f t="shared" si="24"/>
        <v>2565.5592008458225</v>
      </c>
      <c r="M291" s="279">
        <v>2600</v>
      </c>
      <c r="N291" s="278">
        <v>2557.2067071974066</v>
      </c>
      <c r="P291" s="278">
        <v>2579.1687371210223</v>
      </c>
      <c r="R291" s="278" t="str">
        <f>IF(AND((J291="This"),(L291="Only")),VLOOKUP(G291,#REF!,7,FALSE),"")</f>
        <v/>
      </c>
      <c r="S291" s="278">
        <v>2569.3380197886345</v>
      </c>
      <c r="U291" s="278">
        <v>2565.5592008458225</v>
      </c>
    </row>
    <row r="292" spans="1:21" x14ac:dyDescent="0.25">
      <c r="A292" s="278">
        <v>4</v>
      </c>
      <c r="C292" s="278">
        <f t="shared" si="20"/>
        <v>9</v>
      </c>
      <c r="D292" s="278">
        <f t="shared" si="21"/>
        <v>1</v>
      </c>
      <c r="E292" s="278">
        <f t="shared" si="22"/>
        <v>16</v>
      </c>
      <c r="F292" s="278" t="str">
        <f t="shared" si="23"/>
        <v>pm</v>
      </c>
      <c r="G292" s="278" t="s">
        <v>851</v>
      </c>
      <c r="H292" s="278" t="s">
        <v>259</v>
      </c>
      <c r="I292" s="278" t="s">
        <v>852</v>
      </c>
      <c r="K292" s="279">
        <f t="shared" si="24"/>
        <v>2525.0778087923932</v>
      </c>
      <c r="M292" s="279">
        <v>2600</v>
      </c>
      <c r="N292" s="278">
        <v>2541.6561802258602</v>
      </c>
      <c r="R292" s="278" t="str">
        <f>IF(AND((J292="This"),(L292="Only")),VLOOKUP(G292,#REF!,7,FALSE),"")</f>
        <v/>
      </c>
      <c r="S292" s="278">
        <v>2507.3814986686125</v>
      </c>
      <c r="U292" s="278">
        <v>2525.0778087923932</v>
      </c>
    </row>
    <row r="293" spans="1:21" x14ac:dyDescent="0.25">
      <c r="A293" s="278">
        <v>2</v>
      </c>
      <c r="C293" s="278">
        <f t="shared" si="20"/>
        <v>10</v>
      </c>
      <c r="D293" s="278">
        <f t="shared" si="21"/>
        <v>1</v>
      </c>
      <c r="E293" s="278">
        <f t="shared" si="22"/>
        <v>16</v>
      </c>
      <c r="F293" s="278" t="str">
        <f t="shared" si="23"/>
        <v>pm</v>
      </c>
      <c r="G293" s="278" t="s">
        <v>853</v>
      </c>
      <c r="H293" s="278" t="s">
        <v>290</v>
      </c>
      <c r="I293" s="278" t="s">
        <v>854</v>
      </c>
      <c r="K293" s="279">
        <f t="shared" si="24"/>
        <v>2547.1639555804077</v>
      </c>
      <c r="M293" s="279">
        <v>2600</v>
      </c>
      <c r="N293" s="278">
        <v>2547.1639555804077</v>
      </c>
      <c r="R293" s="278" t="str">
        <f>IF(AND((J293="This"),(L293="Only")),VLOOKUP(G293,#REF!,7,FALSE),"")</f>
        <v/>
      </c>
    </row>
    <row r="294" spans="1:21" x14ac:dyDescent="0.25">
      <c r="A294" s="278">
        <v>1</v>
      </c>
      <c r="C294" s="278">
        <f t="shared" si="20"/>
        <v>11</v>
      </c>
      <c r="D294" s="278">
        <f t="shared" si="21"/>
        <v>1</v>
      </c>
      <c r="E294" s="278">
        <f t="shared" si="22"/>
        <v>16</v>
      </c>
      <c r="F294" s="278" t="str">
        <f t="shared" si="23"/>
        <v>pmx</v>
      </c>
      <c r="G294" s="278" t="s">
        <v>855</v>
      </c>
      <c r="H294" s="278" t="s">
        <v>382</v>
      </c>
      <c r="I294" s="278" t="s">
        <v>856</v>
      </c>
      <c r="K294" s="279">
        <f t="shared" si="24"/>
        <v>2717.5008086986541</v>
      </c>
      <c r="M294" s="279">
        <v>2600</v>
      </c>
      <c r="R294" s="278" t="str">
        <f>IF(AND((J294="This"),(L294="Only")),VLOOKUP(G294,#REF!,7,FALSE),"")</f>
        <v/>
      </c>
      <c r="U294" s="278">
        <v>2717.5008086986541</v>
      </c>
    </row>
    <row r="295" spans="1:21" x14ac:dyDescent="0.25">
      <c r="A295" s="278">
        <v>1</v>
      </c>
      <c r="C295" s="278">
        <f t="shared" si="20"/>
        <v>12</v>
      </c>
      <c r="D295" s="278">
        <f t="shared" si="21"/>
        <v>1</v>
      </c>
      <c r="E295" s="278">
        <f t="shared" si="22"/>
        <v>16</v>
      </c>
      <c r="F295" s="278" t="str">
        <f t="shared" si="23"/>
        <v>pmx</v>
      </c>
      <c r="G295" s="278" t="s">
        <v>857</v>
      </c>
      <c r="H295" s="278" t="s">
        <v>382</v>
      </c>
      <c r="I295" s="278" t="s">
        <v>858</v>
      </c>
      <c r="K295" s="279">
        <f t="shared" si="24"/>
        <v>2566.401891014063</v>
      </c>
      <c r="M295" s="279">
        <v>2600</v>
      </c>
      <c r="R295" s="278" t="str">
        <f>IF(AND((J295="This"),(L295="Only")),VLOOKUP(G295,#REF!,7,FALSE),"")</f>
        <v/>
      </c>
      <c r="U295" s="278">
        <v>2566.401891014063</v>
      </c>
    </row>
    <row r="296" spans="1:21" x14ac:dyDescent="0.25">
      <c r="A296" s="278">
        <v>4</v>
      </c>
      <c r="C296" s="278">
        <f t="shared" si="20"/>
        <v>13</v>
      </c>
      <c r="D296" s="278">
        <f t="shared" si="21"/>
        <v>1</v>
      </c>
      <c r="E296" s="278">
        <f t="shared" si="22"/>
        <v>16</v>
      </c>
      <c r="F296" s="278" t="str">
        <f t="shared" si="23"/>
        <v>pm</v>
      </c>
      <c r="G296" s="278" t="s">
        <v>859</v>
      </c>
      <c r="H296" s="278" t="s">
        <v>730</v>
      </c>
      <c r="I296" s="278" t="s">
        <v>860</v>
      </c>
      <c r="K296" s="279">
        <f t="shared" si="24"/>
        <v>2660.4071416594661</v>
      </c>
      <c r="M296" s="279">
        <v>2600</v>
      </c>
      <c r="N296" s="278">
        <v>2611.2686468297929</v>
      </c>
      <c r="R296" s="278" t="str">
        <f>IF(AND((J296="This"),(L296="Only")),VLOOKUP(G296,#REF!,7,FALSE),"")</f>
        <v/>
      </c>
      <c r="U296" s="278">
        <v>2660.4071416594661</v>
      </c>
    </row>
    <row r="297" spans="1:21" x14ac:dyDescent="0.25">
      <c r="A297" s="278">
        <v>1</v>
      </c>
      <c r="C297" s="278">
        <f t="shared" si="20"/>
        <v>14</v>
      </c>
      <c r="D297" s="278">
        <f t="shared" si="21"/>
        <v>1</v>
      </c>
      <c r="E297" s="278">
        <f t="shared" si="22"/>
        <v>16</v>
      </c>
      <c r="F297" s="278" t="str">
        <f t="shared" si="23"/>
        <v>pmx</v>
      </c>
      <c r="G297" s="278" t="s">
        <v>861</v>
      </c>
      <c r="H297" s="278" t="s">
        <v>293</v>
      </c>
      <c r="I297" s="278" t="s">
        <v>862</v>
      </c>
      <c r="K297" s="279">
        <f t="shared" si="24"/>
        <v>2600</v>
      </c>
      <c r="M297" s="279">
        <v>2600</v>
      </c>
      <c r="R297" s="278" t="str">
        <f>IF(AND((J297="This"),(L297="Only")),VLOOKUP(G297,#REF!,7,FALSE),"")</f>
        <v/>
      </c>
    </row>
    <row r="298" spans="1:21" x14ac:dyDescent="0.25">
      <c r="A298" s="278">
        <v>1</v>
      </c>
      <c r="C298" s="278">
        <f t="shared" si="20"/>
        <v>15</v>
      </c>
      <c r="D298" s="278">
        <f t="shared" si="21"/>
        <v>1</v>
      </c>
      <c r="E298" s="278">
        <f t="shared" si="22"/>
        <v>16</v>
      </c>
      <c r="F298" s="278" t="str">
        <f t="shared" si="23"/>
        <v>pmx</v>
      </c>
      <c r="G298" s="278" t="s">
        <v>863</v>
      </c>
      <c r="H298" s="278" t="s">
        <v>333</v>
      </c>
      <c r="I298" s="278" t="s">
        <v>864</v>
      </c>
      <c r="K298" s="279">
        <f t="shared" si="24"/>
        <v>2600</v>
      </c>
      <c r="M298" s="279">
        <v>2600</v>
      </c>
      <c r="R298" s="278" t="str">
        <f>IF(AND((J298="This"),(L298="Only")),VLOOKUP(G298,#REF!,7,FALSE),"")</f>
        <v/>
      </c>
    </row>
    <row r="299" spans="1:21" x14ac:dyDescent="0.25">
      <c r="A299" s="278">
        <v>2</v>
      </c>
      <c r="C299" s="278">
        <f t="shared" si="20"/>
        <v>16</v>
      </c>
      <c r="D299" s="278">
        <f t="shared" si="21"/>
        <v>1</v>
      </c>
      <c r="E299" s="278">
        <f t="shared" si="22"/>
        <v>16</v>
      </c>
      <c r="F299" s="278" t="str">
        <f t="shared" si="23"/>
        <v>pm</v>
      </c>
      <c r="G299" s="278" t="s">
        <v>865</v>
      </c>
      <c r="H299" s="278" t="s">
        <v>226</v>
      </c>
      <c r="I299" s="278" t="s">
        <v>866</v>
      </c>
      <c r="K299" s="279">
        <f t="shared" si="24"/>
        <v>2685.0676164369856</v>
      </c>
      <c r="M299" s="279">
        <v>2600</v>
      </c>
      <c r="R299" s="278" t="str">
        <f>IF(AND((J299="This"),(L299="Only")),VLOOKUP(G299,#REF!,7,FALSE),"")</f>
        <v/>
      </c>
      <c r="S299" s="278">
        <v>2685.0676164369856</v>
      </c>
    </row>
    <row r="300" spans="1:21" x14ac:dyDescent="0.25">
      <c r="A300" s="278">
        <v>2</v>
      </c>
      <c r="C300" s="278">
        <f t="shared" si="20"/>
        <v>17</v>
      </c>
      <c r="D300" s="278">
        <f t="shared" si="21"/>
        <v>1</v>
      </c>
      <c r="E300" s="278">
        <f t="shared" si="22"/>
        <v>16</v>
      </c>
      <c r="F300" s="278" t="str">
        <f t="shared" si="23"/>
        <v>pm</v>
      </c>
      <c r="G300" s="278" t="s">
        <v>867</v>
      </c>
      <c r="H300" s="278" t="s">
        <v>226</v>
      </c>
      <c r="I300" s="278" t="s">
        <v>868</v>
      </c>
      <c r="K300" s="279">
        <f t="shared" si="24"/>
        <v>2627.4206739162182</v>
      </c>
      <c r="M300" s="279">
        <v>2600</v>
      </c>
      <c r="R300" s="278" t="str">
        <f>IF(AND((J300="This"),(L300="Only")),VLOOKUP(G300,#REF!,7,FALSE),"")</f>
        <v/>
      </c>
      <c r="S300" s="278">
        <v>2627.4206739162182</v>
      </c>
    </row>
    <row r="301" spans="1:21" x14ac:dyDescent="0.25">
      <c r="A301" s="278">
        <v>2</v>
      </c>
      <c r="C301" s="278">
        <f t="shared" si="20"/>
        <v>18</v>
      </c>
      <c r="D301" s="278">
        <f t="shared" si="21"/>
        <v>1</v>
      </c>
      <c r="E301" s="278">
        <f t="shared" si="22"/>
        <v>16</v>
      </c>
      <c r="F301" s="278" t="str">
        <f t="shared" si="23"/>
        <v>pm</v>
      </c>
      <c r="G301" s="278" t="s">
        <v>869</v>
      </c>
      <c r="H301" s="278" t="s">
        <v>226</v>
      </c>
      <c r="I301" s="278" t="s">
        <v>870</v>
      </c>
      <c r="K301" s="279">
        <f t="shared" si="24"/>
        <v>2600</v>
      </c>
      <c r="M301" s="279">
        <v>2600</v>
      </c>
      <c r="R301" s="278" t="str">
        <f>IF(AND((J301="This"),(L301="Only")),VLOOKUP(G301,#REF!,7,FALSE),"")</f>
        <v/>
      </c>
    </row>
    <row r="302" spans="1:21" x14ac:dyDescent="0.25">
      <c r="A302" s="278">
        <v>1</v>
      </c>
      <c r="C302" s="278">
        <f t="shared" si="20"/>
        <v>19</v>
      </c>
      <c r="D302" s="278">
        <f t="shared" si="21"/>
        <v>1</v>
      </c>
      <c r="E302" s="278">
        <f t="shared" si="22"/>
        <v>16</v>
      </c>
      <c r="F302" s="278" t="str">
        <f t="shared" si="23"/>
        <v>sox</v>
      </c>
      <c r="G302" s="278" t="s">
        <v>871</v>
      </c>
      <c r="H302" s="278" t="s">
        <v>561</v>
      </c>
      <c r="I302" s="278" t="s">
        <v>872</v>
      </c>
      <c r="K302" s="279">
        <f t="shared" si="24"/>
        <v>2603.1194892032831</v>
      </c>
      <c r="M302" s="279">
        <v>2600</v>
      </c>
      <c r="R302" s="278" t="str">
        <f>IF(AND((J302="This"),(L302="Only")),VLOOKUP(G302,#REF!,7,FALSE),"")</f>
        <v/>
      </c>
      <c r="U302" s="278">
        <v>2603.1194892032831</v>
      </c>
    </row>
    <row r="303" spans="1:21" x14ac:dyDescent="0.25">
      <c r="A303" s="278">
        <v>2</v>
      </c>
      <c r="C303" s="278">
        <f t="shared" si="20"/>
        <v>20</v>
      </c>
      <c r="D303" s="278">
        <f t="shared" si="21"/>
        <v>1</v>
      </c>
      <c r="E303" s="278">
        <f t="shared" si="22"/>
        <v>16</v>
      </c>
      <c r="F303" s="278" t="str">
        <f t="shared" si="23"/>
        <v>pm</v>
      </c>
      <c r="G303" s="278" t="s">
        <v>873</v>
      </c>
      <c r="H303" s="278" t="s">
        <v>434</v>
      </c>
      <c r="I303" s="278" t="s">
        <v>874</v>
      </c>
      <c r="K303" s="279">
        <f t="shared" si="24"/>
        <v>2715.2091329888212</v>
      </c>
      <c r="M303" s="279">
        <v>2600</v>
      </c>
      <c r="N303" s="278">
        <v>2693.2412396436735</v>
      </c>
      <c r="R303" s="278" t="str">
        <f>IF(AND((J303="This"),(L303="Only")),VLOOKUP(G303,#REF!,7,FALSE),"")</f>
        <v/>
      </c>
      <c r="U303" s="278">
        <v>2715.2091329888212</v>
      </c>
    </row>
    <row r="304" spans="1:21" x14ac:dyDescent="0.25">
      <c r="A304" s="278">
        <v>2</v>
      </c>
      <c r="C304" s="278">
        <f t="shared" si="20"/>
        <v>21</v>
      </c>
      <c r="D304" s="278">
        <f t="shared" si="21"/>
        <v>1</v>
      </c>
      <c r="E304" s="278">
        <f t="shared" si="22"/>
        <v>16</v>
      </c>
      <c r="F304" s="278" t="str">
        <f t="shared" si="23"/>
        <v>pm</v>
      </c>
      <c r="G304" s="278" t="s">
        <v>875</v>
      </c>
      <c r="H304" s="278" t="s">
        <v>232</v>
      </c>
      <c r="I304" s="278" t="s">
        <v>876</v>
      </c>
      <c r="K304" s="279">
        <f t="shared" si="24"/>
        <v>2652.1918561210637</v>
      </c>
      <c r="M304" s="279">
        <v>2600</v>
      </c>
      <c r="R304" s="278" t="str">
        <f>IF(AND((J304="This"),(L304="Only")),VLOOKUP(G304,#REF!,7,FALSE),"")</f>
        <v/>
      </c>
      <c r="U304" s="278">
        <v>2652.1918561210637</v>
      </c>
    </row>
    <row r="305" spans="1:22" x14ac:dyDescent="0.25">
      <c r="A305" s="278">
        <v>4</v>
      </c>
      <c r="C305" s="278">
        <f t="shared" si="20"/>
        <v>22</v>
      </c>
      <c r="D305" s="278">
        <f t="shared" si="21"/>
        <v>1</v>
      </c>
      <c r="E305" s="278">
        <f t="shared" si="22"/>
        <v>16</v>
      </c>
      <c r="F305" s="278" t="str">
        <f t="shared" si="23"/>
        <v>pm</v>
      </c>
      <c r="G305" s="278" t="s">
        <v>877</v>
      </c>
      <c r="H305" s="278" t="s">
        <v>232</v>
      </c>
      <c r="I305" s="278" t="s">
        <v>878</v>
      </c>
      <c r="K305" s="279">
        <f t="shared" si="24"/>
        <v>2570.7662317811009</v>
      </c>
      <c r="M305" s="279">
        <v>2600</v>
      </c>
      <c r="P305" s="278">
        <v>2584.0507775096944</v>
      </c>
      <c r="R305" s="278" t="str">
        <f>IF(AND((J305="This"),(L305="Only")),VLOOKUP(G305,#REF!,7,FALSE),"")</f>
        <v/>
      </c>
      <c r="U305" s="278">
        <v>2570.7662317811009</v>
      </c>
    </row>
    <row r="306" spans="1:22" x14ac:dyDescent="0.25">
      <c r="A306" s="278">
        <v>1</v>
      </c>
      <c r="C306" s="278">
        <f t="shared" si="20"/>
        <v>23</v>
      </c>
      <c r="D306" s="278">
        <f t="shared" si="21"/>
        <v>1</v>
      </c>
      <c r="E306" s="278">
        <f t="shared" si="22"/>
        <v>16</v>
      </c>
      <c r="F306" s="278" t="str">
        <f t="shared" si="23"/>
        <v>crx</v>
      </c>
      <c r="G306" s="278" t="s">
        <v>879</v>
      </c>
      <c r="H306" s="278" t="s">
        <v>403</v>
      </c>
      <c r="I306" s="278" t="s">
        <v>880</v>
      </c>
      <c r="K306" s="279">
        <f t="shared" si="24"/>
        <v>2562.0457631733834</v>
      </c>
      <c r="M306" s="279">
        <v>2600</v>
      </c>
      <c r="R306" s="278" t="str">
        <f>IF(AND((J306="This"),(L306="Only")),VLOOKUP(G306,#REF!,7,FALSE),"")</f>
        <v/>
      </c>
      <c r="U306" s="278">
        <v>2562.0457631733834</v>
      </c>
    </row>
    <row r="307" spans="1:22" x14ac:dyDescent="0.25">
      <c r="A307" s="278">
        <v>2</v>
      </c>
      <c r="C307" s="278">
        <f t="shared" si="20"/>
        <v>24</v>
      </c>
      <c r="D307" s="278">
        <f t="shared" si="21"/>
        <v>1</v>
      </c>
      <c r="E307" s="278">
        <f t="shared" si="22"/>
        <v>16</v>
      </c>
      <c r="F307" s="278" t="str">
        <f t="shared" si="23"/>
        <v>pm</v>
      </c>
      <c r="G307" s="278" t="s">
        <v>881</v>
      </c>
      <c r="H307" s="278" t="s">
        <v>323</v>
      </c>
      <c r="I307" s="278" t="s">
        <v>882</v>
      </c>
      <c r="K307" s="279">
        <f t="shared" si="24"/>
        <v>2600</v>
      </c>
      <c r="M307" s="279">
        <v>2600</v>
      </c>
      <c r="R307" s="278" t="str">
        <f>IF(AND((J307="This"),(L307="Only")),VLOOKUP(G307,#REF!,7,FALSE),"")</f>
        <v/>
      </c>
    </row>
    <row r="308" spans="1:22" x14ac:dyDescent="0.25">
      <c r="A308" s="278">
        <v>1</v>
      </c>
      <c r="C308" s="278">
        <f t="shared" si="20"/>
        <v>25</v>
      </c>
      <c r="D308" s="278">
        <f t="shared" si="21"/>
        <v>1</v>
      </c>
      <c r="E308" s="278">
        <f t="shared" si="22"/>
        <v>16</v>
      </c>
      <c r="F308" s="278" t="str">
        <f t="shared" si="23"/>
        <v>crx</v>
      </c>
      <c r="G308" s="278" t="s">
        <v>883</v>
      </c>
      <c r="H308" s="278" t="s">
        <v>884</v>
      </c>
      <c r="I308" s="278" t="s">
        <v>885</v>
      </c>
      <c r="K308" s="279">
        <f t="shared" si="24"/>
        <v>2667.5713055232259</v>
      </c>
      <c r="M308" s="279">
        <v>2600</v>
      </c>
      <c r="R308" s="278" t="str">
        <f>IF(AND((J308="This"),(L308="Only")),VLOOKUP(G308,#REF!,7,FALSE),"")</f>
        <v/>
      </c>
      <c r="U308" s="278">
        <v>2667.5713055232259</v>
      </c>
    </row>
    <row r="309" spans="1:22" x14ac:dyDescent="0.25">
      <c r="A309" s="278">
        <v>2</v>
      </c>
      <c r="C309" s="278">
        <f t="shared" si="20"/>
        <v>26</v>
      </c>
      <c r="D309" s="278">
        <f t="shared" si="21"/>
        <v>1</v>
      </c>
      <c r="E309" s="278">
        <f t="shared" si="22"/>
        <v>16</v>
      </c>
      <c r="F309" s="278" t="str">
        <f t="shared" si="23"/>
        <v>cr</v>
      </c>
      <c r="G309" s="278" t="s">
        <v>886</v>
      </c>
      <c r="H309" s="278" t="s">
        <v>774</v>
      </c>
      <c r="I309" s="278" t="s">
        <v>887</v>
      </c>
      <c r="K309" s="279">
        <f t="shared" si="24"/>
        <v>2619.6780129509293</v>
      </c>
      <c r="M309" s="279">
        <v>2600</v>
      </c>
      <c r="N309" s="278">
        <v>2619.6780129509293</v>
      </c>
      <c r="R309" s="278" t="str">
        <f>IF(AND((J309="This"),(L309="Only")),VLOOKUP(G309,#REF!,7,FALSE),"")</f>
        <v/>
      </c>
    </row>
    <row r="310" spans="1:22" x14ac:dyDescent="0.25">
      <c r="A310" s="278">
        <v>1</v>
      </c>
      <c r="C310" s="278">
        <f t="shared" si="20"/>
        <v>27</v>
      </c>
      <c r="D310" s="278">
        <f t="shared" si="21"/>
        <v>1</v>
      </c>
      <c r="E310" s="278">
        <f t="shared" si="22"/>
        <v>16</v>
      </c>
      <c r="F310" s="278" t="str">
        <f t="shared" si="23"/>
        <v>sox</v>
      </c>
      <c r="G310" s="278" t="s">
        <v>888</v>
      </c>
      <c r="H310" s="278" t="s">
        <v>687</v>
      </c>
      <c r="I310" s="278" t="s">
        <v>889</v>
      </c>
      <c r="K310" s="279">
        <f t="shared" si="24"/>
        <v>2600</v>
      </c>
      <c r="M310" s="279">
        <v>2600</v>
      </c>
      <c r="R310" s="278" t="str">
        <f>IF(AND((J310="This"),(L310="Only")),VLOOKUP(G310,#REF!,7,FALSE),"")</f>
        <v/>
      </c>
    </row>
    <row r="311" spans="1:22" x14ac:dyDescent="0.25">
      <c r="A311" s="278">
        <v>3</v>
      </c>
      <c r="C311" s="278">
        <f t="shared" si="20"/>
        <v>28</v>
      </c>
      <c r="D311" s="278">
        <f t="shared" si="21"/>
        <v>1</v>
      </c>
      <c r="E311" s="278">
        <f t="shared" si="22"/>
        <v>16</v>
      </c>
      <c r="F311" s="278" t="str">
        <f t="shared" si="23"/>
        <v>pm</v>
      </c>
      <c r="G311" s="278" t="s">
        <v>890</v>
      </c>
      <c r="H311" s="278" t="s">
        <v>587</v>
      </c>
      <c r="I311" s="278" t="s">
        <v>891</v>
      </c>
      <c r="K311" s="279">
        <f t="shared" si="24"/>
        <v>2724.8437248403648</v>
      </c>
      <c r="M311" s="279">
        <v>2600</v>
      </c>
      <c r="N311" s="278">
        <v>2622.9233566152002</v>
      </c>
      <c r="O311" s="278">
        <v>2722.5538572122728</v>
      </c>
      <c r="R311" s="278" t="str">
        <f>IF(AND((J311="This"),(L311="Only")),VLOOKUP(G311,#REF!,7,FALSE),"")</f>
        <v/>
      </c>
      <c r="U311" s="278">
        <v>2724.8437248403648</v>
      </c>
    </row>
    <row r="312" spans="1:22" x14ac:dyDescent="0.25">
      <c r="A312" s="278">
        <v>4</v>
      </c>
      <c r="C312" s="278">
        <f t="shared" si="20"/>
        <v>29</v>
      </c>
      <c r="D312" s="278">
        <f t="shared" si="21"/>
        <v>1</v>
      </c>
      <c r="E312" s="278">
        <f t="shared" si="22"/>
        <v>16</v>
      </c>
      <c r="F312" s="278" t="str">
        <f t="shared" si="23"/>
        <v>pm</v>
      </c>
      <c r="G312" s="278" t="s">
        <v>892</v>
      </c>
      <c r="H312" s="278" t="s">
        <v>587</v>
      </c>
      <c r="I312" s="278" t="s">
        <v>893</v>
      </c>
      <c r="K312" s="279">
        <f t="shared" si="24"/>
        <v>2391.9418446324321</v>
      </c>
      <c r="M312" s="279">
        <v>2600</v>
      </c>
      <c r="N312" s="278">
        <v>2519.373311515817</v>
      </c>
      <c r="R312" s="278" t="str">
        <f>IF(AND((J312="This"),(L312="Only")),VLOOKUP(G312,#REF!,7,FALSE),"")</f>
        <v/>
      </c>
      <c r="S312" s="278">
        <v>2440.4365770006116</v>
      </c>
      <c r="U312" s="278">
        <v>2391.9418446324321</v>
      </c>
    </row>
    <row r="313" spans="1:22" x14ac:dyDescent="0.25">
      <c r="A313" s="278">
        <v>1</v>
      </c>
      <c r="C313" s="278">
        <f t="shared" si="20"/>
        <v>30</v>
      </c>
      <c r="D313" s="278">
        <f t="shared" si="21"/>
        <v>1</v>
      </c>
      <c r="E313" s="278">
        <f t="shared" si="22"/>
        <v>16</v>
      </c>
      <c r="F313" s="278" t="str">
        <f t="shared" si="23"/>
        <v>pmx</v>
      </c>
      <c r="G313" s="278" t="s">
        <v>894</v>
      </c>
      <c r="H313" s="278" t="s">
        <v>239</v>
      </c>
      <c r="I313" s="278" t="s">
        <v>895</v>
      </c>
      <c r="K313" s="279">
        <f t="shared" si="24"/>
        <v>2600</v>
      </c>
      <c r="M313" s="279">
        <v>2600</v>
      </c>
      <c r="R313" s="278" t="str">
        <f>IF(AND((J313="This"),(L313="Only")),VLOOKUP(G313,#REF!,7,FALSE),"")</f>
        <v/>
      </c>
    </row>
    <row r="314" spans="1:22" x14ac:dyDescent="0.25">
      <c r="A314" s="278">
        <v>1</v>
      </c>
      <c r="C314" s="278">
        <f t="shared" si="20"/>
        <v>31</v>
      </c>
      <c r="D314" s="278">
        <f t="shared" si="21"/>
        <v>1</v>
      </c>
      <c r="E314" s="278">
        <f t="shared" si="22"/>
        <v>16</v>
      </c>
      <c r="F314" s="278" t="str">
        <f t="shared" si="23"/>
        <v>pmx</v>
      </c>
      <c r="G314" s="278" t="s">
        <v>896</v>
      </c>
      <c r="H314" s="278" t="s">
        <v>239</v>
      </c>
      <c r="I314" s="278" t="s">
        <v>897</v>
      </c>
      <c r="K314" s="279">
        <f t="shared" si="24"/>
        <v>2600</v>
      </c>
      <c r="M314" s="279">
        <v>2600</v>
      </c>
      <c r="R314" s="278" t="str">
        <f>IF(AND((J314="This"),(L314="Only")),VLOOKUP(G314,#REF!,7,FALSE),"")</f>
        <v/>
      </c>
    </row>
    <row r="315" spans="1:22" x14ac:dyDescent="0.25">
      <c r="A315" s="278">
        <v>1</v>
      </c>
      <c r="C315" s="278">
        <f t="shared" si="20"/>
        <v>32</v>
      </c>
      <c r="D315" s="278">
        <f t="shared" si="21"/>
        <v>1</v>
      </c>
      <c r="E315" s="278">
        <f t="shared" si="22"/>
        <v>16</v>
      </c>
      <c r="F315" s="278" t="str">
        <f t="shared" si="23"/>
        <v>pmx</v>
      </c>
      <c r="G315" s="278" t="s">
        <v>898</v>
      </c>
      <c r="H315" s="278" t="s">
        <v>239</v>
      </c>
      <c r="I315" s="278" t="s">
        <v>899</v>
      </c>
      <c r="K315" s="279">
        <f t="shared" si="24"/>
        <v>2600</v>
      </c>
      <c r="M315" s="279">
        <v>2600</v>
      </c>
      <c r="R315" s="278" t="str">
        <f>IF(AND((J315="This"),(L315="Only")),VLOOKUP(G315,#REF!,7,FALSE),"")</f>
        <v/>
      </c>
    </row>
    <row r="316" spans="1:22" x14ac:dyDescent="0.25">
      <c r="A316" s="278">
        <v>3</v>
      </c>
      <c r="C316" s="278">
        <f t="shared" si="20"/>
        <v>33</v>
      </c>
      <c r="D316" s="278">
        <f t="shared" si="21"/>
        <v>1</v>
      </c>
      <c r="E316" s="278">
        <f t="shared" si="22"/>
        <v>16</v>
      </c>
      <c r="F316" s="278" t="str">
        <f t="shared" si="23"/>
        <v>pm</v>
      </c>
      <c r="G316" s="278" t="s">
        <v>900</v>
      </c>
      <c r="H316" s="278" t="s">
        <v>416</v>
      </c>
      <c r="I316" s="278" t="s">
        <v>901</v>
      </c>
      <c r="K316" s="279">
        <f t="shared" si="24"/>
        <v>2522.8051516700616</v>
      </c>
      <c r="M316" s="279">
        <v>2600</v>
      </c>
      <c r="P316" s="278">
        <v>2522.8051516700616</v>
      </c>
      <c r="R316" s="278" t="str">
        <f>IF(AND((J316="This"),(L316="Only")),VLOOKUP(G316,#REF!,7,FALSE),"")</f>
        <v/>
      </c>
    </row>
    <row r="317" spans="1:22" x14ac:dyDescent="0.25">
      <c r="A317" s="278">
        <v>7</v>
      </c>
      <c r="C317" s="278">
        <f t="shared" si="20"/>
        <v>34</v>
      </c>
      <c r="D317" s="278">
        <f t="shared" si="21"/>
        <v>34</v>
      </c>
      <c r="E317" s="278">
        <f t="shared" si="22"/>
        <v>16</v>
      </c>
      <c r="F317" s="278" t="str">
        <f t="shared" si="23"/>
        <v>pm</v>
      </c>
      <c r="G317" s="278" t="s">
        <v>902</v>
      </c>
      <c r="H317" s="278" t="s">
        <v>445</v>
      </c>
      <c r="I317" s="278" t="s">
        <v>903</v>
      </c>
      <c r="K317" s="279">
        <f t="shared" si="24"/>
        <v>2373.9518684217605</v>
      </c>
      <c r="M317" s="279">
        <v>2571.4285714285716</v>
      </c>
      <c r="N317" s="278">
        <v>2493.8050892225788</v>
      </c>
      <c r="P317" s="278">
        <v>2448.3002595797084</v>
      </c>
      <c r="R317" s="278" t="str">
        <f>IF(AND((J317="This"),(L317="Only")),VLOOKUP(G317,#REF!,7,FALSE),"")</f>
        <v/>
      </c>
      <c r="S317" s="278">
        <v>2384.9147310838553</v>
      </c>
      <c r="U317" s="278">
        <v>2373.9518684217605</v>
      </c>
    </row>
    <row r="318" spans="1:22" x14ac:dyDescent="0.25">
      <c r="A318" s="278">
        <v>6</v>
      </c>
      <c r="C318" s="278">
        <f t="shared" si="20"/>
        <v>35</v>
      </c>
      <c r="D318" s="278">
        <f t="shared" si="21"/>
        <v>35</v>
      </c>
      <c r="E318" s="278">
        <f t="shared" si="22"/>
        <v>16</v>
      </c>
      <c r="F318" s="278" t="str">
        <f t="shared" si="23"/>
        <v>pm</v>
      </c>
      <c r="G318" s="278" t="s">
        <v>904</v>
      </c>
      <c r="H318" s="278" t="s">
        <v>284</v>
      </c>
      <c r="I318" s="278" t="s">
        <v>905</v>
      </c>
      <c r="K318" s="279">
        <f t="shared" si="24"/>
        <v>2284.2292031823108</v>
      </c>
      <c r="M318" s="279">
        <v>2533.3333333333335</v>
      </c>
      <c r="O318" s="278">
        <v>2410.6103701813759</v>
      </c>
      <c r="P318" s="278">
        <v>2349.8800367613849</v>
      </c>
      <c r="R318" s="278" t="str">
        <f>IF(AND((J318="This"),(L318="Only")),VLOOKUP(G318,#REF!,7,FALSE),"")</f>
        <v/>
      </c>
      <c r="S318" s="278">
        <v>2315.1460222697501</v>
      </c>
      <c r="U318" s="278">
        <v>2308.3203044824509</v>
      </c>
      <c r="V318" s="278">
        <v>2284.2292031823108</v>
      </c>
    </row>
    <row r="319" spans="1:22" x14ac:dyDescent="0.25">
      <c r="A319" s="278">
        <v>4</v>
      </c>
      <c r="C319" s="278">
        <f t="shared" si="20"/>
        <v>36</v>
      </c>
      <c r="D319" s="278">
        <f t="shared" si="21"/>
        <v>36</v>
      </c>
      <c r="E319" s="278">
        <f t="shared" si="22"/>
        <v>16</v>
      </c>
      <c r="F319" s="278" t="str">
        <f t="shared" si="23"/>
        <v>pm</v>
      </c>
      <c r="G319" s="278" t="s">
        <v>55</v>
      </c>
      <c r="H319" s="278" t="s">
        <v>301</v>
      </c>
      <c r="I319" s="278" t="s">
        <v>54</v>
      </c>
      <c r="K319" s="279">
        <f t="shared" si="24"/>
        <v>2353.5467439155041</v>
      </c>
      <c r="M319" s="279">
        <v>2500</v>
      </c>
      <c r="O319" s="278">
        <v>2435.8191331501785</v>
      </c>
      <c r="R319" s="278" t="str">
        <f>IF(AND((J319="This"),(L319="Only")),VLOOKUP(G319,#REF!,7,FALSE),"")</f>
        <v/>
      </c>
      <c r="S319" s="278">
        <v>2375.2466911492552</v>
      </c>
      <c r="U319" s="278">
        <v>2355.6429300299578</v>
      </c>
      <c r="V319" s="278">
        <v>2353.5467439155041</v>
      </c>
    </row>
    <row r="320" spans="1:22" x14ac:dyDescent="0.25">
      <c r="A320" s="278">
        <v>3</v>
      </c>
      <c r="C320" s="278">
        <f t="shared" si="20"/>
        <v>37</v>
      </c>
      <c r="D320" s="278">
        <f t="shared" si="21"/>
        <v>37</v>
      </c>
      <c r="E320" s="278">
        <f t="shared" si="22"/>
        <v>16</v>
      </c>
      <c r="F320" s="278" t="str">
        <f t="shared" si="23"/>
        <v>pm</v>
      </c>
      <c r="G320" s="278" t="s">
        <v>906</v>
      </c>
      <c r="H320" s="278" t="s">
        <v>315</v>
      </c>
      <c r="I320" s="278" t="s">
        <v>907</v>
      </c>
      <c r="K320" s="279">
        <f t="shared" si="24"/>
        <v>2508.4044143259307</v>
      </c>
      <c r="M320" s="279">
        <v>2466.6666666666665</v>
      </c>
      <c r="O320" s="278">
        <v>2434.9110744308509</v>
      </c>
      <c r="R320" s="278" t="str">
        <f>IF(AND((J320="This"),(L320="Only")),VLOOKUP(G320,#REF!,7,FALSE),"")</f>
        <v/>
      </c>
      <c r="S320" s="278">
        <v>2508.4044143259307</v>
      </c>
    </row>
    <row r="321" spans="1:22" x14ac:dyDescent="0.25">
      <c r="A321" s="278">
        <v>5</v>
      </c>
      <c r="C321" s="278">
        <f t="shared" si="20"/>
        <v>38</v>
      </c>
      <c r="D321" s="278">
        <f t="shared" si="21"/>
        <v>38</v>
      </c>
      <c r="E321" s="278">
        <f t="shared" si="22"/>
        <v>16</v>
      </c>
      <c r="F321" s="278" t="str">
        <f t="shared" si="23"/>
        <v>pm</v>
      </c>
      <c r="G321" s="278" t="s">
        <v>908</v>
      </c>
      <c r="H321" s="278" t="s">
        <v>223</v>
      </c>
      <c r="I321" s="278" t="s">
        <v>909</v>
      </c>
      <c r="K321" s="279">
        <f t="shared" si="24"/>
        <v>2517.2017509538255</v>
      </c>
      <c r="M321" s="279">
        <v>2360</v>
      </c>
      <c r="O321" s="278">
        <v>2441.456768791053</v>
      </c>
      <c r="R321" s="278" t="str">
        <f>IF(AND((J321="This"),(L321="Only")),VLOOKUP(G321,#REF!,7,FALSE),"")</f>
        <v/>
      </c>
      <c r="S321" s="278">
        <v>2517.2017509538255</v>
      </c>
    </row>
    <row r="322" spans="1:22" x14ac:dyDescent="0.25">
      <c r="A322" s="278">
        <v>5</v>
      </c>
      <c r="C322" s="278">
        <f t="shared" ref="C322:C385" si="25">IF(E322=E321,C321+1,1)</f>
        <v>39</v>
      </c>
      <c r="D322" s="278">
        <f t="shared" ref="D322:D385" si="26">IF(M322=M321,D321,C322)</f>
        <v>39</v>
      </c>
      <c r="E322" s="278">
        <f t="shared" ref="E322:E385" si="27">10+VALUE(RIGHT(LEFT(G322,3),1))</f>
        <v>16</v>
      </c>
      <c r="F322" s="278" t="str">
        <f t="shared" ref="F322:F385" si="28">RIGHT(G322,2) &amp; IF(A322&lt;2,"x","")</f>
        <v>pm</v>
      </c>
      <c r="G322" s="278" t="s">
        <v>910</v>
      </c>
      <c r="H322" s="278" t="s">
        <v>911</v>
      </c>
      <c r="I322" s="278" t="s">
        <v>912</v>
      </c>
      <c r="K322" s="279">
        <f t="shared" ref="K322:K385" si="29">LOOKUP(1E+100,M322:AC322)</f>
        <v>2278.1955182796933</v>
      </c>
      <c r="M322" s="279">
        <v>2200</v>
      </c>
      <c r="O322" s="278">
        <v>2205.5690555416468</v>
      </c>
      <c r="P322" s="278">
        <v>2197.157441880373</v>
      </c>
      <c r="R322" s="278" t="str">
        <f>IF(AND((J322="This"),(L322="Only")),VLOOKUP(G322,#REF!,7,FALSE),"")</f>
        <v/>
      </c>
      <c r="S322" s="278">
        <v>2197.2479555669461</v>
      </c>
      <c r="T322" s="278">
        <v>2276.1308192442684</v>
      </c>
      <c r="V322" s="278">
        <v>2278.1955182796933</v>
      </c>
    </row>
    <row r="323" spans="1:22" x14ac:dyDescent="0.25">
      <c r="A323" s="278">
        <v>5</v>
      </c>
      <c r="C323" s="278">
        <f t="shared" si="25"/>
        <v>40</v>
      </c>
      <c r="D323" s="278">
        <f t="shared" si="26"/>
        <v>39</v>
      </c>
      <c r="E323" s="278">
        <f t="shared" si="27"/>
        <v>16</v>
      </c>
      <c r="F323" s="278" t="str">
        <f t="shared" si="28"/>
        <v>pm</v>
      </c>
      <c r="G323" s="278" t="s">
        <v>913</v>
      </c>
      <c r="H323" s="278" t="s">
        <v>604</v>
      </c>
      <c r="I323" s="278" t="s">
        <v>914</v>
      </c>
      <c r="K323" s="279">
        <f t="shared" si="29"/>
        <v>2266.7639928315944</v>
      </c>
      <c r="M323" s="279">
        <v>2200</v>
      </c>
      <c r="O323" s="278">
        <v>2247.1528827365905</v>
      </c>
      <c r="R323" s="278" t="str">
        <f>IF(AND((J323="This"),(L323="Only")),VLOOKUP(G323,#REF!,7,FALSE),"")</f>
        <v/>
      </c>
      <c r="S323" s="278">
        <v>2248.5740109483663</v>
      </c>
      <c r="T323" s="278">
        <v>2239.1016155301213</v>
      </c>
      <c r="V323" s="278">
        <v>2266.7639928315944</v>
      </c>
    </row>
    <row r="324" spans="1:22" x14ac:dyDescent="0.25">
      <c r="A324" s="278">
        <v>1</v>
      </c>
      <c r="C324" s="278">
        <f t="shared" si="25"/>
        <v>41</v>
      </c>
      <c r="D324" s="278">
        <f t="shared" si="26"/>
        <v>39</v>
      </c>
      <c r="E324" s="278">
        <f t="shared" si="27"/>
        <v>16</v>
      </c>
      <c r="F324" s="278" t="str">
        <f t="shared" si="28"/>
        <v>pmx</v>
      </c>
      <c r="G324" s="278" t="s">
        <v>915</v>
      </c>
      <c r="H324" s="278" t="s">
        <v>247</v>
      </c>
      <c r="I324" s="278" t="s">
        <v>916</v>
      </c>
      <c r="K324" s="279">
        <f t="shared" si="29"/>
        <v>2313.1203040298365</v>
      </c>
      <c r="M324" s="279">
        <v>2200</v>
      </c>
      <c r="O324" s="278">
        <v>2313.1203040298365</v>
      </c>
      <c r="R324" s="278" t="str">
        <f>IF(AND((J324="This"),(L324="Only")),VLOOKUP(G324,#REF!,7,FALSE),"")</f>
        <v/>
      </c>
    </row>
    <row r="325" spans="1:22" x14ac:dyDescent="0.25">
      <c r="A325" s="278">
        <v>6</v>
      </c>
      <c r="C325" s="278">
        <f t="shared" si="25"/>
        <v>42</v>
      </c>
      <c r="D325" s="278">
        <f t="shared" si="26"/>
        <v>39</v>
      </c>
      <c r="E325" s="278">
        <f t="shared" si="27"/>
        <v>16</v>
      </c>
      <c r="F325" s="278" t="str">
        <f t="shared" si="28"/>
        <v>pm</v>
      </c>
      <c r="G325" s="278" t="s">
        <v>917</v>
      </c>
      <c r="H325" s="278" t="s">
        <v>284</v>
      </c>
      <c r="I325" s="278" t="s">
        <v>918</v>
      </c>
      <c r="K325" s="279">
        <f t="shared" si="29"/>
        <v>2167.0306689877511</v>
      </c>
      <c r="M325" s="279">
        <v>2200</v>
      </c>
      <c r="O325" s="278">
        <v>2147.6804939990402</v>
      </c>
      <c r="R325" s="278" t="str">
        <f>IF(AND((J325="This"),(L325="Only")),VLOOKUP(G325,#REF!,7,FALSE),"")</f>
        <v/>
      </c>
      <c r="S325" s="278">
        <v>2152.6230640752033</v>
      </c>
      <c r="T325" s="278">
        <v>2122.4112829190817</v>
      </c>
      <c r="V325" s="278">
        <v>2167.0306689877511</v>
      </c>
    </row>
    <row r="326" spans="1:22" x14ac:dyDescent="0.25">
      <c r="A326" s="278">
        <v>1</v>
      </c>
      <c r="C326" s="278">
        <f t="shared" si="25"/>
        <v>43</v>
      </c>
      <c r="D326" s="278">
        <f t="shared" si="26"/>
        <v>39</v>
      </c>
      <c r="E326" s="278">
        <f t="shared" si="27"/>
        <v>16</v>
      </c>
      <c r="F326" s="278" t="str">
        <f t="shared" si="28"/>
        <v>sox</v>
      </c>
      <c r="G326" s="278" t="s">
        <v>919</v>
      </c>
      <c r="H326" s="278" t="s">
        <v>476</v>
      </c>
      <c r="I326" s="278" t="s">
        <v>920</v>
      </c>
      <c r="K326" s="279">
        <f t="shared" si="29"/>
        <v>2200</v>
      </c>
      <c r="M326" s="279">
        <v>2200</v>
      </c>
      <c r="R326" s="278" t="str">
        <f>IF(AND((J326="This"),(L326="Only")),VLOOKUP(G326,#REF!,7,FALSE),"")</f>
        <v/>
      </c>
    </row>
    <row r="327" spans="1:22" x14ac:dyDescent="0.25">
      <c r="A327" s="278">
        <v>1</v>
      </c>
      <c r="C327" s="278">
        <f t="shared" si="25"/>
        <v>44</v>
      </c>
      <c r="D327" s="278">
        <f t="shared" si="26"/>
        <v>39</v>
      </c>
      <c r="E327" s="278">
        <f t="shared" si="27"/>
        <v>16</v>
      </c>
      <c r="F327" s="278" t="str">
        <f t="shared" si="28"/>
        <v>sox</v>
      </c>
      <c r="G327" s="278" t="s">
        <v>921</v>
      </c>
      <c r="H327" s="278" t="s">
        <v>476</v>
      </c>
      <c r="I327" s="278" t="s">
        <v>922</v>
      </c>
      <c r="K327" s="279">
        <f t="shared" si="29"/>
        <v>2200</v>
      </c>
      <c r="M327" s="279">
        <v>2200</v>
      </c>
      <c r="R327" s="278" t="str">
        <f>IF(AND((J327="This"),(L327="Only")),VLOOKUP(G327,#REF!,7,FALSE),"")</f>
        <v/>
      </c>
    </row>
    <row r="328" spans="1:22" x14ac:dyDescent="0.25">
      <c r="A328" s="278">
        <v>2</v>
      </c>
      <c r="C328" s="278">
        <f t="shared" si="25"/>
        <v>45</v>
      </c>
      <c r="D328" s="278">
        <f t="shared" si="26"/>
        <v>39</v>
      </c>
      <c r="E328" s="278">
        <f t="shared" si="27"/>
        <v>16</v>
      </c>
      <c r="F328" s="278" t="str">
        <f t="shared" si="28"/>
        <v>cr</v>
      </c>
      <c r="G328" s="278" t="s">
        <v>923</v>
      </c>
      <c r="H328" s="278" t="s">
        <v>304</v>
      </c>
      <c r="I328" s="278" t="s">
        <v>924</v>
      </c>
      <c r="K328" s="279">
        <f t="shared" si="29"/>
        <v>2241.532594208044</v>
      </c>
      <c r="M328" s="279">
        <v>2200</v>
      </c>
      <c r="R328" s="278" t="str">
        <f>IF(AND((J328="This"),(L328="Only")),VLOOKUP(G328,#REF!,7,FALSE),"")</f>
        <v/>
      </c>
      <c r="T328" s="278">
        <v>2241.532594208044</v>
      </c>
    </row>
    <row r="329" spans="1:22" x14ac:dyDescent="0.25">
      <c r="A329" s="278">
        <v>2</v>
      </c>
      <c r="C329" s="278">
        <f t="shared" si="25"/>
        <v>46</v>
      </c>
      <c r="D329" s="278">
        <f t="shared" si="26"/>
        <v>39</v>
      </c>
      <c r="E329" s="278">
        <f t="shared" si="27"/>
        <v>16</v>
      </c>
      <c r="F329" s="278" t="str">
        <f t="shared" si="28"/>
        <v>cr</v>
      </c>
      <c r="G329" s="278" t="s">
        <v>925</v>
      </c>
      <c r="H329" s="278" t="s">
        <v>304</v>
      </c>
      <c r="I329" s="278" t="s">
        <v>926</v>
      </c>
      <c r="K329" s="279">
        <f t="shared" si="29"/>
        <v>2164.167983712247</v>
      </c>
      <c r="M329" s="279">
        <v>2200</v>
      </c>
      <c r="R329" s="278" t="str">
        <f>IF(AND((J329="This"),(L329="Only")),VLOOKUP(G329,#REF!,7,FALSE),"")</f>
        <v/>
      </c>
      <c r="T329" s="278">
        <v>2164.167983712247</v>
      </c>
    </row>
    <row r="330" spans="1:22" x14ac:dyDescent="0.25">
      <c r="A330" s="278">
        <v>1</v>
      </c>
      <c r="C330" s="278">
        <f t="shared" si="25"/>
        <v>47</v>
      </c>
      <c r="D330" s="278">
        <f t="shared" si="26"/>
        <v>39</v>
      </c>
      <c r="E330" s="278">
        <f t="shared" si="27"/>
        <v>16</v>
      </c>
      <c r="F330" s="278" t="str">
        <f t="shared" si="28"/>
        <v>crx</v>
      </c>
      <c r="G330" s="278" t="s">
        <v>927</v>
      </c>
      <c r="H330" s="278" t="s">
        <v>928</v>
      </c>
      <c r="I330" s="278" t="s">
        <v>929</v>
      </c>
      <c r="K330" s="279">
        <f t="shared" si="29"/>
        <v>2269.0539542014076</v>
      </c>
      <c r="M330" s="279">
        <v>2200</v>
      </c>
      <c r="O330" s="278">
        <v>2269.0539542014076</v>
      </c>
      <c r="R330" s="278" t="str">
        <f>IF(AND((J330="This"),(L330="Only")),VLOOKUP(G330,#REF!,7,FALSE),"")</f>
        <v/>
      </c>
    </row>
    <row r="331" spans="1:22" x14ac:dyDescent="0.25">
      <c r="A331" s="278">
        <v>1</v>
      </c>
      <c r="C331" s="278">
        <f t="shared" si="25"/>
        <v>48</v>
      </c>
      <c r="D331" s="278">
        <f t="shared" si="26"/>
        <v>39</v>
      </c>
      <c r="E331" s="278">
        <f t="shared" si="27"/>
        <v>16</v>
      </c>
      <c r="F331" s="278" t="str">
        <f t="shared" si="28"/>
        <v>sox</v>
      </c>
      <c r="G331" s="278" t="s">
        <v>930</v>
      </c>
      <c r="H331" s="278" t="s">
        <v>352</v>
      </c>
      <c r="I331" s="278" t="s">
        <v>931</v>
      </c>
      <c r="K331" s="279">
        <f t="shared" si="29"/>
        <v>2200</v>
      </c>
      <c r="M331" s="279">
        <v>2200</v>
      </c>
      <c r="R331" s="278" t="str">
        <f>IF(AND((J331="This"),(L331="Only")),VLOOKUP(G331,#REF!,7,FALSE),"")</f>
        <v/>
      </c>
    </row>
    <row r="332" spans="1:22" x14ac:dyDescent="0.25">
      <c r="A332" s="278">
        <v>1</v>
      </c>
      <c r="C332" s="278">
        <f t="shared" si="25"/>
        <v>49</v>
      </c>
      <c r="D332" s="278">
        <f t="shared" si="26"/>
        <v>39</v>
      </c>
      <c r="E332" s="278">
        <f t="shared" si="27"/>
        <v>16</v>
      </c>
      <c r="F332" s="278" t="str">
        <f t="shared" si="28"/>
        <v>crx</v>
      </c>
      <c r="G332" s="278" t="s">
        <v>932</v>
      </c>
      <c r="H332" s="278" t="s">
        <v>933</v>
      </c>
      <c r="I332" s="278" t="s">
        <v>934</v>
      </c>
      <c r="K332" s="279">
        <f t="shared" si="29"/>
        <v>2250.2338938234179</v>
      </c>
      <c r="M332" s="279">
        <v>2200</v>
      </c>
      <c r="O332" s="278">
        <v>2250.2338938234179</v>
      </c>
      <c r="R332" s="278" t="str">
        <f>IF(AND((J332="This"),(L332="Only")),VLOOKUP(G332,#REF!,7,FALSE),"")</f>
        <v/>
      </c>
    </row>
    <row r="333" spans="1:22" x14ac:dyDescent="0.25">
      <c r="A333" s="278">
        <v>5</v>
      </c>
      <c r="C333" s="278">
        <f t="shared" si="25"/>
        <v>50</v>
      </c>
      <c r="D333" s="278">
        <f t="shared" si="26"/>
        <v>39</v>
      </c>
      <c r="E333" s="278">
        <f t="shared" si="27"/>
        <v>16</v>
      </c>
      <c r="F333" s="278" t="str">
        <f t="shared" si="28"/>
        <v>pm</v>
      </c>
      <c r="G333" s="278" t="s">
        <v>935</v>
      </c>
      <c r="H333" s="278" t="s">
        <v>232</v>
      </c>
      <c r="I333" s="278" t="s">
        <v>936</v>
      </c>
      <c r="K333" s="279">
        <f t="shared" si="29"/>
        <v>2218.4199647772912</v>
      </c>
      <c r="M333" s="279">
        <v>2200</v>
      </c>
      <c r="R333" s="278" t="str">
        <f>IF(AND((J333="This"),(L333="Only")),VLOOKUP(G333,#REF!,7,FALSE),"")</f>
        <v/>
      </c>
      <c r="T333" s="278">
        <v>2222.3068225794136</v>
      </c>
      <c r="V333" s="278">
        <v>2218.4199647772912</v>
      </c>
    </row>
    <row r="334" spans="1:22" x14ac:dyDescent="0.25">
      <c r="A334" s="278">
        <v>5</v>
      </c>
      <c r="C334" s="278">
        <f t="shared" si="25"/>
        <v>51</v>
      </c>
      <c r="D334" s="278">
        <f t="shared" si="26"/>
        <v>39</v>
      </c>
      <c r="E334" s="278">
        <f t="shared" si="27"/>
        <v>16</v>
      </c>
      <c r="F334" s="278" t="str">
        <f t="shared" si="28"/>
        <v>pm</v>
      </c>
      <c r="G334" s="278" t="s">
        <v>937</v>
      </c>
      <c r="H334" s="278" t="s">
        <v>232</v>
      </c>
      <c r="I334" s="278" t="s">
        <v>938</v>
      </c>
      <c r="K334" s="279">
        <f t="shared" si="29"/>
        <v>2099.9123103292327</v>
      </c>
      <c r="M334" s="279">
        <v>2200</v>
      </c>
      <c r="R334" s="278" t="str">
        <f>IF(AND((J334="This"),(L334="Only")),VLOOKUP(G334,#REF!,7,FALSE),"")</f>
        <v/>
      </c>
      <c r="S334" s="278">
        <v>2137.2978832051181</v>
      </c>
      <c r="T334" s="278">
        <v>2138.5872760572856</v>
      </c>
      <c r="V334" s="278">
        <v>2099.9123103292327</v>
      </c>
    </row>
    <row r="335" spans="1:22" x14ac:dyDescent="0.25">
      <c r="A335" s="278">
        <v>3</v>
      </c>
      <c r="C335" s="278">
        <f t="shared" si="25"/>
        <v>52</v>
      </c>
      <c r="D335" s="278">
        <f t="shared" si="26"/>
        <v>39</v>
      </c>
      <c r="E335" s="278">
        <f t="shared" si="27"/>
        <v>16</v>
      </c>
      <c r="F335" s="278" t="str">
        <f t="shared" si="28"/>
        <v>pm</v>
      </c>
      <c r="G335" s="278" t="s">
        <v>939</v>
      </c>
      <c r="H335" s="278" t="s">
        <v>361</v>
      </c>
      <c r="I335" s="278" t="s">
        <v>940</v>
      </c>
      <c r="K335" s="279">
        <f t="shared" si="29"/>
        <v>2160.7120222216377</v>
      </c>
      <c r="M335" s="279">
        <v>2200</v>
      </c>
      <c r="R335" s="278" t="str">
        <f>IF(AND((J335="This"),(L335="Only")),VLOOKUP(G335,#REF!,7,FALSE),"")</f>
        <v/>
      </c>
      <c r="S335" s="278">
        <v>2160.7120222216377</v>
      </c>
    </row>
    <row r="336" spans="1:22" x14ac:dyDescent="0.25">
      <c r="A336" s="278">
        <v>1</v>
      </c>
      <c r="C336" s="278">
        <f t="shared" si="25"/>
        <v>53</v>
      </c>
      <c r="D336" s="278">
        <f t="shared" si="26"/>
        <v>39</v>
      </c>
      <c r="E336" s="278">
        <f t="shared" si="27"/>
        <v>16</v>
      </c>
      <c r="F336" s="278" t="str">
        <f t="shared" si="28"/>
        <v>crx</v>
      </c>
      <c r="G336" s="278" t="s">
        <v>941</v>
      </c>
      <c r="H336" s="278" t="s">
        <v>942</v>
      </c>
      <c r="I336" s="278" t="s">
        <v>943</v>
      </c>
      <c r="K336" s="279">
        <f t="shared" si="29"/>
        <v>2200</v>
      </c>
      <c r="M336" s="279">
        <v>2200</v>
      </c>
      <c r="R336" s="278" t="str">
        <f>IF(AND((J336="This"),(L336="Only")),VLOOKUP(G336,#REF!,7,FALSE),"")</f>
        <v/>
      </c>
    </row>
    <row r="337" spans="1:22" x14ac:dyDescent="0.25">
      <c r="A337" s="278">
        <v>5</v>
      </c>
      <c r="C337" s="278">
        <f t="shared" si="25"/>
        <v>54</v>
      </c>
      <c r="D337" s="278">
        <f t="shared" si="26"/>
        <v>39</v>
      </c>
      <c r="E337" s="278">
        <f t="shared" si="27"/>
        <v>16</v>
      </c>
      <c r="F337" s="278" t="str">
        <f t="shared" si="28"/>
        <v>pm</v>
      </c>
      <c r="G337" s="278" t="s">
        <v>944</v>
      </c>
      <c r="H337" s="278" t="s">
        <v>512</v>
      </c>
      <c r="I337" s="278" t="s">
        <v>945</v>
      </c>
      <c r="K337" s="279">
        <f t="shared" si="29"/>
        <v>2402.3375292126752</v>
      </c>
      <c r="M337" s="279">
        <v>2200</v>
      </c>
      <c r="R337" s="278" t="str">
        <f>IF(AND((J337="This"),(L337="Only")),VLOOKUP(G337,#REF!,7,FALSE),"")</f>
        <v/>
      </c>
      <c r="S337" s="278">
        <v>2312.7657415470694</v>
      </c>
      <c r="T337" s="278">
        <v>2310.9610496243463</v>
      </c>
      <c r="V337" s="278">
        <v>2402.3375292126752</v>
      </c>
    </row>
    <row r="338" spans="1:22" x14ac:dyDescent="0.25">
      <c r="A338" s="278">
        <v>5</v>
      </c>
      <c r="C338" s="278">
        <f t="shared" si="25"/>
        <v>55</v>
      </c>
      <c r="D338" s="278">
        <f t="shared" si="26"/>
        <v>39</v>
      </c>
      <c r="E338" s="278">
        <f t="shared" si="27"/>
        <v>16</v>
      </c>
      <c r="F338" s="278" t="str">
        <f t="shared" si="28"/>
        <v>pm</v>
      </c>
      <c r="G338" s="278" t="s">
        <v>946</v>
      </c>
      <c r="H338" s="278" t="s">
        <v>512</v>
      </c>
      <c r="I338" s="278" t="s">
        <v>947</v>
      </c>
      <c r="K338" s="279">
        <f t="shared" si="29"/>
        <v>2106.3788912330715</v>
      </c>
      <c r="M338" s="279">
        <v>2200</v>
      </c>
      <c r="R338" s="278" t="str">
        <f>IF(AND((J338="This"),(L338="Only")),VLOOKUP(G338,#REF!,7,FALSE),"")</f>
        <v/>
      </c>
      <c r="S338" s="278">
        <v>2179.626578556059</v>
      </c>
      <c r="T338" s="278">
        <v>2098.9025643154096</v>
      </c>
      <c r="V338" s="278">
        <v>2106.3788912330715</v>
      </c>
    </row>
    <row r="339" spans="1:22" x14ac:dyDescent="0.25">
      <c r="A339" s="278">
        <v>1</v>
      </c>
      <c r="C339" s="278">
        <f t="shared" si="25"/>
        <v>56</v>
      </c>
      <c r="D339" s="278">
        <f t="shared" si="26"/>
        <v>39</v>
      </c>
      <c r="E339" s="278">
        <f t="shared" si="27"/>
        <v>16</v>
      </c>
      <c r="F339" s="278" t="str">
        <f t="shared" si="28"/>
        <v>sox</v>
      </c>
      <c r="G339" s="278" t="s">
        <v>948</v>
      </c>
      <c r="H339" s="278" t="s">
        <v>687</v>
      </c>
      <c r="I339" s="278" t="s">
        <v>949</v>
      </c>
      <c r="K339" s="279">
        <f t="shared" si="29"/>
        <v>2289.6533608633817</v>
      </c>
      <c r="M339" s="279">
        <v>2200</v>
      </c>
      <c r="R339" s="278" t="str">
        <f>IF(AND((J339="This"),(L339="Only")),VLOOKUP(G339,#REF!,7,FALSE),"")</f>
        <v/>
      </c>
      <c r="T339" s="278">
        <v>2289.6533608633817</v>
      </c>
    </row>
    <row r="340" spans="1:22" x14ac:dyDescent="0.25">
      <c r="A340" s="278">
        <v>1</v>
      </c>
      <c r="C340" s="278">
        <f t="shared" si="25"/>
        <v>57</v>
      </c>
      <c r="D340" s="278">
        <f t="shared" si="26"/>
        <v>39</v>
      </c>
      <c r="E340" s="278">
        <f t="shared" si="27"/>
        <v>16</v>
      </c>
      <c r="F340" s="278" t="str">
        <f t="shared" si="28"/>
        <v>sox</v>
      </c>
      <c r="G340" s="278" t="s">
        <v>950</v>
      </c>
      <c r="H340" s="278" t="s">
        <v>687</v>
      </c>
      <c r="I340" s="278" t="s">
        <v>951</v>
      </c>
      <c r="K340" s="279">
        <f t="shared" si="29"/>
        <v>2244.8703924043102</v>
      </c>
      <c r="M340" s="279">
        <v>2200</v>
      </c>
      <c r="R340" s="278" t="str">
        <f>IF(AND((J340="This"),(L340="Only")),VLOOKUP(G340,#REF!,7,FALSE),"")</f>
        <v/>
      </c>
      <c r="T340" s="278">
        <v>2244.8703924043102</v>
      </c>
    </row>
    <row r="341" spans="1:22" x14ac:dyDescent="0.25">
      <c r="A341" s="278">
        <v>1</v>
      </c>
      <c r="C341" s="278">
        <f t="shared" si="25"/>
        <v>58</v>
      </c>
      <c r="D341" s="278">
        <f t="shared" si="26"/>
        <v>39</v>
      </c>
      <c r="E341" s="278">
        <f t="shared" si="27"/>
        <v>16</v>
      </c>
      <c r="F341" s="278" t="str">
        <f t="shared" si="28"/>
        <v>sox</v>
      </c>
      <c r="G341" s="278" t="s">
        <v>952</v>
      </c>
      <c r="H341" s="278" t="s">
        <v>687</v>
      </c>
      <c r="I341" s="278" t="s">
        <v>953</v>
      </c>
      <c r="K341" s="279">
        <f t="shared" si="29"/>
        <v>2200</v>
      </c>
      <c r="M341" s="279">
        <v>2200</v>
      </c>
      <c r="R341" s="278" t="str">
        <f>IF(AND((J341="This"),(L341="Only")),VLOOKUP(G341,#REF!,7,FALSE),"")</f>
        <v/>
      </c>
    </row>
    <row r="342" spans="1:22" x14ac:dyDescent="0.25">
      <c r="A342" s="278">
        <v>4</v>
      </c>
      <c r="C342" s="278">
        <f t="shared" si="25"/>
        <v>59</v>
      </c>
      <c r="D342" s="278">
        <f t="shared" si="26"/>
        <v>39</v>
      </c>
      <c r="E342" s="278">
        <f t="shared" si="27"/>
        <v>16</v>
      </c>
      <c r="F342" s="278" t="str">
        <f t="shared" si="28"/>
        <v>pm</v>
      </c>
      <c r="G342" s="278" t="s">
        <v>954</v>
      </c>
      <c r="H342" s="278" t="s">
        <v>416</v>
      </c>
      <c r="I342" s="278" t="s">
        <v>955</v>
      </c>
      <c r="K342" s="279">
        <f t="shared" si="29"/>
        <v>2139.4047424288392</v>
      </c>
      <c r="M342" s="279">
        <v>2200</v>
      </c>
      <c r="R342" s="278" t="str">
        <f>IF(AND((J342="This"),(L342="Only")),VLOOKUP(G342,#REF!,7,FALSE),"")</f>
        <v/>
      </c>
      <c r="S342" s="278">
        <v>2148.4247333494636</v>
      </c>
      <c r="V342" s="278">
        <v>2139.4047424288392</v>
      </c>
    </row>
    <row r="343" spans="1:22" x14ac:dyDescent="0.25">
      <c r="A343" s="278">
        <v>1</v>
      </c>
      <c r="C343" s="278">
        <f t="shared" si="25"/>
        <v>1</v>
      </c>
      <c r="D343" s="278">
        <f t="shared" si="26"/>
        <v>1</v>
      </c>
      <c r="E343" s="278">
        <f t="shared" si="27"/>
        <v>17</v>
      </c>
      <c r="F343" s="278" t="str">
        <f t="shared" si="28"/>
        <v>crx</v>
      </c>
      <c r="G343" s="278" t="s">
        <v>956</v>
      </c>
      <c r="H343" s="278" t="s">
        <v>957</v>
      </c>
      <c r="I343" s="278" t="s">
        <v>958</v>
      </c>
      <c r="K343" s="279">
        <f t="shared" si="29"/>
        <v>2698.2829531711172</v>
      </c>
      <c r="M343" s="279">
        <v>2800</v>
      </c>
      <c r="R343" s="278" t="str">
        <f>IF(AND((J343="This"),(L343="Only")),VLOOKUP(G343,#REF!,7,FALSE),"")</f>
        <v/>
      </c>
      <c r="U343" s="278">
        <v>2698.2829531711172</v>
      </c>
    </row>
    <row r="344" spans="1:22" x14ac:dyDescent="0.25">
      <c r="A344" s="278">
        <v>2</v>
      </c>
      <c r="C344" s="278">
        <f t="shared" si="25"/>
        <v>2</v>
      </c>
      <c r="D344" s="278">
        <f t="shared" si="26"/>
        <v>1</v>
      </c>
      <c r="E344" s="278">
        <f t="shared" si="27"/>
        <v>17</v>
      </c>
      <c r="F344" s="278" t="str">
        <f t="shared" si="28"/>
        <v>cr</v>
      </c>
      <c r="G344" s="278" t="s">
        <v>959</v>
      </c>
      <c r="H344" s="278" t="s">
        <v>229</v>
      </c>
      <c r="I344" s="278" t="s">
        <v>960</v>
      </c>
      <c r="K344" s="279">
        <f t="shared" si="29"/>
        <v>2758.8844484783435</v>
      </c>
      <c r="M344" s="279">
        <v>2800</v>
      </c>
      <c r="P344" s="278">
        <v>2758.8844484783435</v>
      </c>
      <c r="R344" s="278" t="str">
        <f>IF(AND((J344="This"),(L344="Only")),VLOOKUP(G344,#REF!,7,FALSE),"")</f>
        <v/>
      </c>
    </row>
    <row r="345" spans="1:22" x14ac:dyDescent="0.25">
      <c r="A345" s="278">
        <v>1</v>
      </c>
      <c r="C345" s="278">
        <f t="shared" si="25"/>
        <v>3</v>
      </c>
      <c r="D345" s="278">
        <f t="shared" si="26"/>
        <v>1</v>
      </c>
      <c r="E345" s="278">
        <f t="shared" si="27"/>
        <v>17</v>
      </c>
      <c r="F345" s="278" t="str">
        <f t="shared" si="28"/>
        <v>crx</v>
      </c>
      <c r="G345" s="278" t="s">
        <v>961</v>
      </c>
      <c r="H345" s="278" t="s">
        <v>962</v>
      </c>
      <c r="I345" s="278" t="s">
        <v>963</v>
      </c>
      <c r="K345" s="279">
        <f t="shared" si="29"/>
        <v>2750.4570583228733</v>
      </c>
      <c r="M345" s="279">
        <v>2800</v>
      </c>
      <c r="N345" s="278">
        <v>2750.4570583228733</v>
      </c>
      <c r="R345" s="278" t="str">
        <f>IF(AND((J345="This"),(L345="Only")),VLOOKUP(G345,#REF!,7,FALSE),"")</f>
        <v/>
      </c>
    </row>
    <row r="346" spans="1:22" x14ac:dyDescent="0.25">
      <c r="A346" s="278">
        <v>1</v>
      </c>
      <c r="C346" s="278">
        <f t="shared" si="25"/>
        <v>4</v>
      </c>
      <c r="D346" s="278">
        <f t="shared" si="26"/>
        <v>1</v>
      </c>
      <c r="E346" s="278">
        <f t="shared" si="27"/>
        <v>17</v>
      </c>
      <c r="F346" s="278" t="str">
        <f t="shared" si="28"/>
        <v>crx</v>
      </c>
      <c r="G346" s="278" t="s">
        <v>964</v>
      </c>
      <c r="H346" s="278" t="s">
        <v>709</v>
      </c>
      <c r="I346" s="278" t="s">
        <v>965</v>
      </c>
      <c r="K346" s="279">
        <f t="shared" si="29"/>
        <v>2908.7460051891831</v>
      </c>
      <c r="M346" s="279">
        <v>2800</v>
      </c>
      <c r="R346" s="278" t="str">
        <f>IF(AND((J346="This"),(L346="Only")),VLOOKUP(G346,#REF!,7,FALSE),"")</f>
        <v/>
      </c>
      <c r="U346" s="278">
        <v>2908.7460051891831</v>
      </c>
    </row>
    <row r="347" spans="1:22" x14ac:dyDescent="0.25">
      <c r="A347" s="278">
        <v>1</v>
      </c>
      <c r="C347" s="278">
        <f t="shared" si="25"/>
        <v>5</v>
      </c>
      <c r="D347" s="278">
        <f t="shared" si="26"/>
        <v>1</v>
      </c>
      <c r="E347" s="278">
        <f t="shared" si="27"/>
        <v>17</v>
      </c>
      <c r="F347" s="278" t="str">
        <f t="shared" si="28"/>
        <v>crx</v>
      </c>
      <c r="G347" s="278" t="s">
        <v>966</v>
      </c>
      <c r="H347" s="278" t="s">
        <v>967</v>
      </c>
      <c r="I347" s="278" t="s">
        <v>968</v>
      </c>
      <c r="K347" s="279">
        <f t="shared" si="29"/>
        <v>2729.1332215711891</v>
      </c>
      <c r="M347" s="279">
        <v>2800</v>
      </c>
      <c r="R347" s="278" t="str">
        <f>IF(AND((J347="This"),(L347="Only")),VLOOKUP(G347,#REF!,7,FALSE),"")</f>
        <v/>
      </c>
      <c r="S347" s="278">
        <v>2729.1332215711891</v>
      </c>
    </row>
    <row r="348" spans="1:22" x14ac:dyDescent="0.25">
      <c r="A348" s="278">
        <v>4</v>
      </c>
      <c r="C348" s="278">
        <f t="shared" si="25"/>
        <v>6</v>
      </c>
      <c r="D348" s="278">
        <f t="shared" si="26"/>
        <v>1</v>
      </c>
      <c r="E348" s="278">
        <f t="shared" si="27"/>
        <v>17</v>
      </c>
      <c r="F348" s="278" t="str">
        <f t="shared" si="28"/>
        <v>pm</v>
      </c>
      <c r="G348" s="278" t="s">
        <v>969</v>
      </c>
      <c r="H348" s="278" t="s">
        <v>217</v>
      </c>
      <c r="I348" s="278" t="s">
        <v>970</v>
      </c>
      <c r="K348" s="279">
        <f t="shared" si="29"/>
        <v>2842.9172020109409</v>
      </c>
      <c r="M348" s="279">
        <v>2800</v>
      </c>
      <c r="N348" s="278">
        <v>2833.6024184475791</v>
      </c>
      <c r="R348" s="278" t="str">
        <f>IF(AND((J348="This"),(L348="Only")),VLOOKUP(G348,#REF!,7,FALSE),"")</f>
        <v/>
      </c>
      <c r="U348" s="278">
        <v>2842.9172020109409</v>
      </c>
    </row>
    <row r="349" spans="1:22" x14ac:dyDescent="0.25">
      <c r="A349" s="278">
        <v>4</v>
      </c>
      <c r="C349" s="278">
        <f t="shared" si="25"/>
        <v>7</v>
      </c>
      <c r="D349" s="278">
        <f t="shared" si="26"/>
        <v>1</v>
      </c>
      <c r="E349" s="278">
        <f t="shared" si="27"/>
        <v>17</v>
      </c>
      <c r="F349" s="278" t="str">
        <f t="shared" si="28"/>
        <v>pm</v>
      </c>
      <c r="G349" s="278" t="s">
        <v>971</v>
      </c>
      <c r="H349" s="278" t="s">
        <v>217</v>
      </c>
      <c r="I349" s="278" t="s">
        <v>972</v>
      </c>
      <c r="K349" s="279">
        <f t="shared" si="29"/>
        <v>2869.0678291595218</v>
      </c>
      <c r="M349" s="279">
        <v>2800</v>
      </c>
      <c r="N349" s="278">
        <v>2871.6284059333157</v>
      </c>
      <c r="R349" s="278" t="str">
        <f>IF(AND((J349="This"),(L349="Only")),VLOOKUP(G349,#REF!,7,FALSE),"")</f>
        <v/>
      </c>
      <c r="U349" s="278">
        <v>2869.0678291595218</v>
      </c>
    </row>
    <row r="350" spans="1:22" x14ac:dyDescent="0.25">
      <c r="A350" s="278">
        <v>1</v>
      </c>
      <c r="C350" s="278">
        <f t="shared" si="25"/>
        <v>8</v>
      </c>
      <c r="D350" s="278">
        <f t="shared" si="26"/>
        <v>1</v>
      </c>
      <c r="E350" s="278">
        <f t="shared" si="27"/>
        <v>17</v>
      </c>
      <c r="F350" s="278" t="str">
        <f t="shared" si="28"/>
        <v>crx</v>
      </c>
      <c r="G350" s="278" t="s">
        <v>973</v>
      </c>
      <c r="H350" s="278" t="s">
        <v>974</v>
      </c>
      <c r="I350" s="278" t="s">
        <v>975</v>
      </c>
      <c r="K350" s="279">
        <f t="shared" si="29"/>
        <v>2719.3450087203364</v>
      </c>
      <c r="M350" s="279">
        <v>2800</v>
      </c>
      <c r="R350" s="278" t="str">
        <f>IF(AND((J350="This"),(L350="Only")),VLOOKUP(G350,#REF!,7,FALSE),"")</f>
        <v/>
      </c>
      <c r="U350" s="278">
        <v>2719.3450087203364</v>
      </c>
    </row>
    <row r="351" spans="1:22" x14ac:dyDescent="0.25">
      <c r="A351" s="278">
        <v>1</v>
      </c>
      <c r="C351" s="278">
        <f t="shared" si="25"/>
        <v>9</v>
      </c>
      <c r="D351" s="278">
        <f t="shared" si="26"/>
        <v>1</v>
      </c>
      <c r="E351" s="278">
        <f t="shared" si="27"/>
        <v>17</v>
      </c>
      <c r="F351" s="278" t="str">
        <f t="shared" si="28"/>
        <v>pmx</v>
      </c>
      <c r="G351" s="278" t="s">
        <v>976</v>
      </c>
      <c r="H351" s="278" t="s">
        <v>382</v>
      </c>
      <c r="I351" s="278" t="s">
        <v>977</v>
      </c>
      <c r="K351" s="279">
        <f t="shared" si="29"/>
        <v>2855.3863886111262</v>
      </c>
      <c r="M351" s="279">
        <v>2800</v>
      </c>
      <c r="R351" s="278" t="str">
        <f>IF(AND((J351="This"),(L351="Only")),VLOOKUP(G351,#REF!,7,FALSE),"")</f>
        <v/>
      </c>
      <c r="U351" s="278">
        <v>2855.3863886111262</v>
      </c>
    </row>
    <row r="352" spans="1:22" x14ac:dyDescent="0.25">
      <c r="A352" s="278">
        <v>4</v>
      </c>
      <c r="C352" s="278">
        <f t="shared" si="25"/>
        <v>10</v>
      </c>
      <c r="D352" s="278">
        <f t="shared" si="26"/>
        <v>1</v>
      </c>
      <c r="E352" s="278">
        <f t="shared" si="27"/>
        <v>17</v>
      </c>
      <c r="F352" s="278" t="str">
        <f t="shared" si="28"/>
        <v>pm</v>
      </c>
      <c r="G352" s="278" t="s">
        <v>978</v>
      </c>
      <c r="H352" s="278" t="s">
        <v>730</v>
      </c>
      <c r="I352" s="278" t="s">
        <v>979</v>
      </c>
      <c r="K352" s="279">
        <f t="shared" si="29"/>
        <v>2683.7023578396006</v>
      </c>
      <c r="M352" s="279">
        <v>2800</v>
      </c>
      <c r="N352" s="278">
        <v>2752.6182883776373</v>
      </c>
      <c r="R352" s="278" t="str">
        <f>IF(AND((J352="This"),(L352="Only")),VLOOKUP(G352,#REF!,7,FALSE),"")</f>
        <v/>
      </c>
      <c r="U352" s="278">
        <v>2683.7023578396006</v>
      </c>
    </row>
    <row r="353" spans="1:21" x14ac:dyDescent="0.25">
      <c r="A353" s="278">
        <v>5</v>
      </c>
      <c r="C353" s="278">
        <f t="shared" si="25"/>
        <v>11</v>
      </c>
      <c r="D353" s="278">
        <f t="shared" si="26"/>
        <v>1</v>
      </c>
      <c r="E353" s="278">
        <f t="shared" si="27"/>
        <v>17</v>
      </c>
      <c r="F353" s="278" t="str">
        <f t="shared" si="28"/>
        <v>pm</v>
      </c>
      <c r="G353" s="278" t="s">
        <v>980</v>
      </c>
      <c r="H353" s="278" t="s">
        <v>981</v>
      </c>
      <c r="I353" s="278" t="s">
        <v>982</v>
      </c>
      <c r="K353" s="279">
        <f t="shared" si="29"/>
        <v>2905.4623849496193</v>
      </c>
      <c r="M353" s="279">
        <v>2800</v>
      </c>
      <c r="P353" s="278">
        <v>2898.4548657689761</v>
      </c>
      <c r="R353" s="278" t="str">
        <f>IF(AND((J353="This"),(L353="Only")),VLOOKUP(G353,#REF!,7,FALSE),"")</f>
        <v/>
      </c>
      <c r="S353" s="278">
        <v>2936.9880533615292</v>
      </c>
      <c r="U353" s="278">
        <v>2905.4623849496193</v>
      </c>
    </row>
    <row r="354" spans="1:21" x14ac:dyDescent="0.25">
      <c r="A354" s="278">
        <v>4</v>
      </c>
      <c r="C354" s="278">
        <f t="shared" si="25"/>
        <v>12</v>
      </c>
      <c r="D354" s="278">
        <f t="shared" si="26"/>
        <v>1</v>
      </c>
      <c r="E354" s="278">
        <f t="shared" si="27"/>
        <v>17</v>
      </c>
      <c r="F354" s="278" t="str">
        <f t="shared" si="28"/>
        <v>pm</v>
      </c>
      <c r="G354" s="278" t="s">
        <v>983</v>
      </c>
      <c r="H354" s="278" t="s">
        <v>296</v>
      </c>
      <c r="I354" s="278" t="s">
        <v>984</v>
      </c>
      <c r="K354" s="279">
        <f t="shared" si="29"/>
        <v>2898.4661809305749</v>
      </c>
      <c r="M354" s="279">
        <v>2800</v>
      </c>
      <c r="P354" s="278">
        <v>2840.4219447808714</v>
      </c>
      <c r="R354" s="278" t="str">
        <f>IF(AND((J354="This"),(L354="Only")),VLOOKUP(G354,#REF!,7,FALSE),"")</f>
        <v/>
      </c>
      <c r="S354" s="278">
        <v>2907.017912342078</v>
      </c>
      <c r="U354" s="278">
        <v>2898.4661809305749</v>
      </c>
    </row>
    <row r="355" spans="1:21" x14ac:dyDescent="0.25">
      <c r="A355" s="278">
        <v>6</v>
      </c>
      <c r="C355" s="278">
        <f t="shared" si="25"/>
        <v>13</v>
      </c>
      <c r="D355" s="278">
        <f t="shared" si="26"/>
        <v>1</v>
      </c>
      <c r="E355" s="278">
        <f t="shared" si="27"/>
        <v>17</v>
      </c>
      <c r="F355" s="278" t="str">
        <f t="shared" si="28"/>
        <v>pm</v>
      </c>
      <c r="G355" s="278" t="s">
        <v>985</v>
      </c>
      <c r="H355" s="278" t="s">
        <v>333</v>
      </c>
      <c r="I355" s="278" t="s">
        <v>986</v>
      </c>
      <c r="K355" s="279">
        <f t="shared" si="29"/>
        <v>2571.5237468395812</v>
      </c>
      <c r="M355" s="279">
        <v>2800</v>
      </c>
      <c r="N355" s="278">
        <v>2726.4435267606004</v>
      </c>
      <c r="P355" s="278">
        <v>2667.1192641229122</v>
      </c>
      <c r="R355" s="278" t="str">
        <f>IF(AND((J355="This"),(L355="Only")),VLOOKUP(G355,#REF!,7,FALSE),"")</f>
        <v/>
      </c>
      <c r="S355" s="278">
        <v>2635.254000507688</v>
      </c>
      <c r="U355" s="278">
        <v>2571.5237468395812</v>
      </c>
    </row>
    <row r="356" spans="1:21" x14ac:dyDescent="0.25">
      <c r="A356" s="278">
        <v>1</v>
      </c>
      <c r="C356" s="278">
        <f t="shared" si="25"/>
        <v>14</v>
      </c>
      <c r="D356" s="278">
        <f t="shared" si="26"/>
        <v>1</v>
      </c>
      <c r="E356" s="278">
        <f t="shared" si="27"/>
        <v>17</v>
      </c>
      <c r="F356" s="278" t="str">
        <f t="shared" si="28"/>
        <v>crx</v>
      </c>
      <c r="G356" s="278" t="s">
        <v>987</v>
      </c>
      <c r="H356" s="278" t="s">
        <v>737</v>
      </c>
      <c r="I356" s="278" t="s">
        <v>988</v>
      </c>
      <c r="K356" s="279">
        <f t="shared" si="29"/>
        <v>2812.0624491162876</v>
      </c>
      <c r="M356" s="279">
        <v>2800</v>
      </c>
      <c r="N356" s="278">
        <v>2812.0624491162876</v>
      </c>
      <c r="R356" s="278" t="str">
        <f>IF(AND((J356="This"),(L356="Only")),VLOOKUP(G356,#REF!,7,FALSE),"")</f>
        <v/>
      </c>
    </row>
    <row r="357" spans="1:21" x14ac:dyDescent="0.25">
      <c r="A357" s="278">
        <v>3</v>
      </c>
      <c r="C357" s="278">
        <f t="shared" si="25"/>
        <v>15</v>
      </c>
      <c r="D357" s="278">
        <f t="shared" si="26"/>
        <v>1</v>
      </c>
      <c r="E357" s="278">
        <f t="shared" si="27"/>
        <v>17</v>
      </c>
      <c r="F357" s="278" t="str">
        <f t="shared" si="28"/>
        <v>pm</v>
      </c>
      <c r="G357" s="278" t="s">
        <v>989</v>
      </c>
      <c r="H357" s="278" t="s">
        <v>385</v>
      </c>
      <c r="I357" s="278" t="s">
        <v>990</v>
      </c>
      <c r="K357" s="279">
        <f t="shared" si="29"/>
        <v>2867.0704945911393</v>
      </c>
      <c r="M357" s="279">
        <v>2800</v>
      </c>
      <c r="N357" s="278">
        <v>2874.5669843189626</v>
      </c>
      <c r="R357" s="278" t="str">
        <f>IF(AND((J357="This"),(L357="Only")),VLOOKUP(G357,#REF!,7,FALSE),"")</f>
        <v/>
      </c>
      <c r="U357" s="278">
        <v>2867.0704945911393</v>
      </c>
    </row>
    <row r="358" spans="1:21" x14ac:dyDescent="0.25">
      <c r="A358" s="278">
        <v>2</v>
      </c>
      <c r="C358" s="278">
        <f t="shared" si="25"/>
        <v>16</v>
      </c>
      <c r="D358" s="278">
        <f t="shared" si="26"/>
        <v>1</v>
      </c>
      <c r="E358" s="278">
        <f t="shared" si="27"/>
        <v>17</v>
      </c>
      <c r="F358" s="278" t="str">
        <f t="shared" si="28"/>
        <v>pm</v>
      </c>
      <c r="G358" s="278" t="s">
        <v>991</v>
      </c>
      <c r="H358" s="278" t="s">
        <v>226</v>
      </c>
      <c r="I358" s="278" t="s">
        <v>992</v>
      </c>
      <c r="K358" s="279">
        <f t="shared" si="29"/>
        <v>2901.4124452884193</v>
      </c>
      <c r="M358" s="279">
        <v>2800</v>
      </c>
      <c r="R358" s="278" t="str">
        <f>IF(AND((J358="This"),(L358="Only")),VLOOKUP(G358,#REF!,7,FALSE),"")</f>
        <v/>
      </c>
      <c r="S358" s="278">
        <v>2901.4124452884193</v>
      </c>
    </row>
    <row r="359" spans="1:21" x14ac:dyDescent="0.25">
      <c r="A359" s="278">
        <v>2</v>
      </c>
      <c r="C359" s="278">
        <f t="shared" si="25"/>
        <v>17</v>
      </c>
      <c r="D359" s="278">
        <f t="shared" si="26"/>
        <v>1</v>
      </c>
      <c r="E359" s="278">
        <f t="shared" si="27"/>
        <v>17</v>
      </c>
      <c r="F359" s="278" t="str">
        <f t="shared" si="28"/>
        <v>pm</v>
      </c>
      <c r="G359" s="278" t="s">
        <v>993</v>
      </c>
      <c r="H359" s="278" t="s">
        <v>226</v>
      </c>
      <c r="I359" s="278" t="s">
        <v>994</v>
      </c>
      <c r="K359" s="279">
        <f t="shared" si="29"/>
        <v>2764.8764653951607</v>
      </c>
      <c r="M359" s="279">
        <v>2800</v>
      </c>
      <c r="R359" s="278" t="str">
        <f>IF(AND((J359="This"),(L359="Only")),VLOOKUP(G359,#REF!,7,FALSE),"")</f>
        <v/>
      </c>
      <c r="S359" s="278">
        <v>2764.8764653951607</v>
      </c>
    </row>
    <row r="360" spans="1:21" x14ac:dyDescent="0.25">
      <c r="A360" s="278">
        <v>1</v>
      </c>
      <c r="C360" s="278">
        <f t="shared" si="25"/>
        <v>18</v>
      </c>
      <c r="D360" s="278">
        <f t="shared" si="26"/>
        <v>1</v>
      </c>
      <c r="E360" s="278">
        <f t="shared" si="27"/>
        <v>17</v>
      </c>
      <c r="F360" s="278" t="str">
        <f t="shared" si="28"/>
        <v>sox</v>
      </c>
      <c r="G360" s="278" t="s">
        <v>995</v>
      </c>
      <c r="H360" s="278" t="s">
        <v>561</v>
      </c>
      <c r="I360" s="278" t="s">
        <v>996</v>
      </c>
      <c r="K360" s="279">
        <f t="shared" si="29"/>
        <v>2811.6944287257743</v>
      </c>
      <c r="M360" s="279">
        <v>2800</v>
      </c>
      <c r="R360" s="278" t="str">
        <f>IF(AND((J360="This"),(L360="Only")),VLOOKUP(G360,#REF!,7,FALSE),"")</f>
        <v/>
      </c>
      <c r="U360" s="278">
        <v>2811.6944287257743</v>
      </c>
    </row>
    <row r="361" spans="1:21" x14ac:dyDescent="0.25">
      <c r="A361" s="278">
        <v>3</v>
      </c>
      <c r="C361" s="278">
        <f t="shared" si="25"/>
        <v>19</v>
      </c>
      <c r="D361" s="278">
        <f t="shared" si="26"/>
        <v>1</v>
      </c>
      <c r="E361" s="278">
        <f t="shared" si="27"/>
        <v>17</v>
      </c>
      <c r="F361" s="278" t="str">
        <f t="shared" si="28"/>
        <v>pm</v>
      </c>
      <c r="G361" s="278" t="s">
        <v>997</v>
      </c>
      <c r="H361" s="278" t="s">
        <v>497</v>
      </c>
      <c r="I361" s="278" t="s">
        <v>998</v>
      </c>
      <c r="K361" s="279">
        <f t="shared" si="29"/>
        <v>2797.8823937745101</v>
      </c>
      <c r="M361" s="279">
        <v>2800</v>
      </c>
      <c r="N361" s="278">
        <v>2797.8823937745101</v>
      </c>
      <c r="R361" s="278" t="str">
        <f>IF(AND((J361="This"),(L361="Only")),VLOOKUP(G361,#REF!,7,FALSE),"")</f>
        <v/>
      </c>
    </row>
    <row r="362" spans="1:21" x14ac:dyDescent="0.25">
      <c r="A362" s="278">
        <v>1</v>
      </c>
      <c r="C362" s="278">
        <f t="shared" si="25"/>
        <v>20</v>
      </c>
      <c r="D362" s="278">
        <f t="shared" si="26"/>
        <v>1</v>
      </c>
      <c r="E362" s="278">
        <f t="shared" si="27"/>
        <v>17</v>
      </c>
      <c r="F362" s="278" t="str">
        <f t="shared" si="28"/>
        <v>odx</v>
      </c>
      <c r="G362" s="278" t="s">
        <v>999</v>
      </c>
      <c r="H362" s="278" t="s">
        <v>566</v>
      </c>
      <c r="I362" s="278" t="s">
        <v>1000</v>
      </c>
      <c r="K362" s="279">
        <f t="shared" si="29"/>
        <v>2761.3037377004575</v>
      </c>
      <c r="M362" s="279">
        <v>2800</v>
      </c>
      <c r="R362" s="278" t="str">
        <f>IF(AND((J362="This"),(L362="Only")),VLOOKUP(G362,#REF!,7,FALSE),"")</f>
        <v/>
      </c>
      <c r="U362" s="278">
        <v>2761.3037377004575</v>
      </c>
    </row>
    <row r="363" spans="1:21" x14ac:dyDescent="0.25">
      <c r="A363" s="278">
        <v>3</v>
      </c>
      <c r="C363" s="278">
        <f t="shared" si="25"/>
        <v>21</v>
      </c>
      <c r="D363" s="278">
        <f t="shared" si="26"/>
        <v>1</v>
      </c>
      <c r="E363" s="278">
        <f t="shared" si="27"/>
        <v>17</v>
      </c>
      <c r="F363" s="278" t="str">
        <f t="shared" si="28"/>
        <v>pm</v>
      </c>
      <c r="G363" s="278" t="s">
        <v>1001</v>
      </c>
      <c r="H363" s="278" t="s">
        <v>434</v>
      </c>
      <c r="I363" s="278" t="s">
        <v>1002</v>
      </c>
      <c r="K363" s="279">
        <f t="shared" si="29"/>
        <v>2801.5686837922772</v>
      </c>
      <c r="M363" s="279">
        <v>2800</v>
      </c>
      <c r="N363" s="278">
        <v>2817.626099057934</v>
      </c>
      <c r="P363" s="278">
        <v>2800.0897910250219</v>
      </c>
      <c r="R363" s="278" t="str">
        <f>IF(AND((J363="This"),(L363="Only")),VLOOKUP(G363,#REF!,7,FALSE),"")</f>
        <v/>
      </c>
      <c r="U363" s="278">
        <v>2801.5686837922772</v>
      </c>
    </row>
    <row r="364" spans="1:21" x14ac:dyDescent="0.25">
      <c r="A364" s="278">
        <v>5</v>
      </c>
      <c r="C364" s="278">
        <f t="shared" si="25"/>
        <v>22</v>
      </c>
      <c r="D364" s="278">
        <f t="shared" si="26"/>
        <v>1</v>
      </c>
      <c r="E364" s="278">
        <f t="shared" si="27"/>
        <v>17</v>
      </c>
      <c r="F364" s="278" t="str">
        <f t="shared" si="28"/>
        <v>pm</v>
      </c>
      <c r="G364" s="278" t="s">
        <v>1003</v>
      </c>
      <c r="H364" s="278" t="s">
        <v>318</v>
      </c>
      <c r="I364" s="278" t="s">
        <v>1004</v>
      </c>
      <c r="K364" s="279">
        <f t="shared" si="29"/>
        <v>2715.1945084168383</v>
      </c>
      <c r="M364" s="279">
        <v>2800</v>
      </c>
      <c r="N364" s="278">
        <v>2765.4519842745844</v>
      </c>
      <c r="P364" s="278">
        <v>2747.2792108998428</v>
      </c>
      <c r="R364" s="278" t="str">
        <f>IF(AND((J364="This"),(L364="Only")),VLOOKUP(G364,#REF!,7,FALSE),"")</f>
        <v/>
      </c>
      <c r="U364" s="278">
        <v>2715.1945084168383</v>
      </c>
    </row>
    <row r="365" spans="1:21" x14ac:dyDescent="0.25">
      <c r="A365" s="278">
        <v>6</v>
      </c>
      <c r="C365" s="278">
        <f t="shared" si="25"/>
        <v>23</v>
      </c>
      <c r="D365" s="278">
        <f t="shared" si="26"/>
        <v>1</v>
      </c>
      <c r="E365" s="278">
        <f t="shared" si="27"/>
        <v>17</v>
      </c>
      <c r="F365" s="278" t="str">
        <f t="shared" si="28"/>
        <v>pm</v>
      </c>
      <c r="G365" s="278" t="s">
        <v>1005</v>
      </c>
      <c r="H365" s="278" t="s">
        <v>318</v>
      </c>
      <c r="I365" s="278" t="s">
        <v>1006</v>
      </c>
      <c r="K365" s="279">
        <f t="shared" si="29"/>
        <v>2508.6951160240778</v>
      </c>
      <c r="M365" s="279">
        <v>2800</v>
      </c>
      <c r="N365" s="278">
        <v>2671.4711193477101</v>
      </c>
      <c r="P365" s="278">
        <v>2618.8887478463598</v>
      </c>
      <c r="R365" s="278" t="str">
        <f>IF(AND((J365="This"),(L365="Only")),VLOOKUP(G365,#REF!,7,FALSE),"")</f>
        <v/>
      </c>
      <c r="U365" s="278">
        <v>2508.6951160240778</v>
      </c>
    </row>
    <row r="366" spans="1:21" x14ac:dyDescent="0.25">
      <c r="A366" s="278">
        <v>2</v>
      </c>
      <c r="C366" s="278">
        <f t="shared" si="25"/>
        <v>24</v>
      </c>
      <c r="D366" s="278">
        <f t="shared" si="26"/>
        <v>1</v>
      </c>
      <c r="E366" s="278">
        <f t="shared" si="27"/>
        <v>17</v>
      </c>
      <c r="F366" s="278" t="str">
        <f t="shared" si="28"/>
        <v>pm</v>
      </c>
      <c r="G366" s="278" t="s">
        <v>1007</v>
      </c>
      <c r="H366" s="278" t="s">
        <v>587</v>
      </c>
      <c r="I366" s="278" t="s">
        <v>1008</v>
      </c>
      <c r="K366" s="279">
        <f t="shared" si="29"/>
        <v>2934.3283800734494</v>
      </c>
      <c r="M366" s="279">
        <v>2800</v>
      </c>
      <c r="N366" s="278">
        <v>2922.5577973738191</v>
      </c>
      <c r="R366" s="278" t="str">
        <f>IF(AND((J366="This"),(L366="Only")),VLOOKUP(G366,#REF!,7,FALSE),"")</f>
        <v/>
      </c>
      <c r="U366" s="278">
        <v>2934.3283800734494</v>
      </c>
    </row>
    <row r="367" spans="1:21" x14ac:dyDescent="0.25">
      <c r="A367" s="278">
        <v>1</v>
      </c>
      <c r="C367" s="278">
        <f t="shared" si="25"/>
        <v>25</v>
      </c>
      <c r="D367" s="278">
        <f t="shared" si="26"/>
        <v>1</v>
      </c>
      <c r="E367" s="278">
        <f t="shared" si="27"/>
        <v>17</v>
      </c>
      <c r="F367" s="278" t="str">
        <f t="shared" si="28"/>
        <v>pmx</v>
      </c>
      <c r="G367" s="278" t="s">
        <v>1009</v>
      </c>
      <c r="H367" s="278" t="s">
        <v>239</v>
      </c>
      <c r="I367" s="278" t="s">
        <v>1010</v>
      </c>
      <c r="K367" s="279">
        <f t="shared" si="29"/>
        <v>2800</v>
      </c>
      <c r="M367" s="279">
        <v>2800</v>
      </c>
      <c r="R367" s="278" t="str">
        <f>IF(AND((J367="This"),(L367="Only")),VLOOKUP(G367,#REF!,7,FALSE),"")</f>
        <v/>
      </c>
    </row>
    <row r="368" spans="1:21" x14ac:dyDescent="0.25">
      <c r="A368" s="278">
        <v>4</v>
      </c>
      <c r="C368" s="278">
        <f t="shared" si="25"/>
        <v>26</v>
      </c>
      <c r="D368" s="278">
        <f t="shared" si="26"/>
        <v>26</v>
      </c>
      <c r="E368" s="278">
        <f t="shared" si="27"/>
        <v>17</v>
      </c>
      <c r="F368" s="278" t="str">
        <f t="shared" si="28"/>
        <v>pm</v>
      </c>
      <c r="G368" s="278" t="s">
        <v>1011</v>
      </c>
      <c r="H368" s="278" t="s">
        <v>252</v>
      </c>
      <c r="I368" s="278" t="s">
        <v>1012</v>
      </c>
      <c r="K368" s="279">
        <f t="shared" si="29"/>
        <v>2737.0667429308878</v>
      </c>
      <c r="M368" s="279">
        <v>2750</v>
      </c>
      <c r="R368" s="278" t="str">
        <f>IF(AND((J368="This"),(L368="Only")),VLOOKUP(G368,#REF!,7,FALSE),"")</f>
        <v/>
      </c>
      <c r="S368" s="278">
        <v>2737.0667429308878</v>
      </c>
    </row>
    <row r="369" spans="1:22" x14ac:dyDescent="0.25">
      <c r="A369" s="278">
        <v>3</v>
      </c>
      <c r="C369" s="278">
        <f t="shared" si="25"/>
        <v>27</v>
      </c>
      <c r="D369" s="278">
        <f t="shared" si="26"/>
        <v>27</v>
      </c>
      <c r="E369" s="278">
        <f t="shared" si="27"/>
        <v>17</v>
      </c>
      <c r="F369" s="278" t="str">
        <f t="shared" si="28"/>
        <v>pm</v>
      </c>
      <c r="G369" s="278" t="s">
        <v>1013</v>
      </c>
      <c r="H369" s="278" t="s">
        <v>232</v>
      </c>
      <c r="I369" s="278" t="s">
        <v>1014</v>
      </c>
      <c r="K369" s="279">
        <f t="shared" si="29"/>
        <v>2877.9167206621883</v>
      </c>
      <c r="M369" s="279">
        <v>2800</v>
      </c>
      <c r="R369" s="278" t="str">
        <f>IF(AND((J369="This"),(L369="Only")),VLOOKUP(G369,#REF!,7,FALSE),"")</f>
        <v/>
      </c>
      <c r="U369" s="278">
        <v>2877.9167206621883</v>
      </c>
    </row>
    <row r="370" spans="1:22" x14ac:dyDescent="0.25">
      <c r="A370" s="278">
        <v>6</v>
      </c>
      <c r="C370" s="278">
        <f t="shared" si="25"/>
        <v>28</v>
      </c>
      <c r="D370" s="278">
        <f t="shared" si="26"/>
        <v>28</v>
      </c>
      <c r="E370" s="278">
        <f t="shared" si="27"/>
        <v>17</v>
      </c>
      <c r="F370" s="278" t="str">
        <f t="shared" si="28"/>
        <v>pm</v>
      </c>
      <c r="G370" s="278" t="s">
        <v>29</v>
      </c>
      <c r="H370" s="278" t="s">
        <v>445</v>
      </c>
      <c r="I370" s="278" t="s">
        <v>28</v>
      </c>
      <c r="K370" s="279">
        <f t="shared" si="29"/>
        <v>2461.1682047986947</v>
      </c>
      <c r="M370" s="279">
        <v>2600</v>
      </c>
      <c r="O370" s="278">
        <v>2533.6041340909615</v>
      </c>
      <c r="R370" s="278" t="str">
        <f>IF(AND((J370="This"),(L370="Only")),VLOOKUP(G370,#REF!,7,FALSE),"")</f>
        <v/>
      </c>
      <c r="S370" s="278">
        <v>2561.5348410704928</v>
      </c>
      <c r="U370" s="278">
        <v>2503.2179928017745</v>
      </c>
      <c r="V370" s="278">
        <v>2461.1682047986947</v>
      </c>
    </row>
    <row r="371" spans="1:22" x14ac:dyDescent="0.25">
      <c r="A371" s="278">
        <v>6</v>
      </c>
      <c r="C371" s="278">
        <f t="shared" si="25"/>
        <v>29</v>
      </c>
      <c r="D371" s="278">
        <f t="shared" si="26"/>
        <v>28</v>
      </c>
      <c r="E371" s="278">
        <f t="shared" si="27"/>
        <v>17</v>
      </c>
      <c r="F371" s="278" t="str">
        <f t="shared" si="28"/>
        <v>pm</v>
      </c>
      <c r="G371" s="278" t="s">
        <v>1015</v>
      </c>
      <c r="H371" s="278" t="s">
        <v>284</v>
      </c>
      <c r="I371" s="278" t="s">
        <v>1016</v>
      </c>
      <c r="K371" s="279">
        <f t="shared" si="29"/>
        <v>2452.0796475240045</v>
      </c>
      <c r="M371" s="279">
        <v>2600</v>
      </c>
      <c r="O371" s="278">
        <v>2571.5996209638265</v>
      </c>
      <c r="P371" s="278">
        <v>2520.9451500265227</v>
      </c>
      <c r="R371" s="278" t="str">
        <f>IF(AND((J371="This"),(L371="Only")),VLOOKUP(G371,#REF!,7,FALSE),"")</f>
        <v/>
      </c>
      <c r="T371" s="278">
        <v>2402.5111436308193</v>
      </c>
      <c r="U371" s="278">
        <v>2452.0796475240045</v>
      </c>
    </row>
    <row r="372" spans="1:22" x14ac:dyDescent="0.25">
      <c r="A372" s="278">
        <v>3</v>
      </c>
      <c r="C372" s="278">
        <f t="shared" si="25"/>
        <v>30</v>
      </c>
      <c r="D372" s="278">
        <f t="shared" si="26"/>
        <v>28</v>
      </c>
      <c r="E372" s="278">
        <f t="shared" si="27"/>
        <v>17</v>
      </c>
      <c r="F372" s="278" t="str">
        <f t="shared" si="28"/>
        <v>pm</v>
      </c>
      <c r="G372" s="278" t="s">
        <v>1017</v>
      </c>
      <c r="H372" s="278" t="s">
        <v>1018</v>
      </c>
      <c r="I372" s="278" t="s">
        <v>1019</v>
      </c>
      <c r="K372" s="279">
        <f t="shared" si="29"/>
        <v>2588.7054530220494</v>
      </c>
      <c r="M372" s="279">
        <v>2600</v>
      </c>
      <c r="O372" s="278">
        <v>2588.7054530220494</v>
      </c>
      <c r="R372" s="278" t="str">
        <f>IF(AND((J372="This"),(L372="Only")),VLOOKUP(G372,#REF!,7,FALSE),"")</f>
        <v/>
      </c>
    </row>
    <row r="373" spans="1:22" x14ac:dyDescent="0.25">
      <c r="A373" s="278">
        <v>4</v>
      </c>
      <c r="C373" s="278">
        <f t="shared" si="25"/>
        <v>31</v>
      </c>
      <c r="D373" s="278">
        <f t="shared" si="26"/>
        <v>28</v>
      </c>
      <c r="E373" s="278">
        <f t="shared" si="27"/>
        <v>17</v>
      </c>
      <c r="F373" s="278" t="str">
        <f t="shared" si="28"/>
        <v>pm</v>
      </c>
      <c r="G373" s="278" t="s">
        <v>1020</v>
      </c>
      <c r="H373" s="278" t="s">
        <v>252</v>
      </c>
      <c r="I373" s="278" t="s">
        <v>1021</v>
      </c>
      <c r="K373" s="279">
        <f t="shared" si="29"/>
        <v>2562.1409322019244</v>
      </c>
      <c r="M373" s="279">
        <v>2600</v>
      </c>
      <c r="R373" s="278" t="str">
        <f>IF(AND((J373="This"),(L373="Only")),VLOOKUP(G373,#REF!,7,FALSE),"")</f>
        <v/>
      </c>
      <c r="S373" s="278">
        <v>2562.1409322019244</v>
      </c>
    </row>
    <row r="374" spans="1:22" x14ac:dyDescent="0.25">
      <c r="A374" s="278">
        <v>4</v>
      </c>
      <c r="C374" s="278">
        <f t="shared" si="25"/>
        <v>32</v>
      </c>
      <c r="D374" s="278">
        <f t="shared" si="26"/>
        <v>28</v>
      </c>
      <c r="E374" s="278">
        <f t="shared" si="27"/>
        <v>17</v>
      </c>
      <c r="F374" s="278" t="str">
        <f t="shared" si="28"/>
        <v>pm</v>
      </c>
      <c r="G374" s="278" t="s">
        <v>171</v>
      </c>
      <c r="H374" s="278" t="s">
        <v>473</v>
      </c>
      <c r="I374" s="278" t="s">
        <v>170</v>
      </c>
      <c r="K374" s="279">
        <f t="shared" si="29"/>
        <v>2729.9711784317674</v>
      </c>
      <c r="M374" s="279">
        <v>2600</v>
      </c>
      <c r="P374" s="278">
        <v>2708.9205411170788</v>
      </c>
      <c r="R374" s="278" t="str">
        <f>IF(AND((J374="This"),(L374="Only")),VLOOKUP(G374,#REF!,7,FALSE),"")</f>
        <v/>
      </c>
      <c r="S374" s="278">
        <v>2695.9097757652876</v>
      </c>
      <c r="T374" s="278">
        <v>2695.8819375084886</v>
      </c>
      <c r="V374" s="278">
        <v>2729.9711784317674</v>
      </c>
    </row>
    <row r="375" spans="1:22" x14ac:dyDescent="0.25">
      <c r="A375" s="278">
        <v>2</v>
      </c>
      <c r="C375" s="278">
        <f t="shared" si="25"/>
        <v>33</v>
      </c>
      <c r="D375" s="278">
        <f t="shared" si="26"/>
        <v>28</v>
      </c>
      <c r="E375" s="278">
        <f t="shared" si="27"/>
        <v>17</v>
      </c>
      <c r="F375" s="278" t="str">
        <f t="shared" si="28"/>
        <v>so</v>
      </c>
      <c r="G375" s="278" t="s">
        <v>1022</v>
      </c>
      <c r="H375" s="278" t="s">
        <v>687</v>
      </c>
      <c r="I375" s="278" t="s">
        <v>1023</v>
      </c>
      <c r="K375" s="279">
        <f t="shared" si="29"/>
        <v>2668.5988047345622</v>
      </c>
      <c r="M375" s="279">
        <v>2600</v>
      </c>
      <c r="R375" s="278" t="str">
        <f>IF(AND((J375="This"),(L375="Only")),VLOOKUP(G375,#REF!,7,FALSE),"")</f>
        <v/>
      </c>
      <c r="S375" s="278">
        <v>2668.5988047345622</v>
      </c>
    </row>
    <row r="376" spans="1:22" x14ac:dyDescent="0.25">
      <c r="A376" s="278">
        <v>3</v>
      </c>
      <c r="C376" s="278">
        <f t="shared" si="25"/>
        <v>34</v>
      </c>
      <c r="D376" s="278">
        <f t="shared" si="26"/>
        <v>34</v>
      </c>
      <c r="E376" s="278">
        <f t="shared" si="27"/>
        <v>17</v>
      </c>
      <c r="F376" s="278" t="str">
        <f t="shared" si="28"/>
        <v>pm</v>
      </c>
      <c r="G376" s="278" t="s">
        <v>1024</v>
      </c>
      <c r="H376" s="278" t="s">
        <v>361</v>
      </c>
      <c r="I376" s="278" t="s">
        <v>1025</v>
      </c>
      <c r="K376" s="279">
        <f t="shared" si="29"/>
        <v>2448.5829328502982</v>
      </c>
      <c r="M376" s="279">
        <v>2533.3333333333335</v>
      </c>
      <c r="R376" s="278" t="str">
        <f>IF(AND((J376="This"),(L376="Only")),VLOOKUP(G376,#REF!,7,FALSE),"")</f>
        <v/>
      </c>
      <c r="T376" s="278">
        <v>2448.5829328502982</v>
      </c>
    </row>
    <row r="377" spans="1:22" x14ac:dyDescent="0.25">
      <c r="A377" s="278">
        <v>4</v>
      </c>
      <c r="C377" s="278">
        <f t="shared" si="25"/>
        <v>35</v>
      </c>
      <c r="D377" s="278">
        <f t="shared" si="26"/>
        <v>35</v>
      </c>
      <c r="E377" s="278">
        <f t="shared" si="27"/>
        <v>17</v>
      </c>
      <c r="F377" s="278" t="str">
        <f t="shared" si="28"/>
        <v>pm</v>
      </c>
      <c r="G377" s="278" t="s">
        <v>1026</v>
      </c>
      <c r="H377" s="278" t="s">
        <v>609</v>
      </c>
      <c r="I377" s="278" t="s">
        <v>1027</v>
      </c>
      <c r="K377" s="279">
        <f t="shared" si="29"/>
        <v>2294.9565143634281</v>
      </c>
      <c r="M377" s="279">
        <v>2500</v>
      </c>
      <c r="O377" s="278">
        <v>2418.1090459560842</v>
      </c>
      <c r="R377" s="278" t="str">
        <f>IF(AND((J377="This"),(L377="Only")),VLOOKUP(G377,#REF!,7,FALSE),"")</f>
        <v/>
      </c>
      <c r="T377" s="278">
        <v>2297.6185183969365</v>
      </c>
      <c r="U377" s="278">
        <v>2294.9565143634281</v>
      </c>
    </row>
    <row r="378" spans="1:22" x14ac:dyDescent="0.25">
      <c r="A378" s="278">
        <v>5</v>
      </c>
      <c r="C378" s="278">
        <f t="shared" si="25"/>
        <v>36</v>
      </c>
      <c r="D378" s="278">
        <f t="shared" si="26"/>
        <v>36</v>
      </c>
      <c r="E378" s="278">
        <f t="shared" si="27"/>
        <v>17</v>
      </c>
      <c r="F378" s="278" t="str">
        <f t="shared" si="28"/>
        <v>pm</v>
      </c>
      <c r="G378" s="278" t="s">
        <v>37</v>
      </c>
      <c r="H378" s="278" t="s">
        <v>287</v>
      </c>
      <c r="I378" s="278" t="s">
        <v>36</v>
      </c>
      <c r="K378" s="279">
        <f t="shared" si="29"/>
        <v>2470.5768512788477</v>
      </c>
      <c r="M378" s="279">
        <v>2440</v>
      </c>
      <c r="O378" s="278">
        <v>2486.7710445931716</v>
      </c>
      <c r="R378" s="278" t="str">
        <f>IF(AND((J378="This"),(L378="Only")),VLOOKUP(G378,#REF!,7,FALSE),"")</f>
        <v/>
      </c>
      <c r="S378" s="278">
        <v>2462.5038673672475</v>
      </c>
      <c r="V378" s="278">
        <v>2470.5768512788477</v>
      </c>
    </row>
    <row r="379" spans="1:22" x14ac:dyDescent="0.25">
      <c r="A379" s="278">
        <v>5</v>
      </c>
      <c r="C379" s="278">
        <f t="shared" si="25"/>
        <v>37</v>
      </c>
      <c r="D379" s="278">
        <f t="shared" si="26"/>
        <v>37</v>
      </c>
      <c r="E379" s="278">
        <f t="shared" si="27"/>
        <v>17</v>
      </c>
      <c r="F379" s="278" t="str">
        <f t="shared" si="28"/>
        <v>pm</v>
      </c>
      <c r="G379" s="278" t="s">
        <v>23</v>
      </c>
      <c r="H379" s="278" t="s">
        <v>802</v>
      </c>
      <c r="I379" s="278" t="s">
        <v>22</v>
      </c>
      <c r="K379" s="279">
        <f t="shared" si="29"/>
        <v>2490.7546597563824</v>
      </c>
      <c r="M379" s="279">
        <v>2400</v>
      </c>
      <c r="O379" s="278">
        <v>2391.3097924964568</v>
      </c>
      <c r="R379" s="278" t="str">
        <f>IF(AND((J379="This"),(L379="Only")),VLOOKUP(G379,#REF!,7,FALSE),"")</f>
        <v/>
      </c>
      <c r="S379" s="278">
        <v>2478.0997606551555</v>
      </c>
      <c r="T379" s="278">
        <v>2562.1064003900715</v>
      </c>
      <c r="V379" s="278">
        <v>2490.7546597563824</v>
      </c>
    </row>
    <row r="380" spans="1:22" x14ac:dyDescent="0.25">
      <c r="A380" s="278">
        <v>1</v>
      </c>
      <c r="C380" s="278">
        <f t="shared" si="25"/>
        <v>38</v>
      </c>
      <c r="D380" s="278">
        <f t="shared" si="26"/>
        <v>37</v>
      </c>
      <c r="E380" s="278">
        <f t="shared" si="27"/>
        <v>17</v>
      </c>
      <c r="F380" s="278" t="str">
        <f t="shared" si="28"/>
        <v>crx</v>
      </c>
      <c r="G380" s="278" t="s">
        <v>1028</v>
      </c>
      <c r="H380" s="278" t="s">
        <v>229</v>
      </c>
      <c r="I380" s="278" t="s">
        <v>1029</v>
      </c>
      <c r="K380" s="279">
        <f t="shared" si="29"/>
        <v>2400</v>
      </c>
      <c r="M380" s="279">
        <v>2400</v>
      </c>
      <c r="R380" s="278" t="str">
        <f>IF(AND((J380="This"),(L380="Only")),VLOOKUP(G380,#REF!,7,FALSE),"")</f>
        <v/>
      </c>
    </row>
    <row r="381" spans="1:22" x14ac:dyDescent="0.25">
      <c r="A381" s="278">
        <v>4</v>
      </c>
      <c r="C381" s="278">
        <f t="shared" si="25"/>
        <v>39</v>
      </c>
      <c r="D381" s="278">
        <f t="shared" si="26"/>
        <v>37</v>
      </c>
      <c r="E381" s="278">
        <f t="shared" si="27"/>
        <v>17</v>
      </c>
      <c r="F381" s="278" t="str">
        <f t="shared" si="28"/>
        <v>pm</v>
      </c>
      <c r="G381" s="278" t="s">
        <v>1030</v>
      </c>
      <c r="H381" s="278" t="s">
        <v>296</v>
      </c>
      <c r="I381" s="278" t="s">
        <v>1031</v>
      </c>
      <c r="K381" s="279">
        <f t="shared" si="29"/>
        <v>2431.5669234490088</v>
      </c>
      <c r="M381" s="279">
        <v>2400</v>
      </c>
      <c r="R381" s="278" t="str">
        <f>IF(AND((J381="This"),(L381="Only")),VLOOKUP(G381,#REF!,7,FALSE),"")</f>
        <v/>
      </c>
      <c r="S381" s="278">
        <v>2469.0671056915025</v>
      </c>
      <c r="T381" s="278">
        <v>2431.5669234490088</v>
      </c>
    </row>
    <row r="382" spans="1:22" x14ac:dyDescent="0.25">
      <c r="A382" s="278">
        <v>1</v>
      </c>
      <c r="C382" s="278">
        <f t="shared" si="25"/>
        <v>40</v>
      </c>
      <c r="D382" s="278">
        <f t="shared" si="26"/>
        <v>37</v>
      </c>
      <c r="E382" s="278">
        <f t="shared" si="27"/>
        <v>17</v>
      </c>
      <c r="F382" s="278" t="str">
        <f t="shared" si="28"/>
        <v>sox</v>
      </c>
      <c r="G382" s="278" t="s">
        <v>1032</v>
      </c>
      <c r="H382" s="278" t="s">
        <v>476</v>
      </c>
      <c r="I382" s="278" t="s">
        <v>1033</v>
      </c>
      <c r="K382" s="279">
        <f t="shared" si="29"/>
        <v>2400</v>
      </c>
      <c r="M382" s="279">
        <v>2400</v>
      </c>
      <c r="R382" s="278" t="str">
        <f>IF(AND((J382="This"),(L382="Only")),VLOOKUP(G382,#REF!,7,FALSE),"")</f>
        <v/>
      </c>
    </row>
    <row r="383" spans="1:22" x14ac:dyDescent="0.25">
      <c r="A383" s="278">
        <v>2</v>
      </c>
      <c r="C383" s="278">
        <f t="shared" si="25"/>
        <v>41</v>
      </c>
      <c r="D383" s="278">
        <f t="shared" si="26"/>
        <v>37</v>
      </c>
      <c r="E383" s="278">
        <f t="shared" si="27"/>
        <v>17</v>
      </c>
      <c r="F383" s="278" t="str">
        <f t="shared" si="28"/>
        <v>pm</v>
      </c>
      <c r="G383" s="278" t="s">
        <v>49</v>
      </c>
      <c r="H383" s="278" t="s">
        <v>226</v>
      </c>
      <c r="I383" s="278" t="s">
        <v>48</v>
      </c>
      <c r="K383" s="279">
        <f t="shared" si="29"/>
        <v>2357.6436227783074</v>
      </c>
      <c r="M383" s="279">
        <v>2400</v>
      </c>
      <c r="R383" s="278" t="str">
        <f>IF(AND((J383="This"),(L383="Only")),VLOOKUP(G383,#REF!,7,FALSE),"")</f>
        <v/>
      </c>
      <c r="V383" s="278">
        <v>2357.6436227783074</v>
      </c>
    </row>
    <row r="384" spans="1:22" x14ac:dyDescent="0.25">
      <c r="A384" s="278">
        <v>1</v>
      </c>
      <c r="C384" s="278">
        <f t="shared" si="25"/>
        <v>42</v>
      </c>
      <c r="D384" s="278">
        <f t="shared" si="26"/>
        <v>37</v>
      </c>
      <c r="E384" s="278">
        <f t="shared" si="27"/>
        <v>17</v>
      </c>
      <c r="F384" s="278" t="str">
        <f t="shared" si="28"/>
        <v>pmx</v>
      </c>
      <c r="G384" s="278" t="s">
        <v>52</v>
      </c>
      <c r="H384" s="278" t="s">
        <v>226</v>
      </c>
      <c r="I384" s="278" t="s">
        <v>51</v>
      </c>
      <c r="K384" s="279">
        <f t="shared" si="29"/>
        <v>2408.4097346410776</v>
      </c>
      <c r="M384" s="279">
        <v>2400</v>
      </c>
      <c r="R384" s="278" t="str">
        <f>IF(AND((J384="This"),(L384="Only")),VLOOKUP(G384,#REF!,7,FALSE),"")</f>
        <v/>
      </c>
      <c r="V384" s="278">
        <v>2408.4097346410776</v>
      </c>
    </row>
    <row r="385" spans="1:22" x14ac:dyDescent="0.25">
      <c r="A385" s="278">
        <v>1</v>
      </c>
      <c r="C385" s="278">
        <f t="shared" si="25"/>
        <v>43</v>
      </c>
      <c r="D385" s="278">
        <f t="shared" si="26"/>
        <v>37</v>
      </c>
      <c r="E385" s="278">
        <f t="shared" si="27"/>
        <v>17</v>
      </c>
      <c r="F385" s="278" t="str">
        <f t="shared" si="28"/>
        <v>sox</v>
      </c>
      <c r="G385" s="278" t="s">
        <v>1034</v>
      </c>
      <c r="H385" s="278" t="s">
        <v>352</v>
      </c>
      <c r="I385" s="278" t="s">
        <v>1035</v>
      </c>
      <c r="K385" s="279">
        <f t="shared" si="29"/>
        <v>2400</v>
      </c>
      <c r="M385" s="279">
        <v>2400</v>
      </c>
      <c r="R385" s="278" t="str">
        <f>IF(AND((J385="This"),(L385="Only")),VLOOKUP(G385,#REF!,7,FALSE),"")</f>
        <v/>
      </c>
    </row>
    <row r="386" spans="1:22" x14ac:dyDescent="0.25">
      <c r="A386" s="278">
        <v>4</v>
      </c>
      <c r="C386" s="278">
        <f t="shared" ref="C386:C427" si="30">IF(E386=E385,C385+1,1)</f>
        <v>44</v>
      </c>
      <c r="D386" s="278">
        <f t="shared" ref="D386:D427" si="31">IF(M386=M385,D385,C386)</f>
        <v>37</v>
      </c>
      <c r="E386" s="278">
        <f t="shared" ref="E386:E427" si="32">10+VALUE(RIGHT(LEFT(G386,3),1))</f>
        <v>17</v>
      </c>
      <c r="F386" s="278" t="str">
        <f t="shared" ref="F386:F427" si="33">RIGHT(G386,2) &amp; IF(A386&lt;2,"x","")</f>
        <v>pm</v>
      </c>
      <c r="G386" s="278" t="s">
        <v>58</v>
      </c>
      <c r="H386" s="278" t="s">
        <v>232</v>
      </c>
      <c r="I386" s="278" t="s">
        <v>57</v>
      </c>
      <c r="K386" s="279">
        <f t="shared" ref="K386:K427" si="34">LOOKUP(1E+100,M386:AC386)</f>
        <v>2329.7910227662092</v>
      </c>
      <c r="M386" s="279">
        <v>2400</v>
      </c>
      <c r="R386" s="278" t="str">
        <f>IF(AND((J386="This"),(L386="Only")),VLOOKUP(G386,#REF!,7,FALSE),"")</f>
        <v/>
      </c>
      <c r="S386" s="278">
        <v>2343.6691822827524</v>
      </c>
      <c r="T386" s="278">
        <v>2355.4932684736682</v>
      </c>
      <c r="V386" s="278">
        <v>2329.7910227662092</v>
      </c>
    </row>
    <row r="387" spans="1:22" x14ac:dyDescent="0.25">
      <c r="A387" s="278">
        <v>1</v>
      </c>
      <c r="C387" s="278">
        <f t="shared" si="30"/>
        <v>45</v>
      </c>
      <c r="D387" s="278">
        <f t="shared" si="31"/>
        <v>37</v>
      </c>
      <c r="E387" s="278">
        <f t="shared" si="32"/>
        <v>17</v>
      </c>
      <c r="F387" s="278" t="str">
        <f t="shared" si="33"/>
        <v>crx</v>
      </c>
      <c r="G387" s="278" t="s">
        <v>1036</v>
      </c>
      <c r="H387" s="278" t="s">
        <v>680</v>
      </c>
      <c r="I387" s="278" t="s">
        <v>1037</v>
      </c>
      <c r="K387" s="279">
        <f t="shared" si="34"/>
        <v>2400</v>
      </c>
      <c r="M387" s="279">
        <v>2400</v>
      </c>
      <c r="R387" s="278" t="str">
        <f>IF(AND((J387="This"),(L387="Only")),VLOOKUP(G387,#REF!,7,FALSE),"")</f>
        <v/>
      </c>
    </row>
    <row r="388" spans="1:22" x14ac:dyDescent="0.25">
      <c r="A388" s="278">
        <v>5</v>
      </c>
      <c r="C388" s="278">
        <f t="shared" si="30"/>
        <v>46</v>
      </c>
      <c r="D388" s="278">
        <f t="shared" si="31"/>
        <v>37</v>
      </c>
      <c r="E388" s="278">
        <f t="shared" si="32"/>
        <v>17</v>
      </c>
      <c r="F388" s="278" t="str">
        <f t="shared" si="33"/>
        <v>pm</v>
      </c>
      <c r="G388" s="278" t="s">
        <v>61</v>
      </c>
      <c r="H388" s="278" t="s">
        <v>512</v>
      </c>
      <c r="I388" s="278" t="s">
        <v>60</v>
      </c>
      <c r="K388" s="279">
        <f t="shared" si="34"/>
        <v>2405.2146345930723</v>
      </c>
      <c r="M388" s="279">
        <v>2400</v>
      </c>
      <c r="R388" s="278" t="str">
        <f>IF(AND((J388="This"),(L388="Only")),VLOOKUP(G388,#REF!,7,FALSE),"")</f>
        <v/>
      </c>
      <c r="S388" s="278">
        <v>2385.4093469267709</v>
      </c>
      <c r="T388" s="278">
        <v>2357.2024717461968</v>
      </c>
      <c r="V388" s="278">
        <v>2405.2146345930723</v>
      </c>
    </row>
    <row r="389" spans="1:22" x14ac:dyDescent="0.25">
      <c r="A389" s="278">
        <v>4</v>
      </c>
      <c r="C389" s="278">
        <f t="shared" si="30"/>
        <v>47</v>
      </c>
      <c r="D389" s="278">
        <f t="shared" si="31"/>
        <v>37</v>
      </c>
      <c r="E389" s="278">
        <f t="shared" si="32"/>
        <v>17</v>
      </c>
      <c r="F389" s="278" t="str">
        <f t="shared" si="33"/>
        <v>pm</v>
      </c>
      <c r="G389" s="278" t="s">
        <v>1038</v>
      </c>
      <c r="H389" s="278" t="s">
        <v>1039</v>
      </c>
      <c r="I389" s="278" t="s">
        <v>1040</v>
      </c>
      <c r="K389" s="279">
        <f t="shared" si="34"/>
        <v>2456.2391071311727</v>
      </c>
      <c r="M389" s="279">
        <v>2400</v>
      </c>
      <c r="R389" s="278" t="str">
        <f>IF(AND((J389="This"),(L389="Only")),VLOOKUP(G389,#REF!,7,FALSE),"")</f>
        <v/>
      </c>
      <c r="T389" s="278">
        <v>2456.2391071311727</v>
      </c>
    </row>
    <row r="390" spans="1:22" x14ac:dyDescent="0.25">
      <c r="A390" s="278">
        <v>4</v>
      </c>
      <c r="C390" s="278">
        <f t="shared" si="30"/>
        <v>48</v>
      </c>
      <c r="D390" s="278">
        <f t="shared" si="31"/>
        <v>37</v>
      </c>
      <c r="E390" s="278">
        <f t="shared" si="32"/>
        <v>17</v>
      </c>
      <c r="F390" s="278" t="str">
        <f t="shared" si="33"/>
        <v>pm</v>
      </c>
      <c r="G390" s="278" t="s">
        <v>46</v>
      </c>
      <c r="H390" s="278" t="s">
        <v>416</v>
      </c>
      <c r="I390" s="278" t="s">
        <v>45</v>
      </c>
      <c r="K390" s="279">
        <f t="shared" si="34"/>
        <v>2486.9719356907308</v>
      </c>
      <c r="M390" s="279">
        <v>2400</v>
      </c>
      <c r="R390" s="278" t="str">
        <f>IF(AND((J390="This"),(L390="Only")),VLOOKUP(G390,#REF!,7,FALSE),"")</f>
        <v/>
      </c>
      <c r="S390" s="278">
        <v>2418.2277960489441</v>
      </c>
      <c r="V390" s="278">
        <v>2486.9719356907308</v>
      </c>
    </row>
    <row r="391" spans="1:22" x14ac:dyDescent="0.25">
      <c r="A391" s="278">
        <v>3</v>
      </c>
      <c r="C391" s="278">
        <f t="shared" si="30"/>
        <v>49</v>
      </c>
      <c r="D391" s="278">
        <f t="shared" si="31"/>
        <v>37</v>
      </c>
      <c r="E391" s="278">
        <f t="shared" si="32"/>
        <v>17</v>
      </c>
      <c r="F391" s="278" t="str">
        <f t="shared" si="33"/>
        <v>so</v>
      </c>
      <c r="G391" s="278" t="s">
        <v>32</v>
      </c>
      <c r="H391" s="278" t="s">
        <v>800</v>
      </c>
      <c r="I391" s="278" t="s">
        <v>31</v>
      </c>
      <c r="K391" s="279">
        <f t="shared" si="34"/>
        <v>2534.2184179573715</v>
      </c>
      <c r="M391" s="279">
        <v>2400</v>
      </c>
      <c r="R391" s="278" t="str">
        <f>IF(AND((J391="This"),(L391="Only")),VLOOKUP(G391,#REF!,7,FALSE),"")</f>
        <v/>
      </c>
      <c r="T391" s="278">
        <v>2483.9011013183376</v>
      </c>
      <c r="V391" s="278">
        <v>2534.2184179573715</v>
      </c>
    </row>
    <row r="392" spans="1:22" x14ac:dyDescent="0.25">
      <c r="A392" s="278">
        <v>1</v>
      </c>
      <c r="C392" s="278">
        <f t="shared" si="30"/>
        <v>1</v>
      </c>
      <c r="D392" s="278">
        <f t="shared" si="31"/>
        <v>1</v>
      </c>
      <c r="E392" s="278">
        <f t="shared" si="32"/>
        <v>18</v>
      </c>
      <c r="F392" s="278" t="str">
        <f t="shared" si="33"/>
        <v>sox</v>
      </c>
      <c r="G392" s="278" t="s">
        <v>1041</v>
      </c>
      <c r="H392" s="278" t="s">
        <v>244</v>
      </c>
      <c r="I392" s="278" t="s">
        <v>1042</v>
      </c>
      <c r="K392" s="279">
        <f t="shared" si="34"/>
        <v>2978.3004702389408</v>
      </c>
      <c r="M392" s="279">
        <v>3000</v>
      </c>
      <c r="R392" s="278" t="str">
        <f>IF(AND((J392="This"),(L392="Only")),VLOOKUP(G392,#REF!,7,FALSE),"")</f>
        <v/>
      </c>
      <c r="U392" s="278">
        <v>2978.3004702389408</v>
      </c>
    </row>
    <row r="393" spans="1:22" x14ac:dyDescent="0.25">
      <c r="A393" s="278">
        <v>1</v>
      </c>
      <c r="C393" s="278">
        <f t="shared" si="30"/>
        <v>2</v>
      </c>
      <c r="D393" s="278">
        <f t="shared" si="31"/>
        <v>1</v>
      </c>
      <c r="E393" s="278">
        <f t="shared" si="32"/>
        <v>18</v>
      </c>
      <c r="F393" s="278" t="str">
        <f t="shared" si="33"/>
        <v>sox</v>
      </c>
      <c r="G393" s="278" t="s">
        <v>1043</v>
      </c>
      <c r="H393" s="278" t="s">
        <v>244</v>
      </c>
      <c r="I393" s="278" t="s">
        <v>1044</v>
      </c>
      <c r="K393" s="279">
        <f t="shared" si="34"/>
        <v>2897.9846514222299</v>
      </c>
      <c r="M393" s="279">
        <v>3000</v>
      </c>
      <c r="R393" s="278" t="str">
        <f>IF(AND((J393="This"),(L393="Only")),VLOOKUP(G393,#REF!,7,FALSE),"")</f>
        <v/>
      </c>
      <c r="U393" s="278">
        <v>2897.9846514222299</v>
      </c>
    </row>
    <row r="394" spans="1:22" x14ac:dyDescent="0.25">
      <c r="A394" s="278">
        <v>3</v>
      </c>
      <c r="C394" s="278">
        <f t="shared" si="30"/>
        <v>3</v>
      </c>
      <c r="D394" s="278">
        <f t="shared" si="31"/>
        <v>1</v>
      </c>
      <c r="E394" s="278">
        <f t="shared" si="32"/>
        <v>18</v>
      </c>
      <c r="F394" s="278" t="str">
        <f t="shared" si="33"/>
        <v>pm</v>
      </c>
      <c r="G394" s="278" t="s">
        <v>1045</v>
      </c>
      <c r="H394" s="278" t="s">
        <v>268</v>
      </c>
      <c r="I394" s="278" t="s">
        <v>1046</v>
      </c>
      <c r="K394" s="279">
        <f t="shared" si="34"/>
        <v>2913.866898564183</v>
      </c>
      <c r="M394" s="279">
        <v>3000</v>
      </c>
      <c r="N394" s="278">
        <v>2913.866898564183</v>
      </c>
      <c r="R394" s="278" t="str">
        <f>IF(AND((J394="This"),(L394="Only")),VLOOKUP(G394,#REF!,7,FALSE),"")</f>
        <v/>
      </c>
    </row>
    <row r="395" spans="1:22" x14ac:dyDescent="0.25">
      <c r="A395" s="278">
        <v>1</v>
      </c>
      <c r="C395" s="278">
        <f t="shared" si="30"/>
        <v>4</v>
      </c>
      <c r="D395" s="278">
        <f t="shared" si="31"/>
        <v>1</v>
      </c>
      <c r="E395" s="278">
        <f t="shared" si="32"/>
        <v>18</v>
      </c>
      <c r="F395" s="278" t="str">
        <f t="shared" si="33"/>
        <v>crx</v>
      </c>
      <c r="G395" s="278" t="s">
        <v>1047</v>
      </c>
      <c r="H395" s="278" t="s">
        <v>967</v>
      </c>
      <c r="I395" s="278" t="s">
        <v>1048</v>
      </c>
      <c r="K395" s="279">
        <f t="shared" si="34"/>
        <v>2998.007856763068</v>
      </c>
      <c r="M395" s="279">
        <v>3000</v>
      </c>
      <c r="R395" s="278" t="str">
        <f>IF(AND((J395="This"),(L395="Only")),VLOOKUP(G395,#REF!,7,FALSE),"")</f>
        <v/>
      </c>
      <c r="S395" s="278">
        <v>2998.007856763068</v>
      </c>
    </row>
    <row r="396" spans="1:22" x14ac:dyDescent="0.25">
      <c r="A396" s="278">
        <v>3</v>
      </c>
      <c r="C396" s="278">
        <f t="shared" si="30"/>
        <v>5</v>
      </c>
      <c r="D396" s="278">
        <f t="shared" si="31"/>
        <v>1</v>
      </c>
      <c r="E396" s="278">
        <f t="shared" si="32"/>
        <v>18</v>
      </c>
      <c r="F396" s="278" t="str">
        <f t="shared" si="33"/>
        <v>pm</v>
      </c>
      <c r="G396" s="278" t="s">
        <v>1049</v>
      </c>
      <c r="H396" s="278" t="s">
        <v>217</v>
      </c>
      <c r="I396" s="278" t="s">
        <v>1050</v>
      </c>
      <c r="K396" s="279">
        <f t="shared" si="34"/>
        <v>3102.9189764040821</v>
      </c>
      <c r="M396" s="279">
        <v>3000</v>
      </c>
      <c r="N396" s="278">
        <v>3042.4287957562287</v>
      </c>
      <c r="R396" s="278" t="str">
        <f>IF(AND((J396="This"),(L396="Only")),VLOOKUP(G396,#REF!,7,FALSE),"")</f>
        <v/>
      </c>
      <c r="U396" s="278">
        <v>3102.9189764040821</v>
      </c>
    </row>
    <row r="397" spans="1:22" x14ac:dyDescent="0.25">
      <c r="A397" s="278">
        <v>2</v>
      </c>
      <c r="C397" s="278">
        <f t="shared" si="30"/>
        <v>6</v>
      </c>
      <c r="D397" s="278">
        <f t="shared" si="31"/>
        <v>1</v>
      </c>
      <c r="E397" s="278">
        <f t="shared" si="32"/>
        <v>18</v>
      </c>
      <c r="F397" s="278" t="str">
        <f t="shared" si="33"/>
        <v>pm</v>
      </c>
      <c r="G397" s="278" t="s">
        <v>1051</v>
      </c>
      <c r="H397" s="278" t="s">
        <v>259</v>
      </c>
      <c r="I397" s="278" t="s">
        <v>1052</v>
      </c>
      <c r="K397" s="279">
        <f t="shared" si="34"/>
        <v>3013.3111133784737</v>
      </c>
      <c r="M397" s="279">
        <v>3000</v>
      </c>
      <c r="N397" s="278">
        <v>3013.3111133784737</v>
      </c>
      <c r="R397" s="278" t="str">
        <f>IF(AND((J397="This"),(L397="Only")),VLOOKUP(G397,#REF!,7,FALSE),"")</f>
        <v/>
      </c>
    </row>
    <row r="398" spans="1:22" x14ac:dyDescent="0.25">
      <c r="A398" s="278">
        <v>1</v>
      </c>
      <c r="C398" s="278">
        <f t="shared" si="30"/>
        <v>7</v>
      </c>
      <c r="D398" s="278">
        <f t="shared" si="31"/>
        <v>1</v>
      </c>
      <c r="E398" s="278">
        <f t="shared" si="32"/>
        <v>18</v>
      </c>
      <c r="F398" s="278" t="str">
        <f t="shared" si="33"/>
        <v>sox</v>
      </c>
      <c r="G398" s="278" t="s">
        <v>1053</v>
      </c>
      <c r="H398" s="278" t="s">
        <v>462</v>
      </c>
      <c r="I398" s="278" t="s">
        <v>1054</v>
      </c>
      <c r="K398" s="279">
        <f t="shared" si="34"/>
        <v>3000</v>
      </c>
      <c r="M398" s="279">
        <v>3000</v>
      </c>
      <c r="R398" s="278" t="str">
        <f>IF(AND((J398="This"),(L398="Only")),VLOOKUP(G398,#REF!,7,FALSE),"")</f>
        <v/>
      </c>
    </row>
    <row r="399" spans="1:22" x14ac:dyDescent="0.25">
      <c r="A399" s="278">
        <v>1</v>
      </c>
      <c r="C399" s="278">
        <f t="shared" si="30"/>
        <v>8</v>
      </c>
      <c r="D399" s="278">
        <f t="shared" si="31"/>
        <v>1</v>
      </c>
      <c r="E399" s="278">
        <f t="shared" si="32"/>
        <v>18</v>
      </c>
      <c r="F399" s="278" t="str">
        <f t="shared" si="33"/>
        <v>pmx</v>
      </c>
      <c r="G399" s="278" t="s">
        <v>1055</v>
      </c>
      <c r="H399" s="278" t="s">
        <v>382</v>
      </c>
      <c r="I399" s="278" t="s">
        <v>1056</v>
      </c>
      <c r="K399" s="279">
        <f t="shared" si="34"/>
        <v>3035.9476832433411</v>
      </c>
      <c r="M399" s="279">
        <v>3000</v>
      </c>
      <c r="R399" s="278" t="str">
        <f>IF(AND((J399="This"),(L399="Only")),VLOOKUP(G399,#REF!,7,FALSE),"")</f>
        <v/>
      </c>
      <c r="U399" s="278">
        <v>3035.9476832433411</v>
      </c>
    </row>
    <row r="400" spans="1:22" x14ac:dyDescent="0.25">
      <c r="A400" s="278">
        <v>4</v>
      </c>
      <c r="C400" s="278">
        <f t="shared" si="30"/>
        <v>9</v>
      </c>
      <c r="D400" s="278">
        <f t="shared" si="31"/>
        <v>1</v>
      </c>
      <c r="E400" s="278">
        <f t="shared" si="32"/>
        <v>18</v>
      </c>
      <c r="F400" s="278" t="str">
        <f t="shared" si="33"/>
        <v>pm</v>
      </c>
      <c r="G400" s="278" t="s">
        <v>1057</v>
      </c>
      <c r="H400" s="278" t="s">
        <v>730</v>
      </c>
      <c r="I400" s="278" t="s">
        <v>1058</v>
      </c>
      <c r="K400" s="279">
        <f t="shared" si="34"/>
        <v>3026.1359908797672</v>
      </c>
      <c r="M400" s="279">
        <v>3000</v>
      </c>
      <c r="N400" s="278">
        <v>2980.2992862947854</v>
      </c>
      <c r="R400" s="278" t="str">
        <f>IF(AND((J400="This"),(L400="Only")),VLOOKUP(G400,#REF!,7,FALSE),"")</f>
        <v/>
      </c>
      <c r="U400" s="278">
        <v>3026.1359908797672</v>
      </c>
    </row>
    <row r="401" spans="1:21" x14ac:dyDescent="0.25">
      <c r="A401" s="278">
        <v>6</v>
      </c>
      <c r="C401" s="278">
        <f t="shared" si="30"/>
        <v>10</v>
      </c>
      <c r="D401" s="278">
        <f t="shared" si="31"/>
        <v>1</v>
      </c>
      <c r="E401" s="278">
        <f t="shared" si="32"/>
        <v>18</v>
      </c>
      <c r="F401" s="278" t="str">
        <f t="shared" si="33"/>
        <v>pm</v>
      </c>
      <c r="G401" s="278" t="s">
        <v>1059</v>
      </c>
      <c r="H401" s="278" t="s">
        <v>293</v>
      </c>
      <c r="I401" s="278" t="s">
        <v>1060</v>
      </c>
      <c r="K401" s="279">
        <f t="shared" si="34"/>
        <v>2875.3494936020707</v>
      </c>
      <c r="M401" s="279">
        <v>3000</v>
      </c>
      <c r="P401" s="278">
        <v>3018.0395256703673</v>
      </c>
      <c r="R401" s="278" t="str">
        <f>IF(AND((J401="This"),(L401="Only")),VLOOKUP(G401,#REF!,7,FALSE),"")</f>
        <v/>
      </c>
      <c r="S401" s="278">
        <v>2936.7667185645291</v>
      </c>
      <c r="U401" s="278">
        <v>2875.3494936020707</v>
      </c>
    </row>
    <row r="402" spans="1:21" x14ac:dyDescent="0.25">
      <c r="A402" s="278">
        <v>6</v>
      </c>
      <c r="C402" s="278">
        <f t="shared" si="30"/>
        <v>11</v>
      </c>
      <c r="D402" s="278">
        <f t="shared" si="31"/>
        <v>1</v>
      </c>
      <c r="E402" s="278">
        <f t="shared" si="32"/>
        <v>18</v>
      </c>
      <c r="F402" s="278" t="str">
        <f t="shared" si="33"/>
        <v>pm</v>
      </c>
      <c r="G402" s="278" t="s">
        <v>1061</v>
      </c>
      <c r="H402" s="278" t="s">
        <v>333</v>
      </c>
      <c r="I402" s="278" t="s">
        <v>1062</v>
      </c>
      <c r="K402" s="279">
        <f t="shared" si="34"/>
        <v>2929.4323751758852</v>
      </c>
      <c r="M402" s="279">
        <v>3000</v>
      </c>
      <c r="N402" s="278">
        <v>2917.3787570454606</v>
      </c>
      <c r="P402" s="278">
        <v>2966.1072131875057</v>
      </c>
      <c r="R402" s="278" t="str">
        <f>IF(AND((J402="This"),(L402="Only")),VLOOKUP(G402,#REF!,7,FALSE),"")</f>
        <v/>
      </c>
      <c r="S402" s="278">
        <v>2924.8856891760802</v>
      </c>
      <c r="U402" s="278">
        <v>2929.4323751758852</v>
      </c>
    </row>
    <row r="403" spans="1:21" x14ac:dyDescent="0.25">
      <c r="A403" s="278">
        <v>1</v>
      </c>
      <c r="C403" s="278">
        <f t="shared" si="30"/>
        <v>12</v>
      </c>
      <c r="D403" s="278">
        <f t="shared" si="31"/>
        <v>1</v>
      </c>
      <c r="E403" s="278">
        <f t="shared" si="32"/>
        <v>18</v>
      </c>
      <c r="F403" s="278" t="str">
        <f t="shared" si="33"/>
        <v>odx</v>
      </c>
      <c r="G403" s="278" t="s">
        <v>1063</v>
      </c>
      <c r="H403" s="278" t="s">
        <v>742</v>
      </c>
      <c r="I403" s="278" t="s">
        <v>743</v>
      </c>
      <c r="K403" s="279">
        <f t="shared" si="34"/>
        <v>3096.2801230484952</v>
      </c>
      <c r="M403" s="279">
        <v>3000</v>
      </c>
      <c r="N403" s="278">
        <v>3096.2801230484952</v>
      </c>
      <c r="R403" s="278" t="str">
        <f>IF(AND((J403="This"),(L403="Only")),VLOOKUP(G403,#REF!,7,FALSE),"")</f>
        <v/>
      </c>
    </row>
    <row r="404" spans="1:21" x14ac:dyDescent="0.25">
      <c r="A404" s="278">
        <v>2</v>
      </c>
      <c r="C404" s="278">
        <f t="shared" si="30"/>
        <v>13</v>
      </c>
      <c r="D404" s="278">
        <f t="shared" si="31"/>
        <v>1</v>
      </c>
      <c r="E404" s="278">
        <f t="shared" si="32"/>
        <v>18</v>
      </c>
      <c r="F404" s="278" t="str">
        <f t="shared" si="33"/>
        <v>pm</v>
      </c>
      <c r="G404" s="278" t="s">
        <v>1064</v>
      </c>
      <c r="H404" s="278" t="s">
        <v>226</v>
      </c>
      <c r="I404" s="278" t="s">
        <v>1065</v>
      </c>
      <c r="K404" s="279">
        <f t="shared" si="34"/>
        <v>3106.1013274780757</v>
      </c>
      <c r="M404" s="279">
        <v>3000</v>
      </c>
      <c r="R404" s="278" t="str">
        <f>IF(AND((J404="This"),(L404="Only")),VLOOKUP(G404,#REF!,7,FALSE),"")</f>
        <v/>
      </c>
      <c r="S404" s="278">
        <v>3106.1013274780757</v>
      </c>
    </row>
    <row r="405" spans="1:21" x14ac:dyDescent="0.25">
      <c r="A405" s="278">
        <v>2</v>
      </c>
      <c r="C405" s="278">
        <f t="shared" si="30"/>
        <v>14</v>
      </c>
      <c r="D405" s="278">
        <f t="shared" si="31"/>
        <v>1</v>
      </c>
      <c r="E405" s="278">
        <f t="shared" si="32"/>
        <v>18</v>
      </c>
      <c r="F405" s="278" t="str">
        <f t="shared" si="33"/>
        <v>pm</v>
      </c>
      <c r="G405" s="278" t="s">
        <v>1066</v>
      </c>
      <c r="H405" s="278" t="s">
        <v>226</v>
      </c>
      <c r="I405" s="278" t="s">
        <v>1067</v>
      </c>
      <c r="K405" s="279">
        <f t="shared" si="34"/>
        <v>3000</v>
      </c>
      <c r="M405" s="279">
        <v>3000</v>
      </c>
      <c r="R405" s="278" t="str">
        <f>IF(AND((J405="This"),(L405="Only")),VLOOKUP(G405,#REF!,7,FALSE),"")</f>
        <v/>
      </c>
    </row>
    <row r="406" spans="1:21" x14ac:dyDescent="0.25">
      <c r="A406" s="278">
        <v>1</v>
      </c>
      <c r="C406" s="278">
        <f t="shared" si="30"/>
        <v>15</v>
      </c>
      <c r="D406" s="278">
        <f t="shared" si="31"/>
        <v>1</v>
      </c>
      <c r="E406" s="278">
        <f t="shared" si="32"/>
        <v>18</v>
      </c>
      <c r="F406" s="278" t="str">
        <f t="shared" si="33"/>
        <v>sox</v>
      </c>
      <c r="G406" s="278" t="s">
        <v>1068</v>
      </c>
      <c r="H406" s="278" t="s">
        <v>561</v>
      </c>
      <c r="I406" s="278" t="s">
        <v>1069</v>
      </c>
      <c r="K406" s="279">
        <f t="shared" si="34"/>
        <v>2888.086160745449</v>
      </c>
      <c r="M406" s="279">
        <v>3000</v>
      </c>
      <c r="R406" s="278" t="str">
        <f>IF(AND((J406="This"),(L406="Only")),VLOOKUP(G406,#REF!,7,FALSE),"")</f>
        <v/>
      </c>
      <c r="U406" s="278">
        <v>2888.086160745449</v>
      </c>
    </row>
    <row r="407" spans="1:21" x14ac:dyDescent="0.25">
      <c r="A407" s="278">
        <v>1</v>
      </c>
      <c r="C407" s="278">
        <f t="shared" si="30"/>
        <v>16</v>
      </c>
      <c r="D407" s="278">
        <f t="shared" si="31"/>
        <v>1</v>
      </c>
      <c r="E407" s="278">
        <f t="shared" si="32"/>
        <v>18</v>
      </c>
      <c r="F407" s="278" t="str">
        <f t="shared" si="33"/>
        <v>odx</v>
      </c>
      <c r="G407" s="278" t="s">
        <v>1070</v>
      </c>
      <c r="H407" s="278" t="s">
        <v>566</v>
      </c>
      <c r="I407" s="278" t="s">
        <v>1071</v>
      </c>
      <c r="K407" s="279">
        <f t="shared" si="34"/>
        <v>3000</v>
      </c>
      <c r="M407" s="279">
        <v>3000</v>
      </c>
      <c r="R407" s="278" t="str">
        <f>IF(AND((J407="This"),(L407="Only")),VLOOKUP(G407,#REF!,7,FALSE),"")</f>
        <v/>
      </c>
    </row>
    <row r="408" spans="1:21" x14ac:dyDescent="0.25">
      <c r="A408" s="278">
        <v>1</v>
      </c>
      <c r="C408" s="278">
        <f t="shared" si="30"/>
        <v>17</v>
      </c>
      <c r="D408" s="278">
        <f t="shared" si="31"/>
        <v>1</v>
      </c>
      <c r="E408" s="278">
        <f t="shared" si="32"/>
        <v>18</v>
      </c>
      <c r="F408" s="278" t="str">
        <f t="shared" si="33"/>
        <v>sox</v>
      </c>
      <c r="G408" s="278" t="s">
        <v>1072</v>
      </c>
      <c r="H408" s="278" t="s">
        <v>1073</v>
      </c>
      <c r="I408" s="278" t="s">
        <v>1074</v>
      </c>
      <c r="K408" s="279">
        <f t="shared" si="34"/>
        <v>3111.1252320123399</v>
      </c>
      <c r="M408" s="279">
        <v>3000</v>
      </c>
      <c r="R408" s="278" t="str">
        <f>IF(AND((J408="This"),(L408="Only")),VLOOKUP(G408,#REF!,7,FALSE),"")</f>
        <v/>
      </c>
      <c r="U408" s="278">
        <v>3111.1252320123399</v>
      </c>
    </row>
    <row r="409" spans="1:21" x14ac:dyDescent="0.25">
      <c r="A409" s="278">
        <v>2</v>
      </c>
      <c r="C409" s="278">
        <f t="shared" si="30"/>
        <v>18</v>
      </c>
      <c r="D409" s="278">
        <f t="shared" si="31"/>
        <v>1</v>
      </c>
      <c r="E409" s="278">
        <f t="shared" si="32"/>
        <v>18</v>
      </c>
      <c r="F409" s="278" t="str">
        <f t="shared" si="33"/>
        <v>pm</v>
      </c>
      <c r="G409" s="278" t="s">
        <v>1075</v>
      </c>
      <c r="H409" s="278" t="s">
        <v>232</v>
      </c>
      <c r="I409" s="278" t="s">
        <v>1076</v>
      </c>
      <c r="K409" s="279">
        <f t="shared" si="34"/>
        <v>3033.6021688753772</v>
      </c>
      <c r="M409" s="279">
        <v>3000</v>
      </c>
      <c r="R409" s="278" t="str">
        <f>IF(AND((J409="This"),(L409="Only")),VLOOKUP(G409,#REF!,7,FALSE),"")</f>
        <v/>
      </c>
      <c r="U409" s="278">
        <v>3033.6021688753772</v>
      </c>
    </row>
    <row r="410" spans="1:21" x14ac:dyDescent="0.25">
      <c r="A410" s="278">
        <v>1</v>
      </c>
      <c r="C410" s="278">
        <f t="shared" si="30"/>
        <v>19</v>
      </c>
      <c r="D410" s="278">
        <f t="shared" si="31"/>
        <v>1</v>
      </c>
      <c r="E410" s="278">
        <f t="shared" si="32"/>
        <v>18</v>
      </c>
      <c r="F410" s="278" t="str">
        <f t="shared" si="33"/>
        <v>crx</v>
      </c>
      <c r="G410" s="278" t="s">
        <v>1077</v>
      </c>
      <c r="H410" s="278" t="s">
        <v>767</v>
      </c>
      <c r="I410" s="278" t="s">
        <v>1078</v>
      </c>
      <c r="K410" s="279">
        <f t="shared" si="34"/>
        <v>2979.4736760168794</v>
      </c>
      <c r="M410" s="279">
        <v>3000</v>
      </c>
      <c r="R410" s="278" t="str">
        <f>IF(AND((J410="This"),(L410="Only")),VLOOKUP(G410,#REF!,7,FALSE),"")</f>
        <v/>
      </c>
      <c r="U410" s="278">
        <v>2979.4736760168794</v>
      </c>
    </row>
    <row r="411" spans="1:21" x14ac:dyDescent="0.25">
      <c r="A411" s="278">
        <v>1</v>
      </c>
      <c r="C411" s="278">
        <f t="shared" si="30"/>
        <v>20</v>
      </c>
      <c r="D411" s="278">
        <f t="shared" si="31"/>
        <v>1</v>
      </c>
      <c r="E411" s="278">
        <f t="shared" si="32"/>
        <v>18</v>
      </c>
      <c r="F411" s="278" t="str">
        <f t="shared" si="33"/>
        <v>crx</v>
      </c>
      <c r="G411" s="278" t="s">
        <v>1079</v>
      </c>
      <c r="H411" s="278" t="s">
        <v>767</v>
      </c>
      <c r="I411" s="278" t="s">
        <v>1080</v>
      </c>
      <c r="K411" s="279">
        <f t="shared" si="34"/>
        <v>2880.8602942634225</v>
      </c>
      <c r="M411" s="279">
        <v>3000</v>
      </c>
      <c r="R411" s="278" t="str">
        <f>IF(AND((J411="This"),(L411="Only")),VLOOKUP(G411,#REF!,7,FALSE),"")</f>
        <v/>
      </c>
      <c r="U411" s="278">
        <v>2880.8602942634225</v>
      </c>
    </row>
    <row r="412" spans="1:21" x14ac:dyDescent="0.25">
      <c r="A412" s="278">
        <v>1</v>
      </c>
      <c r="C412" s="278">
        <f t="shared" si="30"/>
        <v>21</v>
      </c>
      <c r="D412" s="278">
        <f t="shared" si="31"/>
        <v>1</v>
      </c>
      <c r="E412" s="278">
        <f t="shared" si="32"/>
        <v>18</v>
      </c>
      <c r="F412" s="278" t="str">
        <f t="shared" si="33"/>
        <v>crx</v>
      </c>
      <c r="G412" s="278" t="s">
        <v>1081</v>
      </c>
      <c r="H412" s="278" t="s">
        <v>774</v>
      </c>
      <c r="I412" s="278" t="s">
        <v>1082</v>
      </c>
      <c r="K412" s="279">
        <f t="shared" si="34"/>
        <v>2937.5737782198325</v>
      </c>
      <c r="M412" s="279">
        <v>3000</v>
      </c>
      <c r="N412" s="278">
        <v>2937.5737782198325</v>
      </c>
      <c r="R412" s="278" t="str">
        <f>IF(AND((J412="This"),(L412="Only")),VLOOKUP(G412,#REF!,7,FALSE),"")</f>
        <v/>
      </c>
    </row>
    <row r="413" spans="1:21" x14ac:dyDescent="0.25">
      <c r="A413" s="278">
        <v>5</v>
      </c>
      <c r="C413" s="278">
        <f t="shared" si="30"/>
        <v>22</v>
      </c>
      <c r="D413" s="278">
        <f t="shared" si="31"/>
        <v>1</v>
      </c>
      <c r="E413" s="278">
        <f t="shared" si="32"/>
        <v>18</v>
      </c>
      <c r="F413" s="278" t="str">
        <f t="shared" si="33"/>
        <v>pm</v>
      </c>
      <c r="G413" s="278" t="s">
        <v>1083</v>
      </c>
      <c r="H413" s="278" t="s">
        <v>587</v>
      </c>
      <c r="I413" s="278" t="s">
        <v>1084</v>
      </c>
      <c r="K413" s="279">
        <f t="shared" si="34"/>
        <v>3029.7830029113002</v>
      </c>
      <c r="M413" s="279">
        <v>3000</v>
      </c>
      <c r="N413" s="278">
        <v>3009.2514829430538</v>
      </c>
      <c r="R413" s="278" t="str">
        <f>IF(AND((J413="This"),(L413="Only")),VLOOKUP(G413,#REF!,7,FALSE),"")</f>
        <v/>
      </c>
      <c r="S413" s="278">
        <v>2963.2964479003485</v>
      </c>
      <c r="U413" s="278">
        <v>3029.7830029113002</v>
      </c>
    </row>
    <row r="414" spans="1:21" x14ac:dyDescent="0.25">
      <c r="A414" s="278">
        <v>1</v>
      </c>
      <c r="C414" s="278">
        <f t="shared" si="30"/>
        <v>23</v>
      </c>
      <c r="D414" s="278">
        <f t="shared" si="31"/>
        <v>1</v>
      </c>
      <c r="E414" s="278">
        <f t="shared" si="32"/>
        <v>18</v>
      </c>
      <c r="F414" s="278" t="str">
        <f t="shared" si="33"/>
        <v>pmx</v>
      </c>
      <c r="G414" s="278" t="s">
        <v>1085</v>
      </c>
      <c r="H414" s="278" t="s">
        <v>239</v>
      </c>
      <c r="I414" s="278" t="s">
        <v>1086</v>
      </c>
      <c r="K414" s="279">
        <f t="shared" si="34"/>
        <v>3000</v>
      </c>
      <c r="M414" s="279">
        <v>3000</v>
      </c>
      <c r="R414" s="278" t="str">
        <f>IF(AND((J414="This"),(L414="Only")),VLOOKUP(G414,#REF!,7,FALSE),"")</f>
        <v/>
      </c>
    </row>
    <row r="415" spans="1:21" x14ac:dyDescent="0.25">
      <c r="A415" s="278">
        <v>1</v>
      </c>
      <c r="C415" s="278">
        <f t="shared" si="30"/>
        <v>24</v>
      </c>
      <c r="D415" s="278">
        <f t="shared" si="31"/>
        <v>1</v>
      </c>
      <c r="E415" s="278">
        <f t="shared" si="32"/>
        <v>18</v>
      </c>
      <c r="F415" s="278" t="str">
        <f t="shared" si="33"/>
        <v>pmx</v>
      </c>
      <c r="G415" s="278" t="s">
        <v>1087</v>
      </c>
      <c r="H415" s="278" t="s">
        <v>239</v>
      </c>
      <c r="I415" s="278" t="s">
        <v>1088</v>
      </c>
      <c r="K415" s="279">
        <f t="shared" si="34"/>
        <v>3000</v>
      </c>
      <c r="M415" s="279">
        <v>3000</v>
      </c>
      <c r="R415" s="278" t="str">
        <f>IF(AND((J415="This"),(L415="Only")),VLOOKUP(G415,#REF!,7,FALSE),"")</f>
        <v/>
      </c>
    </row>
    <row r="416" spans="1:21" x14ac:dyDescent="0.25">
      <c r="A416" s="278">
        <v>1</v>
      </c>
      <c r="C416" s="278">
        <f t="shared" si="30"/>
        <v>25</v>
      </c>
      <c r="D416" s="278">
        <f t="shared" si="31"/>
        <v>1</v>
      </c>
      <c r="E416" s="278">
        <f t="shared" si="32"/>
        <v>18</v>
      </c>
      <c r="F416" s="278" t="str">
        <f t="shared" si="33"/>
        <v>pmx</v>
      </c>
      <c r="G416" s="278" t="s">
        <v>1089</v>
      </c>
      <c r="H416" s="278" t="s">
        <v>239</v>
      </c>
      <c r="I416" s="278" t="s">
        <v>1090</v>
      </c>
      <c r="K416" s="279">
        <f t="shared" si="34"/>
        <v>3000</v>
      </c>
      <c r="M416" s="279">
        <v>3000</v>
      </c>
      <c r="R416" s="278" t="str">
        <f>IF(AND((J416="This"),(L416="Only")),VLOOKUP(G416,#REF!,7,FALSE),"")</f>
        <v/>
      </c>
    </row>
    <row r="417" spans="1:22" x14ac:dyDescent="0.25">
      <c r="A417" s="278">
        <v>4</v>
      </c>
      <c r="C417" s="278">
        <f t="shared" si="30"/>
        <v>26</v>
      </c>
      <c r="D417" s="278">
        <f t="shared" si="31"/>
        <v>26</v>
      </c>
      <c r="E417" s="278">
        <f t="shared" si="32"/>
        <v>18</v>
      </c>
      <c r="F417" s="278" t="str">
        <f t="shared" si="33"/>
        <v>pm</v>
      </c>
      <c r="G417" s="278" t="s">
        <v>1091</v>
      </c>
      <c r="H417" s="278" t="s">
        <v>1092</v>
      </c>
      <c r="I417" s="278" t="s">
        <v>1093</v>
      </c>
      <c r="K417" s="279">
        <f t="shared" si="34"/>
        <v>2778.8957456721564</v>
      </c>
      <c r="M417" s="279">
        <v>2900</v>
      </c>
      <c r="P417" s="278">
        <v>2825.7321255667107</v>
      </c>
      <c r="R417" s="278" t="str">
        <f>IF(AND((J417="This"),(L417="Only")),VLOOKUP(G417,#REF!,7,FALSE),"")</f>
        <v/>
      </c>
      <c r="S417" s="278">
        <v>2756.6598634333782</v>
      </c>
      <c r="U417" s="278">
        <v>2778.8957456721564</v>
      </c>
    </row>
    <row r="418" spans="1:22" x14ac:dyDescent="0.25">
      <c r="A418" s="278">
        <v>4</v>
      </c>
      <c r="C418" s="278">
        <f t="shared" si="30"/>
        <v>27</v>
      </c>
      <c r="D418" s="278">
        <f t="shared" si="31"/>
        <v>26</v>
      </c>
      <c r="E418" s="278">
        <f t="shared" si="32"/>
        <v>18</v>
      </c>
      <c r="F418" s="278" t="str">
        <f t="shared" si="33"/>
        <v>pm</v>
      </c>
      <c r="G418" s="278" t="s">
        <v>1094</v>
      </c>
      <c r="H418" s="278" t="s">
        <v>287</v>
      </c>
      <c r="I418" s="278" t="s">
        <v>1095</v>
      </c>
      <c r="K418" s="279">
        <f t="shared" si="34"/>
        <v>2863.8315277287957</v>
      </c>
      <c r="M418" s="279">
        <v>2900</v>
      </c>
      <c r="O418" s="278">
        <v>2844.5131492724072</v>
      </c>
      <c r="P418" s="278">
        <v>2852.013041893284</v>
      </c>
      <c r="R418" s="278" t="str">
        <f>IF(AND((J418="This"),(L418="Only")),VLOOKUP(G418,#REF!,7,FALSE),"")</f>
        <v/>
      </c>
      <c r="U418" s="278">
        <v>2863.8315277287957</v>
      </c>
    </row>
    <row r="419" spans="1:22" x14ac:dyDescent="0.25">
      <c r="A419" s="278">
        <v>4</v>
      </c>
      <c r="C419" s="278">
        <f t="shared" si="30"/>
        <v>28</v>
      </c>
      <c r="D419" s="278">
        <f t="shared" si="31"/>
        <v>28</v>
      </c>
      <c r="E419" s="278">
        <f t="shared" si="32"/>
        <v>18</v>
      </c>
      <c r="F419" s="278" t="str">
        <f t="shared" si="33"/>
        <v>pm</v>
      </c>
      <c r="G419" s="278" t="s">
        <v>1096</v>
      </c>
      <c r="H419" s="278" t="s">
        <v>301</v>
      </c>
      <c r="I419" s="278" t="s">
        <v>1097</v>
      </c>
      <c r="K419" s="279">
        <f t="shared" si="34"/>
        <v>2827.7212205588357</v>
      </c>
      <c r="M419" s="279">
        <v>2700</v>
      </c>
      <c r="O419" s="278">
        <v>2776.0452308811364</v>
      </c>
      <c r="R419" s="278" t="str">
        <f>IF(AND((J419="This"),(L419="Only")),VLOOKUP(G419,#REF!,7,FALSE),"")</f>
        <v/>
      </c>
      <c r="S419" s="278">
        <v>2783.0988267322386</v>
      </c>
      <c r="U419" s="278">
        <v>2827.7212205588357</v>
      </c>
    </row>
    <row r="420" spans="1:22" x14ac:dyDescent="0.25">
      <c r="A420" s="278">
        <v>6</v>
      </c>
      <c r="C420" s="278">
        <f t="shared" si="30"/>
        <v>29</v>
      </c>
      <c r="D420" s="278">
        <f t="shared" si="31"/>
        <v>29</v>
      </c>
      <c r="E420" s="278">
        <f t="shared" si="32"/>
        <v>18</v>
      </c>
      <c r="F420" s="278" t="str">
        <f t="shared" si="33"/>
        <v>pm</v>
      </c>
      <c r="G420" s="278" t="s">
        <v>179</v>
      </c>
      <c r="H420" s="278" t="s">
        <v>604</v>
      </c>
      <c r="I420" s="278" t="s">
        <v>178</v>
      </c>
      <c r="K420" s="279">
        <f t="shared" si="34"/>
        <v>2478.8272462330083</v>
      </c>
      <c r="M420" s="279">
        <v>2666.6666666666665</v>
      </c>
      <c r="O420" s="278">
        <v>2606.2172201158401</v>
      </c>
      <c r="R420" s="278" t="str">
        <f>IF(AND((J420="This"),(L420="Only")),VLOOKUP(G420,#REF!,7,FALSE),"")</f>
        <v/>
      </c>
      <c r="S420" s="278">
        <v>2533.5380243836562</v>
      </c>
      <c r="V420" s="278">
        <v>2478.8272462330083</v>
      </c>
    </row>
    <row r="421" spans="1:22" x14ac:dyDescent="0.25">
      <c r="A421" s="278">
        <v>6</v>
      </c>
      <c r="C421" s="278">
        <f t="shared" si="30"/>
        <v>30</v>
      </c>
      <c r="D421" s="278">
        <f t="shared" si="31"/>
        <v>30</v>
      </c>
      <c r="E421" s="278">
        <f t="shared" si="32"/>
        <v>18</v>
      </c>
      <c r="F421" s="278" t="str">
        <f t="shared" si="33"/>
        <v>pm</v>
      </c>
      <c r="G421" s="278" t="s">
        <v>175</v>
      </c>
      <c r="H421" s="278" t="s">
        <v>620</v>
      </c>
      <c r="I421" s="278" t="s">
        <v>174</v>
      </c>
      <c r="K421" s="279">
        <f t="shared" si="34"/>
        <v>2574.5716672740141</v>
      </c>
      <c r="M421" s="279">
        <v>2600</v>
      </c>
      <c r="O421" s="278">
        <v>2566.197479933051</v>
      </c>
      <c r="R421" s="278" t="str">
        <f>IF(AND((J421="This"),(L421="Only")),VLOOKUP(G421,#REF!,7,FALSE),"")</f>
        <v/>
      </c>
      <c r="S421" s="278">
        <v>2571.5829841924087</v>
      </c>
      <c r="T421" s="278">
        <v>2604.5313523756722</v>
      </c>
      <c r="V421" s="278">
        <v>2574.5716672740141</v>
      </c>
    </row>
    <row r="422" spans="1:22" x14ac:dyDescent="0.25">
      <c r="A422" s="278">
        <v>2</v>
      </c>
      <c r="C422" s="278">
        <f t="shared" si="30"/>
        <v>31</v>
      </c>
      <c r="D422" s="278">
        <f t="shared" si="31"/>
        <v>30</v>
      </c>
      <c r="E422" s="278">
        <f t="shared" si="32"/>
        <v>18</v>
      </c>
      <c r="F422" s="278" t="str">
        <f t="shared" si="33"/>
        <v>cr</v>
      </c>
      <c r="G422" s="278" t="s">
        <v>1098</v>
      </c>
      <c r="H422" s="278" t="s">
        <v>304</v>
      </c>
      <c r="I422" s="278" t="s">
        <v>1099</v>
      </c>
      <c r="K422" s="279">
        <f t="shared" si="34"/>
        <v>2632.6008182864525</v>
      </c>
      <c r="M422" s="279">
        <v>2600</v>
      </c>
      <c r="R422" s="278" t="str">
        <f>IF(AND((J422="This"),(L422="Only")),VLOOKUP(G422,#REF!,7,FALSE),"")</f>
        <v/>
      </c>
      <c r="T422" s="278">
        <v>2632.6008182864525</v>
      </c>
    </row>
    <row r="423" spans="1:22" x14ac:dyDescent="0.25">
      <c r="A423" s="278">
        <v>1</v>
      </c>
      <c r="C423" s="278">
        <f t="shared" si="30"/>
        <v>32</v>
      </c>
      <c r="D423" s="278">
        <f t="shared" si="31"/>
        <v>30</v>
      </c>
      <c r="E423" s="278">
        <f t="shared" si="32"/>
        <v>18</v>
      </c>
      <c r="F423" s="278" t="str">
        <f t="shared" si="33"/>
        <v>sox</v>
      </c>
      <c r="G423" s="278" t="s">
        <v>1100</v>
      </c>
      <c r="H423" s="278" t="s">
        <v>352</v>
      </c>
      <c r="I423" s="278" t="s">
        <v>1101</v>
      </c>
      <c r="K423" s="279">
        <f t="shared" si="34"/>
        <v>2584.553110549688</v>
      </c>
      <c r="M423" s="279">
        <v>2600</v>
      </c>
      <c r="R423" s="278" t="str">
        <f>IF(AND((J423="This"),(L423="Only")),VLOOKUP(G423,#REF!,7,FALSE),"")</f>
        <v/>
      </c>
      <c r="T423" s="278">
        <v>2584.553110549688</v>
      </c>
    </row>
    <row r="424" spans="1:22" x14ac:dyDescent="0.25">
      <c r="A424" s="278">
        <v>1</v>
      </c>
      <c r="C424" s="278">
        <f t="shared" si="30"/>
        <v>33</v>
      </c>
      <c r="D424" s="278">
        <f t="shared" si="31"/>
        <v>30</v>
      </c>
      <c r="E424" s="278">
        <f t="shared" si="32"/>
        <v>18</v>
      </c>
      <c r="F424" s="278" t="str">
        <f t="shared" si="33"/>
        <v>crx</v>
      </c>
      <c r="G424" s="278" t="s">
        <v>1102</v>
      </c>
      <c r="H424" s="278" t="s">
        <v>933</v>
      </c>
      <c r="I424" s="278" t="s">
        <v>1103</v>
      </c>
      <c r="K424" s="279">
        <f t="shared" si="34"/>
        <v>2637.1727206454916</v>
      </c>
      <c r="M424" s="279">
        <v>2600</v>
      </c>
      <c r="O424" s="278">
        <v>2637.1727206454916</v>
      </c>
      <c r="R424" s="278" t="str">
        <f>IF(AND((J424="This"),(L424="Only")),VLOOKUP(G424,#REF!,7,FALSE),"")</f>
        <v/>
      </c>
    </row>
    <row r="425" spans="1:22" x14ac:dyDescent="0.25">
      <c r="A425" s="278">
        <v>7</v>
      </c>
      <c r="C425" s="278">
        <f t="shared" si="30"/>
        <v>34</v>
      </c>
      <c r="D425" s="278">
        <f t="shared" si="31"/>
        <v>30</v>
      </c>
      <c r="E425" s="278">
        <f t="shared" si="32"/>
        <v>18</v>
      </c>
      <c r="F425" s="278" t="str">
        <f t="shared" si="33"/>
        <v>pm</v>
      </c>
      <c r="G425" s="278" t="s">
        <v>173</v>
      </c>
      <c r="H425" s="278" t="s">
        <v>933</v>
      </c>
      <c r="I425" s="278" t="s">
        <v>172</v>
      </c>
      <c r="K425" s="279">
        <f t="shared" si="34"/>
        <v>2679.7684181029094</v>
      </c>
      <c r="M425" s="279">
        <v>2600</v>
      </c>
      <c r="O425" s="278">
        <v>2635.3110386339977</v>
      </c>
      <c r="R425" s="278" t="str">
        <f>IF(AND((J425="This"),(L425="Only")),VLOOKUP(G425,#REF!,7,FALSE),"")</f>
        <v/>
      </c>
      <c r="S425" s="278">
        <v>2679.1300397754653</v>
      </c>
      <c r="T425" s="278">
        <v>2607.9641530366357</v>
      </c>
      <c r="V425" s="278">
        <v>2679.7684181029094</v>
      </c>
    </row>
    <row r="426" spans="1:22" x14ac:dyDescent="0.25">
      <c r="A426" s="278">
        <v>5</v>
      </c>
      <c r="C426" s="278">
        <f t="shared" si="30"/>
        <v>35</v>
      </c>
      <c r="D426" s="278">
        <f t="shared" si="31"/>
        <v>30</v>
      </c>
      <c r="E426" s="278">
        <f t="shared" si="32"/>
        <v>18</v>
      </c>
      <c r="F426" s="278" t="str">
        <f t="shared" si="33"/>
        <v>pm</v>
      </c>
      <c r="G426" s="278" t="s">
        <v>177</v>
      </c>
      <c r="H426" s="278" t="s">
        <v>512</v>
      </c>
      <c r="I426" s="278" t="s">
        <v>176</v>
      </c>
      <c r="K426" s="279">
        <f t="shared" si="34"/>
        <v>2580.5462836263409</v>
      </c>
      <c r="M426" s="279">
        <v>2600</v>
      </c>
      <c r="R426" s="278" t="str">
        <f>IF(AND((J426="This"),(L426="Only")),VLOOKUP(G426,#REF!,7,FALSE),"")</f>
        <v/>
      </c>
      <c r="S426" s="278">
        <v>2637.3852923767972</v>
      </c>
      <c r="T426" s="278">
        <v>2601.7693263635874</v>
      </c>
      <c r="V426" s="278">
        <v>2580.5462836263409</v>
      </c>
    </row>
    <row r="427" spans="1:22" x14ac:dyDescent="0.25">
      <c r="A427" s="278">
        <v>4</v>
      </c>
      <c r="C427" s="278">
        <f t="shared" si="30"/>
        <v>36</v>
      </c>
      <c r="D427" s="278">
        <f t="shared" si="31"/>
        <v>30</v>
      </c>
      <c r="E427" s="278">
        <f t="shared" si="32"/>
        <v>18</v>
      </c>
      <c r="F427" s="278" t="str">
        <f t="shared" si="33"/>
        <v>pm</v>
      </c>
      <c r="G427" s="278" t="s">
        <v>1104</v>
      </c>
      <c r="H427" s="278" t="s">
        <v>1105</v>
      </c>
      <c r="I427" s="278" t="s">
        <v>1106</v>
      </c>
      <c r="K427" s="279">
        <f t="shared" si="34"/>
        <v>2769.9544095367178</v>
      </c>
      <c r="M427" s="279">
        <v>2600</v>
      </c>
      <c r="O427" s="278">
        <v>2680.3264856208189</v>
      </c>
      <c r="R427" s="278" t="str">
        <f>IF(AND((J427="This"),(L427="Only")),VLOOKUP(G427,#REF!,7,FALSE),"")</f>
        <v/>
      </c>
      <c r="T427" s="278">
        <v>2769.9544095367178</v>
      </c>
    </row>
    <row r="428" spans="1:22" x14ac:dyDescent="0.25">
      <c r="R428" s="278" t="str">
        <f>IF(AND((J428="This"),(L428="Only")),VLOOKUP(G428,#REF!,7,FALSE),"")</f>
        <v/>
      </c>
    </row>
    <row r="429" spans="1:22" x14ac:dyDescent="0.25">
      <c r="A429" s="278">
        <v>1</v>
      </c>
      <c r="C429" s="278">
        <f t="shared" ref="C429:C433" si="35">IF(E429=E428,C428+1,1)</f>
        <v>1</v>
      </c>
      <c r="D429" s="278">
        <f t="shared" ref="D429:D433" si="36">IF(M429=M428,D428,C429)</f>
        <v>1</v>
      </c>
      <c r="E429" s="278">
        <f t="shared" ref="E429:E433" si="37">10+VALUE(RIGHT(LEFT(G429,3),1))</f>
        <v>16</v>
      </c>
      <c r="F429" s="278" t="str">
        <f t="shared" ref="F429:F433" si="38">RIGHT(G429,2) &amp; IF(A429&lt;2,"x","")</f>
        <v>crx</v>
      </c>
      <c r="G429" s="282" t="s">
        <v>1107</v>
      </c>
      <c r="H429" s="280" t="s">
        <v>1108</v>
      </c>
      <c r="I429" s="278" t="s">
        <v>1108</v>
      </c>
      <c r="K429" s="279">
        <f t="shared" ref="K429:K433" si="39">LOOKUP(1E+100,M429:AC429)</f>
        <v>2224.9357527398279</v>
      </c>
      <c r="M429" s="279">
        <v>2200</v>
      </c>
      <c r="R429" s="278" t="str">
        <f>IF(AND((J429="This"),(L429="Only")),VLOOKUP(G429,#REF!,7,FALSE),"")</f>
        <v/>
      </c>
      <c r="U429" s="278">
        <v>2224.9357527398279</v>
      </c>
    </row>
    <row r="430" spans="1:22" x14ac:dyDescent="0.25">
      <c r="A430" s="278">
        <v>1</v>
      </c>
      <c r="C430" s="278">
        <f t="shared" si="35"/>
        <v>2</v>
      </c>
      <c r="D430" s="278">
        <f t="shared" si="36"/>
        <v>1</v>
      </c>
      <c r="E430" s="278">
        <f t="shared" si="37"/>
        <v>16</v>
      </c>
      <c r="F430" s="278" t="str">
        <f t="shared" si="38"/>
        <v>crx</v>
      </c>
      <c r="G430" s="282" t="s">
        <v>1109</v>
      </c>
      <c r="H430" s="280" t="s">
        <v>1110</v>
      </c>
      <c r="I430" s="280" t="s">
        <v>1111</v>
      </c>
      <c r="K430" s="279">
        <f t="shared" si="39"/>
        <v>2312.3805436980424</v>
      </c>
      <c r="M430" s="279">
        <v>2200</v>
      </c>
      <c r="R430" s="278" t="str">
        <f>IF(AND((J430="This"),(L430="Only")),VLOOKUP(G430,#REF!,7,FALSE),"")</f>
        <v/>
      </c>
      <c r="U430" s="278">
        <v>2312.3805436980424</v>
      </c>
    </row>
    <row r="431" spans="1:22" x14ac:dyDescent="0.25">
      <c r="A431" s="278">
        <v>1</v>
      </c>
      <c r="C431" s="278">
        <f t="shared" si="35"/>
        <v>1</v>
      </c>
      <c r="D431" s="278">
        <f t="shared" si="36"/>
        <v>1</v>
      </c>
      <c r="E431" s="278">
        <f t="shared" si="37"/>
        <v>17</v>
      </c>
      <c r="F431" s="278" t="str">
        <f t="shared" si="38"/>
        <v>crx</v>
      </c>
      <c r="G431" s="282" t="s">
        <v>1112</v>
      </c>
      <c r="H431" s="280" t="s">
        <v>1113</v>
      </c>
      <c r="I431" s="280" t="s">
        <v>1114</v>
      </c>
      <c r="K431" s="279">
        <f t="shared" si="39"/>
        <v>2588.4530488563269</v>
      </c>
      <c r="M431" s="279">
        <v>2400</v>
      </c>
      <c r="R431" s="278" t="str">
        <f>IF(AND((J431="This"),(L431="Only")),VLOOKUP(G431,#REF!,7,FALSE),"")</f>
        <v/>
      </c>
      <c r="U431" s="278">
        <v>2588.4530488563269</v>
      </c>
    </row>
    <row r="432" spans="1:22" x14ac:dyDescent="0.25">
      <c r="A432" s="278">
        <v>1</v>
      </c>
      <c r="C432" s="278">
        <f t="shared" si="35"/>
        <v>1</v>
      </c>
      <c r="D432" s="278">
        <f t="shared" si="36"/>
        <v>1</v>
      </c>
      <c r="E432" s="278">
        <f t="shared" si="37"/>
        <v>14</v>
      </c>
      <c r="F432" s="278" t="str">
        <f t="shared" si="38"/>
        <v>crx</v>
      </c>
      <c r="G432" s="278" t="s">
        <v>1136</v>
      </c>
      <c r="H432" s="278" t="s">
        <v>1139</v>
      </c>
      <c r="I432" s="278" t="s">
        <v>1135</v>
      </c>
      <c r="K432" s="279">
        <f t="shared" si="39"/>
        <v>1879.1516419632358</v>
      </c>
      <c r="M432" s="279">
        <v>1800</v>
      </c>
      <c r="V432" s="278">
        <v>1879.1516419632358</v>
      </c>
    </row>
    <row r="433" spans="1:22" x14ac:dyDescent="0.25">
      <c r="A433" s="278">
        <v>1</v>
      </c>
      <c r="C433" s="278">
        <f t="shared" si="35"/>
        <v>1</v>
      </c>
      <c r="D433" s="278">
        <f t="shared" si="36"/>
        <v>1</v>
      </c>
      <c r="E433" s="278">
        <f t="shared" si="37"/>
        <v>15</v>
      </c>
      <c r="F433" s="278" t="str">
        <f t="shared" si="38"/>
        <v>sox</v>
      </c>
      <c r="G433" s="278" t="s">
        <v>1158</v>
      </c>
      <c r="H433" s="278" t="s">
        <v>1160</v>
      </c>
      <c r="I433" s="278" t="s">
        <v>1157</v>
      </c>
      <c r="K433" s="279">
        <f t="shared" si="39"/>
        <v>1914.6799595739319</v>
      </c>
      <c r="M433" s="279">
        <v>2000</v>
      </c>
      <c r="V433" s="278">
        <v>1914.6799595739319</v>
      </c>
    </row>
  </sheetData>
  <conditionalFormatting sqref="C264:F264 AJ428:XFD431 A428:AG431 A434:AG1048576 AJ434:XFD1048576">
    <cfRule type="expression" dxfId="445" priority="116">
      <formula>$E264=10</formula>
    </cfRule>
    <cfRule type="expression" dxfId="444" priority="117">
      <formula>$E264=11</formula>
    </cfRule>
    <cfRule type="expression" dxfId="443" priority="118">
      <formula>$E264=18</formula>
    </cfRule>
    <cfRule type="expression" dxfId="442" priority="119">
      <formula>$E264=17</formula>
    </cfRule>
    <cfRule type="expression" dxfId="441" priority="120">
      <formula>$E264=16</formula>
    </cfRule>
    <cfRule type="expression" dxfId="440" priority="121">
      <formula>$E264=15</formula>
    </cfRule>
    <cfRule type="expression" dxfId="439" priority="122">
      <formula>$E264=14</formula>
    </cfRule>
    <cfRule type="expression" dxfId="438" priority="123">
      <formula>$E264=13</formula>
    </cfRule>
    <cfRule type="expression" dxfId="437" priority="124">
      <formula>$E264=12</formula>
    </cfRule>
  </conditionalFormatting>
  <conditionalFormatting sqref="K2:K427">
    <cfRule type="expression" dxfId="436" priority="107">
      <formula>$E2=10</formula>
    </cfRule>
    <cfRule type="expression" dxfId="435" priority="108">
      <formula>$E2=11</formula>
    </cfRule>
    <cfRule type="expression" dxfId="434" priority="109">
      <formula>$E2=18</formula>
    </cfRule>
    <cfRule type="expression" dxfId="433" priority="110">
      <formula>$E2=17</formula>
    </cfRule>
    <cfRule type="expression" dxfId="432" priority="111">
      <formula>$E2=16</formula>
    </cfRule>
    <cfRule type="expression" dxfId="431" priority="112">
      <formula>$E2=15</formula>
    </cfRule>
    <cfRule type="expression" dxfId="430" priority="113">
      <formula>$E2=14</formula>
    </cfRule>
    <cfRule type="expression" dxfId="429" priority="114">
      <formula>$E2=13</formula>
    </cfRule>
    <cfRule type="expression" dxfId="428" priority="115">
      <formula>$E2=12</formula>
    </cfRule>
  </conditionalFormatting>
  <conditionalFormatting sqref="G1:I1">
    <cfRule type="containsText" dxfId="427" priority="223" operator="containsText" text="CSRA">
      <formula>NOT(ISERROR(SEARCH("CSRA",G1)))</formula>
    </cfRule>
  </conditionalFormatting>
  <conditionalFormatting sqref="AJ1:XFD431 A1:AG431 A434:AG1048576 AJ434:XFD1048576">
    <cfRule type="expression" dxfId="426" priority="215">
      <formula>$E1&lt;12</formula>
    </cfRule>
    <cfRule type="expression" dxfId="425" priority="216">
      <formula>$E1=18</formula>
    </cfRule>
    <cfRule type="expression" dxfId="424" priority="217">
      <formula>$E1=17</formula>
    </cfRule>
    <cfRule type="expression" dxfId="423" priority="218">
      <formula>$E1=16</formula>
    </cfRule>
    <cfRule type="expression" dxfId="422" priority="219">
      <formula>$E1=15</formula>
    </cfRule>
    <cfRule type="expression" dxfId="421" priority="220">
      <formula>$E1=14</formula>
    </cfRule>
    <cfRule type="expression" dxfId="420" priority="221">
      <formula>$E1=13</formula>
    </cfRule>
    <cfRule type="expression" dxfId="419" priority="222">
      <formula>$E1=12</formula>
    </cfRule>
  </conditionalFormatting>
  <conditionalFormatting sqref="AJ1:XFD427 A1:AG427 R428:R431">
    <cfRule type="expression" dxfId="418" priority="206">
      <formula>$E1=10</formula>
    </cfRule>
    <cfRule type="expression" dxfId="417" priority="207">
      <formula>$E1=11</formula>
    </cfRule>
    <cfRule type="expression" dxfId="416" priority="208">
      <formula>$E1=18</formula>
    </cfRule>
    <cfRule type="expression" dxfId="415" priority="209">
      <formula>$E1=17</formula>
    </cfRule>
    <cfRule type="expression" dxfId="414" priority="210">
      <formula>$E1=16</formula>
    </cfRule>
    <cfRule type="expression" dxfId="413" priority="211">
      <formula>$E1=15</formula>
    </cfRule>
    <cfRule type="expression" dxfId="412" priority="212">
      <formula>$E1=14</formula>
    </cfRule>
    <cfRule type="expression" dxfId="411" priority="213">
      <formula>$E1=13</formula>
    </cfRule>
    <cfRule type="expression" dxfId="410" priority="214">
      <formula>$E1=12</formula>
    </cfRule>
  </conditionalFormatting>
  <conditionalFormatting sqref="A255:AG255 AK255:XFD255">
    <cfRule type="expression" dxfId="409" priority="197">
      <formula>$E255=10</formula>
    </cfRule>
    <cfRule type="expression" dxfId="408" priority="198">
      <formula>$E255=11</formula>
    </cfRule>
    <cfRule type="expression" dxfId="407" priority="199">
      <formula>$E255=18</formula>
    </cfRule>
    <cfRule type="expression" dxfId="406" priority="200">
      <formula>$E255=17</formula>
    </cfRule>
    <cfRule type="expression" dxfId="405" priority="201">
      <formula>$E255=16</formula>
    </cfRule>
    <cfRule type="expression" dxfId="404" priority="202">
      <formula>$E255=15</formula>
    </cfRule>
    <cfRule type="expression" dxfId="403" priority="203">
      <formula>$E255=14</formula>
    </cfRule>
    <cfRule type="expression" dxfId="402" priority="204">
      <formula>$E255=13</formula>
    </cfRule>
    <cfRule type="expression" dxfId="401" priority="205">
      <formula>$E255=12</formula>
    </cfRule>
  </conditionalFormatting>
  <conditionalFormatting sqref="AK265:XFD268 IX258:XFD263 A265:AG268">
    <cfRule type="expression" dxfId="400" priority="188">
      <formula>$E258=10</formula>
    </cfRule>
    <cfRule type="expression" dxfId="399" priority="189">
      <formula>$E258=11</formula>
    </cfRule>
    <cfRule type="expression" dxfId="398" priority="190">
      <formula>$E258=18</formula>
    </cfRule>
    <cfRule type="expression" dxfId="397" priority="191">
      <formula>$E258=17</formula>
    </cfRule>
    <cfRule type="expression" dxfId="396" priority="192">
      <formula>$E258=16</formula>
    </cfRule>
    <cfRule type="expression" dxfId="395" priority="193">
      <formula>$E258=15</formula>
    </cfRule>
    <cfRule type="expression" dxfId="394" priority="194">
      <formula>$E258=14</formula>
    </cfRule>
    <cfRule type="expression" dxfId="393" priority="195">
      <formula>$E258=13</formula>
    </cfRule>
    <cfRule type="expression" dxfId="392" priority="196">
      <formula>$E258=12</formula>
    </cfRule>
  </conditionalFormatting>
  <conditionalFormatting sqref="A262:AG262 A261:F261 J261:AG261 H263 K263:AG263 A263:F263 AJ261:IW263">
    <cfRule type="expression" dxfId="391" priority="179">
      <formula>$E261=10</formula>
    </cfRule>
    <cfRule type="expression" dxfId="390" priority="180">
      <formula>$E261=11</formula>
    </cfRule>
    <cfRule type="expression" dxfId="389" priority="181">
      <formula>$E261=18</formula>
    </cfRule>
    <cfRule type="expression" dxfId="388" priority="182">
      <formula>$E261=17</formula>
    </cfRule>
    <cfRule type="expression" dxfId="387" priority="183">
      <formula>$E261=16</formula>
    </cfRule>
    <cfRule type="expression" dxfId="386" priority="184">
      <formula>$E261=15</formula>
    </cfRule>
    <cfRule type="expression" dxfId="385" priority="185">
      <formula>$E261=14</formula>
    </cfRule>
    <cfRule type="expression" dxfId="384" priority="186">
      <formula>$E261=13</formula>
    </cfRule>
    <cfRule type="expression" dxfId="383" priority="187">
      <formula>$E261=12</formula>
    </cfRule>
  </conditionalFormatting>
  <conditionalFormatting sqref="H261">
    <cfRule type="expression" dxfId="382" priority="170">
      <formula>$E261=10</formula>
    </cfRule>
    <cfRule type="expression" dxfId="381" priority="171">
      <formula>$E261=11</formula>
    </cfRule>
    <cfRule type="expression" dxfId="380" priority="172">
      <formula>$E261=18</formula>
    </cfRule>
    <cfRule type="expression" dxfId="379" priority="173">
      <formula>$E261=17</formula>
    </cfRule>
    <cfRule type="expression" dxfId="378" priority="174">
      <formula>$E261=16</formula>
    </cfRule>
    <cfRule type="expression" dxfId="377" priority="175">
      <formula>$E261=15</formula>
    </cfRule>
    <cfRule type="expression" dxfId="376" priority="176">
      <formula>$E261=14</formula>
    </cfRule>
    <cfRule type="expression" dxfId="375" priority="177">
      <formula>$E261=13</formula>
    </cfRule>
    <cfRule type="expression" dxfId="374" priority="178">
      <formula>$E261=12</formula>
    </cfRule>
  </conditionalFormatting>
  <conditionalFormatting sqref="A258:AG260 C261:F427 AJ258:IW260">
    <cfRule type="expression" dxfId="373" priority="161">
      <formula>$E258=10</formula>
    </cfRule>
    <cfRule type="expression" dxfId="372" priority="162">
      <formula>$E258=11</formula>
    </cfRule>
    <cfRule type="expression" dxfId="371" priority="163">
      <formula>$E258=18</formula>
    </cfRule>
    <cfRule type="expression" dxfId="370" priority="164">
      <formula>$E258=17</formula>
    </cfRule>
    <cfRule type="expression" dxfId="369" priority="165">
      <formula>$E258=16</formula>
    </cfRule>
    <cfRule type="expression" dxfId="368" priority="166">
      <formula>$E258=15</formula>
    </cfRule>
    <cfRule type="expression" dxfId="367" priority="167">
      <formula>$E258=14</formula>
    </cfRule>
    <cfRule type="expression" dxfId="366" priority="168">
      <formula>$E258=13</formula>
    </cfRule>
    <cfRule type="expression" dxfId="365" priority="169">
      <formula>$E258=12</formula>
    </cfRule>
  </conditionalFormatting>
  <conditionalFormatting sqref="A264:B264 J264 N264:AG264 L264 H264 AJ264:XFD264">
    <cfRule type="expression" dxfId="364" priority="152">
      <formula>$E264=10</formula>
    </cfRule>
    <cfRule type="expression" dxfId="363" priority="153">
      <formula>$E264=11</formula>
    </cfRule>
    <cfRule type="expression" dxfId="362" priority="154">
      <formula>$E264=18</formula>
    </cfRule>
    <cfRule type="expression" dxfId="361" priority="155">
      <formula>$E264=17</formula>
    </cfRule>
    <cfRule type="expression" dxfId="360" priority="156">
      <formula>$E264=16</formula>
    </cfRule>
    <cfRule type="expression" dxfId="359" priority="157">
      <formula>$E264=15</formula>
    </cfRule>
    <cfRule type="expression" dxfId="358" priority="158">
      <formula>$E264=14</formula>
    </cfRule>
    <cfRule type="expression" dxfId="357" priority="159">
      <formula>$E264=13</formula>
    </cfRule>
    <cfRule type="expression" dxfId="356" priority="160">
      <formula>$E264=12</formula>
    </cfRule>
  </conditionalFormatting>
  <conditionalFormatting sqref="M264">
    <cfRule type="expression" dxfId="355" priority="143">
      <formula>$E264=10</formula>
    </cfRule>
    <cfRule type="expression" dxfId="354" priority="144">
      <formula>$E264=11</formula>
    </cfRule>
    <cfRule type="expression" dxfId="353" priority="145">
      <formula>$E264=18</formula>
    </cfRule>
    <cfRule type="expression" dxfId="352" priority="146">
      <formula>$E264=17</formula>
    </cfRule>
    <cfRule type="expression" dxfId="351" priority="147">
      <formula>$E264=16</formula>
    </cfRule>
    <cfRule type="expression" dxfId="350" priority="148">
      <formula>$E264=15</formula>
    </cfRule>
    <cfRule type="expression" dxfId="349" priority="149">
      <formula>$E264=14</formula>
    </cfRule>
    <cfRule type="expression" dxfId="348" priority="150">
      <formula>$E264=13</formula>
    </cfRule>
    <cfRule type="expression" dxfId="347" priority="151">
      <formula>$E264=12</formula>
    </cfRule>
  </conditionalFormatting>
  <conditionalFormatting sqref="K264">
    <cfRule type="expression" dxfId="346" priority="134">
      <formula>$E264=10</formula>
    </cfRule>
    <cfRule type="expression" dxfId="345" priority="135">
      <formula>$E264=11</formula>
    </cfRule>
    <cfRule type="expression" dxfId="344" priority="136">
      <formula>$E264=18</formula>
    </cfRule>
    <cfRule type="expression" dxfId="343" priority="137">
      <formula>$E264=17</formula>
    </cfRule>
    <cfRule type="expression" dxfId="342" priority="138">
      <formula>$E264=16</formula>
    </cfRule>
    <cfRule type="expression" dxfId="341" priority="139">
      <formula>$E264=15</formula>
    </cfRule>
    <cfRule type="expression" dxfId="340" priority="140">
      <formula>$E264=14</formula>
    </cfRule>
    <cfRule type="expression" dxfId="339" priority="141">
      <formula>$E264=13</formula>
    </cfRule>
    <cfRule type="expression" dxfId="338" priority="142">
      <formula>$E264=12</formula>
    </cfRule>
  </conditionalFormatting>
  <conditionalFormatting sqref="G264">
    <cfRule type="expression" dxfId="337" priority="125">
      <formula>$E264=10</formula>
    </cfRule>
    <cfRule type="expression" dxfId="336" priority="126">
      <formula>$E264=11</formula>
    </cfRule>
    <cfRule type="expression" dxfId="335" priority="127">
      <formula>$E264=18</formula>
    </cfRule>
    <cfRule type="expression" dxfId="334" priority="128">
      <formula>$E264=17</formula>
    </cfRule>
    <cfRule type="expression" dxfId="333" priority="129">
      <formula>$E264=16</formula>
    </cfRule>
    <cfRule type="expression" dxfId="332" priority="130">
      <formula>$E264=15</formula>
    </cfRule>
    <cfRule type="expression" dxfId="331" priority="131">
      <formula>$E264=14</formula>
    </cfRule>
    <cfRule type="expression" dxfId="330" priority="132">
      <formula>$E264=13</formula>
    </cfRule>
    <cfRule type="expression" dxfId="329" priority="133">
      <formula>$E264=12</formula>
    </cfRule>
  </conditionalFormatting>
  <conditionalFormatting sqref="C429:F431">
    <cfRule type="expression" dxfId="328" priority="98">
      <formula>$E429=10</formula>
    </cfRule>
    <cfRule type="expression" dxfId="327" priority="99">
      <formula>$E429=11</formula>
    </cfRule>
    <cfRule type="expression" dxfId="326" priority="100">
      <formula>$E429=18</formula>
    </cfRule>
    <cfRule type="expression" dxfId="325" priority="101">
      <formula>$E429=17</formula>
    </cfRule>
    <cfRule type="expression" dxfId="324" priority="102">
      <formula>$E429=16</formula>
    </cfRule>
    <cfRule type="expression" dxfId="323" priority="103">
      <formula>$E429=15</formula>
    </cfRule>
    <cfRule type="expression" dxfId="322" priority="104">
      <formula>$E429=14</formula>
    </cfRule>
    <cfRule type="expression" dxfId="321" priority="105">
      <formula>$E429=13</formula>
    </cfRule>
    <cfRule type="expression" dxfId="320" priority="106">
      <formula>$E429=12</formula>
    </cfRule>
  </conditionalFormatting>
  <conditionalFormatting sqref="C429:F431">
    <cfRule type="expression" dxfId="319" priority="89">
      <formula>$E429=10</formula>
    </cfRule>
    <cfRule type="expression" dxfId="318" priority="90">
      <formula>$E429=11</formula>
    </cfRule>
    <cfRule type="expression" dxfId="317" priority="91">
      <formula>$E429=18</formula>
    </cfRule>
    <cfRule type="expression" dxfId="316" priority="92">
      <formula>$E429=17</formula>
    </cfRule>
    <cfRule type="expression" dxfId="315" priority="93">
      <formula>$E429=16</formula>
    </cfRule>
    <cfRule type="expression" dxfId="314" priority="94">
      <formula>$E429=15</formula>
    </cfRule>
    <cfRule type="expression" dxfId="313" priority="95">
      <formula>$E429=14</formula>
    </cfRule>
    <cfRule type="expression" dxfId="312" priority="96">
      <formula>$E429=13</formula>
    </cfRule>
    <cfRule type="expression" dxfId="311" priority="97">
      <formula>$E429=12</formula>
    </cfRule>
  </conditionalFormatting>
  <conditionalFormatting sqref="K429:K431">
    <cfRule type="expression" dxfId="310" priority="71">
      <formula>$E429=10</formula>
    </cfRule>
    <cfRule type="expression" dxfId="309" priority="72">
      <formula>$E429=11</formula>
    </cfRule>
    <cfRule type="expression" dxfId="308" priority="73">
      <formula>$E429=18</formula>
    </cfRule>
    <cfRule type="expression" dxfId="307" priority="74">
      <formula>$E429=17</formula>
    </cfRule>
    <cfRule type="expression" dxfId="306" priority="75">
      <formula>$E429=16</formula>
    </cfRule>
    <cfRule type="expression" dxfId="305" priority="76">
      <formula>$E429=15</formula>
    </cfRule>
    <cfRule type="expression" dxfId="304" priority="77">
      <formula>$E429=14</formula>
    </cfRule>
    <cfRule type="expression" dxfId="303" priority="78">
      <formula>$E429=13</formula>
    </cfRule>
    <cfRule type="expression" dxfId="302" priority="79">
      <formula>$E429=12</formula>
    </cfRule>
  </conditionalFormatting>
  <conditionalFormatting sqref="H429:M431">
    <cfRule type="expression" dxfId="301" priority="80">
      <formula>$E429=10</formula>
    </cfRule>
    <cfRule type="expression" dxfId="300" priority="81">
      <formula>$E429=11</formula>
    </cfRule>
    <cfRule type="expression" dxfId="299" priority="82">
      <formula>$E429=18</formula>
    </cfRule>
    <cfRule type="expression" dxfId="298" priority="83">
      <formula>$E429=17</formula>
    </cfRule>
    <cfRule type="expression" dxfId="297" priority="84">
      <formula>$E429=16</formula>
    </cfRule>
    <cfRule type="expression" dxfId="296" priority="85">
      <formula>$E429=15</formula>
    </cfRule>
    <cfRule type="expression" dxfId="295" priority="86">
      <formula>$E429=14</formula>
    </cfRule>
    <cfRule type="expression" dxfId="294" priority="87">
      <formula>$E429=13</formula>
    </cfRule>
    <cfRule type="expression" dxfId="293" priority="88">
      <formula>$E429=12</formula>
    </cfRule>
  </conditionalFormatting>
  <conditionalFormatting sqref="AJ432:XFD432 A432:AG432">
    <cfRule type="expression" dxfId="292" priority="54">
      <formula>$E432=10</formula>
    </cfRule>
    <cfRule type="expression" dxfId="291" priority="55">
      <formula>$E432=11</formula>
    </cfRule>
    <cfRule type="expression" dxfId="290" priority="56">
      <formula>$E432=18</formula>
    </cfRule>
    <cfRule type="expression" dxfId="289" priority="57">
      <formula>$E432=17</formula>
    </cfRule>
    <cfRule type="expression" dxfId="288" priority="58">
      <formula>$E432=16</formula>
    </cfRule>
    <cfRule type="expression" dxfId="287" priority="59">
      <formula>$E432=15</formula>
    </cfRule>
    <cfRule type="expression" dxfId="286" priority="60">
      <formula>$E432=14</formula>
    </cfRule>
    <cfRule type="expression" dxfId="285" priority="61">
      <formula>$E432=13</formula>
    </cfRule>
    <cfRule type="expression" dxfId="284" priority="62">
      <formula>$E432=12</formula>
    </cfRule>
  </conditionalFormatting>
  <conditionalFormatting sqref="K432">
    <cfRule type="expression" dxfId="283" priority="36">
      <formula>$E432=10</formula>
    </cfRule>
    <cfRule type="expression" dxfId="282" priority="37">
      <formula>$E432=11</formula>
    </cfRule>
    <cfRule type="expression" dxfId="281" priority="38">
      <formula>$E432=18</formula>
    </cfRule>
    <cfRule type="expression" dxfId="280" priority="39">
      <formula>$E432=17</formula>
    </cfRule>
    <cfRule type="expression" dxfId="279" priority="40">
      <formula>$E432=16</formula>
    </cfRule>
    <cfRule type="expression" dxfId="278" priority="41">
      <formula>$E432=15</formula>
    </cfRule>
    <cfRule type="expression" dxfId="277" priority="42">
      <formula>$E432=14</formula>
    </cfRule>
    <cfRule type="expression" dxfId="276" priority="43">
      <formula>$E432=13</formula>
    </cfRule>
    <cfRule type="expression" dxfId="275" priority="44">
      <formula>$E432=12</formula>
    </cfRule>
  </conditionalFormatting>
  <conditionalFormatting sqref="C432:F432">
    <cfRule type="expression" dxfId="274" priority="45">
      <formula>$E432=10</formula>
    </cfRule>
    <cfRule type="expression" dxfId="273" priority="46">
      <formula>$E432=11</formula>
    </cfRule>
    <cfRule type="expression" dxfId="272" priority="47">
      <formula>$E432=18</formula>
    </cfRule>
    <cfRule type="expression" dxfId="271" priority="48">
      <formula>$E432=17</formula>
    </cfRule>
    <cfRule type="expression" dxfId="270" priority="49">
      <formula>$E432=16</formula>
    </cfRule>
    <cfRule type="expression" dxfId="269" priority="50">
      <formula>$E432=15</formula>
    </cfRule>
    <cfRule type="expression" dxfId="268" priority="51">
      <formula>$E432=14</formula>
    </cfRule>
    <cfRule type="expression" dxfId="267" priority="52">
      <formula>$E432=13</formula>
    </cfRule>
    <cfRule type="expression" dxfId="266" priority="53">
      <formula>$E432=12</formula>
    </cfRule>
  </conditionalFormatting>
  <conditionalFormatting sqref="AJ432:XFD432 A432:AG432">
    <cfRule type="expression" dxfId="265" priority="63">
      <formula>$E432&lt;12</formula>
    </cfRule>
    <cfRule type="expression" dxfId="264" priority="64">
      <formula>$E432=18</formula>
    </cfRule>
    <cfRule type="expression" dxfId="263" priority="65">
      <formula>$E432=17</formula>
    </cfRule>
    <cfRule type="expression" dxfId="262" priority="66">
      <formula>$E432=16</formula>
    </cfRule>
    <cfRule type="expression" dxfId="261" priority="67">
      <formula>$E432=15</formula>
    </cfRule>
    <cfRule type="expression" dxfId="260" priority="68">
      <formula>$E432=14</formula>
    </cfRule>
    <cfRule type="expression" dxfId="259" priority="69">
      <formula>$E432=13</formula>
    </cfRule>
    <cfRule type="expression" dxfId="258" priority="70">
      <formula>$E432=12</formula>
    </cfRule>
  </conditionalFormatting>
  <conditionalFormatting sqref="C433:F433">
    <cfRule type="expression" dxfId="257" priority="10">
      <formula>$E433=10</formula>
    </cfRule>
    <cfRule type="expression" dxfId="256" priority="11">
      <formula>$E433=11</formula>
    </cfRule>
    <cfRule type="expression" dxfId="255" priority="12">
      <formula>$E433=18</formula>
    </cfRule>
    <cfRule type="expression" dxfId="254" priority="13">
      <formula>$E433=17</formula>
    </cfRule>
    <cfRule type="expression" dxfId="253" priority="14">
      <formula>$E433=16</formula>
    </cfRule>
    <cfRule type="expression" dxfId="252" priority="15">
      <formula>$E433=15</formula>
    </cfRule>
    <cfRule type="expression" dxfId="251" priority="16">
      <formula>$E433=14</formula>
    </cfRule>
    <cfRule type="expression" dxfId="250" priority="17">
      <formula>$E433=13</formula>
    </cfRule>
    <cfRule type="expression" dxfId="249" priority="18">
      <formula>$E433=12</formula>
    </cfRule>
  </conditionalFormatting>
  <conditionalFormatting sqref="K433">
    <cfRule type="expression" dxfId="248" priority="1">
      <formula>$E433=10</formula>
    </cfRule>
    <cfRule type="expression" dxfId="247" priority="2">
      <formula>$E433=11</formula>
    </cfRule>
    <cfRule type="expression" dxfId="246" priority="3">
      <formula>$E433=18</formula>
    </cfRule>
    <cfRule type="expression" dxfId="245" priority="4">
      <formula>$E433=17</formula>
    </cfRule>
    <cfRule type="expression" dxfId="244" priority="5">
      <formula>$E433=16</formula>
    </cfRule>
    <cfRule type="expression" dxfId="243" priority="6">
      <formula>$E433=15</formula>
    </cfRule>
    <cfRule type="expression" dxfId="242" priority="7">
      <formula>$E433=14</formula>
    </cfRule>
    <cfRule type="expression" dxfId="241" priority="8">
      <formula>$E433=13</formula>
    </cfRule>
    <cfRule type="expression" dxfId="240" priority="9">
      <formula>$E433=12</formula>
    </cfRule>
  </conditionalFormatting>
  <conditionalFormatting sqref="AJ433:XFD433 A433:AG433">
    <cfRule type="expression" dxfId="239" priority="28">
      <formula>$E433&lt;12</formula>
    </cfRule>
    <cfRule type="expression" dxfId="238" priority="29">
      <formula>$E433=18</formula>
    </cfRule>
    <cfRule type="expression" dxfId="237" priority="30">
      <formula>$E433=17</formula>
    </cfRule>
    <cfRule type="expression" dxfId="236" priority="31">
      <formula>$E433=16</formula>
    </cfRule>
    <cfRule type="expression" dxfId="235" priority="32">
      <formula>$E433=15</formula>
    </cfRule>
    <cfRule type="expression" dxfId="234" priority="33">
      <formula>$E433=14</formula>
    </cfRule>
    <cfRule type="expression" dxfId="233" priority="34">
      <formula>$E433=13</formula>
    </cfRule>
    <cfRule type="expression" dxfId="232" priority="35">
      <formula>$E433=12</formula>
    </cfRule>
  </conditionalFormatting>
  <conditionalFormatting sqref="AJ433:XFD433 A433:AG433">
    <cfRule type="expression" dxfId="231" priority="19">
      <formula>$E433=10</formula>
    </cfRule>
    <cfRule type="expression" dxfId="230" priority="20">
      <formula>$E433=11</formula>
    </cfRule>
    <cfRule type="expression" dxfId="229" priority="21">
      <formula>$E433=18</formula>
    </cfRule>
    <cfRule type="expression" dxfId="228" priority="22">
      <formula>$E433=17</formula>
    </cfRule>
    <cfRule type="expression" dxfId="227" priority="23">
      <formula>$E433=16</formula>
    </cfRule>
    <cfRule type="expression" dxfId="226" priority="24">
      <formula>$E433=15</formula>
    </cfRule>
    <cfRule type="expression" dxfId="225" priority="25">
      <formula>$E433=14</formula>
    </cfRule>
    <cfRule type="expression" dxfId="224" priority="26">
      <formula>$E433=13</formula>
    </cfRule>
    <cfRule type="expression" dxfId="223" priority="27">
      <formula>$E433=12</formula>
    </cfRule>
  </conditionalFormatting>
  <hyperlinks>
    <hyperlink ref="I152" r:id="rId1" display="https://aes1.advancedeventsystems.com/Event/Volleyball/EventTeamInfo.aspx?ZCruShzPjMGv6cuivzEZ3bdHnxan7utPe-38b2URl8mzU62jttSjG3kENzzLrFO5DJ2gC4tYCpITNOPe7kWQLp22OSbVlCGBuLUYcUJcvMs1mfXaIumiL4opmJlO0to20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31"/>
  <sheetViews>
    <sheetView tabSelected="1" workbookViewId="0">
      <pane ySplit="1" topLeftCell="A2" activePane="bottomLeft" state="frozen"/>
      <selection pane="bottomLeft" activeCell="I168" sqref="I168"/>
    </sheetView>
  </sheetViews>
  <sheetFormatPr defaultRowHeight="15" x14ac:dyDescent="0.25"/>
  <cols>
    <col min="1" max="2" width="2.42578125" style="278" customWidth="1"/>
    <col min="3" max="4" width="5.85546875" style="278" bestFit="1" customWidth="1"/>
    <col min="5" max="5" width="4.28515625" style="278" bestFit="1" customWidth="1"/>
    <col min="6" max="6" width="8.42578125" style="278" bestFit="1" customWidth="1"/>
    <col min="7" max="7" width="13.140625" style="278" bestFit="1" customWidth="1"/>
    <col min="8" max="8" width="28.85546875" style="278" bestFit="1" customWidth="1"/>
    <col min="9" max="9" width="25.85546875" style="278" bestFit="1" customWidth="1"/>
    <col min="10" max="10" width="6.140625" style="278" bestFit="1" customWidth="1"/>
    <col min="11" max="11" width="13.85546875" style="279" bestFit="1" customWidth="1"/>
    <col min="12" max="12" width="11.42578125" style="278" bestFit="1" customWidth="1"/>
    <col min="13" max="13" width="10" style="279" bestFit="1" customWidth="1"/>
    <col min="14" max="15" width="6.7109375" style="278" bestFit="1" customWidth="1"/>
    <col min="16" max="16" width="6.7109375" style="278" customWidth="1"/>
    <col min="17" max="17" width="7.7109375" style="278" bestFit="1" customWidth="1"/>
    <col min="18" max="18" width="8.42578125" style="278" bestFit="1" customWidth="1"/>
    <col min="19" max="19" width="7.7109375" style="278" bestFit="1" customWidth="1"/>
    <col min="20" max="20" width="6.7109375" style="278" bestFit="1" customWidth="1"/>
    <col min="21" max="23" width="7.7109375" style="278" bestFit="1" customWidth="1"/>
    <col min="24" max="24" width="6.7109375" style="278" bestFit="1" customWidth="1"/>
    <col min="25" max="27" width="7.7109375" style="278" bestFit="1" customWidth="1"/>
    <col min="28" max="33" width="9.140625" style="278"/>
    <col min="35" max="35" width="12" bestFit="1" customWidth="1"/>
    <col min="36" max="36" width="12" style="278" bestFit="1" customWidth="1"/>
    <col min="37" max="16384" width="9.140625" style="278"/>
  </cols>
  <sheetData>
    <row r="1" spans="1:35" s="275" customFormat="1" ht="30" x14ac:dyDescent="0.25">
      <c r="A1" s="275" t="s">
        <v>196</v>
      </c>
      <c r="C1" s="275" t="s">
        <v>197</v>
      </c>
      <c r="D1" s="275" t="s">
        <v>198</v>
      </c>
      <c r="E1" s="275" t="s">
        <v>18</v>
      </c>
      <c r="F1" s="275" t="s">
        <v>199</v>
      </c>
      <c r="G1" s="275" t="s">
        <v>200</v>
      </c>
      <c r="H1" s="275" t="s">
        <v>201</v>
      </c>
      <c r="I1" s="275" t="s">
        <v>10</v>
      </c>
      <c r="K1" s="276" t="s">
        <v>202</v>
      </c>
      <c r="M1" s="276" t="s">
        <v>114</v>
      </c>
      <c r="N1" s="277" t="s">
        <v>203</v>
      </c>
      <c r="O1" s="277" t="s">
        <v>204</v>
      </c>
      <c r="P1" s="277" t="s">
        <v>204</v>
      </c>
      <c r="Q1" s="277" t="s">
        <v>205</v>
      </c>
      <c r="R1" s="277"/>
      <c r="S1" s="277" t="s">
        <v>206</v>
      </c>
      <c r="T1" s="277" t="s">
        <v>207</v>
      </c>
      <c r="U1" s="277" t="s">
        <v>208</v>
      </c>
      <c r="V1" s="277" t="s">
        <v>209</v>
      </c>
      <c r="W1" s="277" t="s">
        <v>210</v>
      </c>
      <c r="X1" s="277" t="s">
        <v>211</v>
      </c>
      <c r="Y1" s="277" t="s">
        <v>212</v>
      </c>
      <c r="Z1" s="277" t="s">
        <v>213</v>
      </c>
      <c r="AA1" s="277" t="s">
        <v>214</v>
      </c>
      <c r="AB1" s="277" t="s">
        <v>215</v>
      </c>
      <c r="AH1"/>
      <c r="AI1"/>
    </row>
    <row r="2" spans="1:35" x14ac:dyDescent="0.25">
      <c r="A2" s="278">
        <v>3</v>
      </c>
      <c r="C2" s="278">
        <f>IF(E2=E1,C1+1,1)</f>
        <v>1</v>
      </c>
      <c r="D2" s="278">
        <f>IF(M2=M1,D1,C2)</f>
        <v>1</v>
      </c>
      <c r="E2" s="278">
        <f>10+VALUE(RIGHT(LEFT(G2,3),1))</f>
        <v>11</v>
      </c>
      <c r="F2" s="278" t="str">
        <f>RIGHT(G2,2) &amp; IF(A2&lt;2,"x","")</f>
        <v>pm</v>
      </c>
      <c r="G2" s="278" t="s">
        <v>216</v>
      </c>
      <c r="H2" s="278" t="s">
        <v>217</v>
      </c>
      <c r="I2" s="278" t="s">
        <v>218</v>
      </c>
      <c r="K2" s="279">
        <f>LOOKUP(1E+100,M2:AC2)</f>
        <v>1369.8984600179906</v>
      </c>
      <c r="M2" s="279">
        <v>1400</v>
      </c>
      <c r="R2" s="278" t="str">
        <f>IF(AND((J2="This"),(L2="Only")),VLOOKUP(G2,#REF!,7,FALSE),"")</f>
        <v/>
      </c>
      <c r="S2" s="278">
        <v>1437.9335235749238</v>
      </c>
      <c r="T2" s="278">
        <v>1369.8984600179906</v>
      </c>
    </row>
    <row r="3" spans="1:35" x14ac:dyDescent="0.25">
      <c r="A3" s="278">
        <v>4</v>
      </c>
      <c r="C3" s="278">
        <f>IF(E3=E2,C2+1,1)</f>
        <v>2</v>
      </c>
      <c r="D3" s="278">
        <f>IF(M3=M2,D2,C3)</f>
        <v>2</v>
      </c>
      <c r="E3" s="278">
        <f>10+VALUE(RIGHT(LEFT(G3,3),1))</f>
        <v>11</v>
      </c>
      <c r="F3" s="278" t="str">
        <f>RIGHT(G3,2) &amp; IF(A3&lt;2,"x","")</f>
        <v>pm</v>
      </c>
      <c r="G3" s="278" t="s">
        <v>234</v>
      </c>
      <c r="H3" s="278" t="s">
        <v>232</v>
      </c>
      <c r="I3" s="278" t="s">
        <v>235</v>
      </c>
      <c r="K3" s="279">
        <f>LOOKUP(1E+100,M3:AC3)</f>
        <v>1233.3466974331975</v>
      </c>
      <c r="M3" s="279">
        <v>1200</v>
      </c>
      <c r="R3" s="278" t="str">
        <f>IF(AND((J3="This"),(L3="Only")),VLOOKUP(G3,#REF!,7,FALSE),"")</f>
        <v/>
      </c>
      <c r="S3" s="278">
        <v>1176.0869382150693</v>
      </c>
      <c r="V3" s="278">
        <v>1233.3466974331975</v>
      </c>
    </row>
    <row r="4" spans="1:35" x14ac:dyDescent="0.25">
      <c r="A4" s="278">
        <v>4</v>
      </c>
      <c r="C4" s="278">
        <f>IF(E4=E3,C3+1,1)</f>
        <v>3</v>
      </c>
      <c r="D4" s="278">
        <f>IF(M4=M3,D3,C4)</f>
        <v>2</v>
      </c>
      <c r="E4" s="278">
        <f>10+VALUE(RIGHT(LEFT(G4,3),1))</f>
        <v>11</v>
      </c>
      <c r="F4" s="278" t="str">
        <f>RIGHT(G4,2) &amp; IF(A4&lt;2,"x","")</f>
        <v>pm</v>
      </c>
      <c r="G4" s="278" t="s">
        <v>236</v>
      </c>
      <c r="H4" s="278" t="s">
        <v>232</v>
      </c>
      <c r="I4" s="278" t="s">
        <v>237</v>
      </c>
      <c r="K4" s="279">
        <f>LOOKUP(1E+100,M4:AC4)</f>
        <v>1230.6391901737691</v>
      </c>
      <c r="M4" s="279">
        <v>1200</v>
      </c>
      <c r="R4" s="278" t="str">
        <f>IF(AND((J4="This"),(L4="Only")),VLOOKUP(G4,#REF!,7,FALSE),"")</f>
        <v/>
      </c>
      <c r="S4" s="278">
        <v>1226.8555378745032</v>
      </c>
      <c r="V4" s="278">
        <v>1230.6391901737691</v>
      </c>
    </row>
    <row r="5" spans="1:35" x14ac:dyDescent="0.25">
      <c r="A5" s="278">
        <v>4</v>
      </c>
      <c r="C5" s="278">
        <f>IF(E5=E4,C4+1,1)</f>
        <v>4</v>
      </c>
      <c r="D5" s="278">
        <f>IF(M5=M4,D4,C5)</f>
        <v>4</v>
      </c>
      <c r="E5" s="278">
        <f>10+VALUE(RIGHT(LEFT(G5,3),1))</f>
        <v>11</v>
      </c>
      <c r="F5" s="278" t="str">
        <f>RIGHT(G5,2) &amp; IF(A5&lt;2,"x","")</f>
        <v>pm</v>
      </c>
      <c r="G5" s="278" t="s">
        <v>222</v>
      </c>
      <c r="H5" s="278" t="s">
        <v>223</v>
      </c>
      <c r="I5" s="278" t="s">
        <v>224</v>
      </c>
      <c r="K5" s="279">
        <f>LOOKUP(1E+100,M5:AC5)</f>
        <v>1216.8565925282476</v>
      </c>
      <c r="M5" s="279">
        <v>1300</v>
      </c>
      <c r="O5" s="278">
        <v>1220.3883471899449</v>
      </c>
      <c r="R5" s="278" t="str">
        <f>IF(AND((J5="This"),(L5="Only")),VLOOKUP(G5,#REF!,7,FALSE),"")</f>
        <v/>
      </c>
      <c r="S5" s="278">
        <v>1240.2255380634294</v>
      </c>
      <c r="V5" s="278">
        <v>1216.8565925282476</v>
      </c>
    </row>
    <row r="6" spans="1:35" x14ac:dyDescent="0.25">
      <c r="A6" s="278">
        <v>3</v>
      </c>
      <c r="C6" s="278">
        <f>IF(E6=E5,C5+1,1)</f>
        <v>5</v>
      </c>
      <c r="D6" s="278">
        <f>IF(M6=M5,D5,C6)</f>
        <v>5</v>
      </c>
      <c r="E6" s="278">
        <f>10+VALUE(RIGHT(LEFT(G6,3),1))</f>
        <v>11</v>
      </c>
      <c r="F6" s="278" t="str">
        <f>RIGHT(G6,2) &amp; IF(A6&lt;2,"x","")</f>
        <v>pm</v>
      </c>
      <c r="G6" s="278" t="s">
        <v>225</v>
      </c>
      <c r="H6" s="278" t="s">
        <v>226</v>
      </c>
      <c r="I6" s="278" t="s">
        <v>227</v>
      </c>
      <c r="K6" s="279">
        <f>LOOKUP(1E+100,M6:AC6)</f>
        <v>1214.9940196953432</v>
      </c>
      <c r="M6" s="279">
        <v>1266.6666666666667</v>
      </c>
      <c r="R6" s="278" t="str">
        <f>IF(AND((J6="This"),(L6="Only")),VLOOKUP(G6,#REF!,7,FALSE),"")</f>
        <v/>
      </c>
      <c r="S6" s="278">
        <v>1214.9940196953432</v>
      </c>
    </row>
    <row r="7" spans="1:35" x14ac:dyDescent="0.25">
      <c r="A7" s="278">
        <v>4</v>
      </c>
      <c r="C7" s="278">
        <f>IF(E7=E6,C6+1,1)</f>
        <v>6</v>
      </c>
      <c r="D7" s="278">
        <f>IF(M7=M6,D6,C7)</f>
        <v>6</v>
      </c>
      <c r="E7" s="278">
        <f>10+VALUE(RIGHT(LEFT(G7,3),1))</f>
        <v>11</v>
      </c>
      <c r="F7" s="278" t="str">
        <f>RIGHT(G7,2) &amp; IF(A7&lt;2,"x","")</f>
        <v>pm</v>
      </c>
      <c r="G7" s="278" t="s">
        <v>231</v>
      </c>
      <c r="H7" s="278" t="s">
        <v>232</v>
      </c>
      <c r="I7" s="278" t="s">
        <v>233</v>
      </c>
      <c r="K7" s="279">
        <f>LOOKUP(1E+100,M7:AC7)</f>
        <v>1199.3436780073632</v>
      </c>
      <c r="M7" s="279">
        <v>1200</v>
      </c>
      <c r="R7" s="278" t="str">
        <f>IF(AND((J7="This"),(L7="Only")),VLOOKUP(G7,#REF!,7,FALSE),"")</f>
        <v/>
      </c>
      <c r="S7" s="278">
        <v>1165.8661889498064</v>
      </c>
      <c r="V7" s="278">
        <v>1199.3436780073632</v>
      </c>
    </row>
    <row r="8" spans="1:35" x14ac:dyDescent="0.25">
      <c r="A8" s="278">
        <v>3</v>
      </c>
      <c r="C8" s="278">
        <f>IF(E8=E7,C7+1,1)</f>
        <v>1</v>
      </c>
      <c r="D8" s="278">
        <f>IF(M8=M7,D7,C8)</f>
        <v>1</v>
      </c>
      <c r="E8" s="278">
        <f>10+VALUE(RIGHT(LEFT(G8,3),1))</f>
        <v>12</v>
      </c>
      <c r="F8" s="278" t="str">
        <f>RIGHT(G8,2) &amp; IF(A8&lt;2,"x","")</f>
        <v>pm</v>
      </c>
      <c r="G8" s="278" t="s">
        <v>272</v>
      </c>
      <c r="H8" s="278" t="s">
        <v>217</v>
      </c>
      <c r="I8" s="278" t="s">
        <v>273</v>
      </c>
      <c r="K8" s="279">
        <f>LOOKUP(1E+100,M8:AC8)</f>
        <v>1597.0988941571195</v>
      </c>
      <c r="M8" s="279">
        <v>1400</v>
      </c>
      <c r="O8" s="278">
        <v>1490.8936464090691</v>
      </c>
      <c r="R8" s="278" t="str">
        <f>IF(AND((J8="This"),(L8="Only")),VLOOKUP(G8,#REF!,7,FALSE),"")</f>
        <v/>
      </c>
      <c r="S8" s="278">
        <v>1597.0988941571195</v>
      </c>
    </row>
    <row r="9" spans="1:35" x14ac:dyDescent="0.25">
      <c r="A9" s="278">
        <v>4</v>
      </c>
      <c r="C9" s="278">
        <f>IF(E9=E8,C8+1,1)</f>
        <v>2</v>
      </c>
      <c r="D9" s="278">
        <f>IF(M9=M8,D8,C9)</f>
        <v>2</v>
      </c>
      <c r="E9" s="278">
        <f>10+VALUE(RIGHT(LEFT(G9,3),1))</f>
        <v>12</v>
      </c>
      <c r="F9" s="278" t="str">
        <f>RIGHT(G9,2) &amp; IF(A9&lt;2,"x","")</f>
        <v>pm</v>
      </c>
      <c r="G9" s="278" t="s">
        <v>251</v>
      </c>
      <c r="H9" s="278" t="s">
        <v>252</v>
      </c>
      <c r="I9" s="278" t="s">
        <v>253</v>
      </c>
      <c r="K9" s="279">
        <f>LOOKUP(1E+100,M9:AC9)</f>
        <v>1594.5351714058854</v>
      </c>
      <c r="M9" s="279">
        <v>1600</v>
      </c>
      <c r="R9" s="278" t="str">
        <f>IF(AND((J9="This"),(L9="Only")),VLOOKUP(G9,#REF!,7,FALSE),"")</f>
        <v/>
      </c>
      <c r="S9" s="278">
        <v>1594.5351714058854</v>
      </c>
    </row>
    <row r="10" spans="1:35" x14ac:dyDescent="0.25">
      <c r="A10" s="278">
        <v>4</v>
      </c>
      <c r="C10" s="278">
        <f>IF(E10=E9,C9+1,1)</f>
        <v>3</v>
      </c>
      <c r="D10" s="278">
        <f>IF(M10=M9,D9,C10)</f>
        <v>3</v>
      </c>
      <c r="E10" s="278">
        <f>10+VALUE(RIGHT(LEFT(G10,3),1))</f>
        <v>12</v>
      </c>
      <c r="F10" s="278" t="str">
        <f>RIGHT(G10,2) &amp; IF(A10&lt;2,"x","")</f>
        <v>pm</v>
      </c>
      <c r="G10" s="278" t="s">
        <v>256</v>
      </c>
      <c r="H10" s="278" t="s">
        <v>226</v>
      </c>
      <c r="I10" s="278" t="s">
        <v>257</v>
      </c>
      <c r="K10" s="279">
        <f>LOOKUP(1E+100,M10:AC10)</f>
        <v>1588.7121935660714</v>
      </c>
      <c r="M10" s="279">
        <v>1500</v>
      </c>
      <c r="R10" s="278" t="str">
        <f>IF(AND((J10="This"),(L10="Only")),VLOOKUP(G10,#REF!,7,FALSE),"")</f>
        <v/>
      </c>
      <c r="S10" s="278">
        <v>1588.7121935660714</v>
      </c>
    </row>
    <row r="11" spans="1:35" x14ac:dyDescent="0.25">
      <c r="A11" s="278">
        <v>4</v>
      </c>
      <c r="C11" s="278">
        <f>IF(E11=E10,C10+1,1)</f>
        <v>4</v>
      </c>
      <c r="D11" s="278">
        <f>IF(M11=M10,D10,C11)</f>
        <v>4</v>
      </c>
      <c r="E11" s="278">
        <f>10+VALUE(RIGHT(LEFT(G11,3),1))</f>
        <v>12</v>
      </c>
      <c r="F11" s="278" t="str">
        <f>RIGHT(G11,2) &amp; IF(A11&lt;2,"x","")</f>
        <v>pm</v>
      </c>
      <c r="G11" s="278" t="s">
        <v>267</v>
      </c>
      <c r="H11" s="278" t="s">
        <v>268</v>
      </c>
      <c r="I11" s="278" t="s">
        <v>269</v>
      </c>
      <c r="K11" s="279">
        <f>LOOKUP(1E+100,M11:AC11)</f>
        <v>1584.5549621974531</v>
      </c>
      <c r="M11" s="279">
        <v>1400</v>
      </c>
      <c r="O11" s="278">
        <v>1424.8014199287991</v>
      </c>
      <c r="R11" s="278" t="str">
        <f>IF(AND((J11="This"),(L11="Only")),VLOOKUP(G11,#REF!,7,FALSE),"")</f>
        <v/>
      </c>
      <c r="T11" s="278">
        <v>1531.814236061155</v>
      </c>
      <c r="V11" s="278">
        <v>1584.5549621974531</v>
      </c>
    </row>
    <row r="12" spans="1:35" x14ac:dyDescent="0.25">
      <c r="A12" s="278">
        <v>3</v>
      </c>
      <c r="C12" s="278">
        <f>IF(E12=E11,C11+1,1)</f>
        <v>5</v>
      </c>
      <c r="D12" s="278">
        <f>IF(M12=M11,D11,C12)</f>
        <v>4</v>
      </c>
      <c r="E12" s="278">
        <f>10+VALUE(RIGHT(LEFT(G12,3),1))</f>
        <v>12</v>
      </c>
      <c r="F12" s="278" t="str">
        <f>RIGHT(G12,2) &amp; IF(A12&lt;2,"x","")</f>
        <v>pm</v>
      </c>
      <c r="G12" s="278" t="s">
        <v>274</v>
      </c>
      <c r="H12" s="278" t="s">
        <v>217</v>
      </c>
      <c r="I12" s="278" t="s">
        <v>275</v>
      </c>
      <c r="K12" s="279">
        <f>LOOKUP(1E+100,M12:AC12)</f>
        <v>1552.5217618694735</v>
      </c>
      <c r="M12" s="279">
        <v>1400</v>
      </c>
      <c r="O12" s="278">
        <v>1470.8271049211355</v>
      </c>
      <c r="R12" s="278" t="str">
        <f>IF(AND((J12="This"),(L12="Only")),VLOOKUP(G12,#REF!,7,FALSE),"")</f>
        <v/>
      </c>
      <c r="S12" s="278">
        <v>1552.5217618694735</v>
      </c>
    </row>
    <row r="13" spans="1:35" x14ac:dyDescent="0.25">
      <c r="A13" s="278">
        <v>3</v>
      </c>
      <c r="C13" s="278">
        <f>IF(E13=E12,C12+1,1)</f>
        <v>6</v>
      </c>
      <c r="D13" s="278">
        <f>IF(M13=M12,D12,C13)</f>
        <v>6</v>
      </c>
      <c r="E13" s="278">
        <f>10+VALUE(RIGHT(LEFT(G13,3),1))</f>
        <v>12</v>
      </c>
      <c r="F13" s="278" t="str">
        <f>RIGHT(G13,2) &amp; IF(A13&lt;2,"x","")</f>
        <v>pm</v>
      </c>
      <c r="G13" s="278" t="s">
        <v>249</v>
      </c>
      <c r="H13" s="278" t="s">
        <v>217</v>
      </c>
      <c r="I13" s="278" t="s">
        <v>250</v>
      </c>
      <c r="K13" s="279">
        <f>LOOKUP(1E+100,M13:AC13)</f>
        <v>1552.399145092096</v>
      </c>
      <c r="M13" s="279">
        <v>1600</v>
      </c>
      <c r="R13" s="278" t="str">
        <f>IF(AND((J13="This"),(L13="Only")),VLOOKUP(G13,#REF!,7,FALSE),"")</f>
        <v/>
      </c>
      <c r="S13" s="278">
        <v>1545.0658002022537</v>
      </c>
      <c r="T13" s="278">
        <v>1552.399145092096</v>
      </c>
    </row>
    <row r="14" spans="1:35" x14ac:dyDescent="0.25">
      <c r="A14" s="278">
        <v>3</v>
      </c>
      <c r="C14" s="278">
        <f>IF(E14=E13,C13+1,1)</f>
        <v>7</v>
      </c>
      <c r="D14" s="278">
        <f>IF(M14=M13,D13,C14)</f>
        <v>7</v>
      </c>
      <c r="E14" s="278">
        <f>10+VALUE(RIGHT(LEFT(G14,3),1))</f>
        <v>12</v>
      </c>
      <c r="F14" s="278" t="str">
        <f>RIGHT(G14,2) &amp; IF(A14&lt;2,"x","")</f>
        <v>pm</v>
      </c>
      <c r="G14" s="278" t="s">
        <v>270</v>
      </c>
      <c r="H14" s="278" t="s">
        <v>217</v>
      </c>
      <c r="I14" s="278" t="s">
        <v>271</v>
      </c>
      <c r="K14" s="279">
        <f>LOOKUP(1E+100,M14:AC14)</f>
        <v>1547.6054388640575</v>
      </c>
      <c r="M14" s="279">
        <v>1400</v>
      </c>
      <c r="O14" s="278">
        <v>1474.9258546035371</v>
      </c>
      <c r="R14" s="278" t="str">
        <f>IF(AND((J14="This"),(L14="Only")),VLOOKUP(G14,#REF!,7,FALSE),"")</f>
        <v/>
      </c>
      <c r="S14" s="278">
        <v>1547.6054388640575</v>
      </c>
    </row>
    <row r="15" spans="1:35" x14ac:dyDescent="0.25">
      <c r="A15" s="278">
        <v>3</v>
      </c>
      <c r="C15" s="278">
        <f>IF(E15=E14,C14+1,1)</f>
        <v>8</v>
      </c>
      <c r="D15" s="278">
        <f>IF(M15=M14,D14,C15)</f>
        <v>7</v>
      </c>
      <c r="E15" s="278">
        <f>10+VALUE(RIGHT(LEFT(G15,3),1))</f>
        <v>12</v>
      </c>
      <c r="F15" s="278" t="str">
        <f>RIGHT(G15,2) &amp; IF(A15&lt;2,"x","")</f>
        <v>pm</v>
      </c>
      <c r="G15" s="278" t="s">
        <v>306</v>
      </c>
      <c r="H15" s="278" t="s">
        <v>226</v>
      </c>
      <c r="I15" s="278" t="s">
        <v>307</v>
      </c>
      <c r="K15" s="279">
        <f>LOOKUP(1E+100,M15:AC15)</f>
        <v>1498.741500196315</v>
      </c>
      <c r="M15" s="279">
        <v>1400</v>
      </c>
      <c r="R15" s="278" t="str">
        <f>IF(AND((J15="This"),(L15="Only")),VLOOKUP(G15,#REF!,7,FALSE),"")</f>
        <v/>
      </c>
      <c r="V15" s="278">
        <v>1498.741500196315</v>
      </c>
    </row>
    <row r="16" spans="1:35" x14ac:dyDescent="0.25">
      <c r="A16" s="278">
        <v>4</v>
      </c>
      <c r="C16" s="278">
        <f>IF(E16=E15,C15+1,1)</f>
        <v>9</v>
      </c>
      <c r="D16" s="278">
        <f>IF(M16=M15,D15,C16)</f>
        <v>7</v>
      </c>
      <c r="E16" s="278">
        <f>10+VALUE(RIGHT(LEFT(G16,3),1))</f>
        <v>12</v>
      </c>
      <c r="F16" s="278" t="str">
        <f>RIGHT(G16,2) &amp; IF(A16&lt;2,"x","")</f>
        <v>pm</v>
      </c>
      <c r="G16" s="278" t="s">
        <v>280</v>
      </c>
      <c r="H16" s="278" t="s">
        <v>281</v>
      </c>
      <c r="I16" s="278" t="s">
        <v>282</v>
      </c>
      <c r="K16" s="279">
        <f>LOOKUP(1E+100,M16:AC16)</f>
        <v>1482.7085948011659</v>
      </c>
      <c r="M16" s="279">
        <v>1400</v>
      </c>
      <c r="R16" s="278" t="str">
        <f>IF(AND((J16="This"),(L16="Only")),VLOOKUP(G16,#REF!,7,FALSE),"")</f>
        <v/>
      </c>
      <c r="S16" s="278">
        <v>1481.9064108927323</v>
      </c>
      <c r="T16" s="278">
        <v>1482.7085948011659</v>
      </c>
    </row>
    <row r="17" spans="1:22" x14ac:dyDescent="0.25">
      <c r="A17" s="278">
        <v>2</v>
      </c>
      <c r="C17" s="278">
        <f>IF(E17=E16,C16+1,1)</f>
        <v>10</v>
      </c>
      <c r="D17" s="278">
        <f>IF(M17=M16,D16,C17)</f>
        <v>7</v>
      </c>
      <c r="E17" s="278">
        <f>10+VALUE(RIGHT(LEFT(G17,3),1))</f>
        <v>12</v>
      </c>
      <c r="F17" s="278" t="str">
        <f>RIGHT(G17,2) &amp; IF(A17&lt;2,"x","")</f>
        <v>pm</v>
      </c>
      <c r="G17" s="278" t="s">
        <v>289</v>
      </c>
      <c r="H17" s="278" t="s">
        <v>290</v>
      </c>
      <c r="I17" s="278" t="s">
        <v>291</v>
      </c>
      <c r="K17" s="279">
        <f>LOOKUP(1E+100,M17:AC17)</f>
        <v>1457.5420336558111</v>
      </c>
      <c r="M17" s="279">
        <v>1400</v>
      </c>
      <c r="R17" s="278" t="str">
        <f>IF(AND((J17="This"),(L17="Only")),VLOOKUP(G17,#REF!,7,FALSE),"")</f>
        <v/>
      </c>
      <c r="T17" s="278">
        <v>1457.5420336558111</v>
      </c>
    </row>
    <row r="18" spans="1:22" x14ac:dyDescent="0.25">
      <c r="A18" s="278">
        <v>5</v>
      </c>
      <c r="C18" s="278">
        <f>IF(E18=E17,C17+1,1)</f>
        <v>11</v>
      </c>
      <c r="D18" s="278">
        <f>IF(M18=M17,D17,C18)</f>
        <v>7</v>
      </c>
      <c r="E18" s="278">
        <f>10+VALUE(RIGHT(LEFT(G18,3),1))</f>
        <v>12</v>
      </c>
      <c r="F18" s="278" t="str">
        <f>RIGHT(G18,2) &amp; IF(A18&lt;2,"x","")</f>
        <v>pm</v>
      </c>
      <c r="G18" s="280" t="s">
        <v>258</v>
      </c>
      <c r="H18" s="278" t="s">
        <v>259</v>
      </c>
      <c r="I18" s="278" t="s">
        <v>260</v>
      </c>
      <c r="K18" s="279">
        <f>LOOKUP(1E+100,M18:AC18)</f>
        <v>1442.8319701170221</v>
      </c>
      <c r="M18" s="279">
        <v>1400</v>
      </c>
      <c r="O18" s="278">
        <v>1359.8313547797393</v>
      </c>
      <c r="R18" s="278" t="str">
        <f>IF(AND((J18="This"),(L18="Only")),VLOOKUP(G18,#REF!,7,FALSE),"")</f>
        <v/>
      </c>
      <c r="S18" s="278">
        <v>1376.9109943231629</v>
      </c>
      <c r="T18" s="278">
        <v>1442.8319701170221</v>
      </c>
    </row>
    <row r="19" spans="1:22" x14ac:dyDescent="0.25">
      <c r="A19" s="278">
        <v>5</v>
      </c>
      <c r="C19" s="278">
        <f>IF(E19=E18,C18+1,1)</f>
        <v>12</v>
      </c>
      <c r="D19" s="278">
        <f>IF(M19=M18,D18,C19)</f>
        <v>7</v>
      </c>
      <c r="E19" s="278">
        <f>10+VALUE(RIGHT(LEFT(G19,3),1))</f>
        <v>12</v>
      </c>
      <c r="F19" s="278" t="str">
        <f>RIGHT(G19,2) &amp; IF(A19&lt;2,"x","")</f>
        <v>pm</v>
      </c>
      <c r="G19" s="278" t="s">
        <v>317</v>
      </c>
      <c r="H19" s="278" t="s">
        <v>318</v>
      </c>
      <c r="I19" s="278" t="s">
        <v>319</v>
      </c>
      <c r="K19" s="279">
        <f>LOOKUP(1E+100,M19:AC19)</f>
        <v>1439.4176887113954</v>
      </c>
      <c r="M19" s="279">
        <v>1400</v>
      </c>
      <c r="R19" s="278" t="str">
        <f>IF(AND((J19="This"),(L19="Only")),VLOOKUP(G19,#REF!,7,FALSE),"")</f>
        <v/>
      </c>
      <c r="S19" s="278">
        <v>1420.6812562153646</v>
      </c>
      <c r="T19" s="278">
        <v>1439.4176887113954</v>
      </c>
    </row>
    <row r="20" spans="1:22" x14ac:dyDescent="0.25">
      <c r="A20" s="278">
        <v>5</v>
      </c>
      <c r="C20" s="278">
        <f>IF(E20=E19,C19+1,1)</f>
        <v>13</v>
      </c>
      <c r="D20" s="278">
        <f>IF(M20=M19,D19,C20)</f>
        <v>7</v>
      </c>
      <c r="E20" s="278">
        <f>10+VALUE(RIGHT(LEFT(G20,3),1))</f>
        <v>12</v>
      </c>
      <c r="F20" s="278" t="str">
        <f>RIGHT(G20,2) &amp; IF(A20&lt;2,"x","")</f>
        <v>pm</v>
      </c>
      <c r="G20" s="278" t="s">
        <v>320</v>
      </c>
      <c r="H20" s="278" t="s">
        <v>232</v>
      </c>
      <c r="I20" s="278" t="s">
        <v>321</v>
      </c>
      <c r="K20" s="279">
        <f>LOOKUP(1E+100,M20:AC20)</f>
        <v>1438.2606481323326</v>
      </c>
      <c r="M20" s="279">
        <v>1400</v>
      </c>
      <c r="R20" s="278" t="str">
        <f>IF(AND((J20="This"),(L20="Only")),VLOOKUP(G20,#REF!,7,FALSE),"")</f>
        <v/>
      </c>
      <c r="S20" s="278">
        <v>1394.6922807192168</v>
      </c>
      <c r="T20" s="278">
        <v>1450.3242032415919</v>
      </c>
      <c r="V20" s="278">
        <v>1438.2606481323326</v>
      </c>
    </row>
    <row r="21" spans="1:22" x14ac:dyDescent="0.25">
      <c r="A21" s="278">
        <v>5</v>
      </c>
      <c r="C21" s="278">
        <f>IF(E21=E20,C20+1,1)</f>
        <v>14</v>
      </c>
      <c r="D21" s="278">
        <f>IF(M21=M20,D20,C21)</f>
        <v>7</v>
      </c>
      <c r="E21" s="278">
        <f>10+VALUE(RIGHT(LEFT(G21,3),1))</f>
        <v>12</v>
      </c>
      <c r="F21" s="278" t="str">
        <f>RIGHT(G21,2) &amp; IF(A21&lt;2,"x","")</f>
        <v>pm</v>
      </c>
      <c r="G21" s="278" t="s">
        <v>283</v>
      </c>
      <c r="H21" s="278" t="s">
        <v>284</v>
      </c>
      <c r="I21" s="278" t="s">
        <v>285</v>
      </c>
      <c r="K21" s="279">
        <f>LOOKUP(1E+100,M21:AC21)</f>
        <v>1428.9948068214296</v>
      </c>
      <c r="M21" s="279">
        <v>1400</v>
      </c>
      <c r="R21" s="278" t="str">
        <f>IF(AND((J21="This"),(L21="Only")),VLOOKUP(G21,#REF!,7,FALSE),"")</f>
        <v/>
      </c>
      <c r="S21" s="278">
        <v>1439.3040279119832</v>
      </c>
      <c r="T21" s="278">
        <v>1410.8128235954669</v>
      </c>
      <c r="V21" s="278">
        <v>1428.9948068214296</v>
      </c>
    </row>
    <row r="22" spans="1:22" x14ac:dyDescent="0.25">
      <c r="A22" s="278">
        <v>4</v>
      </c>
      <c r="C22" s="278">
        <f>IF(E22=E21,C21+1,1)</f>
        <v>15</v>
      </c>
      <c r="D22" s="278">
        <f>IF(M22=M21,D21,C22)</f>
        <v>7</v>
      </c>
      <c r="E22" s="278">
        <f>10+VALUE(RIGHT(LEFT(G22,3),1))</f>
        <v>12</v>
      </c>
      <c r="F22" s="278" t="str">
        <f>RIGHT(G22,2) &amp; IF(A22&lt;2,"x","")</f>
        <v>pm</v>
      </c>
      <c r="G22" s="278" t="s">
        <v>322</v>
      </c>
      <c r="H22" s="278" t="s">
        <v>323</v>
      </c>
      <c r="I22" s="278" t="s">
        <v>324</v>
      </c>
      <c r="K22" s="279">
        <f>LOOKUP(1E+100,M22:AC22)</f>
        <v>1411.3842368219443</v>
      </c>
      <c r="M22" s="279">
        <v>1400</v>
      </c>
      <c r="R22" s="278" t="str">
        <f>IF(AND((J22="This"),(L22="Only")),VLOOKUP(G22,#REF!,7,FALSE),"")</f>
        <v/>
      </c>
      <c r="S22" s="278">
        <v>1365.2789041780873</v>
      </c>
      <c r="T22" s="278">
        <v>1411.3842368219443</v>
      </c>
    </row>
    <row r="23" spans="1:22" x14ac:dyDescent="0.25">
      <c r="A23" s="278">
        <v>6</v>
      </c>
      <c r="C23" s="278">
        <f>IF(E23=E22,C22+1,1)</f>
        <v>16</v>
      </c>
      <c r="D23" s="278">
        <f>IF(M23=M22,D22,C23)</f>
        <v>16</v>
      </c>
      <c r="E23" s="278">
        <f>10+VALUE(RIGHT(LEFT(G23,3),1))</f>
        <v>12</v>
      </c>
      <c r="F23" s="278" t="str">
        <f>RIGHT(G23,2) &amp; IF(A23&lt;2,"x","")</f>
        <v>pm</v>
      </c>
      <c r="G23" s="278" t="s">
        <v>332</v>
      </c>
      <c r="H23" s="278" t="s">
        <v>333</v>
      </c>
      <c r="I23" s="278" t="s">
        <v>334</v>
      </c>
      <c r="K23" s="279">
        <f>LOOKUP(1E+100,M23:AC23)</f>
        <v>1405.1025780622188</v>
      </c>
      <c r="M23" s="279">
        <v>1366.6666666666667</v>
      </c>
      <c r="O23" s="278">
        <v>1368.846762184352</v>
      </c>
      <c r="R23" s="278" t="str">
        <f>IF(AND((J23="This"),(L23="Only")),VLOOKUP(G23,#REF!,7,FALSE),"")</f>
        <v/>
      </c>
      <c r="S23" s="278">
        <v>1343.7160524871026</v>
      </c>
      <c r="T23" s="278">
        <v>1420.369437083843</v>
      </c>
      <c r="V23" s="278">
        <v>1405.1025780622188</v>
      </c>
    </row>
    <row r="24" spans="1:22" x14ac:dyDescent="0.25">
      <c r="A24" s="278">
        <v>3</v>
      </c>
      <c r="C24" s="278">
        <f>IF(E24=E23,C23+1,1)</f>
        <v>17</v>
      </c>
      <c r="D24" s="278">
        <f>IF(M24=M23,D23,C24)</f>
        <v>17</v>
      </c>
      <c r="E24" s="278">
        <f>10+VALUE(RIGHT(LEFT(G24,3),1))</f>
        <v>12</v>
      </c>
      <c r="F24" s="278" t="str">
        <f>RIGHT(G24,2) &amp; IF(A24&lt;2,"x","")</f>
        <v>pm</v>
      </c>
      <c r="G24" s="278" t="s">
        <v>312</v>
      </c>
      <c r="H24" s="278" t="s">
        <v>226</v>
      </c>
      <c r="I24" s="278" t="s">
        <v>313</v>
      </c>
      <c r="K24" s="279">
        <f>LOOKUP(1E+100,M24:AC24)</f>
        <v>1392.8100796128085</v>
      </c>
      <c r="M24" s="279">
        <v>1400</v>
      </c>
      <c r="R24" s="278" t="str">
        <f>IF(AND((J24="This"),(L24="Only")),VLOOKUP(G24,#REF!,7,FALSE),"")</f>
        <v/>
      </c>
      <c r="V24" s="278">
        <v>1392.8100796128085</v>
      </c>
    </row>
    <row r="25" spans="1:22" x14ac:dyDescent="0.25">
      <c r="A25" s="278">
        <v>5</v>
      </c>
      <c r="C25" s="278">
        <f>IF(E25=E24,C24+1,1)</f>
        <v>18</v>
      </c>
      <c r="D25" s="278">
        <f>IF(M25=M24,D24,C25)</f>
        <v>17</v>
      </c>
      <c r="E25" s="278">
        <f>10+VALUE(RIGHT(LEFT(G25,3),1))</f>
        <v>12</v>
      </c>
      <c r="F25" s="278" t="str">
        <f>RIGHT(G25,2) &amp; IF(A25&lt;2,"x","")</f>
        <v>pm</v>
      </c>
      <c r="G25" s="278" t="s">
        <v>314</v>
      </c>
      <c r="H25" s="278" t="s">
        <v>315</v>
      </c>
      <c r="I25" s="278" t="s">
        <v>316</v>
      </c>
      <c r="K25" s="279">
        <f>LOOKUP(1E+100,M25:AC25)</f>
        <v>1375.4433983168517</v>
      </c>
      <c r="M25" s="279">
        <v>1400</v>
      </c>
      <c r="O25" s="278">
        <v>1317.0177436725585</v>
      </c>
      <c r="R25" s="278" t="str">
        <f>IF(AND((J25="This"),(L25="Only")),VLOOKUP(G25,#REF!,7,FALSE),"")</f>
        <v/>
      </c>
      <c r="T25" s="278">
        <v>1396.2263060585235</v>
      </c>
      <c r="V25" s="278">
        <v>1375.4433983168517</v>
      </c>
    </row>
    <row r="26" spans="1:22" x14ac:dyDescent="0.25">
      <c r="A26" s="278">
        <v>3</v>
      </c>
      <c r="C26" s="278">
        <f>IF(E26=E25,C25+1,1)</f>
        <v>19</v>
      </c>
      <c r="D26" s="278">
        <f>IF(M26=M25,D25,C26)</f>
        <v>17</v>
      </c>
      <c r="E26" s="278">
        <f>10+VALUE(RIGHT(LEFT(G26,3),1))</f>
        <v>12</v>
      </c>
      <c r="F26" s="278" t="str">
        <f>RIGHT(G26,2) &amp; IF(A26&lt;2,"x","")</f>
        <v>pm</v>
      </c>
      <c r="G26" s="278" t="s">
        <v>310</v>
      </c>
      <c r="H26" s="278" t="s">
        <v>226</v>
      </c>
      <c r="I26" s="278" t="s">
        <v>311</v>
      </c>
      <c r="K26" s="279">
        <f>LOOKUP(1E+100,M26:AC26)</f>
        <v>1363.4627166828639</v>
      </c>
      <c r="M26" s="279">
        <v>1400</v>
      </c>
      <c r="R26" s="278" t="str">
        <f>IF(AND((J26="This"),(L26="Only")),VLOOKUP(G26,#REF!,7,FALSE),"")</f>
        <v/>
      </c>
      <c r="S26" s="278">
        <v>1363.4627166828639</v>
      </c>
    </row>
    <row r="27" spans="1:22" x14ac:dyDescent="0.25">
      <c r="A27" s="278">
        <v>4</v>
      </c>
      <c r="C27" s="278">
        <f>IF(E27=E26,C26+1,1)</f>
        <v>20</v>
      </c>
      <c r="D27" s="278">
        <f>IF(M27=M26,D26,C27)</f>
        <v>17</v>
      </c>
      <c r="E27" s="278">
        <f>10+VALUE(RIGHT(LEFT(G27,3),1))</f>
        <v>12</v>
      </c>
      <c r="F27" s="278" t="str">
        <f>RIGHT(G27,2) &amp; IF(A27&lt;2,"x","")</f>
        <v>pm</v>
      </c>
      <c r="G27" s="278" t="s">
        <v>295</v>
      </c>
      <c r="H27" s="278" t="s">
        <v>296</v>
      </c>
      <c r="I27" s="278" t="s">
        <v>297</v>
      </c>
      <c r="K27" s="279">
        <f>LOOKUP(1E+100,M27:AC27)</f>
        <v>1354.0026826130036</v>
      </c>
      <c r="M27" s="279">
        <v>1400</v>
      </c>
      <c r="R27" s="278" t="str">
        <f>IF(AND((J27="This"),(L27="Only")),VLOOKUP(G27,#REF!,7,FALSE),"")</f>
        <v/>
      </c>
      <c r="S27" s="278">
        <v>1339.4461517631892</v>
      </c>
      <c r="T27" s="278">
        <v>1354.0026826130036</v>
      </c>
    </row>
    <row r="28" spans="1:22" x14ac:dyDescent="0.25">
      <c r="A28" s="278">
        <v>3</v>
      </c>
      <c r="C28" s="278">
        <f>IF(E28=E27,C27+1,1)</f>
        <v>21</v>
      </c>
      <c r="D28" s="278">
        <f>IF(M28=M27,D27,C28)</f>
        <v>17</v>
      </c>
      <c r="E28" s="278">
        <f>10+VALUE(RIGHT(LEFT(G28,3),1))</f>
        <v>12</v>
      </c>
      <c r="F28" s="278" t="str">
        <f>RIGHT(G28,2) &amp; IF(A28&lt;2,"x","")</f>
        <v>pm</v>
      </c>
      <c r="G28" s="278" t="s">
        <v>278</v>
      </c>
      <c r="H28" s="278" t="s">
        <v>217</v>
      </c>
      <c r="I28" s="278" t="s">
        <v>279</v>
      </c>
      <c r="K28" s="279">
        <f>LOOKUP(1E+100,M28:AC28)</f>
        <v>1344.0894005280031</v>
      </c>
      <c r="M28" s="279">
        <v>1400</v>
      </c>
      <c r="R28" s="278" t="str">
        <f>IF(AND((J28="This"),(L28="Only")),VLOOKUP(G28,#REF!,7,FALSE),"")</f>
        <v/>
      </c>
      <c r="S28" s="278">
        <v>1313.5677811716366</v>
      </c>
      <c r="T28" s="278">
        <v>1344.0894005280031</v>
      </c>
    </row>
    <row r="29" spans="1:22" x14ac:dyDescent="0.25">
      <c r="A29" s="278">
        <v>4</v>
      </c>
      <c r="C29" s="278">
        <f>IF(E29=E28,C28+1,1)</f>
        <v>22</v>
      </c>
      <c r="D29" s="278">
        <f>IF(M29=M28,D28,C29)</f>
        <v>17</v>
      </c>
      <c r="E29" s="278">
        <f>10+VALUE(RIGHT(LEFT(G29,3),1))</f>
        <v>12</v>
      </c>
      <c r="F29" s="278" t="str">
        <f>RIGHT(G29,2) &amp; IF(A29&lt;2,"x","")</f>
        <v>pm</v>
      </c>
      <c r="G29" s="278" t="s">
        <v>325</v>
      </c>
      <c r="H29" s="278" t="s">
        <v>323</v>
      </c>
      <c r="I29" s="278" t="s">
        <v>326</v>
      </c>
      <c r="K29" s="279">
        <f>LOOKUP(1E+100,M29:AC29)</f>
        <v>1340.443133695343</v>
      </c>
      <c r="M29" s="279">
        <v>1400</v>
      </c>
      <c r="R29" s="278" t="str">
        <f>IF(AND((J29="This"),(L29="Only")),VLOOKUP(G29,#REF!,7,FALSE),"")</f>
        <v/>
      </c>
      <c r="S29" s="278">
        <v>1441.9714593347824</v>
      </c>
      <c r="T29" s="278">
        <v>1340.443133695343</v>
      </c>
    </row>
    <row r="30" spans="1:22" x14ac:dyDescent="0.25">
      <c r="A30" s="278">
        <v>4</v>
      </c>
      <c r="C30" s="278">
        <f>IF(E30=E29,C29+1,1)</f>
        <v>23</v>
      </c>
      <c r="D30" s="278">
        <f>IF(M30=M29,D29,C30)</f>
        <v>23</v>
      </c>
      <c r="E30" s="278">
        <f>10+VALUE(RIGHT(LEFT(G30,3),1))</f>
        <v>12</v>
      </c>
      <c r="F30" s="278" t="str">
        <f>RIGHT(G30,2) &amp; IF(A30&lt;2,"x","")</f>
        <v>pm</v>
      </c>
      <c r="G30" s="278" t="s">
        <v>356</v>
      </c>
      <c r="H30" s="278" t="s">
        <v>232</v>
      </c>
      <c r="I30" s="278" t="s">
        <v>357</v>
      </c>
      <c r="K30" s="279">
        <f>LOOKUP(1E+100,M30:AC30)</f>
        <v>1332.4149795123046</v>
      </c>
      <c r="M30" s="279">
        <v>1200</v>
      </c>
      <c r="R30" s="278" t="str">
        <f>IF(AND((J30="This"),(L30="Only")),VLOOKUP(G30,#REF!,7,FALSE),"")</f>
        <v/>
      </c>
      <c r="S30" s="278">
        <v>1268.8246362009256</v>
      </c>
      <c r="V30" s="278">
        <v>1332.4149795123046</v>
      </c>
    </row>
    <row r="31" spans="1:22" x14ac:dyDescent="0.25">
      <c r="A31" s="278">
        <v>3</v>
      </c>
      <c r="C31" s="278">
        <f>IF(E31=E30,C30+1,1)</f>
        <v>24</v>
      </c>
      <c r="D31" s="278">
        <f>IF(M31=M30,D30,C31)</f>
        <v>24</v>
      </c>
      <c r="E31" s="278">
        <f>10+VALUE(RIGHT(LEFT(G31,3),1))</f>
        <v>12</v>
      </c>
      <c r="F31" s="278" t="str">
        <f>RIGHT(G31,2) &amp; IF(A31&lt;2,"x","")</f>
        <v>pm</v>
      </c>
      <c r="G31" s="278" t="s">
        <v>276</v>
      </c>
      <c r="H31" s="278" t="s">
        <v>217</v>
      </c>
      <c r="I31" s="278" t="s">
        <v>277</v>
      </c>
      <c r="K31" s="279">
        <f>LOOKUP(1E+100,M31:AC31)</f>
        <v>1314.8627941243271</v>
      </c>
      <c r="M31" s="279">
        <v>1400</v>
      </c>
      <c r="R31" s="278" t="str">
        <f>IF(AND((J31="This"),(L31="Only")),VLOOKUP(G31,#REF!,7,FALSE),"")</f>
        <v/>
      </c>
      <c r="S31" s="278">
        <v>1395.3301340799349</v>
      </c>
      <c r="T31" s="278">
        <v>1314.8627941243271</v>
      </c>
    </row>
    <row r="32" spans="1:22" x14ac:dyDescent="0.25">
      <c r="A32" s="278">
        <v>3</v>
      </c>
      <c r="C32" s="278">
        <f>IF(E32=E31,C31+1,1)</f>
        <v>25</v>
      </c>
      <c r="D32" s="278">
        <f>IF(M32=M31,D31,C32)</f>
        <v>24</v>
      </c>
      <c r="E32" s="278">
        <f>10+VALUE(RIGHT(LEFT(G32,3),1))</f>
        <v>12</v>
      </c>
      <c r="F32" s="278" t="str">
        <f>RIGHT(G32,2) &amp; IF(A32&lt;2,"x","")</f>
        <v>pm</v>
      </c>
      <c r="G32" s="278" t="s">
        <v>308</v>
      </c>
      <c r="H32" s="278" t="s">
        <v>226</v>
      </c>
      <c r="I32" s="278" t="s">
        <v>309</v>
      </c>
      <c r="K32" s="279">
        <f>LOOKUP(1E+100,M32:AC32)</f>
        <v>1298.9950797310169</v>
      </c>
      <c r="M32" s="279">
        <v>1400</v>
      </c>
      <c r="R32" s="278" t="str">
        <f>IF(AND((J32="This"),(L32="Only")),VLOOKUP(G32,#REF!,7,FALSE),"")</f>
        <v/>
      </c>
      <c r="S32" s="278">
        <v>1298.9950797310169</v>
      </c>
    </row>
    <row r="33" spans="1:22" x14ac:dyDescent="0.25">
      <c r="A33" s="278">
        <v>3</v>
      </c>
      <c r="C33" s="278">
        <f>IF(E33=E32,C32+1,1)</f>
        <v>26</v>
      </c>
      <c r="D33" s="278">
        <f>IF(M33=M32,D32,C33)</f>
        <v>26</v>
      </c>
      <c r="E33" s="278">
        <f>10+VALUE(RIGHT(LEFT(G33,3),1))</f>
        <v>12</v>
      </c>
      <c r="F33" s="278" t="str">
        <f>RIGHT(G33,2) &amp; IF(A33&lt;2,"x","")</f>
        <v>pm</v>
      </c>
      <c r="G33" s="278" t="s">
        <v>345</v>
      </c>
      <c r="H33" s="278" t="s">
        <v>252</v>
      </c>
      <c r="I33" s="278" t="s">
        <v>346</v>
      </c>
      <c r="K33" s="279">
        <f>LOOKUP(1E+100,M33:AC33)</f>
        <v>1293.6267294435881</v>
      </c>
      <c r="M33" s="279">
        <v>1200</v>
      </c>
      <c r="R33" s="278" t="str">
        <f>IF(AND((J33="This"),(L33="Only")),VLOOKUP(G33,#REF!,7,FALSE),"")</f>
        <v/>
      </c>
      <c r="S33" s="278">
        <v>1222.3604297626539</v>
      </c>
      <c r="T33" s="278">
        <v>1250.6062258294207</v>
      </c>
      <c r="V33" s="278">
        <v>1293.6267294435881</v>
      </c>
    </row>
    <row r="34" spans="1:22" x14ac:dyDescent="0.25">
      <c r="A34" s="278">
        <v>4</v>
      </c>
      <c r="C34" s="278">
        <f>IF(E34=E33,C33+1,1)</f>
        <v>27</v>
      </c>
      <c r="D34" s="278">
        <f>IF(M34=M33,D33,C34)</f>
        <v>27</v>
      </c>
      <c r="E34" s="278">
        <f>10+VALUE(RIGHT(LEFT(G34,3),1))</f>
        <v>12</v>
      </c>
      <c r="F34" s="278" t="str">
        <f>RIGHT(G34,2) &amp; IF(A34&lt;2,"x","")</f>
        <v>pm</v>
      </c>
      <c r="G34" s="278" t="s">
        <v>300</v>
      </c>
      <c r="H34" s="278" t="s">
        <v>301</v>
      </c>
      <c r="I34" s="278" t="s">
        <v>302</v>
      </c>
      <c r="K34" s="279">
        <f>LOOKUP(1E+100,M34:AC34)</f>
        <v>1282.8814689298702</v>
      </c>
      <c r="M34" s="279">
        <v>1400</v>
      </c>
      <c r="R34" s="278" t="str">
        <f>IF(AND((J34="This"),(L34="Only")),VLOOKUP(G34,#REF!,7,FALSE),"")</f>
        <v/>
      </c>
      <c r="T34" s="278">
        <v>1304.5564991499768</v>
      </c>
      <c r="V34" s="278">
        <v>1282.8814689298702</v>
      </c>
    </row>
    <row r="35" spans="1:22" x14ac:dyDescent="0.25">
      <c r="A35" s="278">
        <v>3</v>
      </c>
      <c r="C35" s="278">
        <f>IF(E35=E34,C34+1,1)</f>
        <v>28</v>
      </c>
      <c r="D35" s="278">
        <f>IF(M35=M34,D34,C35)</f>
        <v>27</v>
      </c>
      <c r="E35" s="278">
        <f>10+VALUE(RIGHT(LEFT(G35,3),1))</f>
        <v>12</v>
      </c>
      <c r="F35" s="278" t="str">
        <f>RIGHT(G35,2) &amp; IF(A35&lt;2,"x","")</f>
        <v>pm</v>
      </c>
      <c r="G35" s="278" t="s">
        <v>298</v>
      </c>
      <c r="H35" s="278" t="s">
        <v>296</v>
      </c>
      <c r="I35" s="278" t="s">
        <v>299</v>
      </c>
      <c r="K35" s="279">
        <f>LOOKUP(1E+100,M35:AC35)</f>
        <v>1262.2688698980021</v>
      </c>
      <c r="M35" s="279">
        <v>1400</v>
      </c>
      <c r="R35" s="278" t="str">
        <f>IF(AND((J35="This"),(L35="Only")),VLOOKUP(G35,#REF!,7,FALSE),"")</f>
        <v/>
      </c>
      <c r="T35" s="278">
        <v>1262.2688698980021</v>
      </c>
    </row>
    <row r="36" spans="1:22" x14ac:dyDescent="0.25">
      <c r="A36" s="278">
        <v>2</v>
      </c>
      <c r="C36" s="278">
        <f>IF(E36=E35,C35+1,1)</f>
        <v>29</v>
      </c>
      <c r="D36" s="278">
        <f>IF(M36=M35,D35,C36)</f>
        <v>29</v>
      </c>
      <c r="E36" s="278">
        <f>10+VALUE(RIGHT(LEFT(G36,3),1))</f>
        <v>12</v>
      </c>
      <c r="F36" s="278" t="str">
        <f>RIGHT(G36,2) &amp; IF(A36&lt;2,"x","")</f>
        <v>pm</v>
      </c>
      <c r="G36" s="278" t="s">
        <v>347</v>
      </c>
      <c r="H36" s="278" t="s">
        <v>252</v>
      </c>
      <c r="I36" s="278" t="s">
        <v>348</v>
      </c>
      <c r="K36" s="279">
        <f>LOOKUP(1E+100,M36:AC36)</f>
        <v>1252.9739815801377</v>
      </c>
      <c r="M36" s="279">
        <v>1200</v>
      </c>
      <c r="R36" s="278" t="str">
        <f>IF(AND((J36="This"),(L36="Only")),VLOOKUP(G36,#REF!,7,FALSE),"")</f>
        <v/>
      </c>
      <c r="S36" s="278">
        <v>1177.5284599285887</v>
      </c>
      <c r="T36" s="278">
        <v>1231.7907169886246</v>
      </c>
      <c r="V36" s="278">
        <v>1252.9739815801377</v>
      </c>
    </row>
    <row r="37" spans="1:22" x14ac:dyDescent="0.25">
      <c r="A37" s="278">
        <v>3</v>
      </c>
      <c r="C37" s="278">
        <f>IF(E37=E36,C36+1,1)</f>
        <v>30</v>
      </c>
      <c r="D37" s="278">
        <f>IF(M37=M36,D36,C37)</f>
        <v>29</v>
      </c>
      <c r="E37" s="278">
        <f>10+VALUE(RIGHT(LEFT(G37,3),1))</f>
        <v>12</v>
      </c>
      <c r="F37" s="278" t="str">
        <f>RIGHT(G37,2) &amp; IF(A37&lt;2,"x","")</f>
        <v>pm</v>
      </c>
      <c r="G37" s="278" t="s">
        <v>337</v>
      </c>
      <c r="H37" s="278" t="s">
        <v>217</v>
      </c>
      <c r="I37" s="278" t="s">
        <v>338</v>
      </c>
      <c r="K37" s="279">
        <f>LOOKUP(1E+100,M37:AC37)</f>
        <v>1232.4333282362945</v>
      </c>
      <c r="M37" s="279">
        <v>1200</v>
      </c>
      <c r="R37" s="278" t="str">
        <f>IF(AND((J37="This"),(L37="Only")),VLOOKUP(G37,#REF!,7,FALSE),"")</f>
        <v/>
      </c>
      <c r="S37" s="278">
        <v>1198.7332252889023</v>
      </c>
      <c r="T37" s="278">
        <v>1207.2949680843783</v>
      </c>
      <c r="V37" s="278">
        <v>1232.4333282362945</v>
      </c>
    </row>
    <row r="38" spans="1:22" x14ac:dyDescent="0.25">
      <c r="A38" s="278">
        <v>4</v>
      </c>
      <c r="C38" s="278">
        <f>IF(E38=E37,C37+1,1)</f>
        <v>31</v>
      </c>
      <c r="D38" s="278">
        <f>IF(M38=M37,D37,C38)</f>
        <v>29</v>
      </c>
      <c r="E38" s="278">
        <f>10+VALUE(RIGHT(LEFT(G38,3),1))</f>
        <v>12</v>
      </c>
      <c r="F38" s="278" t="str">
        <f>RIGHT(G38,2) &amp; IF(A38&lt;2,"x","")</f>
        <v>pm</v>
      </c>
      <c r="G38" s="278" t="s">
        <v>354</v>
      </c>
      <c r="H38" s="278" t="s">
        <v>232</v>
      </c>
      <c r="I38" s="278" t="s">
        <v>355</v>
      </c>
      <c r="K38" s="279">
        <f>LOOKUP(1E+100,M38:AC38)</f>
        <v>1206.7266798132362</v>
      </c>
      <c r="M38" s="279">
        <v>1200</v>
      </c>
      <c r="R38" s="278" t="str">
        <f>IF(AND((J38="This"),(L38="Only")),VLOOKUP(G38,#REF!,7,FALSE),"")</f>
        <v/>
      </c>
      <c r="S38" s="278">
        <v>1210.0364093066682</v>
      </c>
      <c r="V38" s="278">
        <v>1206.7266798132362</v>
      </c>
    </row>
    <row r="39" spans="1:22" x14ac:dyDescent="0.25">
      <c r="A39" s="278">
        <v>2</v>
      </c>
      <c r="C39" s="278">
        <f>IF(E39=E38,C38+1,1)</f>
        <v>32</v>
      </c>
      <c r="D39" s="278">
        <f>IF(M39=M38,D38,C39)</f>
        <v>29</v>
      </c>
      <c r="E39" s="278">
        <f>10+VALUE(RIGHT(LEFT(G39,3),1))</f>
        <v>12</v>
      </c>
      <c r="F39" s="278" t="str">
        <f>RIGHT(G39,2) &amp; IF(A39&lt;2,"x","")</f>
        <v>pm</v>
      </c>
      <c r="G39" s="278" t="s">
        <v>349</v>
      </c>
      <c r="H39" s="278" t="s">
        <v>296</v>
      </c>
      <c r="I39" s="278" t="s">
        <v>350</v>
      </c>
      <c r="K39" s="279">
        <f>LOOKUP(1E+100,M39:AC39)</f>
        <v>1190.8699600920074</v>
      </c>
      <c r="M39" s="279">
        <v>1200</v>
      </c>
      <c r="R39" s="278" t="str">
        <f>IF(AND((J39="This"),(L39="Only")),VLOOKUP(G39,#REF!,7,FALSE),"")</f>
        <v/>
      </c>
      <c r="V39" s="278">
        <v>1190.8699600920074</v>
      </c>
    </row>
    <row r="40" spans="1:22" x14ac:dyDescent="0.25">
      <c r="A40" s="278">
        <v>4</v>
      </c>
      <c r="C40" s="278">
        <f>IF(E40=E39,C39+1,1)</f>
        <v>33</v>
      </c>
      <c r="D40" s="278">
        <f>IF(M40=M39,D39,C40)</f>
        <v>33</v>
      </c>
      <c r="E40" s="278">
        <f>10+VALUE(RIGHT(LEFT(G40,3),1))</f>
        <v>12</v>
      </c>
      <c r="F40" s="278" t="str">
        <f>RIGHT(G40,2) &amp; IF(A40&lt;2,"x","")</f>
        <v>pm</v>
      </c>
      <c r="G40" s="278" t="s">
        <v>286</v>
      </c>
      <c r="H40" s="278" t="s">
        <v>287</v>
      </c>
      <c r="I40" s="278" t="s">
        <v>288</v>
      </c>
      <c r="K40" s="279">
        <f>LOOKUP(1E+100,M40:AC40)</f>
        <v>1182.3261223768773</v>
      </c>
      <c r="M40" s="279">
        <v>1400</v>
      </c>
      <c r="R40" s="278" t="str">
        <f>IF(AND((J40="This"),(L40="Only")),VLOOKUP(G40,#REF!,7,FALSE),"")</f>
        <v/>
      </c>
      <c r="S40" s="278">
        <v>1296.3634893108842</v>
      </c>
      <c r="T40" s="278">
        <v>1221.8365208689011</v>
      </c>
      <c r="V40" s="278">
        <v>1182.3261223768773</v>
      </c>
    </row>
    <row r="41" spans="1:22" x14ac:dyDescent="0.25">
      <c r="A41" s="278">
        <v>6</v>
      </c>
      <c r="C41" s="278">
        <f>IF(E41=E40,C40+1,1)</f>
        <v>34</v>
      </c>
      <c r="D41" s="278">
        <f>IF(M41=M40,D40,C41)</f>
        <v>33</v>
      </c>
      <c r="E41" s="278">
        <f>10+VALUE(RIGHT(LEFT(G41,3),1))</f>
        <v>12</v>
      </c>
      <c r="F41" s="278" t="str">
        <f>RIGHT(G41,2) &amp; IF(A41&lt;2,"x","")</f>
        <v>pm</v>
      </c>
      <c r="G41" s="278" t="s">
        <v>292</v>
      </c>
      <c r="H41" s="278" t="s">
        <v>293</v>
      </c>
      <c r="I41" s="278" t="s">
        <v>294</v>
      </c>
      <c r="K41" s="279">
        <f>LOOKUP(1E+100,M41:AC41)</f>
        <v>1172.8946927404108</v>
      </c>
      <c r="M41" s="279">
        <v>1400</v>
      </c>
      <c r="O41" s="278">
        <v>1301.6735721662928</v>
      </c>
      <c r="R41" s="278" t="str">
        <f>IF(AND((J41="This"),(L41="Only")),VLOOKUP(G41,#REF!,7,FALSE),"")</f>
        <v/>
      </c>
      <c r="S41" s="278">
        <v>1246.3111984541233</v>
      </c>
      <c r="T41" s="278">
        <v>1226.0702313271092</v>
      </c>
      <c r="V41" s="278">
        <v>1172.8946927404108</v>
      </c>
    </row>
    <row r="42" spans="1:22" x14ac:dyDescent="0.25">
      <c r="A42" s="278">
        <v>4</v>
      </c>
      <c r="C42" s="278">
        <f>IF(E42=E41,C41+1,1)</f>
        <v>35</v>
      </c>
      <c r="D42" s="278">
        <f>IF(M42=M41,D41,C42)</f>
        <v>35</v>
      </c>
      <c r="E42" s="278">
        <f>10+VALUE(RIGHT(LEFT(G42,3),1))</f>
        <v>12</v>
      </c>
      <c r="F42" s="278" t="str">
        <f>RIGHT(G42,2) &amp; IF(A42&lt;2,"x","")</f>
        <v>pm</v>
      </c>
      <c r="G42" s="278" t="s">
        <v>360</v>
      </c>
      <c r="H42" s="278" t="s">
        <v>361</v>
      </c>
      <c r="I42" s="278" t="s">
        <v>362</v>
      </c>
      <c r="K42" s="279">
        <f>LOOKUP(1E+100,M42:AC42)</f>
        <v>1141.2104363370433</v>
      </c>
      <c r="M42" s="279">
        <v>1200</v>
      </c>
      <c r="R42" s="278" t="str">
        <f>IF(AND((J42="This"),(L42="Only")),VLOOKUP(G42,#REF!,7,FALSE),"")</f>
        <v/>
      </c>
      <c r="S42" s="278">
        <v>1235.9114015896889</v>
      </c>
      <c r="V42" s="278">
        <v>1141.2104363370433</v>
      </c>
    </row>
    <row r="43" spans="1:22" x14ac:dyDescent="0.25">
      <c r="A43" s="278">
        <v>3</v>
      </c>
      <c r="C43" s="278">
        <f>IF(E43=E42,C42+1,1)</f>
        <v>36</v>
      </c>
      <c r="D43" s="278">
        <f>IF(M43=M42,D42,C43)</f>
        <v>35</v>
      </c>
      <c r="E43" s="278">
        <f>10+VALUE(RIGHT(LEFT(G43,3),1))</f>
        <v>12</v>
      </c>
      <c r="F43" s="278" t="str">
        <f>RIGHT(G43,2) &amp; IF(A43&lt;2,"x","")</f>
        <v>pm</v>
      </c>
      <c r="G43" s="280" t="s">
        <v>335</v>
      </c>
      <c r="H43" s="278" t="s">
        <v>259</v>
      </c>
      <c r="I43" s="278" t="s">
        <v>336</v>
      </c>
      <c r="K43" s="279">
        <f>LOOKUP(1E+100,M43:AC43)</f>
        <v>1138.6942092454178</v>
      </c>
      <c r="M43" s="279">
        <v>1200</v>
      </c>
      <c r="R43" s="278" t="str">
        <f>IF(AND((J43="This"),(L43="Only")),VLOOKUP(G43,#REF!,7,FALSE),"")</f>
        <v/>
      </c>
      <c r="S43" s="278">
        <v>1159.5990105628869</v>
      </c>
      <c r="T43" s="278">
        <v>1138.6942092454178</v>
      </c>
    </row>
    <row r="44" spans="1:22" x14ac:dyDescent="0.25">
      <c r="A44" s="278">
        <v>3</v>
      </c>
      <c r="C44" s="278">
        <f>IF(E44=E43,C43+1,1)</f>
        <v>37</v>
      </c>
      <c r="D44" s="278">
        <f>IF(M44=M43,D43,C44)</f>
        <v>35</v>
      </c>
      <c r="E44" s="278">
        <f>10+VALUE(RIGHT(LEFT(G44,3),1))</f>
        <v>12</v>
      </c>
      <c r="F44" s="278" t="str">
        <f>RIGHT(G44,2) &amp; IF(A44&lt;2,"x","")</f>
        <v>pm</v>
      </c>
      <c r="G44" s="278" t="s">
        <v>339</v>
      </c>
      <c r="H44" s="278" t="s">
        <v>217</v>
      </c>
      <c r="I44" s="278" t="s">
        <v>340</v>
      </c>
      <c r="K44" s="279">
        <f>LOOKUP(1E+100,M44:AC44)</f>
        <v>1107.1369587677066</v>
      </c>
      <c r="M44" s="279">
        <v>1200</v>
      </c>
      <c r="R44" s="278" t="str">
        <f>IF(AND((J44="This"),(L44="Only")),VLOOKUP(G44,#REF!,7,FALSE),"")</f>
        <v/>
      </c>
      <c r="S44" s="278">
        <v>1164.9127778263323</v>
      </c>
      <c r="T44" s="278">
        <v>1162.9144133651291</v>
      </c>
      <c r="V44" s="278">
        <v>1107.1369587677066</v>
      </c>
    </row>
    <row r="45" spans="1:22" x14ac:dyDescent="0.25">
      <c r="A45" s="278">
        <v>4</v>
      </c>
      <c r="C45" s="278">
        <f>IF(E45=E44,C44+1,1)</f>
        <v>1</v>
      </c>
      <c r="D45" s="278">
        <f>IF(M45=M44,D44,C45)</f>
        <v>1</v>
      </c>
      <c r="E45" s="278">
        <f>10+VALUE(RIGHT(LEFT(G45,3),1))</f>
        <v>13</v>
      </c>
      <c r="F45" s="278" t="str">
        <f>RIGHT(G45,2) &amp; IF(A45&lt;2,"x","")</f>
        <v>pm</v>
      </c>
      <c r="G45" s="278" t="s">
        <v>375</v>
      </c>
      <c r="H45" s="278" t="s">
        <v>217</v>
      </c>
      <c r="I45" s="278" t="s">
        <v>376</v>
      </c>
      <c r="K45" s="279">
        <f>LOOKUP(1E+100,M45:AC45)</f>
        <v>2179.8632995599451</v>
      </c>
      <c r="M45" s="279">
        <v>2000</v>
      </c>
      <c r="N45" s="278">
        <v>2136.3174765642048</v>
      </c>
      <c r="R45" s="278" t="str">
        <f>IF(AND((J45="This"),(L45="Only")),VLOOKUP(G45,#REF!,7,FALSE),"")</f>
        <v/>
      </c>
      <c r="U45" s="278">
        <v>2179.8632995599451</v>
      </c>
    </row>
    <row r="46" spans="1:22" x14ac:dyDescent="0.25">
      <c r="A46" s="278">
        <v>3</v>
      </c>
      <c r="C46" s="278">
        <f>IF(E46=E45,C45+1,1)</f>
        <v>2</v>
      </c>
      <c r="D46" s="278">
        <f>IF(M46=M45,D45,C46)</f>
        <v>1</v>
      </c>
      <c r="E46" s="278">
        <f>10+VALUE(RIGHT(LEFT(G46,3),1))</f>
        <v>13</v>
      </c>
      <c r="F46" s="278" t="str">
        <f>RIGHT(G46,2) &amp; IF(A46&lt;2,"x","")</f>
        <v>pm</v>
      </c>
      <c r="G46" s="278" t="s">
        <v>384</v>
      </c>
      <c r="H46" s="278" t="s">
        <v>385</v>
      </c>
      <c r="I46" s="278" t="s">
        <v>386</v>
      </c>
      <c r="K46" s="279">
        <f>LOOKUP(1E+100,M46:AC46)</f>
        <v>2126.7732935713634</v>
      </c>
      <c r="M46" s="279">
        <v>2000</v>
      </c>
      <c r="N46" s="278">
        <v>2068.8673410456058</v>
      </c>
      <c r="R46" s="278" t="str">
        <f>IF(AND((J46="This"),(L46="Only")),VLOOKUP(G46,#REF!,7,FALSE),"")</f>
        <v/>
      </c>
      <c r="U46" s="278">
        <v>2126.7732935713634</v>
      </c>
    </row>
    <row r="47" spans="1:22" x14ac:dyDescent="0.25">
      <c r="A47" s="278">
        <v>3</v>
      </c>
      <c r="C47" s="278">
        <f>IF(E47=E46,C46+1,1)</f>
        <v>3</v>
      </c>
      <c r="D47" s="278">
        <f>IF(M47=M46,D46,C47)</f>
        <v>1</v>
      </c>
      <c r="E47" s="278">
        <f>10+VALUE(RIGHT(LEFT(G47,3),1))</f>
        <v>13</v>
      </c>
      <c r="F47" s="278" t="str">
        <f>RIGHT(G47,2) &amp; IF(A47&lt;2,"x","")</f>
        <v>pm</v>
      </c>
      <c r="G47" s="278" t="s">
        <v>415</v>
      </c>
      <c r="H47" s="278" t="s">
        <v>416</v>
      </c>
      <c r="I47" s="278" t="s">
        <v>417</v>
      </c>
      <c r="K47" s="279">
        <f>LOOKUP(1E+100,M47:AC47)</f>
        <v>2108.9668891287279</v>
      </c>
      <c r="M47" s="279">
        <v>2000</v>
      </c>
      <c r="P47" s="278">
        <v>2108.9668891287279</v>
      </c>
      <c r="R47" s="278" t="str">
        <f>IF(AND((J47="This"),(L47="Only")),VLOOKUP(G47,#REF!,7,FALSE),"")</f>
        <v/>
      </c>
    </row>
    <row r="48" spans="1:22" x14ac:dyDescent="0.25">
      <c r="A48" s="278">
        <v>2</v>
      </c>
      <c r="C48" s="278">
        <f>IF(E48=E47,C47+1,1)</f>
        <v>4</v>
      </c>
      <c r="D48" s="278">
        <f>IF(M48=M47,D47,C48)</f>
        <v>1</v>
      </c>
      <c r="E48" s="278">
        <f>10+VALUE(RIGHT(LEFT(G48,3),1))</f>
        <v>13</v>
      </c>
      <c r="F48" s="278" t="str">
        <f>RIGHT(G48,2) &amp; IF(A48&lt;2,"x","")</f>
        <v>pm</v>
      </c>
      <c r="G48" s="278" t="s">
        <v>387</v>
      </c>
      <c r="H48" s="278" t="s">
        <v>226</v>
      </c>
      <c r="I48" s="278" t="s">
        <v>388</v>
      </c>
      <c r="K48" s="279">
        <f>LOOKUP(1E+100,M48:AC48)</f>
        <v>2070.7625433400967</v>
      </c>
      <c r="M48" s="279">
        <v>2000</v>
      </c>
      <c r="R48" s="278" t="str">
        <f>IF(AND((J48="This"),(L48="Only")),VLOOKUP(G48,#REF!,7,FALSE),"")</f>
        <v/>
      </c>
      <c r="S48" s="278">
        <v>2070.7625433400967</v>
      </c>
    </row>
    <row r="49" spans="1:22" x14ac:dyDescent="0.25">
      <c r="A49" s="278">
        <v>6</v>
      </c>
      <c r="C49" s="278">
        <f>IF(E49=E48,C48+1,1)</f>
        <v>5</v>
      </c>
      <c r="D49" s="278">
        <f>IF(M49=M48,D48,C49)</f>
        <v>1</v>
      </c>
      <c r="E49" s="278">
        <f>10+VALUE(RIGHT(LEFT(G49,3),1))</f>
        <v>13</v>
      </c>
      <c r="F49" s="278" t="str">
        <f>RIGHT(G49,2) &amp; IF(A49&lt;2,"x","")</f>
        <v>pm</v>
      </c>
      <c r="G49" s="278" t="s">
        <v>377</v>
      </c>
      <c r="H49" s="278" t="s">
        <v>284</v>
      </c>
      <c r="I49" s="278" t="s">
        <v>378</v>
      </c>
      <c r="K49" s="279">
        <f>LOOKUP(1E+100,M49:AC49)</f>
        <v>2056.8719586490975</v>
      </c>
      <c r="M49" s="279">
        <v>2000</v>
      </c>
      <c r="N49" s="278">
        <v>2121.6308368759796</v>
      </c>
      <c r="P49" s="278">
        <v>2175.8772912480499</v>
      </c>
      <c r="R49" s="278" t="str">
        <f>IF(AND((J49="This"),(L49="Only")),VLOOKUP(G49,#REF!,7,FALSE),"")</f>
        <v/>
      </c>
      <c r="S49" s="278">
        <v>2102.4237747330426</v>
      </c>
      <c r="U49" s="278">
        <v>2056.8719586490975</v>
      </c>
    </row>
    <row r="50" spans="1:22" x14ac:dyDescent="0.25">
      <c r="A50" s="278">
        <v>4</v>
      </c>
      <c r="C50" s="278">
        <f>IF(E50=E49,C49+1,1)</f>
        <v>6</v>
      </c>
      <c r="D50" s="278">
        <f>IF(M50=M49,D49,C50)</f>
        <v>6</v>
      </c>
      <c r="E50" s="278">
        <f>10+VALUE(RIGHT(LEFT(G50,3),1))</f>
        <v>13</v>
      </c>
      <c r="F50" s="278" t="str">
        <f>RIGHT(G50,2) &amp; IF(A50&lt;2,"x","")</f>
        <v>pm</v>
      </c>
      <c r="G50" s="278" t="s">
        <v>418</v>
      </c>
      <c r="H50" s="278" t="s">
        <v>252</v>
      </c>
      <c r="I50" s="278" t="s">
        <v>419</v>
      </c>
      <c r="K50" s="279">
        <f>LOOKUP(1E+100,M50:AC50)</f>
        <v>2043.9635883050619</v>
      </c>
      <c r="M50" s="279">
        <v>1950</v>
      </c>
      <c r="R50" s="278" t="str">
        <f>IF(AND((J50="This"),(L50="Only")),VLOOKUP(G50,#REF!,7,FALSE),"")</f>
        <v/>
      </c>
      <c r="S50" s="278">
        <v>2043.9635883050619</v>
      </c>
    </row>
    <row r="51" spans="1:22" x14ac:dyDescent="0.25">
      <c r="A51" s="278">
        <v>3</v>
      </c>
      <c r="C51" s="278">
        <f>IF(E51=E50,C50+1,1)</f>
        <v>7</v>
      </c>
      <c r="D51" s="278">
        <f>IF(M51=M50,D50,C51)</f>
        <v>7</v>
      </c>
      <c r="E51" s="278">
        <f>10+VALUE(RIGHT(LEFT(G51,3),1))</f>
        <v>13</v>
      </c>
      <c r="F51" s="278" t="str">
        <f>RIGHT(G51,2) &amp; IF(A51&lt;2,"x","")</f>
        <v>pm</v>
      </c>
      <c r="G51" s="278" t="s">
        <v>379</v>
      </c>
      <c r="H51" s="278" t="s">
        <v>290</v>
      </c>
      <c r="I51" s="278" t="s">
        <v>380</v>
      </c>
      <c r="K51" s="279">
        <f>LOOKUP(1E+100,M51:AC51)</f>
        <v>2032.4693952819664</v>
      </c>
      <c r="M51" s="279">
        <v>2000</v>
      </c>
      <c r="R51" s="278" t="str">
        <f>IF(AND((J51="This"),(L51="Only")),VLOOKUP(G51,#REF!,7,FALSE),"")</f>
        <v/>
      </c>
      <c r="S51" s="278">
        <v>2019.5944937514193</v>
      </c>
      <c r="U51" s="278">
        <v>2032.4693952819664</v>
      </c>
    </row>
    <row r="52" spans="1:22" x14ac:dyDescent="0.25">
      <c r="A52" s="278">
        <v>2</v>
      </c>
      <c r="C52" s="278">
        <f>IF(E52=E51,C51+1,1)</f>
        <v>8</v>
      </c>
      <c r="D52" s="278">
        <f>IF(M52=M51,D51,C52)</f>
        <v>7</v>
      </c>
      <c r="E52" s="278">
        <f>10+VALUE(RIGHT(LEFT(G52,3),1))</f>
        <v>13</v>
      </c>
      <c r="F52" s="278" t="str">
        <f>RIGHT(G52,2) &amp; IF(A52&lt;2,"x","")</f>
        <v>pm</v>
      </c>
      <c r="G52" s="278" t="s">
        <v>391</v>
      </c>
      <c r="H52" s="278" t="s">
        <v>226</v>
      </c>
      <c r="I52" s="278" t="s">
        <v>392</v>
      </c>
      <c r="K52" s="279">
        <f>LOOKUP(1E+100,M52:AC52)</f>
        <v>2000</v>
      </c>
      <c r="M52" s="279">
        <v>2000</v>
      </c>
      <c r="R52" s="278" t="str">
        <f>IF(AND((J52="This"),(L52="Only")),VLOOKUP(G52,#REF!,7,FALSE),"")</f>
        <v/>
      </c>
    </row>
    <row r="53" spans="1:22" x14ac:dyDescent="0.25">
      <c r="A53" s="278">
        <v>2</v>
      </c>
      <c r="C53" s="278">
        <f>IF(E53=E52,C52+1,1)</f>
        <v>9</v>
      </c>
      <c r="D53" s="278">
        <f>IF(M53=M52,D52,C53)</f>
        <v>7</v>
      </c>
      <c r="E53" s="278">
        <f>10+VALUE(RIGHT(LEFT(G53,3),1))</f>
        <v>13</v>
      </c>
      <c r="F53" s="278" t="str">
        <f>RIGHT(G53,2) &amp; IF(A53&lt;2,"x","")</f>
        <v>pm</v>
      </c>
      <c r="G53" s="278" t="s">
        <v>400</v>
      </c>
      <c r="H53" s="278" t="s">
        <v>232</v>
      </c>
      <c r="I53" s="278" t="s">
        <v>401</v>
      </c>
      <c r="K53" s="279">
        <f>LOOKUP(1E+100,M53:AC53)</f>
        <v>1993.5078969377387</v>
      </c>
      <c r="M53" s="279">
        <v>2000</v>
      </c>
      <c r="R53" s="278" t="str">
        <f>IF(AND((J53="This"),(L53="Only")),VLOOKUP(G53,#REF!,7,FALSE),"")</f>
        <v/>
      </c>
      <c r="U53" s="278">
        <v>1993.5078969377387</v>
      </c>
    </row>
    <row r="54" spans="1:22" x14ac:dyDescent="0.25">
      <c r="A54" s="278">
        <v>2</v>
      </c>
      <c r="C54" s="278">
        <f>IF(E54=E53,C53+1,1)</f>
        <v>10</v>
      </c>
      <c r="D54" s="278">
        <f>IF(M54=M53,D53,C54)</f>
        <v>7</v>
      </c>
      <c r="E54" s="278">
        <f>10+VALUE(RIGHT(LEFT(G54,3),1))</f>
        <v>13</v>
      </c>
      <c r="F54" s="278" t="str">
        <f>RIGHT(G54,2) &amp; IF(A54&lt;2,"x","")</f>
        <v>pm</v>
      </c>
      <c r="G54" s="278" t="s">
        <v>389</v>
      </c>
      <c r="H54" s="278" t="s">
        <v>226</v>
      </c>
      <c r="I54" s="278" t="s">
        <v>390</v>
      </c>
      <c r="K54" s="279">
        <f>LOOKUP(1E+100,M54:AC54)</f>
        <v>1981.8462673264924</v>
      </c>
      <c r="M54" s="279">
        <v>2000</v>
      </c>
      <c r="R54" s="278" t="str">
        <f>IF(AND((J54="This"),(L54="Only")),VLOOKUP(G54,#REF!,7,FALSE),"")</f>
        <v/>
      </c>
      <c r="S54" s="278">
        <v>1981.8462673264924</v>
      </c>
    </row>
    <row r="55" spans="1:22" x14ac:dyDescent="0.25">
      <c r="A55" s="278">
        <v>2</v>
      </c>
      <c r="C55" s="278">
        <f>IF(E55=E54,C54+1,1)</f>
        <v>11</v>
      </c>
      <c r="D55" s="278">
        <f>IF(M55=M54,D54,C55)</f>
        <v>7</v>
      </c>
      <c r="E55" s="278">
        <f>10+VALUE(RIGHT(LEFT(G55,3),1))</f>
        <v>13</v>
      </c>
      <c r="F55" s="278" t="str">
        <f>RIGHT(G55,2) &amp; IF(A55&lt;2,"x","")</f>
        <v>pm</v>
      </c>
      <c r="G55" s="278" t="s">
        <v>370</v>
      </c>
      <c r="H55" s="278" t="s">
        <v>268</v>
      </c>
      <c r="I55" s="278" t="s">
        <v>371</v>
      </c>
      <c r="K55" s="279">
        <f>LOOKUP(1E+100,M55:AC55)</f>
        <v>1957.4424167884204</v>
      </c>
      <c r="M55" s="279">
        <v>2000</v>
      </c>
      <c r="N55" s="278">
        <v>1957.4424167884204</v>
      </c>
      <c r="R55" s="278" t="str">
        <f>IF(AND((J55="This"),(L55="Only")),VLOOKUP(G55,#REF!,7,FALSE),"")</f>
        <v/>
      </c>
    </row>
    <row r="56" spans="1:22" x14ac:dyDescent="0.25">
      <c r="A56" s="278">
        <v>3</v>
      </c>
      <c r="C56" s="278">
        <f>IF(E56=E55,C55+1,1)</f>
        <v>12</v>
      </c>
      <c r="D56" s="278">
        <f>IF(M56=M55,D55,C56)</f>
        <v>7</v>
      </c>
      <c r="E56" s="278">
        <f>10+VALUE(RIGHT(LEFT(G56,3),1))</f>
        <v>13</v>
      </c>
      <c r="F56" s="278" t="str">
        <f>RIGHT(G56,2) &amp; IF(A56&lt;2,"x","")</f>
        <v>pm</v>
      </c>
      <c r="G56" s="278" t="s">
        <v>395</v>
      </c>
      <c r="H56" s="278" t="s">
        <v>315</v>
      </c>
      <c r="I56" s="278" t="s">
        <v>396</v>
      </c>
      <c r="K56" s="279">
        <f>LOOKUP(1E+100,M56:AC56)</f>
        <v>1903.1806533714757</v>
      </c>
      <c r="M56" s="279">
        <v>2000</v>
      </c>
      <c r="P56" s="278">
        <v>1955.7555748936616</v>
      </c>
      <c r="R56" s="278" t="str">
        <f>IF(AND((J56="This"),(L56="Only")),VLOOKUP(G56,#REF!,7,FALSE),"")</f>
        <v/>
      </c>
      <c r="S56" s="278">
        <v>1903.1806533714757</v>
      </c>
    </row>
    <row r="57" spans="1:22" x14ac:dyDescent="0.25">
      <c r="A57" s="278">
        <v>3</v>
      </c>
      <c r="C57" s="278">
        <f>IF(E57=E56,C56+1,1)</f>
        <v>13</v>
      </c>
      <c r="D57" s="278">
        <f>IF(M57=M56,D56,C57)</f>
        <v>7</v>
      </c>
      <c r="E57" s="278">
        <f>10+VALUE(RIGHT(LEFT(G57,3),1))</f>
        <v>13</v>
      </c>
      <c r="F57" s="278" t="str">
        <f>RIGHT(G57,2) &amp; IF(A57&lt;2,"x","")</f>
        <v>pm</v>
      </c>
      <c r="G57" s="278" t="s">
        <v>393</v>
      </c>
      <c r="H57" s="278" t="s">
        <v>315</v>
      </c>
      <c r="I57" s="278" t="s">
        <v>394</v>
      </c>
      <c r="K57" s="279">
        <f>LOOKUP(1E+100,M57:AC57)</f>
        <v>1890.178619221768</v>
      </c>
      <c r="M57" s="279">
        <v>2000</v>
      </c>
      <c r="P57" s="278">
        <v>1982.4597396585023</v>
      </c>
      <c r="R57" s="278" t="str">
        <f>IF(AND((J57="This"),(L57="Only")),VLOOKUP(G57,#REF!,7,FALSE),"")</f>
        <v/>
      </c>
      <c r="S57" s="278">
        <v>1890.178619221768</v>
      </c>
    </row>
    <row r="58" spans="1:22" x14ac:dyDescent="0.25">
      <c r="A58" s="278">
        <v>5</v>
      </c>
      <c r="C58" s="278">
        <f>IF(E58=E57,C57+1,1)</f>
        <v>14</v>
      </c>
      <c r="D58" s="278">
        <f>IF(M58=M57,D57,C58)</f>
        <v>14</v>
      </c>
      <c r="E58" s="278">
        <f>10+VALUE(RIGHT(LEFT(G58,3),1))</f>
        <v>13</v>
      </c>
      <c r="F58" s="278" t="str">
        <f>RIGHT(G58,2) &amp; IF(A58&lt;2,"x","")</f>
        <v>pm</v>
      </c>
      <c r="G58" s="278" t="s">
        <v>455</v>
      </c>
      <c r="H58" s="278" t="s">
        <v>281</v>
      </c>
      <c r="I58" s="278" t="s">
        <v>456</v>
      </c>
      <c r="K58" s="279">
        <f>LOOKUP(1E+100,M58:AC58)</f>
        <v>1880.9536423839288</v>
      </c>
      <c r="M58" s="279">
        <v>1600</v>
      </c>
      <c r="O58" s="278">
        <v>1728.897291095632</v>
      </c>
      <c r="R58" s="278" t="str">
        <f>IF(AND((J58="This"),(L58="Only")),VLOOKUP(G58,#REF!,7,FALSE),"")</f>
        <v/>
      </c>
      <c r="S58" s="278">
        <v>1819.6471570862507</v>
      </c>
      <c r="T58" s="278">
        <v>1880.9536423839288</v>
      </c>
    </row>
    <row r="59" spans="1:22" x14ac:dyDescent="0.25">
      <c r="A59" s="278">
        <v>5</v>
      </c>
      <c r="C59" s="278">
        <f>IF(E59=E58,C58+1,1)</f>
        <v>15</v>
      </c>
      <c r="D59" s="278">
        <f>IF(M59=M58,D58,C59)</f>
        <v>15</v>
      </c>
      <c r="E59" s="278">
        <f>10+VALUE(RIGHT(LEFT(G59,3),1))</f>
        <v>13</v>
      </c>
      <c r="F59" s="278" t="str">
        <f>RIGHT(G59,2) &amp; IF(A59&lt;2,"x","")</f>
        <v>pm</v>
      </c>
      <c r="G59" s="278" t="s">
        <v>433</v>
      </c>
      <c r="H59" s="278" t="s">
        <v>434</v>
      </c>
      <c r="I59" s="278" t="s">
        <v>435</v>
      </c>
      <c r="K59" s="279">
        <f>LOOKUP(1E+100,M59:AC59)</f>
        <v>1868.4106312164884</v>
      </c>
      <c r="M59" s="279">
        <v>1680</v>
      </c>
      <c r="O59" s="278">
        <v>1727.4141373732955</v>
      </c>
      <c r="R59" s="278" t="str">
        <f>IF(AND((J59="This"),(L59="Only")),VLOOKUP(G59,#REF!,7,FALSE),"")</f>
        <v/>
      </c>
      <c r="S59" s="278">
        <v>1802.3707013759865</v>
      </c>
      <c r="U59" s="278">
        <v>1818.9402748303323</v>
      </c>
      <c r="V59" s="278">
        <v>1868.4106312164884</v>
      </c>
    </row>
    <row r="60" spans="1:22" x14ac:dyDescent="0.25">
      <c r="A60" s="278">
        <v>3</v>
      </c>
      <c r="C60" s="278">
        <f>IF(E60=E59,C59+1,1)</f>
        <v>16</v>
      </c>
      <c r="D60" s="278">
        <f>IF(M60=M59,D59,C60)</f>
        <v>16</v>
      </c>
      <c r="E60" s="278">
        <f>10+VALUE(RIGHT(LEFT(G60,3),1))</f>
        <v>13</v>
      </c>
      <c r="F60" s="278" t="str">
        <f>RIGHT(G60,2) &amp; IF(A60&lt;2,"x","")</f>
        <v>pm</v>
      </c>
      <c r="G60" s="278" t="s">
        <v>422</v>
      </c>
      <c r="H60" s="278" t="s">
        <v>423</v>
      </c>
      <c r="I60" s="278" t="s">
        <v>423</v>
      </c>
      <c r="K60" s="279">
        <f>LOOKUP(1E+100,M60:AC60)</f>
        <v>1853.6534291311473</v>
      </c>
      <c r="M60" s="279">
        <v>1800</v>
      </c>
      <c r="O60" s="278">
        <v>1834.3577946522198</v>
      </c>
      <c r="R60" s="278" t="str">
        <f>IF(AND((J60="This"),(L60="Only")),VLOOKUP(G60,#REF!,7,FALSE),"")</f>
        <v/>
      </c>
      <c r="S60" s="278">
        <v>1820.8676337248239</v>
      </c>
      <c r="V60" s="278">
        <v>1853.6534291311473</v>
      </c>
    </row>
    <row r="61" spans="1:22" x14ac:dyDescent="0.25">
      <c r="A61" s="278">
        <v>3</v>
      </c>
      <c r="C61" s="278">
        <f>IF(E61=E60,C60+1,1)</f>
        <v>17</v>
      </c>
      <c r="D61" s="278">
        <f>IF(M61=M60,D60,C61)</f>
        <v>17</v>
      </c>
      <c r="E61" s="278">
        <f>10+VALUE(RIGHT(LEFT(G61,3),1))</f>
        <v>13</v>
      </c>
      <c r="F61" s="278" t="str">
        <f>RIGHT(G61,2) &amp; IF(A61&lt;2,"x","")</f>
        <v>pm</v>
      </c>
      <c r="G61" s="278" t="s">
        <v>429</v>
      </c>
      <c r="H61" s="278" t="s">
        <v>268</v>
      </c>
      <c r="I61" s="278" t="s">
        <v>430</v>
      </c>
      <c r="K61" s="279">
        <f>LOOKUP(1E+100,M61:AC61)</f>
        <v>1800.3799320591111</v>
      </c>
      <c r="M61" s="279">
        <v>1733.3333333333333</v>
      </c>
      <c r="O61" s="278">
        <v>1800.3799320591111</v>
      </c>
      <c r="R61" s="278" t="str">
        <f>IF(AND((J61="This"),(L61="Only")),VLOOKUP(G61,#REF!,7,FALSE),"")</f>
        <v/>
      </c>
    </row>
    <row r="62" spans="1:22" x14ac:dyDescent="0.25">
      <c r="A62" s="278">
        <v>5</v>
      </c>
      <c r="C62" s="278">
        <f>IF(E62=E61,C61+1,1)</f>
        <v>18</v>
      </c>
      <c r="D62" s="278">
        <f>IF(M62=M61,D61,C62)</f>
        <v>18</v>
      </c>
      <c r="E62" s="278">
        <f>10+VALUE(RIGHT(LEFT(G62,3),1))</f>
        <v>13</v>
      </c>
      <c r="F62" s="278" t="str">
        <f>RIGHT(G62,2) &amp; IF(A62&lt;2,"x","")</f>
        <v>pm</v>
      </c>
      <c r="G62" s="278" t="s">
        <v>427</v>
      </c>
      <c r="H62" s="278" t="s">
        <v>223</v>
      </c>
      <c r="I62" s="278" t="s">
        <v>428</v>
      </c>
      <c r="K62" s="279">
        <f>LOOKUP(1E+100,M62:AC62)</f>
        <v>1795.4888670336384</v>
      </c>
      <c r="M62" s="279">
        <v>1760</v>
      </c>
      <c r="O62" s="278">
        <v>1754.0671620760272</v>
      </c>
      <c r="R62" s="278" t="str">
        <f>IF(AND((J62="This"),(L62="Only")),VLOOKUP(G62,#REF!,7,FALSE),"")</f>
        <v/>
      </c>
      <c r="S62" s="278">
        <v>1795.4888670336384</v>
      </c>
    </row>
    <row r="63" spans="1:22" x14ac:dyDescent="0.25">
      <c r="A63" s="278">
        <v>3</v>
      </c>
      <c r="C63" s="278">
        <f>IF(E63=E62,C62+1,1)</f>
        <v>19</v>
      </c>
      <c r="D63" s="278">
        <f>IF(M63=M62,D62,C63)</f>
        <v>19</v>
      </c>
      <c r="E63" s="278">
        <f>10+VALUE(RIGHT(LEFT(G63,3),1))</f>
        <v>13</v>
      </c>
      <c r="F63" s="278" t="str">
        <f>RIGHT(G63,2) &amp; IF(A63&lt;2,"x","")</f>
        <v>pm</v>
      </c>
      <c r="G63" s="278" t="s">
        <v>431</v>
      </c>
      <c r="H63" s="278" t="s">
        <v>226</v>
      </c>
      <c r="I63" s="278" t="s">
        <v>432</v>
      </c>
      <c r="K63" s="279">
        <f>LOOKUP(1E+100,M63:AC63)</f>
        <v>1767.6030214270597</v>
      </c>
      <c r="M63" s="279">
        <v>1733.3333333333333</v>
      </c>
      <c r="R63" s="278" t="str">
        <f>IF(AND((J63="This"),(L63="Only")),VLOOKUP(G63,#REF!,7,FALSE),"")</f>
        <v/>
      </c>
      <c r="S63" s="278">
        <v>1767.6030214270597</v>
      </c>
    </row>
    <row r="64" spans="1:22" x14ac:dyDescent="0.25">
      <c r="A64" s="278">
        <v>4</v>
      </c>
      <c r="C64" s="278">
        <f>IF(E64=E63,C63+1,1)</f>
        <v>20</v>
      </c>
      <c r="D64" s="278">
        <f>IF(M64=M63,D63,C64)</f>
        <v>20</v>
      </c>
      <c r="E64" s="278">
        <f>10+VALUE(RIGHT(LEFT(G64,3),1))</f>
        <v>13</v>
      </c>
      <c r="F64" s="278" t="str">
        <f>RIGHT(G64,2) &amp; IF(A64&lt;2,"x","")</f>
        <v>pm</v>
      </c>
      <c r="G64" s="278" t="s">
        <v>514</v>
      </c>
      <c r="H64" s="278" t="s">
        <v>416</v>
      </c>
      <c r="I64" s="278" t="s">
        <v>515</v>
      </c>
      <c r="K64" s="279">
        <f>LOOKUP(1E+100,M64:AC64)</f>
        <v>1754.9535955038507</v>
      </c>
      <c r="M64" s="279">
        <v>1600</v>
      </c>
      <c r="R64" s="278" t="str">
        <f>IF(AND((J64="This"),(L64="Only")),VLOOKUP(G64,#REF!,7,FALSE),"")</f>
        <v/>
      </c>
      <c r="S64" s="278">
        <v>1696.7395363532391</v>
      </c>
      <c r="V64" s="278">
        <v>1754.9535955038507</v>
      </c>
    </row>
    <row r="65" spans="1:22" x14ac:dyDescent="0.25">
      <c r="A65" s="278">
        <v>5</v>
      </c>
      <c r="C65" s="278">
        <f>IF(E65=E64,C64+1,1)</f>
        <v>21</v>
      </c>
      <c r="D65" s="278">
        <f>IF(M65=M64,D64,C65)</f>
        <v>20</v>
      </c>
      <c r="E65" s="278">
        <f>10+VALUE(RIGHT(LEFT(G65,3),1))</f>
        <v>13</v>
      </c>
      <c r="F65" s="278" t="str">
        <f>RIGHT(G65,2) &amp; IF(A65&lt;2,"x","")</f>
        <v>pm</v>
      </c>
      <c r="G65" s="278" t="s">
        <v>466</v>
      </c>
      <c r="H65" s="278" t="s">
        <v>287</v>
      </c>
      <c r="I65" s="278" t="s">
        <v>467</v>
      </c>
      <c r="K65" s="279">
        <f>LOOKUP(1E+100,M65:AC65)</f>
        <v>1753.5034142818647</v>
      </c>
      <c r="M65" s="279">
        <v>1600</v>
      </c>
      <c r="O65" s="278">
        <v>1605.2989833259981</v>
      </c>
      <c r="R65" s="278" t="str">
        <f>IF(AND((J65="This"),(L65="Only")),VLOOKUP(G65,#REF!,7,FALSE),"")</f>
        <v/>
      </c>
      <c r="S65" s="278">
        <v>1690.2861109118255</v>
      </c>
      <c r="V65" s="278">
        <v>1753.5034142818647</v>
      </c>
    </row>
    <row r="66" spans="1:22" x14ac:dyDescent="0.25">
      <c r="A66" s="278">
        <v>5</v>
      </c>
      <c r="C66" s="278">
        <f>IF(E66=E65,C65+1,1)</f>
        <v>22</v>
      </c>
      <c r="D66" s="278">
        <f>IF(M66=M65,D65,C66)</f>
        <v>22</v>
      </c>
      <c r="E66" s="278">
        <f>10+VALUE(RIGHT(LEFT(G66,3),1))</f>
        <v>13</v>
      </c>
      <c r="F66" s="278" t="str">
        <f>RIGHT(G66,2) &amp; IF(A66&lt;2,"x","")</f>
        <v>pm</v>
      </c>
      <c r="G66" s="278" t="s">
        <v>420</v>
      </c>
      <c r="H66" s="278" t="s">
        <v>252</v>
      </c>
      <c r="I66" s="278" t="s">
        <v>421</v>
      </c>
      <c r="K66" s="279">
        <f>LOOKUP(1E+100,M66:AC66)</f>
        <v>1725.6641033884546</v>
      </c>
      <c r="M66" s="279">
        <v>1920</v>
      </c>
      <c r="P66" s="278">
        <v>1850.7216154182379</v>
      </c>
      <c r="R66" s="278" t="str">
        <f>IF(AND((J66="This"),(L66="Only")),VLOOKUP(G66,#REF!,7,FALSE),"")</f>
        <v/>
      </c>
      <c r="S66" s="278">
        <v>1725.6641033884546</v>
      </c>
    </row>
    <row r="67" spans="1:22" x14ac:dyDescent="0.25">
      <c r="A67" s="278">
        <v>6</v>
      </c>
      <c r="C67" s="278">
        <f>IF(E67=E66,C66+1,1)</f>
        <v>23</v>
      </c>
      <c r="D67" s="278">
        <f>IF(M67=M66,D66,C67)</f>
        <v>23</v>
      </c>
      <c r="E67" s="278">
        <f>10+VALUE(RIGHT(LEFT(G67,3),1))</f>
        <v>13</v>
      </c>
      <c r="F67" s="278" t="str">
        <f>RIGHT(G67,2) &amp; IF(A67&lt;2,"x","")</f>
        <v>pm</v>
      </c>
      <c r="G67" s="278" t="s">
        <v>480</v>
      </c>
      <c r="H67" s="278" t="s">
        <v>333</v>
      </c>
      <c r="I67" s="278" t="s">
        <v>481</v>
      </c>
      <c r="K67" s="279">
        <f>LOOKUP(1E+100,M67:AC67)</f>
        <v>1724.0595262997672</v>
      </c>
      <c r="M67" s="279">
        <v>1600</v>
      </c>
      <c r="O67" s="278">
        <v>1645.408006056949</v>
      </c>
      <c r="R67" s="278" t="str">
        <f>IF(AND((J67="This"),(L67="Only")),VLOOKUP(G67,#REF!,7,FALSE),"")</f>
        <v/>
      </c>
      <c r="S67" s="278">
        <v>1656.4894223319777</v>
      </c>
      <c r="T67" s="278">
        <v>1696.3067637980012</v>
      </c>
      <c r="V67" s="278">
        <v>1724.0595262997672</v>
      </c>
    </row>
    <row r="68" spans="1:22" x14ac:dyDescent="0.25">
      <c r="A68" s="278">
        <v>3</v>
      </c>
      <c r="C68" s="278">
        <f>IF(E68=E67,C67+1,1)</f>
        <v>24</v>
      </c>
      <c r="D68" s="278">
        <f>IF(M68=M67,D67,C68)</f>
        <v>23</v>
      </c>
      <c r="E68" s="278">
        <f>10+VALUE(RIGHT(LEFT(G68,3),1))</f>
        <v>13</v>
      </c>
      <c r="F68" s="278" t="str">
        <f>RIGHT(G68,2) &amp; IF(A68&lt;2,"x","")</f>
        <v>pm</v>
      </c>
      <c r="G68" s="278" t="s">
        <v>449</v>
      </c>
      <c r="H68" s="278" t="s">
        <v>217</v>
      </c>
      <c r="I68" s="278" t="s">
        <v>450</v>
      </c>
      <c r="K68" s="279">
        <f>LOOKUP(1E+100,M68:AC68)</f>
        <v>1718.3151948204377</v>
      </c>
      <c r="M68" s="279">
        <v>1600</v>
      </c>
      <c r="O68" s="278">
        <v>1640.5992668477998</v>
      </c>
      <c r="R68" s="278" t="str">
        <f>IF(AND((J68="This"),(L68="Only")),VLOOKUP(G68,#REF!,7,FALSE),"")</f>
        <v/>
      </c>
      <c r="S68" s="278">
        <v>1718.3151948204377</v>
      </c>
    </row>
    <row r="69" spans="1:22" x14ac:dyDescent="0.25">
      <c r="A69" s="278">
        <v>4</v>
      </c>
      <c r="C69" s="278">
        <f>IF(E69=E68,C68+1,1)</f>
        <v>25</v>
      </c>
      <c r="D69" s="278">
        <f>IF(M69=M68,D68,C69)</f>
        <v>23</v>
      </c>
      <c r="E69" s="278">
        <f>10+VALUE(RIGHT(LEFT(G69,3),1))</f>
        <v>13</v>
      </c>
      <c r="F69" s="278" t="str">
        <f>RIGHT(G69,2) &amp; IF(A69&lt;2,"x","")</f>
        <v>pm</v>
      </c>
      <c r="G69" s="278" t="s">
        <v>470</v>
      </c>
      <c r="H69" s="278" t="s">
        <v>296</v>
      </c>
      <c r="I69" s="278" t="s">
        <v>471</v>
      </c>
      <c r="K69" s="279">
        <f>LOOKUP(1E+100,M69:AC69)</f>
        <v>1677.3980559149245</v>
      </c>
      <c r="M69" s="279">
        <v>1600</v>
      </c>
      <c r="R69" s="278" t="str">
        <f>IF(AND((J69="This"),(L69="Only")),VLOOKUP(G69,#REF!,7,FALSE),"")</f>
        <v/>
      </c>
      <c r="T69" s="278">
        <v>1669.8390646286034</v>
      </c>
      <c r="V69" s="278">
        <v>1677.3980559149245</v>
      </c>
    </row>
    <row r="70" spans="1:22" x14ac:dyDescent="0.25">
      <c r="A70" s="278">
        <v>3</v>
      </c>
      <c r="C70" s="278">
        <f>IF(E70=E69,C69+1,1)</f>
        <v>26</v>
      </c>
      <c r="D70" s="278">
        <f>IF(M70=M69,D69,C70)</f>
        <v>23</v>
      </c>
      <c r="E70" s="278">
        <f>10+VALUE(RIGHT(LEFT(G70,3),1))</f>
        <v>13</v>
      </c>
      <c r="F70" s="278" t="str">
        <f>RIGHT(G70,2) &amp; IF(A70&lt;2,"x","")</f>
        <v>pm</v>
      </c>
      <c r="G70" s="278" t="s">
        <v>509</v>
      </c>
      <c r="H70" s="278" t="s">
        <v>323</v>
      </c>
      <c r="I70" s="278" t="s">
        <v>510</v>
      </c>
      <c r="K70" s="279">
        <f>LOOKUP(1E+100,M70:AC70)</f>
        <v>1672.8922772837741</v>
      </c>
      <c r="M70" s="279">
        <v>1600</v>
      </c>
      <c r="R70" s="278" t="str">
        <f>IF(AND((J70="This"),(L70="Only")),VLOOKUP(G70,#REF!,7,FALSE),"")</f>
        <v/>
      </c>
      <c r="S70" s="278">
        <v>1663.3222275324013</v>
      </c>
      <c r="T70" s="278">
        <v>1672.8922772837741</v>
      </c>
    </row>
    <row r="71" spans="1:22" x14ac:dyDescent="0.25">
      <c r="A71" s="278">
        <v>2</v>
      </c>
      <c r="C71" s="278">
        <f>IF(E71=E70,C70+1,1)</f>
        <v>27</v>
      </c>
      <c r="D71" s="278">
        <f>IF(M71=M70,D70,C71)</f>
        <v>23</v>
      </c>
      <c r="E71" s="278">
        <f>10+VALUE(RIGHT(LEFT(G71,3),1))</f>
        <v>13</v>
      </c>
      <c r="F71" s="278" t="str">
        <f>RIGHT(G71,2) &amp; IF(A71&lt;2,"x","")</f>
        <v>pm</v>
      </c>
      <c r="G71" s="278" t="s">
        <v>486</v>
      </c>
      <c r="H71" s="278" t="s">
        <v>226</v>
      </c>
      <c r="I71" s="278" t="s">
        <v>487</v>
      </c>
      <c r="K71" s="279">
        <f>LOOKUP(1E+100,M71:AC71)</f>
        <v>1660.7607370584117</v>
      </c>
      <c r="M71" s="279">
        <v>1600</v>
      </c>
      <c r="R71" s="278" t="str">
        <f>IF(AND((J71="This"),(L71="Only")),VLOOKUP(G71,#REF!,7,FALSE),"")</f>
        <v/>
      </c>
      <c r="S71" s="278">
        <v>1660.7607370584117</v>
      </c>
    </row>
    <row r="72" spans="1:22" x14ac:dyDescent="0.25">
      <c r="A72" s="278">
        <v>6</v>
      </c>
      <c r="C72" s="278">
        <f>IF(E72=E71,C71+1,1)</f>
        <v>28</v>
      </c>
      <c r="D72" s="278">
        <f>IF(M72=M71,D71,C72)</f>
        <v>23</v>
      </c>
      <c r="E72" s="278">
        <f>10+VALUE(RIGHT(LEFT(G72,3),1))</f>
        <v>13</v>
      </c>
      <c r="F72" s="278" t="str">
        <f>RIGHT(G72,2) &amp; IF(A72&lt;2,"x","")</f>
        <v>pm</v>
      </c>
      <c r="G72" s="278" t="s">
        <v>457</v>
      </c>
      <c r="H72" s="278" t="s">
        <v>284</v>
      </c>
      <c r="I72" s="278" t="s">
        <v>458</v>
      </c>
      <c r="K72" s="279">
        <f>LOOKUP(1E+100,M72:AC72)</f>
        <v>1649.1598067006576</v>
      </c>
      <c r="M72" s="279">
        <v>1600</v>
      </c>
      <c r="O72" s="278">
        <v>1625.3262917022503</v>
      </c>
      <c r="R72" s="278" t="str">
        <f>IF(AND((J72="This"),(L72="Only")),VLOOKUP(G72,#REF!,7,FALSE),"")</f>
        <v/>
      </c>
      <c r="S72" s="278">
        <v>1619.5179443157126</v>
      </c>
      <c r="T72" s="278">
        <v>1693.3818306474545</v>
      </c>
      <c r="V72" s="278">
        <v>1649.1598067006576</v>
      </c>
    </row>
    <row r="73" spans="1:22" x14ac:dyDescent="0.25">
      <c r="A73" s="278">
        <v>7</v>
      </c>
      <c r="C73" s="278">
        <f>IF(E73=E72,C72+1,1)</f>
        <v>29</v>
      </c>
      <c r="D73" s="278">
        <f>IF(M73=M72,D72,C73)</f>
        <v>23</v>
      </c>
      <c r="E73" s="278">
        <f>10+VALUE(RIGHT(LEFT(G73,3),1))</f>
        <v>13</v>
      </c>
      <c r="F73" s="278" t="str">
        <f>RIGHT(G73,2) &amp; IF(A73&lt;2,"x","")</f>
        <v>pm</v>
      </c>
      <c r="G73" s="278" t="s">
        <v>503</v>
      </c>
      <c r="H73" s="278" t="s">
        <v>318</v>
      </c>
      <c r="I73" s="278" t="s">
        <v>504</v>
      </c>
      <c r="K73" s="279">
        <f>LOOKUP(1E+100,M73:AC73)</f>
        <v>1641.1631745399584</v>
      </c>
      <c r="M73" s="279">
        <v>1600</v>
      </c>
      <c r="O73" s="278">
        <v>1577.4900729060989</v>
      </c>
      <c r="R73" s="278" t="str">
        <f>IF(AND((J73="This"),(L73="Only")),VLOOKUP(G73,#REF!,7,FALSE),"")</f>
        <v/>
      </c>
      <c r="S73" s="278">
        <v>1551.9367302009932</v>
      </c>
      <c r="T73" s="278">
        <v>1570.0470154155958</v>
      </c>
      <c r="V73" s="278">
        <v>1641.1631745399584</v>
      </c>
    </row>
    <row r="74" spans="1:22" x14ac:dyDescent="0.25">
      <c r="A74" s="278">
        <v>2</v>
      </c>
      <c r="C74" s="278">
        <f>IF(E74=E73,C73+1,1)</f>
        <v>30</v>
      </c>
      <c r="D74" s="278">
        <f>IF(M74=M73,D73,C74)</f>
        <v>23</v>
      </c>
      <c r="E74" s="278">
        <f>10+VALUE(RIGHT(LEFT(G74,3),1))</f>
        <v>13</v>
      </c>
      <c r="F74" s="278" t="str">
        <f>RIGHT(G74,2) &amp; IF(A74&lt;2,"x","")</f>
        <v>pm</v>
      </c>
      <c r="G74" s="278" t="s">
        <v>488</v>
      </c>
      <c r="H74" s="278" t="s">
        <v>226</v>
      </c>
      <c r="I74" s="278" t="s">
        <v>489</v>
      </c>
      <c r="K74" s="279">
        <f>LOOKUP(1E+100,M74:AC74)</f>
        <v>1617.872536849952</v>
      </c>
      <c r="M74" s="279">
        <v>1600</v>
      </c>
      <c r="R74" s="278" t="str">
        <f>IF(AND((J74="This"),(L74="Only")),VLOOKUP(G74,#REF!,7,FALSE),"")</f>
        <v/>
      </c>
      <c r="V74" s="278">
        <v>1617.872536849952</v>
      </c>
    </row>
    <row r="75" spans="1:22" x14ac:dyDescent="0.25">
      <c r="A75" s="278">
        <v>4</v>
      </c>
      <c r="C75" s="278">
        <f>IF(E75=E74,C74+1,1)</f>
        <v>31</v>
      </c>
      <c r="D75" s="278">
        <f>IF(M75=M74,D74,C75)</f>
        <v>23</v>
      </c>
      <c r="E75" s="278">
        <f>10+VALUE(RIGHT(LEFT(G75,3),1))</f>
        <v>13</v>
      </c>
      <c r="F75" s="278" t="str">
        <f>RIGHT(G75,2) &amp; IF(A75&lt;2,"x","")</f>
        <v>pm</v>
      </c>
      <c r="G75" s="278" t="s">
        <v>447</v>
      </c>
      <c r="H75" s="278" t="s">
        <v>268</v>
      </c>
      <c r="I75" s="278" t="s">
        <v>448</v>
      </c>
      <c r="K75" s="279">
        <f>LOOKUP(1E+100,M75:AC75)</f>
        <v>1605.5410773854333</v>
      </c>
      <c r="M75" s="279">
        <v>1600</v>
      </c>
      <c r="O75" s="278">
        <v>1510.6135428350065</v>
      </c>
      <c r="R75" s="278" t="str">
        <f>IF(AND((J75="This"),(L75="Only")),VLOOKUP(G75,#REF!,7,FALSE),"")</f>
        <v/>
      </c>
      <c r="V75" s="278">
        <v>1605.5410773854333</v>
      </c>
    </row>
    <row r="76" spans="1:22" x14ac:dyDescent="0.25">
      <c r="A76" s="278">
        <v>3</v>
      </c>
      <c r="C76" s="278">
        <f>IF(E76=E75,C75+1,1)</f>
        <v>32</v>
      </c>
      <c r="D76" s="278">
        <f>IF(M76=M75,D75,C76)</f>
        <v>23</v>
      </c>
      <c r="E76" s="278">
        <f>10+VALUE(RIGHT(LEFT(G76,3),1))</f>
        <v>13</v>
      </c>
      <c r="F76" s="278" t="str">
        <f>RIGHT(G76,2) &amp; IF(A76&lt;2,"x","")</f>
        <v>pm</v>
      </c>
      <c r="G76" s="278" t="s">
        <v>472</v>
      </c>
      <c r="H76" s="278" t="s">
        <v>473</v>
      </c>
      <c r="I76" s="278" t="s">
        <v>474</v>
      </c>
      <c r="K76" s="279">
        <f>LOOKUP(1E+100,M76:AC76)</f>
        <v>1604.6972640134418</v>
      </c>
      <c r="M76" s="279">
        <v>1600</v>
      </c>
      <c r="R76" s="278" t="str">
        <f>IF(AND((J76="This"),(L76="Only")),VLOOKUP(G76,#REF!,7,FALSE),"")</f>
        <v/>
      </c>
      <c r="T76" s="278">
        <v>1604.6972640134418</v>
      </c>
    </row>
    <row r="77" spans="1:22" x14ac:dyDescent="0.25">
      <c r="A77" s="278">
        <v>5</v>
      </c>
      <c r="C77" s="278">
        <f>IF(E77=E76,C76+1,1)</f>
        <v>33</v>
      </c>
      <c r="D77" s="278">
        <f>IF(M77=M76,D76,C77)</f>
        <v>23</v>
      </c>
      <c r="E77" s="278">
        <f>10+VALUE(RIGHT(LEFT(G77,3),1))</f>
        <v>13</v>
      </c>
      <c r="F77" s="278" t="str">
        <f>RIGHT(G77,2) &amp; IF(A77&lt;2,"x","")</f>
        <v>pm</v>
      </c>
      <c r="G77" s="278" t="s">
        <v>478</v>
      </c>
      <c r="H77" s="278" t="s">
        <v>301</v>
      </c>
      <c r="I77" s="278" t="s">
        <v>479</v>
      </c>
      <c r="K77" s="279">
        <f>LOOKUP(1E+100,M77:AC77)</f>
        <v>1600</v>
      </c>
      <c r="M77" s="279">
        <v>1600</v>
      </c>
      <c r="R77" s="278" t="str">
        <f>IF(AND((J77="This"),(L77="Only")),VLOOKUP(G77,#REF!,7,FALSE),"")</f>
        <v/>
      </c>
    </row>
    <row r="78" spans="1:22" x14ac:dyDescent="0.25">
      <c r="A78" s="278">
        <v>3</v>
      </c>
      <c r="C78" s="278">
        <f>IF(E78=E77,C77+1,1)</f>
        <v>34</v>
      </c>
      <c r="D78" s="278">
        <f>IF(M78=M77,D77,C78)</f>
        <v>23</v>
      </c>
      <c r="E78" s="278">
        <f>10+VALUE(RIGHT(LEFT(G78,3),1))</f>
        <v>13</v>
      </c>
      <c r="F78" s="278" t="str">
        <f>RIGHT(G78,2) &amp; IF(A78&lt;2,"x","")</f>
        <v>pm</v>
      </c>
      <c r="G78" s="278" t="s">
        <v>451</v>
      </c>
      <c r="H78" s="278" t="s">
        <v>217</v>
      </c>
      <c r="I78" s="278" t="s">
        <v>452</v>
      </c>
      <c r="K78" s="279">
        <f>LOOKUP(1E+100,M78:AC78)</f>
        <v>1592.2302498222155</v>
      </c>
      <c r="M78" s="279">
        <v>1600</v>
      </c>
      <c r="R78" s="278" t="str">
        <f>IF(AND((J78="This"),(L78="Only")),VLOOKUP(G78,#REF!,7,FALSE),"")</f>
        <v/>
      </c>
      <c r="S78" s="278">
        <v>1612.3030183432836</v>
      </c>
      <c r="T78" s="278">
        <v>1592.2302498222155</v>
      </c>
    </row>
    <row r="79" spans="1:22" x14ac:dyDescent="0.25">
      <c r="A79" s="278">
        <v>5</v>
      </c>
      <c r="C79" s="278">
        <f>IF(E79=E78,C78+1,1)</f>
        <v>35</v>
      </c>
      <c r="D79" s="278">
        <f>IF(M79=M78,D78,C79)</f>
        <v>23</v>
      </c>
      <c r="E79" s="278">
        <f>10+VALUE(RIGHT(LEFT(G79,3),1))</f>
        <v>13</v>
      </c>
      <c r="F79" s="278" t="str">
        <f>RIGHT(G79,2) &amp; IF(A79&lt;2,"x","")</f>
        <v>pm</v>
      </c>
      <c r="G79" s="278" t="s">
        <v>511</v>
      </c>
      <c r="H79" s="278" t="s">
        <v>512</v>
      </c>
      <c r="I79" s="278" t="s">
        <v>513</v>
      </c>
      <c r="K79" s="279">
        <f>LOOKUP(1E+100,M79:AC79)</f>
        <v>1571.3271481700851</v>
      </c>
      <c r="M79" s="279">
        <v>1600</v>
      </c>
      <c r="R79" s="278" t="str">
        <f>IF(AND((J79="This"),(L79="Only")),VLOOKUP(G79,#REF!,7,FALSE),"")</f>
        <v/>
      </c>
      <c r="S79" s="278">
        <v>1571.3618286035594</v>
      </c>
      <c r="T79" s="278">
        <v>1568.1003447488174</v>
      </c>
      <c r="V79" s="278">
        <v>1571.3271481700851</v>
      </c>
    </row>
    <row r="80" spans="1:22" x14ac:dyDescent="0.25">
      <c r="A80" s="278">
        <v>3</v>
      </c>
      <c r="C80" s="278">
        <f>IF(E80=E79,C79+1,1)</f>
        <v>36</v>
      </c>
      <c r="D80" s="278">
        <f>IF(M80=M79,D79,C80)</f>
        <v>23</v>
      </c>
      <c r="E80" s="278">
        <f>10+VALUE(RIGHT(LEFT(G80,3),1))</f>
        <v>13</v>
      </c>
      <c r="F80" s="278" t="str">
        <f>RIGHT(G80,2) &amp; IF(A80&lt;2,"x","")</f>
        <v>pm</v>
      </c>
      <c r="G80" s="278" t="s">
        <v>453</v>
      </c>
      <c r="H80" s="278" t="s">
        <v>217</v>
      </c>
      <c r="I80" s="278" t="s">
        <v>454</v>
      </c>
      <c r="K80" s="279">
        <f>LOOKUP(1E+100,M80:AC80)</f>
        <v>1559.0584600733771</v>
      </c>
      <c r="M80" s="279">
        <v>1600</v>
      </c>
      <c r="R80" s="278" t="str">
        <f>IF(AND((J80="This"),(L80="Only")),VLOOKUP(G80,#REF!,7,FALSE),"")</f>
        <v/>
      </c>
      <c r="S80" s="278">
        <v>1673.4893306775402</v>
      </c>
      <c r="T80" s="278">
        <v>1559.0584600733771</v>
      </c>
    </row>
    <row r="81" spans="1:22" x14ac:dyDescent="0.25">
      <c r="A81" s="278">
        <v>2</v>
      </c>
      <c r="C81" s="278">
        <f>IF(E81=E80,C80+1,1)</f>
        <v>37</v>
      </c>
      <c r="D81" s="278">
        <f>IF(M81=M80,D80,C81)</f>
        <v>23</v>
      </c>
      <c r="E81" s="278">
        <f>10+VALUE(RIGHT(LEFT(G81,3),1))</f>
        <v>13</v>
      </c>
      <c r="F81" s="278" t="str">
        <f>RIGHT(G81,2) &amp; IF(A81&lt;2,"x","")</f>
        <v>pm</v>
      </c>
      <c r="G81" s="278" t="s">
        <v>492</v>
      </c>
      <c r="H81" s="278" t="s">
        <v>226</v>
      </c>
      <c r="I81" s="278" t="s">
        <v>493</v>
      </c>
      <c r="K81" s="279">
        <f>LOOKUP(1E+100,M81:AC81)</f>
        <v>1554.3863321425481</v>
      </c>
      <c r="M81" s="279">
        <v>1600</v>
      </c>
      <c r="R81" s="278" t="str">
        <f>IF(AND((J81="This"),(L81="Only")),VLOOKUP(G81,#REF!,7,FALSE),"")</f>
        <v/>
      </c>
      <c r="S81" s="278">
        <v>1554.3863321425481</v>
      </c>
    </row>
    <row r="82" spans="1:22" x14ac:dyDescent="0.25">
      <c r="A82" s="278">
        <v>6</v>
      </c>
      <c r="C82" s="278">
        <f>IF(E82=E81,C81+1,1)</f>
        <v>38</v>
      </c>
      <c r="D82" s="278">
        <f>IF(M82=M81,D81,C82)</f>
        <v>23</v>
      </c>
      <c r="E82" s="278">
        <f>10+VALUE(RIGHT(LEFT(G82,3),1))</f>
        <v>13</v>
      </c>
      <c r="F82" s="278" t="str">
        <f>RIGHT(G82,2) &amp; IF(A82&lt;2,"x","")</f>
        <v>pm</v>
      </c>
      <c r="G82" s="278" t="s">
        <v>468</v>
      </c>
      <c r="H82" s="278" t="s">
        <v>293</v>
      </c>
      <c r="I82" s="278" t="s">
        <v>469</v>
      </c>
      <c r="K82" s="279">
        <f>LOOKUP(1E+100,M82:AC82)</f>
        <v>1541.5139178594579</v>
      </c>
      <c r="M82" s="279">
        <v>1600</v>
      </c>
      <c r="O82" s="278">
        <v>1508.2672187375808</v>
      </c>
      <c r="R82" s="278" t="str">
        <f>IF(AND((J82="This"),(L82="Only")),VLOOKUP(G82,#REF!,7,FALSE),"")</f>
        <v/>
      </c>
      <c r="S82" s="278">
        <v>1540.7626731767975</v>
      </c>
      <c r="T82" s="278">
        <v>1618.6634729877185</v>
      </c>
      <c r="V82" s="278">
        <v>1541.5139178594579</v>
      </c>
    </row>
    <row r="83" spans="1:22" x14ac:dyDescent="0.25">
      <c r="A83" s="278">
        <v>5</v>
      </c>
      <c r="C83" s="278">
        <f>IF(E83=E82,C82+1,1)</f>
        <v>39</v>
      </c>
      <c r="D83" s="278">
        <f>IF(M83=M82,D82,C83)</f>
        <v>39</v>
      </c>
      <c r="E83" s="278">
        <f>10+VALUE(RIGHT(LEFT(G83,3),1))</f>
        <v>13</v>
      </c>
      <c r="F83" s="278" t="str">
        <f>RIGHT(G83,2) &amp; IF(A83&lt;2,"x","")</f>
        <v>pm</v>
      </c>
      <c r="G83" s="278" t="s">
        <v>436</v>
      </c>
      <c r="H83" s="278" t="s">
        <v>434</v>
      </c>
      <c r="I83" s="278" t="s">
        <v>437</v>
      </c>
      <c r="K83" s="279">
        <f>LOOKUP(1E+100,M83:AC83)</f>
        <v>1532.3959580712301</v>
      </c>
      <c r="M83" s="279">
        <v>1680</v>
      </c>
      <c r="O83" s="278">
        <v>1638.9266878949168</v>
      </c>
      <c r="R83" s="278" t="str">
        <f>IF(AND((J83="This"),(L83="Only")),VLOOKUP(G83,#REF!,7,FALSE),"")</f>
        <v/>
      </c>
      <c r="S83" s="278">
        <v>1615.8472257401343</v>
      </c>
      <c r="V83" s="278">
        <v>1532.3959580712301</v>
      </c>
    </row>
    <row r="84" spans="1:22" x14ac:dyDescent="0.25">
      <c r="A84" s="278">
        <v>4</v>
      </c>
      <c r="C84" s="278">
        <f>IF(E84=E83,C83+1,1)</f>
        <v>40</v>
      </c>
      <c r="D84" s="278">
        <f>IF(M84=M83,D83,C84)</f>
        <v>40</v>
      </c>
      <c r="E84" s="278">
        <f>10+VALUE(RIGHT(LEFT(G84,3),1))</f>
        <v>13</v>
      </c>
      <c r="F84" s="278" t="str">
        <f>RIGHT(G84,2) &amp; IF(A84&lt;2,"x","")</f>
        <v>pm</v>
      </c>
      <c r="G84" s="278" t="s">
        <v>516</v>
      </c>
      <c r="H84" s="278" t="s">
        <v>416</v>
      </c>
      <c r="I84" s="278" t="s">
        <v>517</v>
      </c>
      <c r="K84" s="279">
        <f>LOOKUP(1E+100,M84:AC84)</f>
        <v>1531.9857171026847</v>
      </c>
      <c r="M84" s="279">
        <v>1600</v>
      </c>
      <c r="R84" s="278" t="str">
        <f>IF(AND((J84="This"),(L84="Only")),VLOOKUP(G84,#REF!,7,FALSE),"")</f>
        <v/>
      </c>
      <c r="S84" s="278">
        <v>1636.6616321677709</v>
      </c>
      <c r="V84" s="278">
        <v>1531.9857171026847</v>
      </c>
    </row>
    <row r="85" spans="1:22" x14ac:dyDescent="0.25">
      <c r="A85" s="278">
        <v>2</v>
      </c>
      <c r="C85" s="278">
        <f>IF(E85=E84,C84+1,1)</f>
        <v>41</v>
      </c>
      <c r="D85" s="278">
        <f>IF(M85=M84,D84,C85)</f>
        <v>40</v>
      </c>
      <c r="E85" s="278">
        <f>10+VALUE(RIGHT(LEFT(G85,3),1))</f>
        <v>13</v>
      </c>
      <c r="F85" s="278" t="str">
        <f>RIGHT(G85,2) &amp; IF(A85&lt;2,"x","")</f>
        <v>pm</v>
      </c>
      <c r="G85" s="278" t="s">
        <v>490</v>
      </c>
      <c r="H85" s="278" t="s">
        <v>226</v>
      </c>
      <c r="I85" s="278" t="s">
        <v>491</v>
      </c>
      <c r="K85" s="279">
        <f>LOOKUP(1E+100,M85:AC85)</f>
        <v>1520.584890435453</v>
      </c>
      <c r="M85" s="279">
        <v>1600</v>
      </c>
      <c r="R85" s="278" t="str">
        <f>IF(AND((J85="This"),(L85="Only")),VLOOKUP(G85,#REF!,7,FALSE),"")</f>
        <v/>
      </c>
      <c r="S85" s="278">
        <v>1520.584890435453</v>
      </c>
    </row>
    <row r="86" spans="1:22" x14ac:dyDescent="0.25">
      <c r="A86" s="278">
        <v>2</v>
      </c>
      <c r="C86" s="278">
        <f>IF(E86=E85,C85+1,1)</f>
        <v>42</v>
      </c>
      <c r="D86" s="278">
        <f>IF(M86=M85,D85,C86)</f>
        <v>40</v>
      </c>
      <c r="E86" s="278">
        <f>10+VALUE(RIGHT(LEFT(G86,3),1))</f>
        <v>13</v>
      </c>
      <c r="F86" s="278" t="str">
        <f>RIGHT(G86,2) &amp; IF(A86&lt;2,"x","")</f>
        <v>pm</v>
      </c>
      <c r="G86" s="278" t="s">
        <v>496</v>
      </c>
      <c r="H86" s="278" t="s">
        <v>497</v>
      </c>
      <c r="I86" s="278" t="s">
        <v>498</v>
      </c>
      <c r="K86" s="279">
        <f>LOOKUP(1E+100,M86:AC86)</f>
        <v>1510.9636495195373</v>
      </c>
      <c r="M86" s="279">
        <v>1600</v>
      </c>
      <c r="R86" s="278" t="str">
        <f>IF(AND((J86="This"),(L86="Only")),VLOOKUP(G86,#REF!,7,FALSE),"")</f>
        <v/>
      </c>
      <c r="S86" s="278">
        <v>1510.9636495195373</v>
      </c>
    </row>
    <row r="87" spans="1:22" x14ac:dyDescent="0.25">
      <c r="A87" s="278">
        <v>5</v>
      </c>
      <c r="C87" s="278">
        <f>IF(E87=E86,C86+1,1)</f>
        <v>43</v>
      </c>
      <c r="D87" s="278">
        <f>IF(M87=M86,D86,C87)</f>
        <v>40</v>
      </c>
      <c r="E87" s="278">
        <f>10+VALUE(RIGHT(LEFT(G87,3),1))</f>
        <v>13</v>
      </c>
      <c r="F87" s="278" t="str">
        <f>RIGHT(G87,2) &amp; IF(A87&lt;2,"x","")</f>
        <v>pm</v>
      </c>
      <c r="G87" s="278" t="s">
        <v>459</v>
      </c>
      <c r="H87" s="278" t="s">
        <v>284</v>
      </c>
      <c r="I87" s="278" t="s">
        <v>460</v>
      </c>
      <c r="K87" s="279">
        <f>LOOKUP(1E+100,M87:AC87)</f>
        <v>1506.9929479813056</v>
      </c>
      <c r="M87" s="279">
        <v>1600</v>
      </c>
      <c r="R87" s="278" t="str">
        <f>IF(AND((J87="This"),(L87="Only")),VLOOKUP(G87,#REF!,7,FALSE),"")</f>
        <v/>
      </c>
      <c r="S87" s="278">
        <v>1521.1076517388424</v>
      </c>
      <c r="T87" s="278">
        <v>1577.3037892908403</v>
      </c>
      <c r="V87" s="278">
        <v>1506.9929479813056</v>
      </c>
    </row>
    <row r="88" spans="1:22" x14ac:dyDescent="0.25">
      <c r="A88" s="278">
        <v>5</v>
      </c>
      <c r="C88" s="278">
        <f>IF(E88=E87,C87+1,1)</f>
        <v>44</v>
      </c>
      <c r="D88" s="278">
        <f>IF(M88=M87,D87,C88)</f>
        <v>40</v>
      </c>
      <c r="E88" s="278">
        <f>10+VALUE(RIGHT(LEFT(G88,3),1))</f>
        <v>13</v>
      </c>
      <c r="F88" s="278" t="str">
        <f>RIGHT(G88,2) &amp; IF(A88&lt;2,"x","")</f>
        <v>pm</v>
      </c>
      <c r="G88" s="278" t="s">
        <v>505</v>
      </c>
      <c r="H88" s="278" t="s">
        <v>232</v>
      </c>
      <c r="I88" s="278" t="s">
        <v>506</v>
      </c>
      <c r="K88" s="279">
        <f>LOOKUP(1E+100,M88:AC88)</f>
        <v>1479.2171814305723</v>
      </c>
      <c r="M88" s="279">
        <v>1600</v>
      </c>
      <c r="R88" s="278" t="str">
        <f>IF(AND((J88="This"),(L88="Only")),VLOOKUP(G88,#REF!,7,FALSE),"")</f>
        <v/>
      </c>
      <c r="S88" s="278">
        <v>1501.4152753915264</v>
      </c>
      <c r="T88" s="278">
        <v>1488.4874647585782</v>
      </c>
      <c r="V88" s="278">
        <v>1479.2171814305723</v>
      </c>
    </row>
    <row r="89" spans="1:22" x14ac:dyDescent="0.25">
      <c r="A89" s="278">
        <v>5</v>
      </c>
      <c r="C89" s="278">
        <f>IF(E89=E88,C88+1,1)</f>
        <v>45</v>
      </c>
      <c r="D89" s="278">
        <f>IF(M89=M88,D88,C89)</f>
        <v>40</v>
      </c>
      <c r="E89" s="278">
        <f>10+VALUE(RIGHT(LEFT(G89,3),1))</f>
        <v>13</v>
      </c>
      <c r="F89" s="278" t="str">
        <f>RIGHT(G89,2) &amp; IF(A89&lt;2,"x","")</f>
        <v>pm</v>
      </c>
      <c r="G89" s="278" t="s">
        <v>444</v>
      </c>
      <c r="H89" s="278" t="s">
        <v>445</v>
      </c>
      <c r="I89" s="278" t="s">
        <v>446</v>
      </c>
      <c r="K89" s="279">
        <f>LOOKUP(1E+100,M89:AC89)</f>
        <v>1467.8957556218759</v>
      </c>
      <c r="M89" s="279">
        <v>1600</v>
      </c>
      <c r="O89" s="278">
        <v>1543.1379599637289</v>
      </c>
      <c r="R89" s="278" t="str">
        <f>IF(AND((J89="This"),(L89="Only")),VLOOKUP(G89,#REF!,7,FALSE),"")</f>
        <v/>
      </c>
      <c r="T89" s="278">
        <v>1458.4555688261864</v>
      </c>
      <c r="V89" s="278">
        <v>1467.8957556218759</v>
      </c>
    </row>
    <row r="90" spans="1:22" x14ac:dyDescent="0.25">
      <c r="A90" s="278">
        <v>5</v>
      </c>
      <c r="C90" s="278">
        <f>IF(E90=E89,C89+1,1)</f>
        <v>46</v>
      </c>
      <c r="D90" s="278">
        <f>IF(M90=M89,D89,C90)</f>
        <v>40</v>
      </c>
      <c r="E90" s="278">
        <f>10+VALUE(RIGHT(LEFT(G90,3),1))</f>
        <v>13</v>
      </c>
      <c r="F90" s="278" t="str">
        <f>RIGHT(G90,2) &amp; IF(A90&lt;2,"x","")</f>
        <v>pm</v>
      </c>
      <c r="G90" s="278" t="s">
        <v>507</v>
      </c>
      <c r="H90" s="278" t="s">
        <v>232</v>
      </c>
      <c r="I90" s="278" t="s">
        <v>508</v>
      </c>
      <c r="K90" s="279">
        <f>LOOKUP(1E+100,M90:AC90)</f>
        <v>1425.4109540497846</v>
      </c>
      <c r="M90" s="279">
        <v>1600</v>
      </c>
      <c r="R90" s="278" t="str">
        <f>IF(AND((J90="This"),(L90="Only")),VLOOKUP(G90,#REF!,7,FALSE),"")</f>
        <v/>
      </c>
      <c r="S90" s="278">
        <v>1526.5577404254093</v>
      </c>
      <c r="T90" s="278">
        <v>1447.3909581757298</v>
      </c>
      <c r="V90" s="278">
        <v>1425.4109540497846</v>
      </c>
    </row>
    <row r="91" spans="1:22" x14ac:dyDescent="0.25">
      <c r="A91" s="278">
        <v>5</v>
      </c>
      <c r="C91" s="278">
        <f>IF(E91=E90,C90+1,1)</f>
        <v>47</v>
      </c>
      <c r="D91" s="278">
        <f>IF(M91=M90,D90,C91)</f>
        <v>40</v>
      </c>
      <c r="E91" s="278">
        <f>10+VALUE(RIGHT(LEFT(G91,3),1))</f>
        <v>13</v>
      </c>
      <c r="F91" s="278" t="str">
        <f>RIGHT(G91,2) &amp; IF(A91&lt;2,"x","")</f>
        <v>pm</v>
      </c>
      <c r="G91" s="278" t="s">
        <v>494</v>
      </c>
      <c r="H91" s="278" t="s">
        <v>223</v>
      </c>
      <c r="I91" s="278" t="s">
        <v>495</v>
      </c>
      <c r="K91" s="279">
        <f>LOOKUP(1E+100,M91:AC91)</f>
        <v>1420.2404492297683</v>
      </c>
      <c r="M91" s="279">
        <v>1600</v>
      </c>
      <c r="O91" s="278">
        <v>1496.0605297120387</v>
      </c>
      <c r="R91" s="278" t="str">
        <f>IF(AND((J91="This"),(L91="Only")),VLOOKUP(G91,#REF!,7,FALSE),"")</f>
        <v/>
      </c>
      <c r="T91" s="278">
        <v>1420.2404492297683</v>
      </c>
    </row>
    <row r="92" spans="1:22" x14ac:dyDescent="0.25">
      <c r="A92" s="278">
        <v>3</v>
      </c>
      <c r="C92" s="278">
        <f>IF(E92=E91,C91+1,1)</f>
        <v>1</v>
      </c>
      <c r="D92" s="278">
        <f>IF(M92=M91,D91,C92)</f>
        <v>1</v>
      </c>
      <c r="E92" s="278">
        <f>10+VALUE(RIGHT(LEFT(G92,3),1))</f>
        <v>14</v>
      </c>
      <c r="F92" s="278" t="str">
        <f>RIGHT(G92,2) &amp; IF(A92&lt;2,"x","")</f>
        <v>pm</v>
      </c>
      <c r="G92" s="278" t="s">
        <v>529</v>
      </c>
      <c r="H92" s="278" t="s">
        <v>217</v>
      </c>
      <c r="I92" s="278" t="s">
        <v>530</v>
      </c>
      <c r="K92" s="279">
        <f>LOOKUP(1E+100,M92:AC92)</f>
        <v>2360.4440637068092</v>
      </c>
      <c r="M92" s="279">
        <v>2200</v>
      </c>
      <c r="N92" s="278">
        <v>2306.5141993458815</v>
      </c>
      <c r="R92" s="278" t="str">
        <f>IF(AND((J92="This"),(L92="Only")),VLOOKUP(G92,#REF!,7,FALSE),"")</f>
        <v/>
      </c>
      <c r="U92" s="278">
        <v>2360.4440637068092</v>
      </c>
    </row>
    <row r="93" spans="1:22" x14ac:dyDescent="0.25">
      <c r="A93" s="278">
        <v>2</v>
      </c>
      <c r="C93" s="278">
        <f>IF(E93=E92,C92+1,1)</f>
        <v>2</v>
      </c>
      <c r="D93" s="278">
        <f>IF(M93=M92,D92,C93)</f>
        <v>1</v>
      </c>
      <c r="E93" s="278">
        <f>10+VALUE(RIGHT(LEFT(G93,3),1))</f>
        <v>14</v>
      </c>
      <c r="F93" s="278" t="str">
        <f>RIGHT(G93,2) &amp; IF(A93&lt;2,"x","")</f>
        <v>pm</v>
      </c>
      <c r="G93" s="278" t="s">
        <v>537</v>
      </c>
      <c r="H93" s="278" t="s">
        <v>259</v>
      </c>
      <c r="I93" s="278" t="s">
        <v>538</v>
      </c>
      <c r="K93" s="279">
        <f>LOOKUP(1E+100,M93:AC93)</f>
        <v>2335.7533430560889</v>
      </c>
      <c r="M93" s="279">
        <v>2200</v>
      </c>
      <c r="N93" s="278">
        <v>2248.7430591333896</v>
      </c>
      <c r="R93" s="278" t="str">
        <f>IF(AND((J93="This"),(L93="Only")),VLOOKUP(G93,#REF!,7,FALSE),"")</f>
        <v/>
      </c>
      <c r="S93" s="278">
        <v>2335.7533430560889</v>
      </c>
    </row>
    <row r="94" spans="1:22" x14ac:dyDescent="0.25">
      <c r="A94" s="278">
        <v>2</v>
      </c>
      <c r="C94" s="278">
        <f>IF(E94=E93,C93+1,1)</f>
        <v>3</v>
      </c>
      <c r="D94" s="278">
        <f>IF(M94=M93,D93,C94)</f>
        <v>1</v>
      </c>
      <c r="E94" s="278">
        <f>10+VALUE(RIGHT(LEFT(G94,3),1))</f>
        <v>14</v>
      </c>
      <c r="F94" s="278" t="str">
        <f>RIGHT(G94,2) &amp; IF(A94&lt;2,"x","")</f>
        <v>pm</v>
      </c>
      <c r="G94" s="278" t="s">
        <v>574</v>
      </c>
      <c r="H94" s="278" t="s">
        <v>232</v>
      </c>
      <c r="I94" s="278" t="s">
        <v>575</v>
      </c>
      <c r="K94" s="279">
        <f>LOOKUP(1E+100,M94:AC94)</f>
        <v>2326.0573699748429</v>
      </c>
      <c r="M94" s="279">
        <v>2200</v>
      </c>
      <c r="R94" s="278" t="str">
        <f>IF(AND((J94="This"),(L94="Only")),VLOOKUP(G94,#REF!,7,FALSE),"")</f>
        <v/>
      </c>
      <c r="U94" s="278">
        <v>2326.0573699748429</v>
      </c>
    </row>
    <row r="95" spans="1:22" x14ac:dyDescent="0.25">
      <c r="A95" s="278">
        <v>4</v>
      </c>
      <c r="C95" s="278">
        <f>IF(E95=E94,C94+1,1)</f>
        <v>4</v>
      </c>
      <c r="D95" s="278">
        <f>IF(M95=M94,D94,C95)</f>
        <v>1</v>
      </c>
      <c r="E95" s="278">
        <f>10+VALUE(RIGHT(LEFT(G95,3),1))</f>
        <v>14</v>
      </c>
      <c r="F95" s="278" t="str">
        <f>RIGHT(G95,2) &amp; IF(A95&lt;2,"x","")</f>
        <v>pm</v>
      </c>
      <c r="G95" s="278" t="s">
        <v>531</v>
      </c>
      <c r="H95" s="278" t="s">
        <v>217</v>
      </c>
      <c r="I95" s="278" t="s">
        <v>532</v>
      </c>
      <c r="K95" s="279">
        <f>LOOKUP(1E+100,M95:AC95)</f>
        <v>2295.955969587601</v>
      </c>
      <c r="M95" s="279">
        <v>2200</v>
      </c>
      <c r="N95" s="278">
        <v>2234.317086556041</v>
      </c>
      <c r="R95" s="278" t="str">
        <f>IF(AND((J95="This"),(L95="Only")),VLOOKUP(G95,#REF!,7,FALSE),"")</f>
        <v/>
      </c>
      <c r="U95" s="278">
        <v>2295.955969587601</v>
      </c>
    </row>
    <row r="96" spans="1:22" x14ac:dyDescent="0.25">
      <c r="A96" s="278">
        <v>6</v>
      </c>
      <c r="C96" s="278">
        <f>IF(E96=E95,C95+1,1)</f>
        <v>5</v>
      </c>
      <c r="D96" s="278">
        <f>IF(M96=M95,D95,C96)</f>
        <v>1</v>
      </c>
      <c r="E96" s="278">
        <f>10+VALUE(RIGHT(LEFT(G96,3),1))</f>
        <v>14</v>
      </c>
      <c r="F96" s="278" t="str">
        <f>RIGHT(G96,2) &amp; IF(A96&lt;2,"x","")</f>
        <v>pm</v>
      </c>
      <c r="G96" s="278" t="s">
        <v>550</v>
      </c>
      <c r="H96" s="278" t="s">
        <v>333</v>
      </c>
      <c r="I96" s="278" t="s">
        <v>551</v>
      </c>
      <c r="K96" s="279">
        <f>LOOKUP(1E+100,M96:AC96)</f>
        <v>2276.7378483263374</v>
      </c>
      <c r="M96" s="279">
        <v>2200</v>
      </c>
      <c r="N96" s="278">
        <v>2235.4451064009868</v>
      </c>
      <c r="P96" s="278">
        <v>2278.4614151352116</v>
      </c>
      <c r="R96" s="278" t="str">
        <f>IF(AND((J96="This"),(L96="Only")),VLOOKUP(G96,#REF!,7,FALSE),"")</f>
        <v/>
      </c>
      <c r="S96" s="278">
        <v>2248.6070344959771</v>
      </c>
      <c r="U96" s="278">
        <v>2276.7378483263374</v>
      </c>
    </row>
    <row r="97" spans="1:22" x14ac:dyDescent="0.25">
      <c r="A97" s="278">
        <v>2</v>
      </c>
      <c r="C97" s="278">
        <f>IF(E97=E96,C96+1,1)</f>
        <v>6</v>
      </c>
      <c r="D97" s="278">
        <f>IF(M97=M96,D96,C97)</f>
        <v>1</v>
      </c>
      <c r="E97" s="278">
        <f>10+VALUE(RIGHT(LEFT(G97,3),1))</f>
        <v>14</v>
      </c>
      <c r="F97" s="278" t="str">
        <f>RIGHT(G97,2) &amp; IF(A97&lt;2,"x","")</f>
        <v>pm</v>
      </c>
      <c r="G97" s="278" t="s">
        <v>556</v>
      </c>
      <c r="H97" s="278" t="s">
        <v>226</v>
      </c>
      <c r="I97" s="278" t="s">
        <v>557</v>
      </c>
      <c r="K97" s="279">
        <f>LOOKUP(1E+100,M97:AC97)</f>
        <v>2262.6255966977401</v>
      </c>
      <c r="M97" s="279">
        <v>2200</v>
      </c>
      <c r="R97" s="278" t="str">
        <f>IF(AND((J97="This"),(L97="Only")),VLOOKUP(G97,#REF!,7,FALSE),"")</f>
        <v/>
      </c>
      <c r="S97" s="278">
        <v>2262.6255966977401</v>
      </c>
    </row>
    <row r="98" spans="1:22" x14ac:dyDescent="0.25">
      <c r="A98" s="278">
        <v>3</v>
      </c>
      <c r="C98" s="278">
        <f>IF(E98=E97,C97+1,1)</f>
        <v>7</v>
      </c>
      <c r="D98" s="278">
        <f>IF(M98=M97,D97,C98)</f>
        <v>7</v>
      </c>
      <c r="E98" s="278">
        <f>10+VALUE(RIGHT(LEFT(G98,3),1))</f>
        <v>14</v>
      </c>
      <c r="F98" s="278" t="str">
        <f>RIGHT(G98,2) &amp; IF(A98&lt;2,"x","")</f>
        <v>pm</v>
      </c>
      <c r="G98" s="278" t="s">
        <v>599</v>
      </c>
      <c r="H98" s="278" t="s">
        <v>473</v>
      </c>
      <c r="I98" s="278" t="s">
        <v>600</v>
      </c>
      <c r="K98" s="279">
        <f>LOOKUP(1E+100,M98:AC98)</f>
        <v>2253.0290632225715</v>
      </c>
      <c r="M98" s="279">
        <v>2066.6666666666665</v>
      </c>
      <c r="P98" s="278">
        <v>2159.383839052045</v>
      </c>
      <c r="R98" s="278" t="str">
        <f>IF(AND((J98="This"),(L98="Only")),VLOOKUP(G98,#REF!,7,FALSE),"")</f>
        <v/>
      </c>
      <c r="S98" s="278">
        <v>2224.1169108397717</v>
      </c>
      <c r="V98" s="278">
        <v>2253.0290632225715</v>
      </c>
    </row>
    <row r="99" spans="1:22" x14ac:dyDescent="0.25">
      <c r="A99" s="278">
        <v>4</v>
      </c>
      <c r="C99" s="278">
        <f>IF(E99=E98,C98+1,1)</f>
        <v>8</v>
      </c>
      <c r="D99" s="278">
        <f>IF(M99=M98,D98,C99)</f>
        <v>8</v>
      </c>
      <c r="E99" s="278">
        <f>10+VALUE(RIGHT(LEFT(G99,3),1))</f>
        <v>14</v>
      </c>
      <c r="F99" s="278" t="str">
        <f>RIGHT(G99,2) &amp; IF(A99&lt;2,"x","")</f>
        <v>pm</v>
      </c>
      <c r="G99" s="278" t="s">
        <v>593</v>
      </c>
      <c r="H99" s="278" t="s">
        <v>252</v>
      </c>
      <c r="I99" s="278" t="s">
        <v>594</v>
      </c>
      <c r="K99" s="279">
        <f>LOOKUP(1E+100,M99:AC99)</f>
        <v>2244.178282513466</v>
      </c>
      <c r="M99" s="279">
        <v>2150</v>
      </c>
      <c r="R99" s="278" t="str">
        <f>IF(AND((J99="This"),(L99="Only")),VLOOKUP(G99,#REF!,7,FALSE),"")</f>
        <v/>
      </c>
      <c r="S99" s="278">
        <v>2244.178282513466</v>
      </c>
    </row>
    <row r="100" spans="1:22" x14ac:dyDescent="0.25">
      <c r="A100" s="278">
        <v>2</v>
      </c>
      <c r="C100" s="278">
        <f>IF(E100=E99,C99+1,1)</f>
        <v>9</v>
      </c>
      <c r="D100" s="278">
        <f>IF(M100=M99,D99,C100)</f>
        <v>9</v>
      </c>
      <c r="E100" s="278">
        <f>10+VALUE(RIGHT(LEFT(G100,3),1))</f>
        <v>14</v>
      </c>
      <c r="F100" s="278" t="str">
        <f>RIGHT(G100,2) &amp; IF(A100&lt;2,"x","")</f>
        <v>pm</v>
      </c>
      <c r="G100" s="278" t="s">
        <v>525</v>
      </c>
      <c r="H100" s="278" t="s">
        <v>268</v>
      </c>
      <c r="I100" s="278" t="s">
        <v>526</v>
      </c>
      <c r="K100" s="279">
        <f>LOOKUP(1E+100,M100:AC100)</f>
        <v>2242.8082264482937</v>
      </c>
      <c r="M100" s="279">
        <v>2200</v>
      </c>
      <c r="N100" s="278">
        <v>2242.8082264482937</v>
      </c>
      <c r="R100" s="278" t="str">
        <f>IF(AND((J100="This"),(L100="Only")),VLOOKUP(G100,#REF!,7,FALSE),"")</f>
        <v/>
      </c>
    </row>
    <row r="101" spans="1:22" x14ac:dyDescent="0.25">
      <c r="A101" s="278">
        <v>3</v>
      </c>
      <c r="C101" s="278">
        <f>IF(E101=E100,C100+1,1)</f>
        <v>10</v>
      </c>
      <c r="D101" s="278">
        <f>IF(M101=M100,D100,C101)</f>
        <v>9</v>
      </c>
      <c r="E101" s="278">
        <f>10+VALUE(RIGHT(LEFT(G101,3),1))</f>
        <v>14</v>
      </c>
      <c r="F101" s="278" t="str">
        <f>RIGHT(G101,2) &amp; IF(A101&lt;2,"x","")</f>
        <v>pm</v>
      </c>
      <c r="G101" s="278" t="s">
        <v>591</v>
      </c>
      <c r="H101" s="278" t="s">
        <v>416</v>
      </c>
      <c r="I101" s="278" t="s">
        <v>592</v>
      </c>
      <c r="K101" s="279">
        <f>LOOKUP(1E+100,M101:AC101)</f>
        <v>2240.256748099006</v>
      </c>
      <c r="M101" s="279">
        <v>2200</v>
      </c>
      <c r="P101" s="278">
        <v>2240.256748099006</v>
      </c>
      <c r="R101" s="278" t="str">
        <f>IF(AND((J101="This"),(L101="Only")),VLOOKUP(G101,#REF!,7,FALSE),"")</f>
        <v/>
      </c>
    </row>
    <row r="102" spans="1:22" x14ac:dyDescent="0.25">
      <c r="A102" s="278">
        <v>2</v>
      </c>
      <c r="C102" s="278">
        <f>IF(E102=E101,C101+1,1)</f>
        <v>11</v>
      </c>
      <c r="D102" s="278">
        <f>IF(M102=M101,D101,C102)</f>
        <v>9</v>
      </c>
      <c r="E102" s="278">
        <f>10+VALUE(RIGHT(LEFT(G102,3),1))</f>
        <v>14</v>
      </c>
      <c r="F102" s="278" t="str">
        <f>RIGHT(G102,2) &amp; IF(A102&lt;2,"x","")</f>
        <v>pm</v>
      </c>
      <c r="G102" s="278" t="s">
        <v>554</v>
      </c>
      <c r="H102" s="278" t="s">
        <v>226</v>
      </c>
      <c r="I102" s="278" t="s">
        <v>555</v>
      </c>
      <c r="K102" s="279">
        <f>LOOKUP(1E+100,M102:AC102)</f>
        <v>2234.955109981981</v>
      </c>
      <c r="M102" s="279">
        <v>2200</v>
      </c>
      <c r="R102" s="278" t="str">
        <f>IF(AND((J102="This"),(L102="Only")),VLOOKUP(G102,#REF!,7,FALSE),"")</f>
        <v/>
      </c>
      <c r="S102" s="278">
        <v>2234.955109981981</v>
      </c>
    </row>
    <row r="103" spans="1:22" x14ac:dyDescent="0.25">
      <c r="A103" s="278">
        <v>5</v>
      </c>
      <c r="C103" s="278">
        <f>IF(E103=E102,C102+1,1)</f>
        <v>12</v>
      </c>
      <c r="D103" s="278">
        <f>IF(M103=M102,D102,C103)</f>
        <v>12</v>
      </c>
      <c r="E103" s="278">
        <f>10+VALUE(RIGHT(LEFT(G103,3),1))</f>
        <v>14</v>
      </c>
      <c r="F103" s="278" t="str">
        <f>RIGHT(G103,2) &amp; IF(A103&lt;2,"x","")</f>
        <v>pm</v>
      </c>
      <c r="G103" s="278" t="s">
        <v>603</v>
      </c>
      <c r="H103" s="278" t="s">
        <v>604</v>
      </c>
      <c r="I103" s="278" t="s">
        <v>605</v>
      </c>
      <c r="K103" s="279">
        <f>LOOKUP(1E+100,M103:AC103)</f>
        <v>2205.4841047721684</v>
      </c>
      <c r="M103" s="281">
        <v>2120</v>
      </c>
      <c r="O103" s="278">
        <v>2163.8355327864051</v>
      </c>
      <c r="P103" s="278">
        <v>2170.8481480848104</v>
      </c>
      <c r="R103" s="278" t="str">
        <f>IF(AND((J103="This"),(L103="Only")),VLOOKUP(G103,#REF!,7,FALSE),"")</f>
        <v/>
      </c>
      <c r="S103" s="278">
        <v>2193.5433511420206</v>
      </c>
      <c r="U103" s="278">
        <v>2205.4841047721684</v>
      </c>
    </row>
    <row r="104" spans="1:22" x14ac:dyDescent="0.25">
      <c r="A104" s="278">
        <v>2</v>
      </c>
      <c r="C104" s="278">
        <f>IF(E104=E103,C103+1,1)</f>
        <v>13</v>
      </c>
      <c r="D104" s="278">
        <f>IF(M104=M103,D103,C104)</f>
        <v>13</v>
      </c>
      <c r="E104" s="278">
        <f>10+VALUE(RIGHT(LEFT(G104,3),1))</f>
        <v>14</v>
      </c>
      <c r="F104" s="278" t="str">
        <f>RIGHT(G104,2) &amp; IF(A104&lt;2,"x","")</f>
        <v>pm</v>
      </c>
      <c r="G104" s="278" t="s">
        <v>558</v>
      </c>
      <c r="H104" s="278" t="s">
        <v>226</v>
      </c>
      <c r="I104" s="278" t="s">
        <v>559</v>
      </c>
      <c r="K104" s="279">
        <f>LOOKUP(1E+100,M104:AC104)</f>
        <v>2200</v>
      </c>
      <c r="M104" s="279">
        <v>2200</v>
      </c>
      <c r="R104" s="278" t="str">
        <f>IF(AND((J104="This"),(L104="Only")),VLOOKUP(G104,#REF!,7,FALSE),"")</f>
        <v/>
      </c>
    </row>
    <row r="105" spans="1:22" x14ac:dyDescent="0.25">
      <c r="A105" s="278">
        <v>4</v>
      </c>
      <c r="C105" s="278">
        <f>IF(E105=E104,C104+1,1)</f>
        <v>14</v>
      </c>
      <c r="D105" s="278">
        <f>IF(M105=M104,D104,C105)</f>
        <v>13</v>
      </c>
      <c r="E105" s="278">
        <f>10+VALUE(RIGHT(LEFT(G105,3),1))</f>
        <v>14</v>
      </c>
      <c r="F105" s="278" t="str">
        <f>RIGHT(G105,2) &amp; IF(A105&lt;2,"x","")</f>
        <v>pm</v>
      </c>
      <c r="G105" s="278" t="s">
        <v>548</v>
      </c>
      <c r="H105" s="278" t="s">
        <v>296</v>
      </c>
      <c r="I105" s="278" t="s">
        <v>549</v>
      </c>
      <c r="K105" s="279">
        <f>LOOKUP(1E+100,M105:AC105)</f>
        <v>2174.4435664290072</v>
      </c>
      <c r="M105" s="279">
        <v>2200</v>
      </c>
      <c r="P105" s="278">
        <v>2233.7867329179321</v>
      </c>
      <c r="R105" s="278" t="str">
        <f>IF(AND((J105="This"),(L105="Only")),VLOOKUP(G105,#REF!,7,FALSE),"")</f>
        <v/>
      </c>
      <c r="S105" s="278">
        <v>2194.7898785702087</v>
      </c>
      <c r="U105" s="278">
        <v>2174.4435664290072</v>
      </c>
    </row>
    <row r="106" spans="1:22" x14ac:dyDescent="0.25">
      <c r="A106" s="278">
        <v>4</v>
      </c>
      <c r="C106" s="278">
        <f>IF(E106=E105,C105+1,1)</f>
        <v>15</v>
      </c>
      <c r="D106" s="278">
        <f>IF(M106=M105,D105,C106)</f>
        <v>13</v>
      </c>
      <c r="E106" s="278">
        <f>10+VALUE(RIGHT(LEFT(G106,3),1))</f>
        <v>14</v>
      </c>
      <c r="F106" s="278" t="str">
        <f>RIGHT(G106,2) &amp; IF(A106&lt;2,"x","")</f>
        <v>pm</v>
      </c>
      <c r="G106" s="278" t="s">
        <v>576</v>
      </c>
      <c r="H106" s="278" t="s">
        <v>232</v>
      </c>
      <c r="I106" s="278" t="s">
        <v>577</v>
      </c>
      <c r="K106" s="279">
        <f>LOOKUP(1E+100,M106:AC106)</f>
        <v>2163.1779238560807</v>
      </c>
      <c r="M106" s="279">
        <v>2200</v>
      </c>
      <c r="P106" s="278">
        <v>2181.4831126580739</v>
      </c>
      <c r="R106" s="278" t="str">
        <f>IF(AND((J106="This"),(L106="Only")),VLOOKUP(G106,#REF!,7,FALSE),"")</f>
        <v/>
      </c>
      <c r="U106" s="278">
        <v>2163.1779238560807</v>
      </c>
    </row>
    <row r="107" spans="1:22" x14ac:dyDescent="0.25">
      <c r="A107" s="278">
        <v>6</v>
      </c>
      <c r="C107" s="278">
        <f>IF(E107=E106,C106+1,1)</f>
        <v>16</v>
      </c>
      <c r="D107" s="278">
        <f>IF(M107=M106,D106,C107)</f>
        <v>13</v>
      </c>
      <c r="E107" s="278">
        <f>10+VALUE(RIGHT(LEFT(G107,3),1))</f>
        <v>14</v>
      </c>
      <c r="F107" s="278" t="str">
        <f>RIGHT(G107,2) &amp; IF(A107&lt;2,"x","")</f>
        <v>pm</v>
      </c>
      <c r="G107" s="278" t="s">
        <v>535</v>
      </c>
      <c r="H107" s="278" t="s">
        <v>284</v>
      </c>
      <c r="I107" s="278" t="s">
        <v>536</v>
      </c>
      <c r="K107" s="279">
        <f>LOOKUP(1E+100,M107:AC107)</f>
        <v>2153.2095704362496</v>
      </c>
      <c r="M107" s="279">
        <v>2200</v>
      </c>
      <c r="N107" s="278">
        <v>2142.6540778770523</v>
      </c>
      <c r="P107" s="278">
        <v>2105.2510909599187</v>
      </c>
      <c r="R107" s="278" t="str">
        <f>IF(AND((J107="This"),(L107="Only")),VLOOKUP(G107,#REF!,7,FALSE),"")</f>
        <v/>
      </c>
      <c r="S107" s="278">
        <v>2097.7644613858624</v>
      </c>
      <c r="U107" s="278">
        <v>2153.2095704362496</v>
      </c>
    </row>
    <row r="108" spans="1:22" x14ac:dyDescent="0.25">
      <c r="A108" s="278">
        <v>4</v>
      </c>
      <c r="C108" s="278">
        <f>IF(E108=E107,C107+1,1)</f>
        <v>17</v>
      </c>
      <c r="D108" s="278">
        <f>IF(M108=M107,D107,C108)</f>
        <v>13</v>
      </c>
      <c r="E108" s="278">
        <f>10+VALUE(RIGHT(LEFT(G108,3),1))</f>
        <v>14</v>
      </c>
      <c r="F108" s="278" t="str">
        <f>RIGHT(G108,2) &amp; IF(A108&lt;2,"x","")</f>
        <v>pm</v>
      </c>
      <c r="G108" s="278" t="s">
        <v>533</v>
      </c>
      <c r="H108" s="278" t="s">
        <v>217</v>
      </c>
      <c r="I108" s="278" t="s">
        <v>534</v>
      </c>
      <c r="K108" s="279">
        <f>LOOKUP(1E+100,M108:AC108)</f>
        <v>2148.9859090201348</v>
      </c>
      <c r="M108" s="279">
        <v>2200</v>
      </c>
      <c r="N108" s="278">
        <v>2160.6945874992289</v>
      </c>
      <c r="R108" s="278" t="str">
        <f>IF(AND((J108="This"),(L108="Only")),VLOOKUP(G108,#REF!,7,FALSE),"")</f>
        <v/>
      </c>
      <c r="U108" s="278">
        <v>2148.9859090201348</v>
      </c>
    </row>
    <row r="109" spans="1:22" x14ac:dyDescent="0.25">
      <c r="A109" s="278">
        <v>2</v>
      </c>
      <c r="C109" s="278">
        <f>IF(E109=E108,C108+1,1)</f>
        <v>18</v>
      </c>
      <c r="D109" s="278">
        <f>IF(M109=M108,D108,C109)</f>
        <v>13</v>
      </c>
      <c r="E109" s="278">
        <f>10+VALUE(RIGHT(LEFT(G109,3),1))</f>
        <v>14</v>
      </c>
      <c r="F109" s="278" t="str">
        <f>RIGHT(G109,2) &amp; IF(A109&lt;2,"x","")</f>
        <v>pm</v>
      </c>
      <c r="G109" s="278" t="s">
        <v>527</v>
      </c>
      <c r="H109" s="278" t="s">
        <v>268</v>
      </c>
      <c r="I109" s="278" t="s">
        <v>528</v>
      </c>
      <c r="K109" s="279">
        <f>LOOKUP(1E+100,M109:AC109)</f>
        <v>2148.0572046490697</v>
      </c>
      <c r="M109" s="279">
        <v>2200</v>
      </c>
      <c r="N109" s="278">
        <v>2148.0572046490697</v>
      </c>
      <c r="R109" s="278" t="str">
        <f>IF(AND((J109="This"),(L109="Only")),VLOOKUP(G109,#REF!,7,FALSE),"")</f>
        <v/>
      </c>
    </row>
    <row r="110" spans="1:22" x14ac:dyDescent="0.25">
      <c r="A110" s="278">
        <v>4</v>
      </c>
      <c r="C110" s="278">
        <f>IF(E110=E109,C109+1,1)</f>
        <v>19</v>
      </c>
      <c r="D110" s="278">
        <f>IF(M110=M109,D109,C110)</f>
        <v>13</v>
      </c>
      <c r="E110" s="278">
        <f>10+VALUE(RIGHT(LEFT(G110,3),1))</f>
        <v>14</v>
      </c>
      <c r="F110" s="278" t="str">
        <f>RIGHT(G110,2) &amp; IF(A110&lt;2,"x","")</f>
        <v>pm</v>
      </c>
      <c r="G110" s="278" t="s">
        <v>586</v>
      </c>
      <c r="H110" s="278" t="s">
        <v>587</v>
      </c>
      <c r="I110" s="278" t="s">
        <v>588</v>
      </c>
      <c r="K110" s="279">
        <f>LOOKUP(1E+100,M110:AC110)</f>
        <v>2125.9611979965498</v>
      </c>
      <c r="M110" s="279">
        <v>2200</v>
      </c>
      <c r="N110" s="278">
        <v>2154.4080062376902</v>
      </c>
      <c r="R110" s="278" t="str">
        <f>IF(AND((J110="This"),(L110="Only")),VLOOKUP(G110,#REF!,7,FALSE),"")</f>
        <v/>
      </c>
      <c r="S110" s="278">
        <v>2153.5198214457323</v>
      </c>
      <c r="U110" s="278">
        <v>2125.9611979965498</v>
      </c>
    </row>
    <row r="111" spans="1:22" x14ac:dyDescent="0.25">
      <c r="A111" s="278">
        <v>5</v>
      </c>
      <c r="C111" s="278">
        <f>IF(E111=E110,C110+1,1)</f>
        <v>20</v>
      </c>
      <c r="D111" s="278">
        <f>IF(M111=M110,D110,C111)</f>
        <v>13</v>
      </c>
      <c r="E111" s="278">
        <f>10+VALUE(RIGHT(LEFT(G111,3),1))</f>
        <v>14</v>
      </c>
      <c r="F111" s="278" t="str">
        <f>RIGHT(G111,2) &amp; IF(A111&lt;2,"x","")</f>
        <v>pm</v>
      </c>
      <c r="G111" s="278" t="s">
        <v>552</v>
      </c>
      <c r="H111" s="278" t="s">
        <v>385</v>
      </c>
      <c r="I111" s="278" t="s">
        <v>553</v>
      </c>
      <c r="K111" s="279">
        <f>LOOKUP(1E+100,M111:AC111)</f>
        <v>2117.4442736423839</v>
      </c>
      <c r="M111" s="279">
        <v>2200</v>
      </c>
      <c r="N111" s="278">
        <v>2158.7277915153195</v>
      </c>
      <c r="R111" s="278" t="str">
        <f>IF(AND((J111="This"),(L111="Only")),VLOOKUP(G111,#REF!,7,FALSE),"")</f>
        <v/>
      </c>
      <c r="U111" s="278">
        <v>2117.4442736423839</v>
      </c>
    </row>
    <row r="112" spans="1:22" x14ac:dyDescent="0.25">
      <c r="A112" s="278">
        <v>3</v>
      </c>
      <c r="C112" s="278">
        <f>IF(E112=E111,C111+1,1)</f>
        <v>21</v>
      </c>
      <c r="D112" s="278">
        <f>IF(M112=M111,D111,C112)</f>
        <v>21</v>
      </c>
      <c r="E112" s="278">
        <f>10+VALUE(RIGHT(LEFT(G112,3),1))</f>
        <v>14</v>
      </c>
      <c r="F112" s="278" t="str">
        <f>RIGHT(G112,2) &amp; IF(A112&lt;2,"x","")</f>
        <v>pm</v>
      </c>
      <c r="G112" s="278" t="s">
        <v>601</v>
      </c>
      <c r="H112" s="278" t="s">
        <v>497</v>
      </c>
      <c r="I112" s="278" t="s">
        <v>602</v>
      </c>
      <c r="K112" s="279">
        <f>LOOKUP(1E+100,M112:AC112)</f>
        <v>2073.7324729018796</v>
      </c>
      <c r="M112" s="279">
        <v>2066.6666666666665</v>
      </c>
      <c r="N112" s="278">
        <v>2073.7324729018796</v>
      </c>
      <c r="R112" s="278" t="str">
        <f>IF(AND((J112="This"),(L112="Only")),VLOOKUP(G112,#REF!,7,FALSE),"")</f>
        <v/>
      </c>
    </row>
    <row r="113" spans="1:22" x14ac:dyDescent="0.25">
      <c r="A113" s="278">
        <v>3</v>
      </c>
      <c r="C113" s="278">
        <f>IF(E113=E112,C112+1,1)</f>
        <v>22</v>
      </c>
      <c r="D113" s="278">
        <f>IF(M113=M112,D112,C113)</f>
        <v>22</v>
      </c>
      <c r="E113" s="278">
        <f>10+VALUE(RIGHT(LEFT(G113,3),1))</f>
        <v>14</v>
      </c>
      <c r="F113" s="278" t="str">
        <f>RIGHT(G113,2) &amp; IF(A113&lt;2,"x","")</f>
        <v>pm</v>
      </c>
      <c r="G113" s="278" t="s">
        <v>570</v>
      </c>
      <c r="H113" s="278" t="s">
        <v>315</v>
      </c>
      <c r="I113" s="278" t="s">
        <v>571</v>
      </c>
      <c r="K113" s="279">
        <f>LOOKUP(1E+100,M113:AC113)</f>
        <v>2071.4063032898539</v>
      </c>
      <c r="M113" s="279">
        <v>2200</v>
      </c>
      <c r="P113" s="278">
        <v>2078.3089119158358</v>
      </c>
      <c r="R113" s="278" t="str">
        <f>IF(AND((J113="This"),(L113="Only")),VLOOKUP(G113,#REF!,7,FALSE),"")</f>
        <v/>
      </c>
      <c r="S113" s="278">
        <v>2071.4063032898539</v>
      </c>
    </row>
    <row r="114" spans="1:22" x14ac:dyDescent="0.25">
      <c r="A114" s="278">
        <v>7</v>
      </c>
      <c r="C114" s="278">
        <f>IF(E114=E113,C113+1,1)</f>
        <v>23</v>
      </c>
      <c r="D114" s="278">
        <f>IF(M114=M113,D113,C114)</f>
        <v>22</v>
      </c>
      <c r="E114" s="278">
        <f>10+VALUE(RIGHT(LEFT(G114,3),1))</f>
        <v>14</v>
      </c>
      <c r="F114" s="278" t="str">
        <f>RIGHT(G114,2) &amp; IF(A114&lt;2,"x","")</f>
        <v>pm</v>
      </c>
      <c r="G114" s="278" t="s">
        <v>572</v>
      </c>
      <c r="H114" s="278" t="s">
        <v>318</v>
      </c>
      <c r="I114" s="278" t="s">
        <v>573</v>
      </c>
      <c r="K114" s="279">
        <f>LOOKUP(1E+100,M114:AC114)</f>
        <v>2051.882735573779</v>
      </c>
      <c r="M114" s="279">
        <v>2200</v>
      </c>
      <c r="N114" s="278">
        <v>2083.9994997349372</v>
      </c>
      <c r="P114" s="278">
        <v>2109.776316100691</v>
      </c>
      <c r="R114" s="278" t="str">
        <f>IF(AND((J114="This"),(L114="Only")),VLOOKUP(G114,#REF!,7,FALSE),"")</f>
        <v/>
      </c>
      <c r="S114" s="278">
        <v>2072.4598338911765</v>
      </c>
      <c r="U114" s="278">
        <v>2051.882735573779</v>
      </c>
    </row>
    <row r="115" spans="1:22" x14ac:dyDescent="0.25">
      <c r="A115" s="278">
        <v>4</v>
      </c>
      <c r="C115" s="278">
        <f>IF(E115=E114,C114+1,1)</f>
        <v>24</v>
      </c>
      <c r="D115" s="278">
        <f>IF(M115=M114,D114,C115)</f>
        <v>24</v>
      </c>
      <c r="E115" s="278">
        <f>10+VALUE(RIGHT(LEFT(G115,3),1))</f>
        <v>14</v>
      </c>
      <c r="F115" s="278" t="str">
        <f>RIGHT(G115,2) &amp; IF(A115&lt;2,"x","")</f>
        <v>pm</v>
      </c>
      <c r="G115" s="278" t="s">
        <v>597</v>
      </c>
      <c r="H115" s="278" t="s">
        <v>252</v>
      </c>
      <c r="I115" s="278" t="s">
        <v>598</v>
      </c>
      <c r="K115" s="279">
        <f>LOOKUP(1E+100,M115:AC115)</f>
        <v>1992.6977665424979</v>
      </c>
      <c r="M115" s="279">
        <v>2100</v>
      </c>
      <c r="P115" s="278">
        <v>2027.2781141395997</v>
      </c>
      <c r="R115" s="278" t="str">
        <f>IF(AND((J115="This"),(L115="Only")),VLOOKUP(G115,#REF!,7,FALSE),"")</f>
        <v/>
      </c>
      <c r="S115" s="278">
        <v>1992.6977665424979</v>
      </c>
    </row>
    <row r="116" spans="1:22" x14ac:dyDescent="0.25">
      <c r="A116" s="278">
        <v>5</v>
      </c>
      <c r="C116" s="278">
        <f>IF(E116=E115,C115+1,1)</f>
        <v>25</v>
      </c>
      <c r="D116" s="278">
        <f>IF(M116=M115,D115,C116)</f>
        <v>25</v>
      </c>
      <c r="E116" s="278">
        <f>10+VALUE(RIGHT(LEFT(G116,3),1))</f>
        <v>14</v>
      </c>
      <c r="F116" s="278" t="str">
        <f>RIGHT(G116,2) &amp; IF(A116&lt;2,"x","")</f>
        <v>pm</v>
      </c>
      <c r="G116" s="278" t="s">
        <v>643</v>
      </c>
      <c r="H116" s="278" t="s">
        <v>287</v>
      </c>
      <c r="I116" s="278" t="s">
        <v>644</v>
      </c>
      <c r="K116" s="279">
        <f>LOOKUP(1E+100,M116:AC116)</f>
        <v>1963.0509671228099</v>
      </c>
      <c r="M116" s="279">
        <v>1800</v>
      </c>
      <c r="O116" s="278">
        <v>1913.6326230156692</v>
      </c>
      <c r="R116" s="278" t="str">
        <f>IF(AND((J116="This"),(L116="Only")),VLOOKUP(G116,#REF!,7,FALSE),"")</f>
        <v/>
      </c>
      <c r="S116" s="278">
        <v>1925.0434236172341</v>
      </c>
      <c r="V116" s="278">
        <v>1963.0509671228099</v>
      </c>
    </row>
    <row r="117" spans="1:22" x14ac:dyDescent="0.25">
      <c r="A117" s="278">
        <v>3</v>
      </c>
      <c r="C117" s="278">
        <f>IF(E117=E116,C116+1,1)</f>
        <v>26</v>
      </c>
      <c r="D117" s="278">
        <f>IF(M117=M116,D116,C117)</f>
        <v>26</v>
      </c>
      <c r="E117" s="278">
        <f>10+VALUE(RIGHT(LEFT(G117,3),1))</f>
        <v>14</v>
      </c>
      <c r="F117" s="278" t="str">
        <f>RIGHT(G117,2) &amp; IF(A117&lt;2,"x","")</f>
        <v>pm</v>
      </c>
      <c r="G117" s="278" t="s">
        <v>568</v>
      </c>
      <c r="H117" s="278" t="s">
        <v>434</v>
      </c>
      <c r="I117" s="278" t="s">
        <v>569</v>
      </c>
      <c r="K117" s="279">
        <f>LOOKUP(1E+100,M117:AC117)</f>
        <v>1962.4290924555107</v>
      </c>
      <c r="M117" s="279">
        <v>2200</v>
      </c>
      <c r="N117" s="278">
        <v>2089.6484920282369</v>
      </c>
      <c r="R117" s="278" t="str">
        <f>IF(AND((J117="This"),(L117="Only")),VLOOKUP(G117,#REF!,7,FALSE),"")</f>
        <v/>
      </c>
      <c r="S117" s="278">
        <v>2006.2959936375398</v>
      </c>
      <c r="U117" s="278">
        <v>1962.4290924555107</v>
      </c>
    </row>
    <row r="118" spans="1:22" x14ac:dyDescent="0.25">
      <c r="A118" s="278">
        <v>6</v>
      </c>
      <c r="C118" s="278">
        <f>IF(E118=E117,C117+1,1)</f>
        <v>27</v>
      </c>
      <c r="D118" s="278">
        <f>IF(M118=M117,D117,C118)</f>
        <v>27</v>
      </c>
      <c r="E118" s="278">
        <f>10+VALUE(RIGHT(LEFT(G118,3),1))</f>
        <v>14</v>
      </c>
      <c r="F118" s="278" t="str">
        <f>RIGHT(G118,2) &amp; IF(A118&lt;2,"x","")</f>
        <v>pm</v>
      </c>
      <c r="G118" s="278" t="s">
        <v>595</v>
      </c>
      <c r="H118" s="278" t="s">
        <v>445</v>
      </c>
      <c r="I118" s="278" t="s">
        <v>596</v>
      </c>
      <c r="K118" s="279">
        <f>LOOKUP(1E+100,M118:AC118)</f>
        <v>1942.5335283191307</v>
      </c>
      <c r="M118" s="279">
        <v>2133.3333333333335</v>
      </c>
      <c r="N118" s="278">
        <v>2016.8195230308613</v>
      </c>
      <c r="R118" s="278" t="str">
        <f>IF(AND((J118="This"),(L118="Only")),VLOOKUP(G118,#REF!,7,FALSE),"")</f>
        <v/>
      </c>
      <c r="S118" s="278">
        <v>1960.2450351185873</v>
      </c>
      <c r="U118" s="278">
        <v>1942.5335283191307</v>
      </c>
    </row>
    <row r="119" spans="1:22" x14ac:dyDescent="0.25">
      <c r="A119" s="278">
        <v>6</v>
      </c>
      <c r="C119" s="278">
        <f>IF(E119=E118,C118+1,1)</f>
        <v>28</v>
      </c>
      <c r="D119" s="278">
        <f>IF(M119=M118,D118,C119)</f>
        <v>28</v>
      </c>
      <c r="E119" s="278">
        <f>10+VALUE(RIGHT(LEFT(G119,3),1))</f>
        <v>14</v>
      </c>
      <c r="F119" s="278" t="str">
        <f>RIGHT(G119,2) &amp; IF(A119&lt;2,"x","")</f>
        <v>pm</v>
      </c>
      <c r="G119" s="278" t="s">
        <v>637</v>
      </c>
      <c r="H119" s="278" t="s">
        <v>284</v>
      </c>
      <c r="I119" s="278" t="s">
        <v>638</v>
      </c>
      <c r="K119" s="279">
        <f>LOOKUP(1E+100,M119:AC119)</f>
        <v>1914.8405147891358</v>
      </c>
      <c r="M119" s="279">
        <v>1800</v>
      </c>
      <c r="O119" s="278">
        <v>1832.7769050427903</v>
      </c>
      <c r="R119" s="278" t="str">
        <f>IF(AND((J119="This"),(L119="Only")),VLOOKUP(G119,#REF!,7,FALSE),"")</f>
        <v/>
      </c>
      <c r="S119" s="278">
        <v>1858.1436790158755</v>
      </c>
      <c r="T119" s="278">
        <v>1907.7374614602916</v>
      </c>
      <c r="V119" s="278">
        <v>1914.8405147891358</v>
      </c>
    </row>
    <row r="120" spans="1:22" x14ac:dyDescent="0.25">
      <c r="A120" s="278">
        <v>2</v>
      </c>
      <c r="C120" s="278">
        <f>IF(E120=E119,C119+1,1)</f>
        <v>29</v>
      </c>
      <c r="D120" s="278">
        <f>IF(M120=M119,D119,C120)</f>
        <v>28</v>
      </c>
      <c r="E120" s="278">
        <f>10+VALUE(RIGHT(LEFT(G120,3),1))</f>
        <v>14</v>
      </c>
      <c r="F120" s="278" t="str">
        <f>RIGHT(G120,2) &amp; IF(A120&lt;2,"x","")</f>
        <v>pm</v>
      </c>
      <c r="G120" s="278" t="s">
        <v>653</v>
      </c>
      <c r="H120" s="278" t="s">
        <v>226</v>
      </c>
      <c r="I120" s="278" t="s">
        <v>654</v>
      </c>
      <c r="K120" s="279">
        <f>LOOKUP(1E+100,M120:AC120)</f>
        <v>1900.734248323354</v>
      </c>
      <c r="M120" s="279">
        <v>1800</v>
      </c>
      <c r="R120" s="278" t="str">
        <f>IF(AND((J120="This"),(L120="Only")),VLOOKUP(G120,#REF!,7,FALSE),"")</f>
        <v/>
      </c>
      <c r="V120" s="278">
        <v>1900.734248323354</v>
      </c>
    </row>
    <row r="121" spans="1:22" x14ac:dyDescent="0.25">
      <c r="A121" s="278">
        <v>3</v>
      </c>
      <c r="C121" s="278">
        <f>IF(E121=E120,C120+1,1)</f>
        <v>30</v>
      </c>
      <c r="D121" s="278">
        <f>IF(M121=M120,D120,C121)</f>
        <v>28</v>
      </c>
      <c r="E121" s="278">
        <f>10+VALUE(RIGHT(LEFT(G121,3),1))</f>
        <v>14</v>
      </c>
      <c r="F121" s="278" t="str">
        <f>RIGHT(G121,2) &amp; IF(A121&lt;2,"x","")</f>
        <v>pm</v>
      </c>
      <c r="G121" s="278" t="s">
        <v>631</v>
      </c>
      <c r="H121" s="278" t="s">
        <v>217</v>
      </c>
      <c r="I121" s="278" t="s">
        <v>632</v>
      </c>
      <c r="K121" s="279">
        <f>LOOKUP(1E+100,M121:AC121)</f>
        <v>1895.4903689374637</v>
      </c>
      <c r="M121" s="279">
        <v>1800</v>
      </c>
      <c r="O121" s="278">
        <v>1897.8835552697344</v>
      </c>
      <c r="R121" s="278" t="str">
        <f>IF(AND((J121="This"),(L121="Only")),VLOOKUP(G121,#REF!,7,FALSE),"")</f>
        <v/>
      </c>
      <c r="S121" s="278">
        <v>1895.4903689374637</v>
      </c>
    </row>
    <row r="122" spans="1:22" x14ac:dyDescent="0.25">
      <c r="A122" s="278">
        <v>3</v>
      </c>
      <c r="C122" s="278">
        <f>IF(E122=E121,C121+1,1)</f>
        <v>31</v>
      </c>
      <c r="D122" s="278">
        <f>IF(M122=M121,D121,C122)</f>
        <v>28</v>
      </c>
      <c r="E122" s="278">
        <f>10+VALUE(RIGHT(LEFT(G122,3),1))</f>
        <v>14</v>
      </c>
      <c r="F122" s="278" t="str">
        <f>RIGHT(G122,2) &amp; IF(A122&lt;2,"x","")</f>
        <v>pm</v>
      </c>
      <c r="G122" s="278" t="s">
        <v>629</v>
      </c>
      <c r="H122" s="278" t="s">
        <v>217</v>
      </c>
      <c r="I122" s="278" t="s">
        <v>630</v>
      </c>
      <c r="K122" s="279">
        <f>LOOKUP(1E+100,M122:AC122)</f>
        <v>1891.4603047981896</v>
      </c>
      <c r="M122" s="279">
        <v>1800</v>
      </c>
      <c r="O122" s="278">
        <v>1885.5732286269356</v>
      </c>
      <c r="R122" s="278" t="str">
        <f>IF(AND((J122="This"),(L122="Only")),VLOOKUP(G122,#REF!,7,FALSE),"")</f>
        <v/>
      </c>
      <c r="S122" s="278">
        <v>1891.4603047981896</v>
      </c>
    </row>
    <row r="123" spans="1:22" x14ac:dyDescent="0.25">
      <c r="A123" s="278">
        <v>3</v>
      </c>
      <c r="C123" s="278">
        <f>IF(E123=E122,C122+1,1)</f>
        <v>32</v>
      </c>
      <c r="D123" s="278">
        <f>IF(M123=M122,D122,C123)</f>
        <v>28</v>
      </c>
      <c r="E123" s="278">
        <f>10+VALUE(RIGHT(LEFT(G123,3),1))</f>
        <v>14</v>
      </c>
      <c r="F123" s="278" t="str">
        <f>RIGHT(G123,2) &amp; IF(A123&lt;2,"x","")</f>
        <v>pm</v>
      </c>
      <c r="G123" s="278" t="s">
        <v>635</v>
      </c>
      <c r="H123" s="278" t="s">
        <v>217</v>
      </c>
      <c r="I123" s="278" t="s">
        <v>636</v>
      </c>
      <c r="K123" s="279">
        <f>LOOKUP(1E+100,M123:AC123)</f>
        <v>1890.1692768639286</v>
      </c>
      <c r="M123" s="279">
        <v>1800</v>
      </c>
      <c r="R123" s="278" t="str">
        <f>IF(AND((J123="This"),(L123="Only")),VLOOKUP(G123,#REF!,7,FALSE),"")</f>
        <v/>
      </c>
      <c r="S123" s="278">
        <v>1917.047248554828</v>
      </c>
      <c r="T123" s="278">
        <v>1890.1692768639286</v>
      </c>
    </row>
    <row r="124" spans="1:22" x14ac:dyDescent="0.25">
      <c r="A124" s="278">
        <v>5</v>
      </c>
      <c r="C124" s="278">
        <f>IF(E124=E123,C123+1,1)</f>
        <v>33</v>
      </c>
      <c r="D124" s="278">
        <f>IF(M124=M123,D123,C124)</f>
        <v>33</v>
      </c>
      <c r="E124" s="278">
        <f>10+VALUE(RIGHT(LEFT(G124,3),1))</f>
        <v>14</v>
      </c>
      <c r="F124" s="278" t="str">
        <f>RIGHT(G124,2) &amp; IF(A124&lt;2,"x","")</f>
        <v>pm</v>
      </c>
      <c r="G124" s="278" t="s">
        <v>606</v>
      </c>
      <c r="H124" s="278" t="s">
        <v>223</v>
      </c>
      <c r="I124" s="278" t="s">
        <v>607</v>
      </c>
      <c r="K124" s="279">
        <f>LOOKUP(1E+100,M124:AC124)</f>
        <v>1865.9020532314012</v>
      </c>
      <c r="M124" s="279">
        <v>1960</v>
      </c>
      <c r="O124" s="278">
        <v>1886.1471271036833</v>
      </c>
      <c r="R124" s="278" t="str">
        <f>IF(AND((J124="This"),(L124="Only")),VLOOKUP(G124,#REF!,7,FALSE),"")</f>
        <v/>
      </c>
      <c r="S124" s="278">
        <v>1865.9020532314012</v>
      </c>
    </row>
    <row r="125" spans="1:22" x14ac:dyDescent="0.25">
      <c r="A125" s="278">
        <v>5</v>
      </c>
      <c r="C125" s="278">
        <f>IF(E125=E124,C124+1,1)</f>
        <v>34</v>
      </c>
      <c r="D125" s="278">
        <f>IF(M125=M124,D124,C125)</f>
        <v>34</v>
      </c>
      <c r="E125" s="278">
        <f>10+VALUE(RIGHT(LEFT(G125,3),1))</f>
        <v>14</v>
      </c>
      <c r="F125" s="278" t="str">
        <f>RIGHT(G125,2) &amp; IF(A125&lt;2,"x","")</f>
        <v>pm</v>
      </c>
      <c r="G125" s="278" t="s">
        <v>613</v>
      </c>
      <c r="H125" s="278" t="s">
        <v>604</v>
      </c>
      <c r="I125" s="278" t="s">
        <v>614</v>
      </c>
      <c r="K125" s="279">
        <f>LOOKUP(1E+100,M125:AC125)</f>
        <v>1850.7380858738534</v>
      </c>
      <c r="M125" s="279">
        <v>1800</v>
      </c>
      <c r="O125" s="278">
        <v>1878.114620855217</v>
      </c>
      <c r="R125" s="278" t="str">
        <f>IF(AND((J125="This"),(L125="Only")),VLOOKUP(G125,#REF!,7,FALSE),"")</f>
        <v/>
      </c>
      <c r="T125" s="278">
        <v>1899.6480727597882</v>
      </c>
      <c r="V125" s="278">
        <v>1850.7380858738534</v>
      </c>
    </row>
    <row r="126" spans="1:22" x14ac:dyDescent="0.25">
      <c r="A126" s="278">
        <v>6</v>
      </c>
      <c r="C126" s="278">
        <f>IF(E126=E125,C125+1,1)</f>
        <v>35</v>
      </c>
      <c r="D126" s="278">
        <f>IF(M126=M125,D125,C126)</f>
        <v>34</v>
      </c>
      <c r="E126" s="278">
        <f>10+VALUE(RIGHT(LEFT(G126,3),1))</f>
        <v>14</v>
      </c>
      <c r="F126" s="278" t="str">
        <f>RIGHT(G126,2) &amp; IF(A126&lt;2,"x","")</f>
        <v>pm</v>
      </c>
      <c r="G126" s="278" t="s">
        <v>649</v>
      </c>
      <c r="H126" s="278" t="s">
        <v>333</v>
      </c>
      <c r="I126" s="278" t="s">
        <v>650</v>
      </c>
      <c r="K126" s="279">
        <f>LOOKUP(1E+100,M126:AC126)</f>
        <v>1838.133719846739</v>
      </c>
      <c r="M126" s="279">
        <v>1800</v>
      </c>
      <c r="O126" s="278">
        <v>1779.977065877883</v>
      </c>
      <c r="R126" s="278" t="str">
        <f>IF(AND((J126="This"),(L126="Only")),VLOOKUP(G126,#REF!,7,FALSE),"")</f>
        <v/>
      </c>
      <c r="S126" s="278">
        <v>1830.0095482937588</v>
      </c>
      <c r="T126" s="278">
        <v>1800.3848611781038</v>
      </c>
      <c r="V126" s="278">
        <v>1838.133719846739</v>
      </c>
    </row>
    <row r="127" spans="1:22" x14ac:dyDescent="0.25">
      <c r="A127" s="278">
        <v>4</v>
      </c>
      <c r="C127" s="278">
        <f>IF(E127=E126,C126+1,1)</f>
        <v>36</v>
      </c>
      <c r="D127" s="278">
        <f>IF(M127=M126,D126,C127)</f>
        <v>34</v>
      </c>
      <c r="E127" s="278">
        <f>10+VALUE(RIGHT(LEFT(G127,3),1))</f>
        <v>14</v>
      </c>
      <c r="F127" s="278" t="str">
        <f>RIGHT(G127,2) &amp; IF(A127&lt;2,"x","")</f>
        <v>pm</v>
      </c>
      <c r="G127" s="278" t="s">
        <v>624</v>
      </c>
      <c r="H127" s="278" t="s">
        <v>268</v>
      </c>
      <c r="I127" s="278" t="s">
        <v>625</v>
      </c>
      <c r="K127" s="279">
        <f>LOOKUP(1E+100,M127:AC127)</f>
        <v>1830.5436089119114</v>
      </c>
      <c r="M127" s="279">
        <v>1800</v>
      </c>
      <c r="O127" s="278">
        <v>1831.4590904430709</v>
      </c>
      <c r="R127" s="278" t="str">
        <f>IF(AND((J127="This"),(L127="Only")),VLOOKUP(G127,#REF!,7,FALSE),"")</f>
        <v/>
      </c>
      <c r="T127" s="278">
        <v>1880.3757698226127</v>
      </c>
      <c r="V127" s="278">
        <v>1830.5436089119114</v>
      </c>
    </row>
    <row r="128" spans="1:22" x14ac:dyDescent="0.25">
      <c r="A128" s="278">
        <v>3</v>
      </c>
      <c r="C128" s="278">
        <f>IF(E128=E127,C127+1,1)</f>
        <v>37</v>
      </c>
      <c r="D128" s="278">
        <f>IF(M128=M127,D127,C128)</f>
        <v>34</v>
      </c>
      <c r="E128" s="278">
        <f>10+VALUE(RIGHT(LEFT(G128,3),1))</f>
        <v>14</v>
      </c>
      <c r="F128" s="278" t="str">
        <f>RIGHT(G128,2) &amp; IF(A128&lt;2,"x","")</f>
        <v>pm</v>
      </c>
      <c r="G128" s="278" t="s">
        <v>633</v>
      </c>
      <c r="H128" s="278" t="s">
        <v>217</v>
      </c>
      <c r="I128" s="278" t="s">
        <v>634</v>
      </c>
      <c r="K128" s="279">
        <f>LOOKUP(1E+100,M128:AC128)</f>
        <v>1828.7521321234813</v>
      </c>
      <c r="M128" s="279">
        <v>1800</v>
      </c>
      <c r="O128" s="278">
        <v>1797.7221920256341</v>
      </c>
      <c r="R128" s="278" t="str">
        <f>IF(AND((J128="This"),(L128="Only")),VLOOKUP(G128,#REF!,7,FALSE),"")</f>
        <v/>
      </c>
      <c r="S128" s="278">
        <v>1828.7521321234813</v>
      </c>
    </row>
    <row r="129" spans="1:22" x14ac:dyDescent="0.25">
      <c r="A129" s="278">
        <v>2</v>
      </c>
      <c r="C129" s="278">
        <f>IF(E129=E128,C128+1,1)</f>
        <v>38</v>
      </c>
      <c r="D129" s="278">
        <f>IF(M129=M128,D128,C129)</f>
        <v>34</v>
      </c>
      <c r="E129" s="278">
        <f>10+VALUE(RIGHT(LEFT(G129,3),1))</f>
        <v>14</v>
      </c>
      <c r="F129" s="278" t="str">
        <f>RIGHT(G129,2) &amp; IF(A129&lt;2,"x","")</f>
        <v>pm</v>
      </c>
      <c r="G129" s="278" t="s">
        <v>655</v>
      </c>
      <c r="H129" s="278" t="s">
        <v>226</v>
      </c>
      <c r="I129" s="278" t="s">
        <v>656</v>
      </c>
      <c r="K129" s="279">
        <f>LOOKUP(1E+100,M129:AC129)</f>
        <v>1814.5725518335212</v>
      </c>
      <c r="M129" s="279">
        <v>1800</v>
      </c>
      <c r="R129" s="278" t="str">
        <f>IF(AND((J129="This"),(L129="Only")),VLOOKUP(G129,#REF!,7,FALSE),"")</f>
        <v/>
      </c>
      <c r="V129" s="278">
        <v>1814.5725518335212</v>
      </c>
    </row>
    <row r="130" spans="1:22" x14ac:dyDescent="0.25">
      <c r="A130" s="278">
        <v>5</v>
      </c>
      <c r="C130" s="278">
        <f>IF(E130=E129,C129+1,1)</f>
        <v>39</v>
      </c>
      <c r="D130" s="278">
        <f>IF(M130=M129,D129,C130)</f>
        <v>34</v>
      </c>
      <c r="E130" s="278">
        <f>10+VALUE(RIGHT(LEFT(G130,3),1))</f>
        <v>14</v>
      </c>
      <c r="F130" s="278" t="str">
        <f>RIGHT(G130,2) &amp; IF(A130&lt;2,"x","")</f>
        <v>pm</v>
      </c>
      <c r="G130" s="278" t="s">
        <v>684</v>
      </c>
      <c r="H130" s="278" t="s">
        <v>512</v>
      </c>
      <c r="I130" s="278" t="s">
        <v>685</v>
      </c>
      <c r="K130" s="279">
        <f>LOOKUP(1E+100,M130:AC130)</f>
        <v>1805.1071930791211</v>
      </c>
      <c r="M130" s="279">
        <v>1800</v>
      </c>
      <c r="R130" s="278" t="str">
        <f>IF(AND((J130="This"),(L130="Only")),VLOOKUP(G130,#REF!,7,FALSE),"")</f>
        <v/>
      </c>
      <c r="S130" s="278">
        <v>1816.3597723411556</v>
      </c>
      <c r="T130" s="278">
        <v>1799.9656310899888</v>
      </c>
      <c r="V130" s="278">
        <v>1805.1071930791211</v>
      </c>
    </row>
    <row r="131" spans="1:22" x14ac:dyDescent="0.25">
      <c r="A131" s="278">
        <v>2</v>
      </c>
      <c r="C131" s="278">
        <f>IF(E131=E130,C130+1,1)</f>
        <v>40</v>
      </c>
      <c r="D131" s="278">
        <f>IF(M131=M130,D130,C131)</f>
        <v>34</v>
      </c>
      <c r="E131" s="278">
        <f>10+VALUE(RIGHT(LEFT(G131,3),1))</f>
        <v>14</v>
      </c>
      <c r="F131" s="278" t="str">
        <f>RIGHT(G131,2) &amp; IF(A131&lt;2,"x","")</f>
        <v>pm</v>
      </c>
      <c r="G131" s="278" t="s">
        <v>659</v>
      </c>
      <c r="H131" s="278" t="s">
        <v>226</v>
      </c>
      <c r="I131" s="278" t="s">
        <v>660</v>
      </c>
      <c r="K131" s="279">
        <f>LOOKUP(1E+100,M131:AC131)</f>
        <v>1800</v>
      </c>
      <c r="M131" s="279">
        <v>1800</v>
      </c>
      <c r="R131" s="278" t="str">
        <f>IF(AND((J131="This"),(L131="Only")),VLOOKUP(G131,#REF!,7,FALSE),"")</f>
        <v/>
      </c>
    </row>
    <row r="132" spans="1:22" x14ac:dyDescent="0.25">
      <c r="A132" s="278">
        <v>4</v>
      </c>
      <c r="C132" s="278">
        <f>IF(E132=E131,C131+1,1)</f>
        <v>41</v>
      </c>
      <c r="D132" s="278">
        <f>IF(M132=M131,D131,C132)</f>
        <v>41</v>
      </c>
      <c r="E132" s="278">
        <f>10+VALUE(RIGHT(LEFT(G132,3),1))</f>
        <v>14</v>
      </c>
      <c r="F132" s="278" t="str">
        <f>RIGHT(G132,2) &amp; IF(A132&lt;2,"x","")</f>
        <v>pm</v>
      </c>
      <c r="G132" s="278" t="s">
        <v>608</v>
      </c>
      <c r="H132" s="278" t="s">
        <v>609</v>
      </c>
      <c r="I132" s="278" t="s">
        <v>610</v>
      </c>
      <c r="K132" s="279">
        <f>LOOKUP(1E+100,M132:AC132)</f>
        <v>1775.1763729480085</v>
      </c>
      <c r="M132" s="279">
        <v>1900</v>
      </c>
      <c r="O132" s="278">
        <v>1778.9420275432644</v>
      </c>
      <c r="R132" s="278" t="str">
        <f>IF(AND((J132="This"),(L132="Only")),VLOOKUP(G132,#REF!,7,FALSE),"")</f>
        <v/>
      </c>
      <c r="T132" s="278">
        <v>1801.8461220598372</v>
      </c>
      <c r="U132" s="278">
        <v>1775.1763729480085</v>
      </c>
    </row>
    <row r="133" spans="1:22" x14ac:dyDescent="0.25">
      <c r="A133" s="278">
        <v>4</v>
      </c>
      <c r="C133" s="278">
        <f>IF(E133=E132,C132+1,1)</f>
        <v>42</v>
      </c>
      <c r="D133" s="278">
        <f>IF(M133=M132,D132,C133)</f>
        <v>42</v>
      </c>
      <c r="E133" s="278">
        <f>10+VALUE(RIGHT(LEFT(G133,3),1))</f>
        <v>14</v>
      </c>
      <c r="F133" s="278" t="str">
        <f>RIGHT(G133,2) &amp; IF(A133&lt;2,"x","")</f>
        <v>pm</v>
      </c>
      <c r="G133" s="278" t="s">
        <v>691</v>
      </c>
      <c r="H133" s="278" t="s">
        <v>416</v>
      </c>
      <c r="I133" s="278" t="s">
        <v>692</v>
      </c>
      <c r="K133" s="279">
        <f>LOOKUP(1E+100,M133:AC133)</f>
        <v>1741.8911152621556</v>
      </c>
      <c r="M133" s="279">
        <v>1800</v>
      </c>
      <c r="R133" s="278" t="str">
        <f>IF(AND((J133="This"),(L133="Only")),VLOOKUP(G133,#REF!,7,FALSE),"")</f>
        <v/>
      </c>
      <c r="S133" s="278">
        <v>1810.7634942276854</v>
      </c>
      <c r="V133" s="278">
        <v>1741.8911152621556</v>
      </c>
    </row>
    <row r="134" spans="1:22" x14ac:dyDescent="0.25">
      <c r="A134" s="278">
        <v>4</v>
      </c>
      <c r="C134" s="278">
        <f>IF(E134=E133,C133+1,1)</f>
        <v>43</v>
      </c>
      <c r="D134" s="278">
        <f>IF(M134=M133,D133,C134)</f>
        <v>42</v>
      </c>
      <c r="E134" s="278">
        <f>10+VALUE(RIGHT(LEFT(G134,3),1))</f>
        <v>14</v>
      </c>
      <c r="F134" s="278" t="str">
        <f>RIGHT(G134,2) &amp; IF(A134&lt;2,"x","")</f>
        <v>pm</v>
      </c>
      <c r="G134" s="278" t="s">
        <v>669</v>
      </c>
      <c r="H134" s="278" t="s">
        <v>315</v>
      </c>
      <c r="I134" s="278" t="s">
        <v>670</v>
      </c>
      <c r="K134" s="279">
        <f>LOOKUP(1E+100,M134:AC134)</f>
        <v>1741.3689204677482</v>
      </c>
      <c r="M134" s="279">
        <v>1800</v>
      </c>
      <c r="O134" s="278">
        <v>1783.7626751486391</v>
      </c>
      <c r="R134" s="278" t="str">
        <f>IF(AND((J134="This"),(L134="Only")),VLOOKUP(G134,#REF!,7,FALSE),"")</f>
        <v/>
      </c>
      <c r="T134" s="278">
        <v>1706.7949714909773</v>
      </c>
      <c r="V134" s="278">
        <v>1741.3689204677482</v>
      </c>
    </row>
    <row r="135" spans="1:22" x14ac:dyDescent="0.25">
      <c r="A135" s="278">
        <v>2</v>
      </c>
      <c r="C135" s="278">
        <f>IF(E135=E134,C134+1,1)</f>
        <v>44</v>
      </c>
      <c r="D135" s="278">
        <f>IF(M135=M134,D134,C135)</f>
        <v>42</v>
      </c>
      <c r="E135" s="278">
        <f>10+VALUE(RIGHT(LEFT(G135,3),1))</f>
        <v>14</v>
      </c>
      <c r="F135" s="278" t="str">
        <f>RIGHT(G135,2) &amp; IF(A135&lt;2,"x","")</f>
        <v>pm</v>
      </c>
      <c r="G135" s="278" t="s">
        <v>663</v>
      </c>
      <c r="H135" s="278" t="s">
        <v>226</v>
      </c>
      <c r="I135" s="278" t="s">
        <v>664</v>
      </c>
      <c r="K135" s="279">
        <f>LOOKUP(1E+100,M135:AC135)</f>
        <v>1734.7837101165069</v>
      </c>
      <c r="M135" s="279">
        <v>1800</v>
      </c>
      <c r="R135" s="278" t="str">
        <f>IF(AND((J135="This"),(L135="Only")),VLOOKUP(G135,#REF!,7,FALSE),"")</f>
        <v/>
      </c>
      <c r="V135" s="278">
        <v>1734.7837101165069</v>
      </c>
    </row>
    <row r="136" spans="1:22" x14ac:dyDescent="0.25">
      <c r="A136" s="278">
        <v>5</v>
      </c>
      <c r="C136" s="278">
        <f>IF(E136=E135,C135+1,1)</f>
        <v>45</v>
      </c>
      <c r="D136" s="278">
        <f>IF(M136=M135,D135,C136)</f>
        <v>42</v>
      </c>
      <c r="E136" s="278">
        <f>10+VALUE(RIGHT(LEFT(G136,3),1))</f>
        <v>14</v>
      </c>
      <c r="F136" s="278" t="str">
        <f>RIGHT(G136,2) &amp; IF(A136&lt;2,"x","")</f>
        <v>pm</v>
      </c>
      <c r="G136" s="278" t="s">
        <v>675</v>
      </c>
      <c r="H136" s="278" t="s">
        <v>232</v>
      </c>
      <c r="I136" s="278" t="s">
        <v>676</v>
      </c>
      <c r="K136" s="279">
        <f>LOOKUP(1E+100,M136:AC136)</f>
        <v>1720.2289335203257</v>
      </c>
      <c r="M136" s="279">
        <v>1800</v>
      </c>
      <c r="R136" s="278" t="str">
        <f>IF(AND((J136="This"),(L136="Only")),VLOOKUP(G136,#REF!,7,FALSE),"")</f>
        <v/>
      </c>
      <c r="S136" s="278">
        <v>1728.9414825506315</v>
      </c>
      <c r="T136" s="278">
        <v>1684.852427864196</v>
      </c>
      <c r="V136" s="278">
        <v>1720.2289335203257</v>
      </c>
    </row>
    <row r="137" spans="1:22" x14ac:dyDescent="0.25">
      <c r="A137" s="278">
        <v>7</v>
      </c>
      <c r="C137" s="278">
        <f>IF(E137=E136,C136+1,1)</f>
        <v>46</v>
      </c>
      <c r="D137" s="278">
        <f>IF(M137=M136,D136,C137)</f>
        <v>42</v>
      </c>
      <c r="E137" s="278">
        <f>10+VALUE(RIGHT(LEFT(G137,3),1))</f>
        <v>14</v>
      </c>
      <c r="F137" s="278" t="str">
        <f>RIGHT(G137,2) &amp; IF(A137&lt;2,"x","")</f>
        <v>pm</v>
      </c>
      <c r="G137" s="278" t="s">
        <v>671</v>
      </c>
      <c r="H137" s="278" t="s">
        <v>318</v>
      </c>
      <c r="I137" s="278" t="s">
        <v>672</v>
      </c>
      <c r="K137" s="279">
        <f>LOOKUP(1E+100,M137:AC137)</f>
        <v>1716.1266950832369</v>
      </c>
      <c r="M137" s="279">
        <v>1800</v>
      </c>
      <c r="O137" s="278">
        <v>1721.8318533664537</v>
      </c>
      <c r="R137" s="278" t="str">
        <f>IF(AND((J137="This"),(L137="Only")),VLOOKUP(G137,#REF!,7,FALSE),"")</f>
        <v/>
      </c>
      <c r="S137" s="278">
        <v>1690.476591806912</v>
      </c>
      <c r="T137" s="278">
        <v>1697.8792064296672</v>
      </c>
      <c r="V137" s="278">
        <v>1716.1266950832369</v>
      </c>
    </row>
    <row r="138" spans="1:22" x14ac:dyDescent="0.25">
      <c r="A138" s="278">
        <v>2</v>
      </c>
      <c r="C138" s="278">
        <f>IF(E138=E137,C137+1,1)</f>
        <v>47</v>
      </c>
      <c r="D138" s="278">
        <f>IF(M138=M137,D137,C138)</f>
        <v>42</v>
      </c>
      <c r="E138" s="278">
        <f>10+VALUE(RIGHT(LEFT(G138,3),1))</f>
        <v>14</v>
      </c>
      <c r="F138" s="278" t="str">
        <f>RIGHT(G138,2) &amp; IF(A138&lt;2,"x","")</f>
        <v>pm</v>
      </c>
      <c r="G138" s="278" t="s">
        <v>657</v>
      </c>
      <c r="H138" s="278" t="s">
        <v>226</v>
      </c>
      <c r="I138" s="278" t="s">
        <v>658</v>
      </c>
      <c r="K138" s="279">
        <f>LOOKUP(1E+100,M138:AC138)</f>
        <v>1700.2368709686421</v>
      </c>
      <c r="M138" s="279">
        <v>1800</v>
      </c>
      <c r="R138" s="278" t="str">
        <f>IF(AND((J138="This"),(L138="Only")),VLOOKUP(G138,#REF!,7,FALSE),"")</f>
        <v/>
      </c>
      <c r="V138" s="278">
        <v>1700.2368709686421</v>
      </c>
    </row>
    <row r="139" spans="1:22" x14ac:dyDescent="0.25">
      <c r="A139" s="278">
        <v>4</v>
      </c>
      <c r="C139" s="278">
        <f>IF(E139=E138,C138+1,1)</f>
        <v>48</v>
      </c>
      <c r="D139" s="278">
        <f>IF(M139=M138,D138,C139)</f>
        <v>48</v>
      </c>
      <c r="E139" s="278">
        <f>10+VALUE(RIGHT(LEFT(G139,3),1))</f>
        <v>14</v>
      </c>
      <c r="F139" s="278" t="str">
        <f>RIGHT(G139,2) &amp; IF(A139&lt;2,"x","")</f>
        <v>pm</v>
      </c>
      <c r="G139" s="278" t="s">
        <v>611</v>
      </c>
      <c r="H139" s="278" t="s">
        <v>587</v>
      </c>
      <c r="I139" s="278" t="s">
        <v>612</v>
      </c>
      <c r="K139" s="279">
        <f>LOOKUP(1E+100,M139:AC139)</f>
        <v>1695.6949666343532</v>
      </c>
      <c r="M139" s="279">
        <v>1900</v>
      </c>
      <c r="O139" s="278">
        <v>1765.0448102640312</v>
      </c>
      <c r="R139" s="278" t="str">
        <f>IF(AND((J139="This"),(L139="Only")),VLOOKUP(G139,#REF!,7,FALSE),"")</f>
        <v/>
      </c>
      <c r="S139" s="278">
        <v>1716.6048936697202</v>
      </c>
      <c r="U139" s="278">
        <v>1695.6949666343532</v>
      </c>
    </row>
    <row r="140" spans="1:22" x14ac:dyDescent="0.25">
      <c r="A140" s="278">
        <v>2</v>
      </c>
      <c r="C140" s="278">
        <f>IF(E140=E139,C139+1,1)</f>
        <v>49</v>
      </c>
      <c r="D140" s="278">
        <f>IF(M140=M139,D139,C140)</f>
        <v>49</v>
      </c>
      <c r="E140" s="278">
        <f>10+VALUE(RIGHT(LEFT(G140,3),1))</f>
        <v>14</v>
      </c>
      <c r="F140" s="278" t="str">
        <f>RIGHT(G140,2) &amp; IF(A140&lt;2,"x","")</f>
        <v>pm</v>
      </c>
      <c r="G140" s="278" t="s">
        <v>661</v>
      </c>
      <c r="H140" s="278" t="s">
        <v>226</v>
      </c>
      <c r="I140" s="278" t="s">
        <v>662</v>
      </c>
      <c r="K140" s="279">
        <f>LOOKUP(1E+100,M140:AC140)</f>
        <v>1694.6804953151775</v>
      </c>
      <c r="M140" s="279">
        <v>1800</v>
      </c>
      <c r="R140" s="278" t="str">
        <f>IF(AND((J140="This"),(L140="Only")),VLOOKUP(G140,#REF!,7,FALSE),"")</f>
        <v/>
      </c>
      <c r="V140" s="278">
        <v>1694.6804953151775</v>
      </c>
    </row>
    <row r="141" spans="1:22" x14ac:dyDescent="0.25">
      <c r="A141" s="278">
        <v>4</v>
      </c>
      <c r="C141" s="278">
        <f>IF(E141=E140,C140+1,1)</f>
        <v>50</v>
      </c>
      <c r="D141" s="278">
        <f>IF(M141=M140,D140,C141)</f>
        <v>49</v>
      </c>
      <c r="E141" s="278">
        <f>10+VALUE(RIGHT(LEFT(G141,3),1))</f>
        <v>14</v>
      </c>
      <c r="F141" s="278" t="str">
        <f>RIGHT(G141,2) &amp; IF(A141&lt;2,"x","")</f>
        <v>pm</v>
      </c>
      <c r="G141" s="278" t="s">
        <v>647</v>
      </c>
      <c r="H141" s="278" t="s">
        <v>296</v>
      </c>
      <c r="I141" s="278" t="s">
        <v>648</v>
      </c>
      <c r="K141" s="279">
        <f>LOOKUP(1E+100,M141:AC141)</f>
        <v>1681.5214943555018</v>
      </c>
      <c r="M141" s="279">
        <v>1800</v>
      </c>
      <c r="R141" s="278" t="str">
        <f>IF(AND((J141="This"),(L141="Only")),VLOOKUP(G141,#REF!,7,FALSE),"")</f>
        <v/>
      </c>
      <c r="S141" s="278">
        <v>1706.6302599197058</v>
      </c>
      <c r="T141" s="278">
        <v>1681.5214943555018</v>
      </c>
    </row>
    <row r="142" spans="1:22" x14ac:dyDescent="0.25">
      <c r="A142" s="278">
        <v>2</v>
      </c>
      <c r="C142" s="278">
        <f>IF(E142=E141,C141+1,1)</f>
        <v>51</v>
      </c>
      <c r="D142" s="278">
        <f>IF(M142=M141,D141,C142)</f>
        <v>49</v>
      </c>
      <c r="E142" s="278">
        <f>10+VALUE(RIGHT(LEFT(G142,3),1))</f>
        <v>14</v>
      </c>
      <c r="F142" s="278" t="str">
        <f>RIGHT(G142,2) &amp; IF(A142&lt;2,"x","")</f>
        <v>pm</v>
      </c>
      <c r="G142" s="278" t="s">
        <v>645</v>
      </c>
      <c r="H142" s="278" t="s">
        <v>252</v>
      </c>
      <c r="I142" s="278" t="s">
        <v>646</v>
      </c>
      <c r="K142" s="279">
        <f>LOOKUP(1E+100,M142:AC142)</f>
        <v>1647.1294488255151</v>
      </c>
      <c r="M142" s="279">
        <v>1800</v>
      </c>
      <c r="R142" s="278" t="str">
        <f>IF(AND((J142="This"),(L142="Only")),VLOOKUP(G142,#REF!,7,FALSE),"")</f>
        <v/>
      </c>
      <c r="S142" s="278">
        <v>1687.89017886652</v>
      </c>
      <c r="T142" s="278">
        <v>1606.0897183893037</v>
      </c>
      <c r="V142" s="278">
        <v>1647.1294488255151</v>
      </c>
    </row>
    <row r="143" spans="1:22" x14ac:dyDescent="0.25">
      <c r="A143" s="278">
        <v>5</v>
      </c>
      <c r="C143" s="278">
        <f>IF(E143=E142,C142+1,1)</f>
        <v>52</v>
      </c>
      <c r="D143" s="278">
        <f>IF(M143=M142,D142,C143)</f>
        <v>49</v>
      </c>
      <c r="E143" s="278">
        <f>10+VALUE(RIGHT(LEFT(G143,3),1))</f>
        <v>14</v>
      </c>
      <c r="F143" s="278" t="str">
        <f>RIGHT(G143,2) &amp; IF(A143&lt;2,"x","")</f>
        <v>pm</v>
      </c>
      <c r="G143" s="278" t="s">
        <v>619</v>
      </c>
      <c r="H143" s="278" t="s">
        <v>620</v>
      </c>
      <c r="I143" s="278" t="s">
        <v>621</v>
      </c>
      <c r="K143" s="279">
        <f>LOOKUP(1E+100,M143:AC143)</f>
        <v>1644.9049961515773</v>
      </c>
      <c r="M143" s="279">
        <v>1800</v>
      </c>
      <c r="O143" s="278">
        <v>1721.0245607386446</v>
      </c>
      <c r="R143" s="278" t="str">
        <f>IF(AND((J143="This"),(L143="Only")),VLOOKUP(G143,#REF!,7,FALSE),"")</f>
        <v/>
      </c>
      <c r="S143" s="278">
        <v>1700.0432703271169</v>
      </c>
      <c r="T143" s="278">
        <v>1636.641799015636</v>
      </c>
      <c r="V143" s="278">
        <v>1644.9049961515773</v>
      </c>
    </row>
    <row r="144" spans="1:22" x14ac:dyDescent="0.25">
      <c r="A144" s="278">
        <v>3</v>
      </c>
      <c r="C144" s="278">
        <f>IF(E144=E143,C143+1,1)</f>
        <v>53</v>
      </c>
      <c r="D144" s="278">
        <f>IF(M144=M143,D143,C144)</f>
        <v>49</v>
      </c>
      <c r="E144" s="278">
        <f>10+VALUE(RIGHT(LEFT(G144,3),1))</f>
        <v>14</v>
      </c>
      <c r="F144" s="278" t="str">
        <f>RIGHT(G144,2) &amp; IF(A144&lt;2,"x","")</f>
        <v>pm</v>
      </c>
      <c r="G144" s="278" t="s">
        <v>665</v>
      </c>
      <c r="H144" s="278" t="s">
        <v>609</v>
      </c>
      <c r="I144" s="278" t="s">
        <v>666</v>
      </c>
      <c r="K144" s="279">
        <f>LOOKUP(1E+100,M144:AC144)</f>
        <v>1625.5722405667989</v>
      </c>
      <c r="M144" s="279">
        <v>1800</v>
      </c>
      <c r="O144" s="278">
        <v>1756.3448786492454</v>
      </c>
      <c r="R144" s="278" t="str">
        <f>IF(AND((J144="This"),(L144="Only")),VLOOKUP(G144,#REF!,7,FALSE),"")</f>
        <v/>
      </c>
      <c r="T144" s="278">
        <v>1625.5722405667989</v>
      </c>
    </row>
    <row r="145" spans="1:22" x14ac:dyDescent="0.25">
      <c r="A145" s="278">
        <v>5</v>
      </c>
      <c r="C145" s="278">
        <f>IF(E145=E144,C144+1,1)</f>
        <v>54</v>
      </c>
      <c r="D145" s="278">
        <f>IF(M145=M144,D144,C145)</f>
        <v>49</v>
      </c>
      <c r="E145" s="278">
        <f>10+VALUE(RIGHT(LEFT(G145,3),1))</f>
        <v>14</v>
      </c>
      <c r="F145" s="278" t="str">
        <f>RIGHT(G145,2) &amp; IF(A145&lt;2,"x","")</f>
        <v>pm</v>
      </c>
      <c r="G145" s="278" t="s">
        <v>673</v>
      </c>
      <c r="H145" s="278" t="s">
        <v>232</v>
      </c>
      <c r="I145" s="278" t="s">
        <v>674</v>
      </c>
      <c r="K145" s="279">
        <f>LOOKUP(1E+100,M145:AC145)</f>
        <v>1570.7017546104134</v>
      </c>
      <c r="M145" s="279">
        <v>1800</v>
      </c>
      <c r="R145" s="278" t="str">
        <f>IF(AND((J145="This"),(L145="Only")),VLOOKUP(G145,#REF!,7,FALSE),"")</f>
        <v/>
      </c>
      <c r="S145" s="278">
        <v>1704.9165570856503</v>
      </c>
      <c r="T145" s="278">
        <v>1651.4456963857826</v>
      </c>
      <c r="V145" s="278">
        <v>1570.7017546104134</v>
      </c>
    </row>
    <row r="146" spans="1:22" x14ac:dyDescent="0.25">
      <c r="A146" s="278">
        <v>3</v>
      </c>
      <c r="C146" s="278">
        <f>IF(E146=E145,C145+1,1)</f>
        <v>1</v>
      </c>
      <c r="D146" s="278">
        <f>IF(M146=M145,D145,C146)</f>
        <v>1</v>
      </c>
      <c r="E146" s="278">
        <f>10+VALUE(RIGHT(LEFT(G146,3),1))</f>
        <v>15</v>
      </c>
      <c r="F146" s="278" t="str">
        <f>RIGHT(G146,2) &amp; IF(A146&lt;2,"x","")</f>
        <v>pm</v>
      </c>
      <c r="G146" s="278" t="s">
        <v>739</v>
      </c>
      <c r="H146" s="278" t="s">
        <v>385</v>
      </c>
      <c r="I146" s="278" t="s">
        <v>740</v>
      </c>
      <c r="K146" s="279">
        <f>LOOKUP(1E+100,M146:AC146)</f>
        <v>2541.0917656759971</v>
      </c>
      <c r="M146" s="279">
        <v>2400</v>
      </c>
      <c r="N146" s="278">
        <v>2470.4562959885634</v>
      </c>
      <c r="R146" s="278" t="str">
        <f>IF(AND((J146="This"),(L146="Only")),VLOOKUP(G146,#REF!,7,FALSE),"")</f>
        <v/>
      </c>
      <c r="U146" s="278">
        <v>2541.0917656759971</v>
      </c>
    </row>
    <row r="147" spans="1:22" x14ac:dyDescent="0.25">
      <c r="A147" s="278">
        <v>4</v>
      </c>
      <c r="C147" s="278">
        <f>IF(E147=E146,C146+1,1)</f>
        <v>2</v>
      </c>
      <c r="D147" s="278">
        <f>IF(M147=M146,D146,C147)</f>
        <v>1</v>
      </c>
      <c r="E147" s="278">
        <f>10+VALUE(RIGHT(LEFT(G147,3),1))</f>
        <v>15</v>
      </c>
      <c r="F147" s="278" t="str">
        <f>RIGHT(G147,2) &amp; IF(A147&lt;2,"x","")</f>
        <v>pm</v>
      </c>
      <c r="G147" s="278" t="s">
        <v>713</v>
      </c>
      <c r="H147" s="278" t="s">
        <v>217</v>
      </c>
      <c r="I147" s="278" t="s">
        <v>714</v>
      </c>
      <c r="K147" s="279">
        <f>LOOKUP(1E+100,M147:AC147)</f>
        <v>2527.2786745948765</v>
      </c>
      <c r="M147" s="279">
        <v>2400</v>
      </c>
      <c r="N147" s="278">
        <v>2470.5474448149635</v>
      </c>
      <c r="R147" s="278" t="str">
        <f>IF(AND((J147="This"),(L147="Only")),VLOOKUP(G147,#REF!,7,FALSE),"")</f>
        <v/>
      </c>
      <c r="U147" s="278">
        <v>2527.2786745948765</v>
      </c>
    </row>
    <row r="148" spans="1:22" x14ac:dyDescent="0.25">
      <c r="A148" s="278">
        <v>6</v>
      </c>
      <c r="C148" s="278">
        <f>IF(E148=E147,C147+1,1)</f>
        <v>3</v>
      </c>
      <c r="D148" s="278">
        <f>IF(M148=M147,D147,C148)</f>
        <v>1</v>
      </c>
      <c r="E148" s="278">
        <f>10+VALUE(RIGHT(LEFT(G148,3),1))</f>
        <v>15</v>
      </c>
      <c r="F148" s="278" t="str">
        <f>RIGHT(G148,2) &amp; IF(A148&lt;2,"x","")</f>
        <v>pm</v>
      </c>
      <c r="G148" s="278" t="s">
        <v>734</v>
      </c>
      <c r="H148" s="278" t="s">
        <v>333</v>
      </c>
      <c r="I148" s="278" t="s">
        <v>735</v>
      </c>
      <c r="K148" s="279">
        <f>LOOKUP(1E+100,M148:AC148)</f>
        <v>2524.4972498882348</v>
      </c>
      <c r="M148" s="279">
        <v>2400</v>
      </c>
      <c r="N148" s="278">
        <v>2344.1797285208422</v>
      </c>
      <c r="P148" s="278">
        <v>2457.0746858546781</v>
      </c>
      <c r="R148" s="278" t="str">
        <f>IF(AND((J148="This"),(L148="Only")),VLOOKUP(G148,#REF!,7,FALSE),"")</f>
        <v/>
      </c>
      <c r="S148" s="278">
        <v>2512.3609527359577</v>
      </c>
      <c r="U148" s="278">
        <v>2524.4972498882348</v>
      </c>
    </row>
    <row r="149" spans="1:22" x14ac:dyDescent="0.25">
      <c r="A149" s="278">
        <v>2</v>
      </c>
      <c r="C149" s="278">
        <f>IF(E149=E148,C148+1,1)</f>
        <v>4</v>
      </c>
      <c r="D149" s="278">
        <f>IF(M149=M148,D148,C149)</f>
        <v>1</v>
      </c>
      <c r="E149" s="278">
        <f>10+VALUE(RIGHT(LEFT(G149,3),1))</f>
        <v>15</v>
      </c>
      <c r="F149" s="278" t="str">
        <f>RIGHT(G149,2) &amp; IF(A149&lt;2,"x","")</f>
        <v>pm</v>
      </c>
      <c r="G149" s="278" t="s">
        <v>744</v>
      </c>
      <c r="H149" s="278" t="s">
        <v>226</v>
      </c>
      <c r="I149" s="278" t="s">
        <v>745</v>
      </c>
      <c r="K149" s="279">
        <f>LOOKUP(1E+100,M149:AC149)</f>
        <v>2514.1564186642386</v>
      </c>
      <c r="M149" s="279">
        <v>2400</v>
      </c>
      <c r="R149" s="278" t="str">
        <f>IF(AND((J149="This"),(L149="Only")),VLOOKUP(G149,#REF!,7,FALSE),"")</f>
        <v/>
      </c>
      <c r="S149" s="278">
        <v>2514.1564186642386</v>
      </c>
    </row>
    <row r="150" spans="1:22" x14ac:dyDescent="0.25">
      <c r="A150" s="278">
        <v>3</v>
      </c>
      <c r="C150" s="278">
        <f>IF(E150=E149,C149+1,1)</f>
        <v>5</v>
      </c>
      <c r="D150" s="278">
        <f>IF(M150=M149,D149,C150)</f>
        <v>1</v>
      </c>
      <c r="E150" s="278">
        <f>10+VALUE(RIGHT(LEFT(G150,3),1))</f>
        <v>15</v>
      </c>
      <c r="F150" s="278" t="str">
        <f>RIGHT(G150,2) &amp; IF(A150&lt;2,"x","")</f>
        <v>pm</v>
      </c>
      <c r="G150" s="278" t="s">
        <v>711</v>
      </c>
      <c r="H150" s="278" t="s">
        <v>217</v>
      </c>
      <c r="I150" s="278" t="s">
        <v>712</v>
      </c>
      <c r="K150" s="279">
        <f>LOOKUP(1E+100,M150:AC150)</f>
        <v>2502.5098735044567</v>
      </c>
      <c r="M150" s="279">
        <v>2400</v>
      </c>
      <c r="N150" s="278">
        <v>2499.7117552915306</v>
      </c>
      <c r="R150" s="278" t="str">
        <f>IF(AND((J150="This"),(L150="Only")),VLOOKUP(G150,#REF!,7,FALSE),"")</f>
        <v/>
      </c>
      <c r="U150" s="278">
        <v>2502.5098735044567</v>
      </c>
    </row>
    <row r="151" spans="1:22" x14ac:dyDescent="0.25">
      <c r="A151" s="278">
        <v>2</v>
      </c>
      <c r="C151" s="278">
        <f>IF(E151=E150,C150+1,1)</f>
        <v>6</v>
      </c>
      <c r="D151" s="278">
        <f>IF(M151=M150,D150,C151)</f>
        <v>1</v>
      </c>
      <c r="E151" s="278">
        <f>10+VALUE(RIGHT(LEFT(G151,3),1))</f>
        <v>15</v>
      </c>
      <c r="F151" s="278" t="str">
        <f>RIGHT(G151,2) &amp; IF(A151&lt;2,"x","")</f>
        <v>pm</v>
      </c>
      <c r="G151" s="278" t="s">
        <v>693</v>
      </c>
      <c r="H151" s="278" t="s">
        <v>232</v>
      </c>
      <c r="I151" s="278" t="s">
        <v>694</v>
      </c>
      <c r="K151" s="279">
        <f>LOOKUP(1E+100,M151:AC151)</f>
        <v>2493.626289433224</v>
      </c>
      <c r="M151" s="279">
        <v>2400</v>
      </c>
      <c r="R151" s="278" t="str">
        <f>IF(AND((J151="This"),(L151="Only")),VLOOKUP(G151,#REF!,7,FALSE),"")</f>
        <v/>
      </c>
      <c r="U151" s="278">
        <v>2493.626289433224</v>
      </c>
    </row>
    <row r="152" spans="1:22" x14ac:dyDescent="0.25">
      <c r="A152" s="278">
        <v>2</v>
      </c>
      <c r="C152" s="278">
        <f>IF(E152=E151,C151+1,1)</f>
        <v>7</v>
      </c>
      <c r="D152" s="278">
        <f>IF(M152=M151,D151,C152)</f>
        <v>1</v>
      </c>
      <c r="E152" s="278">
        <f>10+VALUE(RIGHT(LEFT(G152,3),1))</f>
        <v>15</v>
      </c>
      <c r="F152" s="278" t="str">
        <f>RIGHT(G152,2) &amp; IF(A152&lt;2,"x","")</f>
        <v>pm</v>
      </c>
      <c r="G152" s="278" t="s">
        <v>706</v>
      </c>
      <c r="H152" s="278" t="s">
        <v>268</v>
      </c>
      <c r="I152" s="278" t="s">
        <v>707</v>
      </c>
      <c r="K152" s="279">
        <f>LOOKUP(1E+100,M152:AC152)</f>
        <v>2492.2492453469672</v>
      </c>
      <c r="M152" s="279">
        <v>2400</v>
      </c>
      <c r="N152" s="278">
        <v>2492.2492453469672</v>
      </c>
      <c r="R152" s="278" t="str">
        <f>IF(AND((J152="This"),(L152="Only")),VLOOKUP(G152,#REF!,7,FALSE),"")</f>
        <v/>
      </c>
    </row>
    <row r="153" spans="1:22" x14ac:dyDescent="0.25">
      <c r="A153" s="278">
        <v>4</v>
      </c>
      <c r="C153" s="278">
        <f>IF(E153=E152,C152+1,1)</f>
        <v>8</v>
      </c>
      <c r="D153" s="278">
        <f>IF(M153=M152,D152,C153)</f>
        <v>1</v>
      </c>
      <c r="E153" s="278">
        <f>10+VALUE(RIGHT(LEFT(G153,3),1))</f>
        <v>15</v>
      </c>
      <c r="F153" s="278" t="str">
        <f>RIGHT(G153,2) &amp; IF(A153&lt;2,"x","")</f>
        <v>pm</v>
      </c>
      <c r="G153" s="278" t="s">
        <v>764</v>
      </c>
      <c r="H153" s="278" t="s">
        <v>232</v>
      </c>
      <c r="I153" s="278" t="s">
        <v>765</v>
      </c>
      <c r="K153" s="279">
        <f>LOOKUP(1E+100,M153:AC153)</f>
        <v>2476.8536481597189</v>
      </c>
      <c r="M153" s="279">
        <v>2400</v>
      </c>
      <c r="P153" s="278">
        <v>2461.3928319711385</v>
      </c>
      <c r="R153" s="278" t="str">
        <f>IF(AND((J153="This"),(L153="Only")),VLOOKUP(G153,#REF!,7,FALSE),"")</f>
        <v/>
      </c>
      <c r="U153" s="278">
        <v>2476.8536481597189</v>
      </c>
    </row>
    <row r="154" spans="1:22" x14ac:dyDescent="0.25">
      <c r="A154" s="278">
        <v>3</v>
      </c>
      <c r="C154" s="278">
        <f>IF(E154=E153,C153+1,1)</f>
        <v>9</v>
      </c>
      <c r="D154" s="278">
        <f>IF(M154=M153,D153,C154)</f>
        <v>1</v>
      </c>
      <c r="E154" s="278">
        <f>10+VALUE(RIGHT(LEFT(G154,3),1))</f>
        <v>15</v>
      </c>
      <c r="F154" s="278" t="str">
        <f>RIGHT(G154,2) &amp; IF(A154&lt;2,"x","")</f>
        <v>pm</v>
      </c>
      <c r="G154" s="278" t="s">
        <v>779</v>
      </c>
      <c r="H154" s="278" t="s">
        <v>587</v>
      </c>
      <c r="I154" s="278" t="s">
        <v>780</v>
      </c>
      <c r="K154" s="279">
        <f>LOOKUP(1E+100,M154:AC154)</f>
        <v>2468.389371241949</v>
      </c>
      <c r="M154" s="279">
        <v>2400</v>
      </c>
      <c r="N154" s="278">
        <v>2445.1848084913613</v>
      </c>
      <c r="O154" s="278">
        <v>2480.5194251854841</v>
      </c>
      <c r="R154" s="278" t="str">
        <f>IF(AND((J154="This"),(L154="Only")),VLOOKUP(G154,#REF!,7,FALSE),"")</f>
        <v/>
      </c>
      <c r="U154" s="278">
        <v>2468.389371241949</v>
      </c>
    </row>
    <row r="155" spans="1:22" x14ac:dyDescent="0.25">
      <c r="A155" s="278">
        <v>2</v>
      </c>
      <c r="C155" s="278">
        <f>IF(E155=E154,C154+1,1)</f>
        <v>10</v>
      </c>
      <c r="D155" s="278">
        <f>IF(M155=M154,D154,C155)</f>
        <v>1</v>
      </c>
      <c r="E155" s="278">
        <f>10+VALUE(RIGHT(LEFT(G155,3),1))</f>
        <v>15</v>
      </c>
      <c r="F155" s="278" t="str">
        <f>RIGHT(G155,2) &amp; IF(A155&lt;2,"x","")</f>
        <v>pm</v>
      </c>
      <c r="G155" s="278" t="s">
        <v>750</v>
      </c>
      <c r="H155" s="278" t="s">
        <v>226</v>
      </c>
      <c r="I155" s="278" t="s">
        <v>751</v>
      </c>
      <c r="K155" s="279">
        <f>LOOKUP(1E+100,M155:AC155)</f>
        <v>2458.095796529813</v>
      </c>
      <c r="M155" s="279">
        <v>2400</v>
      </c>
      <c r="R155" s="278" t="str">
        <f>IF(AND((J155="This"),(L155="Only")),VLOOKUP(G155,#REF!,7,FALSE),"")</f>
        <v/>
      </c>
      <c r="S155" s="278">
        <v>2458.095796529813</v>
      </c>
    </row>
    <row r="156" spans="1:22" x14ac:dyDescent="0.25">
      <c r="A156" s="278">
        <v>2</v>
      </c>
      <c r="C156" s="278">
        <f>IF(E156=E155,C155+1,1)</f>
        <v>11</v>
      </c>
      <c r="D156" s="278">
        <f>IF(M156=M155,D155,C156)</f>
        <v>1</v>
      </c>
      <c r="E156" s="278">
        <f>10+VALUE(RIGHT(LEFT(G156,3),1))</f>
        <v>15</v>
      </c>
      <c r="F156" s="278" t="str">
        <f>RIGHT(G156,2) &amp; IF(A156&lt;2,"x","")</f>
        <v>pm</v>
      </c>
      <c r="G156" s="278" t="s">
        <v>756</v>
      </c>
      <c r="H156" s="278" t="s">
        <v>434</v>
      </c>
      <c r="I156" s="278" t="s">
        <v>757</v>
      </c>
      <c r="K156" s="279">
        <f>LOOKUP(1E+100,M156:AC156)</f>
        <v>2453.9766858733506</v>
      </c>
      <c r="M156" s="279">
        <v>2400</v>
      </c>
      <c r="N156" s="278">
        <v>2461.8822259540248</v>
      </c>
      <c r="R156" s="278" t="str">
        <f>IF(AND((J156="This"),(L156="Only")),VLOOKUP(G156,#REF!,7,FALSE),"")</f>
        <v/>
      </c>
      <c r="U156" s="278">
        <v>2453.9766858733506</v>
      </c>
    </row>
    <row r="157" spans="1:22" x14ac:dyDescent="0.25">
      <c r="A157" s="278">
        <v>3</v>
      </c>
      <c r="C157" s="278">
        <f>IF(E157=E156,C156+1,1)</f>
        <v>12</v>
      </c>
      <c r="D157" s="278">
        <f>IF(M157=M156,D156,C157)</f>
        <v>1</v>
      </c>
      <c r="E157" s="278">
        <f>10+VALUE(RIGHT(LEFT(G157,3),1))</f>
        <v>15</v>
      </c>
      <c r="F157" s="278" t="str">
        <f>RIGHT(G157,2) &amp; IF(A157&lt;2,"x","")</f>
        <v>pm</v>
      </c>
      <c r="G157" s="278" t="s">
        <v>787</v>
      </c>
      <c r="H157" s="278" t="s">
        <v>416</v>
      </c>
      <c r="I157" s="278" t="s">
        <v>788</v>
      </c>
      <c r="K157" s="279">
        <f>LOOKUP(1E+100,M157:AC157)</f>
        <v>2452.7285452877954</v>
      </c>
      <c r="M157" s="279">
        <v>2400</v>
      </c>
      <c r="P157" s="278">
        <v>2452.7285452877954</v>
      </c>
      <c r="R157" s="278" t="str">
        <f>IF(AND((J157="This"),(L157="Only")),VLOOKUP(G157,#REF!,7,FALSE),"")</f>
        <v/>
      </c>
    </row>
    <row r="158" spans="1:22" x14ac:dyDescent="0.25">
      <c r="A158" s="278">
        <v>6</v>
      </c>
      <c r="C158" s="278">
        <f>IF(E158=E157,C157+1,1)</f>
        <v>13</v>
      </c>
      <c r="D158" s="278">
        <f>IF(M158=M157,D157,C158)</f>
        <v>1</v>
      </c>
      <c r="E158" s="278">
        <f>10+VALUE(RIGHT(LEFT(G158,3),1))</f>
        <v>15</v>
      </c>
      <c r="F158" s="278" t="str">
        <f>RIGHT(G158,2) &amp; IF(A158&lt;2,"x","")</f>
        <v>pm</v>
      </c>
      <c r="G158" s="278" t="s">
        <v>719</v>
      </c>
      <c r="H158" s="278" t="s">
        <v>284</v>
      </c>
      <c r="I158" s="278" t="s">
        <v>720</v>
      </c>
      <c r="K158" s="279">
        <f>LOOKUP(1E+100,M158:AC158)</f>
        <v>2442.1065800796255</v>
      </c>
      <c r="M158" s="279">
        <v>2400</v>
      </c>
      <c r="N158" s="278">
        <v>2461.9045489450959</v>
      </c>
      <c r="P158" s="278">
        <v>2478.9577728246177</v>
      </c>
      <c r="R158" s="278" t="str">
        <f>IF(AND((J158="This"),(L158="Only")),VLOOKUP(G158,#REF!,7,FALSE),"")</f>
        <v/>
      </c>
      <c r="S158" s="278">
        <v>2469.2170727327562</v>
      </c>
      <c r="U158" s="278">
        <v>2442.1065800796255</v>
      </c>
    </row>
    <row r="159" spans="1:22" x14ac:dyDescent="0.25">
      <c r="A159" s="278">
        <v>2</v>
      </c>
      <c r="C159" s="278">
        <f>IF(E159=E158,C158+1,1)</f>
        <v>14</v>
      </c>
      <c r="D159" s="278">
        <f>IF(M159=M158,D158,C159)</f>
        <v>1</v>
      </c>
      <c r="E159" s="278">
        <f>10+VALUE(RIGHT(LEFT(G159,3),1))</f>
        <v>15</v>
      </c>
      <c r="F159" s="278" t="str">
        <f>RIGHT(G159,2) &amp; IF(A159&lt;2,"x","")</f>
        <v>pm</v>
      </c>
      <c r="G159" s="278" t="s">
        <v>754</v>
      </c>
      <c r="H159" s="278" t="s">
        <v>434</v>
      </c>
      <c r="I159" s="278" t="s">
        <v>755</v>
      </c>
      <c r="K159" s="279">
        <f>LOOKUP(1E+100,M159:AC159)</f>
        <v>2418.9011539857738</v>
      </c>
      <c r="M159" s="279">
        <v>2400</v>
      </c>
      <c r="N159" s="278">
        <v>2412.4969665615304</v>
      </c>
      <c r="R159" s="278" t="str">
        <f>IF(AND((J159="This"),(L159="Only")),VLOOKUP(G159,#REF!,7,FALSE),"")</f>
        <v/>
      </c>
      <c r="U159" s="278">
        <v>2418.9011539857738</v>
      </c>
    </row>
    <row r="160" spans="1:22" x14ac:dyDescent="0.25">
      <c r="A160" s="278">
        <v>2</v>
      </c>
      <c r="C160" s="278">
        <f>IF(E160=E159,C159+1,1)</f>
        <v>15</v>
      </c>
      <c r="D160" s="278">
        <f>IF(M160=M159,D159,C160)</f>
        <v>1</v>
      </c>
      <c r="E160" s="278">
        <f>10+VALUE(RIGHT(LEFT(G160,3),1))</f>
        <v>15</v>
      </c>
      <c r="F160" s="278" t="str">
        <f>RIGHT(G160,2) &amp; IF(A160&lt;2,"x","")</f>
        <v>pm</v>
      </c>
      <c r="G160" s="278" t="s">
        <v>746</v>
      </c>
      <c r="H160" s="278" t="s">
        <v>226</v>
      </c>
      <c r="I160" s="278" t="s">
        <v>747</v>
      </c>
      <c r="K160" s="279">
        <f>LOOKUP(1E+100,M160:AC160)</f>
        <v>2414.849046848939</v>
      </c>
      <c r="M160" s="279">
        <v>2400</v>
      </c>
      <c r="R160" s="278" t="str">
        <f>IF(AND((J160="This"),(L160="Only")),VLOOKUP(G160,#REF!,7,FALSE),"")</f>
        <v/>
      </c>
      <c r="S160" s="278">
        <v>2414.849046848939</v>
      </c>
    </row>
    <row r="161" spans="1:22" x14ac:dyDescent="0.25">
      <c r="A161" s="278">
        <v>2</v>
      </c>
      <c r="C161" s="278">
        <f>IF(E161=E160,C160+1,1)</f>
        <v>16</v>
      </c>
      <c r="D161" s="278">
        <f>IF(M161=M160,D160,C161)</f>
        <v>1</v>
      </c>
      <c r="E161" s="278">
        <f>10+VALUE(RIGHT(LEFT(G161,3),1))</f>
        <v>15</v>
      </c>
      <c r="F161" s="278" t="str">
        <f>RIGHT(G161,2) &amp; IF(A161&lt;2,"x","")</f>
        <v>pm</v>
      </c>
      <c r="G161" s="278" t="s">
        <v>748</v>
      </c>
      <c r="H161" s="278" t="s">
        <v>226</v>
      </c>
      <c r="I161" s="278" t="s">
        <v>749</v>
      </c>
      <c r="K161" s="279">
        <f>LOOKUP(1E+100,M161:AC161)</f>
        <v>2400</v>
      </c>
      <c r="M161" s="279">
        <v>2400</v>
      </c>
      <c r="R161" s="278" t="str">
        <f>IF(AND((J161="This"),(L161="Only")),VLOOKUP(G161,#REF!,7,FALSE),"")</f>
        <v/>
      </c>
    </row>
    <row r="162" spans="1:22" x14ac:dyDescent="0.25">
      <c r="A162" s="278">
        <v>3</v>
      </c>
      <c r="C162" s="278">
        <f>IF(E162=E161,C161+1,1)</f>
        <v>17</v>
      </c>
      <c r="D162" s="278">
        <f>IF(M162=M161,D161,C162)</f>
        <v>1</v>
      </c>
      <c r="E162" s="278">
        <f>10+VALUE(RIGHT(LEFT(G162,3),1))</f>
        <v>15</v>
      </c>
      <c r="F162" s="278" t="str">
        <f>RIGHT(G162,2) &amp; IF(A162&lt;2,"x","")</f>
        <v>pm</v>
      </c>
      <c r="G162" s="278" t="s">
        <v>758</v>
      </c>
      <c r="H162" s="278" t="s">
        <v>315</v>
      </c>
      <c r="I162" s="278" t="s">
        <v>759</v>
      </c>
      <c r="K162" s="279">
        <f>LOOKUP(1E+100,M162:AC162)</f>
        <v>2394.2141481145313</v>
      </c>
      <c r="M162" s="279">
        <v>2400</v>
      </c>
      <c r="R162" s="278" t="str">
        <f>IF(AND((J162="This"),(L162="Only")),VLOOKUP(G162,#REF!,7,FALSE),"")</f>
        <v/>
      </c>
      <c r="S162" s="278">
        <v>2394.2141481145313</v>
      </c>
    </row>
    <row r="163" spans="1:22" x14ac:dyDescent="0.25">
      <c r="A163" s="278">
        <v>3</v>
      </c>
      <c r="C163" s="278">
        <f>IF(E163=E162,C162+1,1)</f>
        <v>18</v>
      </c>
      <c r="D163" s="278">
        <f>IF(M163=M162,D162,C163)</f>
        <v>1</v>
      </c>
      <c r="E163" s="278">
        <f>10+VALUE(RIGHT(LEFT(G163,3),1))</f>
        <v>15</v>
      </c>
      <c r="F163" s="278" t="str">
        <f>RIGHT(G163,2) &amp; IF(A163&lt;2,"x","")</f>
        <v>pm</v>
      </c>
      <c r="G163" s="278" t="s">
        <v>721</v>
      </c>
      <c r="H163" s="278" t="s">
        <v>290</v>
      </c>
      <c r="I163" s="278" t="s">
        <v>722</v>
      </c>
      <c r="K163" s="279">
        <f>LOOKUP(1E+100,M163:AC163)</f>
        <v>2382.5277444743001</v>
      </c>
      <c r="M163" s="279">
        <v>2400</v>
      </c>
      <c r="R163" s="278" t="str">
        <f>IF(AND((J163="This"),(L163="Only")),VLOOKUP(G163,#REF!,7,FALSE),"")</f>
        <v/>
      </c>
      <c r="S163" s="278">
        <v>2354.7201914323136</v>
      </c>
      <c r="U163" s="278">
        <v>2382.5277444743001</v>
      </c>
    </row>
    <row r="164" spans="1:22" x14ac:dyDescent="0.25">
      <c r="A164" s="278">
        <v>5</v>
      </c>
      <c r="C164" s="278">
        <f>IF(E164=E163,C163+1,1)</f>
        <v>19</v>
      </c>
      <c r="D164" s="278">
        <f>IF(M164=M163,D163,C164)</f>
        <v>1</v>
      </c>
      <c r="E164" s="278">
        <f>10+VALUE(RIGHT(LEFT(G164,3),1))</f>
        <v>15</v>
      </c>
      <c r="F164" s="278" t="str">
        <f>RIGHT(G164,2) &amp; IF(A164&lt;2,"x","")</f>
        <v>pm</v>
      </c>
      <c r="G164" s="278" t="s">
        <v>717</v>
      </c>
      <c r="H164" s="278" t="s">
        <v>281</v>
      </c>
      <c r="I164" s="278" t="s">
        <v>718</v>
      </c>
      <c r="K164" s="279">
        <f>LOOKUP(1E+100,M164:AC164)</f>
        <v>2381.8006957841599</v>
      </c>
      <c r="M164" s="279">
        <v>2400</v>
      </c>
      <c r="N164" s="278">
        <v>2394.4035633824892</v>
      </c>
      <c r="R164" s="278" t="str">
        <f>IF(AND((J164="This"),(L164="Only")),VLOOKUP(G164,#REF!,7,FALSE),"")</f>
        <v/>
      </c>
      <c r="S164" s="278">
        <v>2392.8165751582583</v>
      </c>
      <c r="U164" s="278">
        <v>2381.8006957841599</v>
      </c>
    </row>
    <row r="165" spans="1:22" x14ac:dyDescent="0.25">
      <c r="A165" s="278">
        <v>4</v>
      </c>
      <c r="C165" s="278">
        <f>IF(E165=E164,C164+1,1)</f>
        <v>20</v>
      </c>
      <c r="D165" s="278">
        <f>IF(M165=M164,D164,C165)</f>
        <v>20</v>
      </c>
      <c r="E165" s="278">
        <f>10+VALUE(RIGHT(LEFT(G165,3),1))</f>
        <v>15</v>
      </c>
      <c r="F165" s="278" t="str">
        <f>RIGHT(G165,2) &amp; IF(A165&lt;2,"x","")</f>
        <v>pm</v>
      </c>
      <c r="G165" s="278" t="s">
        <v>791</v>
      </c>
      <c r="H165" s="278" t="s">
        <v>252</v>
      </c>
      <c r="I165" s="278" t="s">
        <v>792</v>
      </c>
      <c r="K165" s="279">
        <f>LOOKUP(1E+100,M165:AC165)</f>
        <v>2376.6455222724007</v>
      </c>
      <c r="M165" s="279">
        <v>2300</v>
      </c>
      <c r="R165" s="278" t="str">
        <f>IF(AND((J165="This"),(L165="Only")),VLOOKUP(G165,#REF!,7,FALSE),"")</f>
        <v/>
      </c>
      <c r="S165" s="278">
        <v>2376.6455222724007</v>
      </c>
    </row>
    <row r="166" spans="1:22" x14ac:dyDescent="0.25">
      <c r="A166" s="278">
        <v>4</v>
      </c>
      <c r="C166" s="278">
        <f>IF(E166=E165,C165+1,1)</f>
        <v>21</v>
      </c>
      <c r="D166" s="278">
        <f>IF(M166=M165,D165,C166)</f>
        <v>21</v>
      </c>
      <c r="E166" s="278">
        <f>10+VALUE(RIGHT(LEFT(G166,3),1))</f>
        <v>15</v>
      </c>
      <c r="F166" s="278" t="str">
        <f>RIGHT(G166,2) &amp; IF(A166&lt;2,"x","")</f>
        <v>pm</v>
      </c>
      <c r="G166" s="278" t="s">
        <v>715</v>
      </c>
      <c r="H166" s="278" t="s">
        <v>217</v>
      </c>
      <c r="I166" s="278" t="s">
        <v>716</v>
      </c>
      <c r="K166" s="279">
        <f>LOOKUP(1E+100,M166:AC166)</f>
        <v>2359.4300065726879</v>
      </c>
      <c r="M166" s="279">
        <v>2400</v>
      </c>
      <c r="N166" s="278">
        <v>2369.6009381256022</v>
      </c>
      <c r="R166" s="278" t="str">
        <f>IF(AND((J166="This"),(L166="Only")),VLOOKUP(G166,#REF!,7,FALSE),"")</f>
        <v/>
      </c>
      <c r="U166" s="278">
        <v>2359.4300065726879</v>
      </c>
    </row>
    <row r="167" spans="1:22" x14ac:dyDescent="0.25">
      <c r="A167" s="278">
        <v>5</v>
      </c>
      <c r="C167" s="278">
        <f>IF(E167=E166,C166+1,1)</f>
        <v>22</v>
      </c>
      <c r="D167" s="278">
        <f>IF(M167=M166,D166,C167)</f>
        <v>21</v>
      </c>
      <c r="E167" s="278">
        <f>10+VALUE(RIGHT(LEFT(G167,3),1))</f>
        <v>15</v>
      </c>
      <c r="F167" s="278" t="str">
        <f>RIGHT(G167,2) &amp; IF(A167&lt;2,"x","")</f>
        <v>pm</v>
      </c>
      <c r="G167" s="278" t="s">
        <v>760</v>
      </c>
      <c r="H167" s="278" t="s">
        <v>318</v>
      </c>
      <c r="I167" s="278" t="s">
        <v>761</v>
      </c>
      <c r="K167" s="279">
        <f>LOOKUP(1E+100,M167:AC167)</f>
        <v>2334.3319188437576</v>
      </c>
      <c r="M167" s="279">
        <v>2400</v>
      </c>
      <c r="N167" s="278">
        <v>2341.1233483976916</v>
      </c>
      <c r="R167" s="278" t="str">
        <f>IF(AND((J167="This"),(L167="Only")),VLOOKUP(G167,#REF!,7,FALSE),"")</f>
        <v/>
      </c>
      <c r="U167" s="278">
        <v>2334.3319188437576</v>
      </c>
    </row>
    <row r="168" spans="1:22" x14ac:dyDescent="0.25">
      <c r="A168" s="278">
        <v>4</v>
      </c>
      <c r="C168" s="278">
        <f>IF(E168=E167,C167+1,1)</f>
        <v>23</v>
      </c>
      <c r="D168" s="278">
        <f>IF(M168=M167,D167,C168)</f>
        <v>21</v>
      </c>
      <c r="E168" s="278">
        <f>10+VALUE(RIGHT(LEFT(G168,3),1))</f>
        <v>15</v>
      </c>
      <c r="F168" s="278" t="str">
        <f>RIGHT(G168,2) &amp; IF(A168&lt;2,"x","")</f>
        <v>pm</v>
      </c>
      <c r="G168" s="278" t="s">
        <v>729</v>
      </c>
      <c r="H168" s="278" t="s">
        <v>730</v>
      </c>
      <c r="I168" s="278" t="s">
        <v>731</v>
      </c>
      <c r="K168" s="279">
        <f>LOOKUP(1E+100,M168:AC168)</f>
        <v>2279.8314254027905</v>
      </c>
      <c r="M168" s="279">
        <v>2400</v>
      </c>
      <c r="N168" s="278">
        <v>2325.0939181579406</v>
      </c>
      <c r="R168" s="278" t="str">
        <f>IF(AND((J168="This"),(L168="Only")),VLOOKUP(G168,#REF!,7,FALSE),"")</f>
        <v/>
      </c>
      <c r="U168" s="278">
        <v>2279.8314254027905</v>
      </c>
    </row>
    <row r="169" spans="1:22" x14ac:dyDescent="0.25">
      <c r="A169" s="278">
        <v>4</v>
      </c>
      <c r="C169" s="278">
        <f>IF(E169=E168,C168+1,1)</f>
        <v>24</v>
      </c>
      <c r="D169" s="278">
        <f>IF(M169=M168,D168,C169)</f>
        <v>24</v>
      </c>
      <c r="E169" s="278">
        <f>10+VALUE(RIGHT(LEFT(G169,3),1))</f>
        <v>15</v>
      </c>
      <c r="F169" s="278" t="str">
        <f>RIGHT(G169,2) &amp; IF(A169&lt;2,"x","")</f>
        <v>pm</v>
      </c>
      <c r="G169" s="278" t="s">
        <v>793</v>
      </c>
      <c r="H169" s="278" t="s">
        <v>315</v>
      </c>
      <c r="I169" s="278" t="s">
        <v>794</v>
      </c>
      <c r="K169" s="279">
        <f>LOOKUP(1E+100,M169:AC169)</f>
        <v>2268.3854422372378</v>
      </c>
      <c r="M169" s="279">
        <v>2300</v>
      </c>
      <c r="O169" s="278">
        <v>2235.0356284950308</v>
      </c>
      <c r="P169" s="278">
        <v>2322.1303862295704</v>
      </c>
      <c r="R169" s="278" t="str">
        <f>IF(AND((J169="This"),(L169="Only")),VLOOKUP(G169,#REF!,7,FALSE),"")</f>
        <v/>
      </c>
      <c r="S169" s="278">
        <v>2268.3854422372378</v>
      </c>
    </row>
    <row r="170" spans="1:22" x14ac:dyDescent="0.25">
      <c r="A170" s="278">
        <v>7</v>
      </c>
      <c r="C170" s="278">
        <f>IF(E170=E169,C169+1,1)</f>
        <v>25</v>
      </c>
      <c r="D170" s="278">
        <f>IF(M170=M169,D169,C170)</f>
        <v>25</v>
      </c>
      <c r="E170" s="278">
        <f>10+VALUE(RIGHT(LEFT(G170,3),1))</f>
        <v>15</v>
      </c>
      <c r="F170" s="278" t="str">
        <f>RIGHT(G170,2) &amp; IF(A170&lt;2,"x","")</f>
        <v>pm</v>
      </c>
      <c r="G170" s="278" t="s">
        <v>762</v>
      </c>
      <c r="H170" s="278" t="s">
        <v>318</v>
      </c>
      <c r="I170" s="278" t="s">
        <v>763</v>
      </c>
      <c r="K170" s="279">
        <f>LOOKUP(1E+100,M170:AC170)</f>
        <v>2265.9230295280654</v>
      </c>
      <c r="M170" s="279">
        <v>2400</v>
      </c>
      <c r="N170" s="278">
        <v>2326.8645461765414</v>
      </c>
      <c r="P170" s="278">
        <v>2292.9055328887944</v>
      </c>
      <c r="R170" s="278" t="str">
        <f>IF(AND((J170="This"),(L170="Only")),VLOOKUP(G170,#REF!,7,FALSE),"")</f>
        <v/>
      </c>
      <c r="S170" s="278">
        <v>2267.6844132740748</v>
      </c>
      <c r="U170" s="278">
        <v>2265.9230295280654</v>
      </c>
    </row>
    <row r="171" spans="1:22" x14ac:dyDescent="0.25">
      <c r="A171" s="278">
        <v>6</v>
      </c>
      <c r="C171" s="278">
        <f>IF(E171=E170,C170+1,1)</f>
        <v>26</v>
      </c>
      <c r="D171" s="278">
        <f>IF(M171=M170,D170,C171)</f>
        <v>26</v>
      </c>
      <c r="E171" s="278">
        <f>10+VALUE(RIGHT(LEFT(G171,3),1))</f>
        <v>15</v>
      </c>
      <c r="F171" s="278" t="str">
        <f>RIGHT(G171,2) &amp; IF(A171&lt;2,"x","")</f>
        <v>pm</v>
      </c>
      <c r="G171" s="278" t="s">
        <v>797</v>
      </c>
      <c r="H171" s="278" t="s">
        <v>604</v>
      </c>
      <c r="I171" s="278" t="s">
        <v>798</v>
      </c>
      <c r="K171" s="279">
        <f>LOOKUP(1E+100,M171:AC171)</f>
        <v>2261.5141533158635</v>
      </c>
      <c r="M171" s="279">
        <v>2066.6666666666665</v>
      </c>
      <c r="O171" s="278">
        <v>2144.1217834697964</v>
      </c>
      <c r="R171" s="278" t="str">
        <f>IF(AND((J171="This"),(L171="Only")),VLOOKUP(G171,#REF!,7,FALSE),"")</f>
        <v/>
      </c>
      <c r="T171" s="278">
        <v>2212.9846052971011</v>
      </c>
      <c r="V171" s="278">
        <v>2261.5141533158635</v>
      </c>
    </row>
    <row r="172" spans="1:22" x14ac:dyDescent="0.25">
      <c r="A172" s="278">
        <v>6</v>
      </c>
      <c r="C172" s="278">
        <f>IF(E172=E171,C171+1,1)</f>
        <v>27</v>
      </c>
      <c r="D172" s="278">
        <f>IF(M172=M171,D171,C172)</f>
        <v>27</v>
      </c>
      <c r="E172" s="278">
        <f>10+VALUE(RIGHT(LEFT(G172,3),1))</f>
        <v>15</v>
      </c>
      <c r="F172" s="278" t="str">
        <f>RIGHT(G172,2) &amp; IF(A172&lt;2,"x","")</f>
        <v>pm</v>
      </c>
      <c r="G172" s="278" t="s">
        <v>732</v>
      </c>
      <c r="H172" s="278" t="s">
        <v>293</v>
      </c>
      <c r="I172" s="278" t="s">
        <v>733</v>
      </c>
      <c r="K172" s="279">
        <f>LOOKUP(1E+100,M172:AC172)</f>
        <v>2253.4757114355407</v>
      </c>
      <c r="M172" s="279">
        <v>2400</v>
      </c>
      <c r="P172" s="278">
        <v>2340.2463122800505</v>
      </c>
      <c r="R172" s="278" t="str">
        <f>IF(AND((J172="This"),(L172="Only")),VLOOKUP(G172,#REF!,7,FALSE),"")</f>
        <v/>
      </c>
      <c r="S172" s="278">
        <v>2305.7293444688644</v>
      </c>
      <c r="U172" s="278">
        <v>2253.4757114355407</v>
      </c>
    </row>
    <row r="173" spans="1:22" x14ac:dyDescent="0.25">
      <c r="A173" s="278">
        <v>4</v>
      </c>
      <c r="C173" s="278">
        <f>IF(E173=E172,C172+1,1)</f>
        <v>28</v>
      </c>
      <c r="D173" s="278">
        <f>IF(M173=M172,D172,C173)</f>
        <v>27</v>
      </c>
      <c r="E173" s="278">
        <f>10+VALUE(RIGHT(LEFT(G173,3),1))</f>
        <v>15</v>
      </c>
      <c r="F173" s="278" t="str">
        <f>RIGHT(G173,2) &amp; IF(A173&lt;2,"x","")</f>
        <v>pm</v>
      </c>
      <c r="G173" s="278" t="s">
        <v>781</v>
      </c>
      <c r="H173" s="278" t="s">
        <v>587</v>
      </c>
      <c r="I173" s="278" t="s">
        <v>782</v>
      </c>
      <c r="K173" s="279">
        <f>LOOKUP(1E+100,M173:AC173)</f>
        <v>2207.770555540747</v>
      </c>
      <c r="M173" s="279">
        <v>2400</v>
      </c>
      <c r="N173" s="278">
        <v>2300.028797134582</v>
      </c>
      <c r="R173" s="278" t="str">
        <f>IF(AND((J173="This"),(L173="Only")),VLOOKUP(G173,#REF!,7,FALSE),"")</f>
        <v/>
      </c>
      <c r="S173" s="278">
        <v>2238.8392128568562</v>
      </c>
      <c r="U173" s="278">
        <v>2207.770555540747</v>
      </c>
    </row>
    <row r="174" spans="1:22" x14ac:dyDescent="0.25">
      <c r="A174" s="278">
        <v>3</v>
      </c>
      <c r="C174" s="278">
        <f>IF(E174=E173,C173+1,1)</f>
        <v>29</v>
      </c>
      <c r="D174" s="278">
        <f>IF(M174=M173,D173,C174)</f>
        <v>29</v>
      </c>
      <c r="E174" s="278">
        <f>10+VALUE(RIGHT(LEFT(G174,3),1))</f>
        <v>15</v>
      </c>
      <c r="F174" s="278" t="str">
        <f>RIGHT(G174,2) &amp; IF(A174&lt;2,"x","")</f>
        <v>pm</v>
      </c>
      <c r="G174" s="280" t="s">
        <v>806</v>
      </c>
      <c r="H174" s="278" t="s">
        <v>807</v>
      </c>
      <c r="I174" s="278" t="s">
        <v>808</v>
      </c>
      <c r="K174" s="279">
        <f>LOOKUP(1E+100,M174:AC174)</f>
        <v>2151.1670311235207</v>
      </c>
      <c r="M174" s="279">
        <v>2000</v>
      </c>
      <c r="R174" s="278" t="str">
        <f>IF(AND((J174="This"),(L174="Only")),VLOOKUP(G174,#REF!,7,FALSE),"")</f>
        <v/>
      </c>
      <c r="S174" s="278">
        <v>2125.6672368874802</v>
      </c>
      <c r="V174" s="278">
        <v>2151.1670311235207</v>
      </c>
    </row>
    <row r="175" spans="1:22" x14ac:dyDescent="0.25">
      <c r="A175" s="278">
        <v>5</v>
      </c>
      <c r="C175" s="278">
        <f>IF(E175=E174,C174+1,1)</f>
        <v>30</v>
      </c>
      <c r="D175" s="278">
        <f>IF(M175=M174,D174,C175)</f>
        <v>30</v>
      </c>
      <c r="E175" s="278">
        <f>10+VALUE(RIGHT(LEFT(G175,3),1))</f>
        <v>15</v>
      </c>
      <c r="F175" s="278" t="str">
        <f>RIGHT(G175,2) &amp; IF(A175&lt;2,"x","")</f>
        <v>pm</v>
      </c>
      <c r="G175" s="278" t="s">
        <v>795</v>
      </c>
      <c r="H175" s="278" t="s">
        <v>223</v>
      </c>
      <c r="I175" s="278" t="s">
        <v>796</v>
      </c>
      <c r="K175" s="279">
        <f>LOOKUP(1E+100,M175:AC175)</f>
        <v>2137.7943142165154</v>
      </c>
      <c r="M175" s="279">
        <v>2160</v>
      </c>
      <c r="O175" s="278">
        <v>2166.7401209474078</v>
      </c>
      <c r="R175" s="278" t="str">
        <f>IF(AND((J175="This"),(L175="Only")),VLOOKUP(G175,#REF!,7,FALSE),"")</f>
        <v/>
      </c>
      <c r="S175" s="278">
        <v>2137.7943142165154</v>
      </c>
    </row>
    <row r="176" spans="1:22" x14ac:dyDescent="0.25">
      <c r="A176" s="278">
        <v>6</v>
      </c>
      <c r="C176" s="278">
        <f>IF(E176=E175,C175+1,1)</f>
        <v>31</v>
      </c>
      <c r="D176" s="278">
        <f>IF(M176=M175,D175,C176)</f>
        <v>31</v>
      </c>
      <c r="E176" s="278">
        <f>10+VALUE(RIGHT(LEFT(G176,3),1))</f>
        <v>15</v>
      </c>
      <c r="F176" s="278" t="str">
        <f>RIGHT(G176,2) &amp; IF(A176&lt;2,"x","")</f>
        <v>pm</v>
      </c>
      <c r="G176" s="278" t="s">
        <v>789</v>
      </c>
      <c r="H176" s="278" t="s">
        <v>284</v>
      </c>
      <c r="I176" s="278" t="s">
        <v>790</v>
      </c>
      <c r="K176" s="279">
        <f>LOOKUP(1E+100,M176:AC176)</f>
        <v>2102.2891877313273</v>
      </c>
      <c r="M176" s="279">
        <v>2333.3333333333335</v>
      </c>
      <c r="O176" s="278">
        <v>2181.068342313471</v>
      </c>
      <c r="P176" s="278">
        <v>2153.6879824326447</v>
      </c>
      <c r="R176" s="278" t="str">
        <f>IF(AND((J176="This"),(L176="Only")),VLOOKUP(G176,#REF!,7,FALSE),"")</f>
        <v/>
      </c>
      <c r="S176" s="278">
        <v>2100.6667024320777</v>
      </c>
      <c r="U176" s="278">
        <v>2102.2891877313273</v>
      </c>
    </row>
    <row r="177" spans="1:22" x14ac:dyDescent="0.25">
      <c r="A177" s="278">
        <v>6</v>
      </c>
      <c r="C177" s="278">
        <f>IF(E177=E176,C176+1,1)</f>
        <v>32</v>
      </c>
      <c r="D177" s="278">
        <f>IF(M177=M176,D176,C177)</f>
        <v>32</v>
      </c>
      <c r="E177" s="278">
        <f>10+VALUE(RIGHT(LEFT(G177,3),1))</f>
        <v>15</v>
      </c>
      <c r="F177" s="278" t="str">
        <f>RIGHT(G177,2) &amp; IF(A177&lt;2,"x","")</f>
        <v>pm</v>
      </c>
      <c r="G177" s="278" t="s">
        <v>823</v>
      </c>
      <c r="H177" s="278" t="s">
        <v>333</v>
      </c>
      <c r="I177" s="278" t="s">
        <v>824</v>
      </c>
      <c r="K177" s="279">
        <f>LOOKUP(1E+100,M177:AC177)</f>
        <v>2075.6557959024376</v>
      </c>
      <c r="M177" s="279">
        <v>2000</v>
      </c>
      <c r="O177" s="278">
        <v>2021.5539015085499</v>
      </c>
      <c r="R177" s="278" t="str">
        <f>IF(AND((J177="This"),(L177="Only")),VLOOKUP(G177,#REF!,7,FALSE),"")</f>
        <v/>
      </c>
      <c r="S177" s="278">
        <v>2077.8601411897835</v>
      </c>
      <c r="T177" s="278">
        <v>2066.7296561866906</v>
      </c>
      <c r="V177" s="278">
        <v>2075.6557959024376</v>
      </c>
    </row>
    <row r="178" spans="1:22" x14ac:dyDescent="0.25">
      <c r="A178" s="278">
        <v>2</v>
      </c>
      <c r="C178" s="278">
        <f>IF(E178=E177,C177+1,1)</f>
        <v>33</v>
      </c>
      <c r="D178" s="278">
        <f>IF(M178=M177,D177,C178)</f>
        <v>32</v>
      </c>
      <c r="E178" s="278">
        <f>10+VALUE(RIGHT(LEFT(G178,3),1))</f>
        <v>15</v>
      </c>
      <c r="F178" s="278" t="str">
        <f>RIGHT(G178,2) &amp; IF(A178&lt;2,"x","")</f>
        <v>pm</v>
      </c>
      <c r="G178" s="278" t="s">
        <v>827</v>
      </c>
      <c r="H178" s="278" t="s">
        <v>226</v>
      </c>
      <c r="I178" s="278" t="s">
        <v>828</v>
      </c>
      <c r="K178" s="279">
        <f>LOOKUP(1E+100,M178:AC178)</f>
        <v>2045.640941405906</v>
      </c>
      <c r="M178" s="279">
        <v>2000</v>
      </c>
      <c r="R178" s="278" t="str">
        <f>IF(AND((J178="This"),(L178="Only")),VLOOKUP(G178,#REF!,7,FALSE),"")</f>
        <v/>
      </c>
      <c r="V178" s="278">
        <v>2045.640941405906</v>
      </c>
    </row>
    <row r="179" spans="1:22" x14ac:dyDescent="0.25">
      <c r="A179" s="278">
        <v>7</v>
      </c>
      <c r="C179" s="278">
        <f>IF(E179=E178,C178+1,1)</f>
        <v>34</v>
      </c>
      <c r="D179" s="278">
        <f>IF(M179=M178,D178,C179)</f>
        <v>34</v>
      </c>
      <c r="E179" s="278">
        <f>10+VALUE(RIGHT(LEFT(G179,3),1))</f>
        <v>15</v>
      </c>
      <c r="F179" s="278" t="str">
        <f>RIGHT(G179,2) &amp; IF(A179&lt;2,"x","")</f>
        <v>pm</v>
      </c>
      <c r="G179" s="278" t="s">
        <v>695</v>
      </c>
      <c r="H179" s="278" t="s">
        <v>445</v>
      </c>
      <c r="I179" s="278" t="s">
        <v>696</v>
      </c>
      <c r="K179" s="279">
        <f>LOOKUP(1E+100,M179:AC179)</f>
        <v>2043.4409293967788</v>
      </c>
      <c r="M179" s="279">
        <v>2428.5714285714284</v>
      </c>
      <c r="O179" s="278">
        <v>2268.7826308362091</v>
      </c>
      <c r="P179" s="278">
        <v>2236.1285794773908</v>
      </c>
      <c r="R179" s="278" t="str">
        <f>IF(AND((J179="This"),(L179="Only")),VLOOKUP(G179,#REF!,7,FALSE),"")</f>
        <v/>
      </c>
      <c r="S179" s="278">
        <v>2195.5636434586636</v>
      </c>
      <c r="U179" s="278">
        <v>2140.9672825573971</v>
      </c>
      <c r="V179" s="278">
        <v>2043.4409293967788</v>
      </c>
    </row>
    <row r="180" spans="1:22" x14ac:dyDescent="0.25">
      <c r="A180" s="278">
        <v>5</v>
      </c>
      <c r="C180" s="278">
        <f>IF(E180=E179,C179+1,1)</f>
        <v>35</v>
      </c>
      <c r="D180" s="278">
        <f>IF(M180=M179,D179,C180)</f>
        <v>35</v>
      </c>
      <c r="E180" s="278">
        <f>10+VALUE(RIGHT(LEFT(G180,3),1))</f>
        <v>15</v>
      </c>
      <c r="F180" s="278" t="str">
        <f>RIGHT(G180,2) &amp; IF(A180&lt;2,"x","")</f>
        <v>pm</v>
      </c>
      <c r="G180" s="278" t="s">
        <v>819</v>
      </c>
      <c r="H180" s="278" t="s">
        <v>287</v>
      </c>
      <c r="I180" s="278" t="s">
        <v>820</v>
      </c>
      <c r="K180" s="279">
        <f>LOOKUP(1E+100,M180:AC180)</f>
        <v>2037.3311358334597</v>
      </c>
      <c r="M180" s="279">
        <v>2000</v>
      </c>
      <c r="O180" s="278">
        <v>2082.3894703533642</v>
      </c>
      <c r="R180" s="278" t="str">
        <f>IF(AND((J180="This"),(L180="Only")),VLOOKUP(G180,#REF!,7,FALSE),"")</f>
        <v/>
      </c>
      <c r="S180" s="278">
        <v>1985.4963518902775</v>
      </c>
      <c r="V180" s="278">
        <v>2037.3311358334597</v>
      </c>
    </row>
    <row r="181" spans="1:22" x14ac:dyDescent="0.25">
      <c r="A181" s="278">
        <v>2</v>
      </c>
      <c r="C181" s="278">
        <f>IF(E181=E180,C180+1,1)</f>
        <v>36</v>
      </c>
      <c r="D181" s="278">
        <f>IF(M181=M180,D180,C181)</f>
        <v>35</v>
      </c>
      <c r="E181" s="278">
        <f>10+VALUE(RIGHT(LEFT(G181,3),1))</f>
        <v>15</v>
      </c>
      <c r="F181" s="278" t="str">
        <f>RIGHT(G181,2) &amp; IF(A181&lt;2,"x","")</f>
        <v>pm</v>
      </c>
      <c r="G181" s="278" t="s">
        <v>813</v>
      </c>
      <c r="H181" s="278" t="s">
        <v>268</v>
      </c>
      <c r="I181" s="278" t="s">
        <v>814</v>
      </c>
      <c r="K181" s="279">
        <f>LOOKUP(1E+100,M181:AC181)</f>
        <v>2016.1001377438922</v>
      </c>
      <c r="M181" s="279">
        <v>2000</v>
      </c>
      <c r="O181" s="278">
        <v>2026.0099610120353</v>
      </c>
      <c r="R181" s="278" t="str">
        <f>IF(AND((J181="This"),(L181="Only")),VLOOKUP(G181,#REF!,7,FALSE),"")</f>
        <v/>
      </c>
      <c r="V181" s="278">
        <v>2016.1001377438922</v>
      </c>
    </row>
    <row r="182" spans="1:22" x14ac:dyDescent="0.25">
      <c r="A182" s="278">
        <v>2</v>
      </c>
      <c r="C182" s="278">
        <f>IF(E182=E181,C181+1,1)</f>
        <v>37</v>
      </c>
      <c r="D182" s="278">
        <f>IF(M182=M181,D181,C182)</f>
        <v>35</v>
      </c>
      <c r="E182" s="278">
        <f>10+VALUE(RIGHT(LEFT(G182,3),1))</f>
        <v>15</v>
      </c>
      <c r="F182" s="278" t="str">
        <f>RIGHT(G182,2) &amp; IF(A182&lt;2,"x","")</f>
        <v>pm</v>
      </c>
      <c r="G182" s="278" t="s">
        <v>191</v>
      </c>
      <c r="H182" s="278" t="s">
        <v>252</v>
      </c>
      <c r="I182" s="278" t="s">
        <v>190</v>
      </c>
      <c r="K182" s="279">
        <f>LOOKUP(1E+100,M182:AC182)</f>
        <v>2009.442133194488</v>
      </c>
      <c r="M182" s="279">
        <v>2000</v>
      </c>
      <c r="R182" s="278" t="str">
        <f>IF(AND((J182="This"),(L182="Only")),VLOOKUP(G182,#REF!,7,FALSE),"")</f>
        <v/>
      </c>
      <c r="S182" s="278">
        <v>2019.4002681448881</v>
      </c>
      <c r="T182" s="278">
        <v>1937.3837972359004</v>
      </c>
      <c r="V182" s="278">
        <v>2009.442133194488</v>
      </c>
    </row>
    <row r="183" spans="1:22" x14ac:dyDescent="0.25">
      <c r="A183" s="278">
        <v>5</v>
      </c>
      <c r="C183" s="278">
        <f>IF(E183=E182,C182+1,1)</f>
        <v>38</v>
      </c>
      <c r="D183" s="278">
        <f>IF(M183=M182,D182,C183)</f>
        <v>35</v>
      </c>
      <c r="E183" s="278">
        <f>10+VALUE(RIGHT(LEFT(G183,3),1))</f>
        <v>15</v>
      </c>
      <c r="F183" s="278" t="str">
        <f>RIGHT(G183,2) &amp; IF(A183&lt;2,"x","")</f>
        <v>pm</v>
      </c>
      <c r="G183" s="278" t="s">
        <v>821</v>
      </c>
      <c r="H183" s="278" t="s">
        <v>301</v>
      </c>
      <c r="I183" s="278" t="s">
        <v>822</v>
      </c>
      <c r="K183" s="279">
        <f>LOOKUP(1E+100,M183:AC183)</f>
        <v>2000</v>
      </c>
      <c r="M183" s="279">
        <v>2000</v>
      </c>
      <c r="R183" s="278" t="str">
        <f>IF(AND((J183="This"),(L183="Only")),VLOOKUP(G183,#REF!,7,FALSE),"")</f>
        <v/>
      </c>
    </row>
    <row r="184" spans="1:22" x14ac:dyDescent="0.25">
      <c r="A184" s="278">
        <v>4</v>
      </c>
      <c r="C184" s="278">
        <f>IF(E184=E183,C183+1,1)</f>
        <v>39</v>
      </c>
      <c r="D184" s="278">
        <f>IF(M184=M183,D183,C184)</f>
        <v>35</v>
      </c>
      <c r="E184" s="278">
        <f>10+VALUE(RIGHT(LEFT(G184,3),1))</f>
        <v>15</v>
      </c>
      <c r="F184" s="278" t="str">
        <f>RIGHT(G184,2) &amp; IF(A184&lt;2,"x","")</f>
        <v>pm</v>
      </c>
      <c r="G184" s="278" t="s">
        <v>189</v>
      </c>
      <c r="H184" s="278" t="s">
        <v>296</v>
      </c>
      <c r="I184" s="278" t="s">
        <v>188</v>
      </c>
      <c r="K184" s="279">
        <f>LOOKUP(1E+100,M184:AC184)</f>
        <v>1968.6719369166094</v>
      </c>
      <c r="M184" s="279">
        <v>2000</v>
      </c>
      <c r="R184" s="278" t="str">
        <f>IF(AND((J184="This"),(L184="Only")),VLOOKUP(G184,#REF!,7,FALSE),"")</f>
        <v/>
      </c>
      <c r="T184" s="278">
        <v>1962.7309363652487</v>
      </c>
      <c r="V184" s="278">
        <v>1968.6719369166094</v>
      </c>
    </row>
    <row r="185" spans="1:22" x14ac:dyDescent="0.25">
      <c r="A185" s="278">
        <v>5</v>
      </c>
      <c r="C185" s="278">
        <f>IF(E185=E184,C184+1,1)</f>
        <v>40</v>
      </c>
      <c r="D185" s="278">
        <f>IF(M185=M184,D184,C185)</f>
        <v>35</v>
      </c>
      <c r="E185" s="278">
        <f>10+VALUE(RIGHT(LEFT(G185,3),1))</f>
        <v>15</v>
      </c>
      <c r="F185" s="278" t="str">
        <f>RIGHT(G185,2) &amp; IF(A185&lt;2,"x","")</f>
        <v>pm</v>
      </c>
      <c r="G185" s="278" t="s">
        <v>831</v>
      </c>
      <c r="H185" s="278" t="s">
        <v>232</v>
      </c>
      <c r="I185" s="278" t="s">
        <v>832</v>
      </c>
      <c r="K185" s="279">
        <f>LOOKUP(1E+100,M185:AC185)</f>
        <v>1954.3026425151425</v>
      </c>
      <c r="M185" s="279">
        <v>2000</v>
      </c>
      <c r="R185" s="278" t="str">
        <f>IF(AND((J185="This"),(L185="Only")),VLOOKUP(G185,#REF!,7,FALSE),"")</f>
        <v/>
      </c>
      <c r="S185" s="278">
        <v>2021.1114002752317</v>
      </c>
      <c r="T185" s="278">
        <v>2058.6723054658987</v>
      </c>
      <c r="V185" s="278">
        <v>1954.3026425151425</v>
      </c>
    </row>
    <row r="186" spans="1:22" x14ac:dyDescent="0.25">
      <c r="A186" s="278">
        <v>3</v>
      </c>
      <c r="C186" s="278">
        <f>IF(E186=E185,C185+1,1)</f>
        <v>41</v>
      </c>
      <c r="D186" s="278">
        <f>IF(M186=M185,D185,C186)</f>
        <v>35</v>
      </c>
      <c r="E186" s="278">
        <f>10+VALUE(RIGHT(LEFT(G186,3),1))</f>
        <v>15</v>
      </c>
      <c r="F186" s="278" t="str">
        <f>RIGHT(G186,2) &amp; IF(A186&lt;2,"x","")</f>
        <v>pm</v>
      </c>
      <c r="G186" s="278" t="s">
        <v>817</v>
      </c>
      <c r="H186" s="278" t="s">
        <v>217</v>
      </c>
      <c r="I186" s="278" t="s">
        <v>818</v>
      </c>
      <c r="K186" s="279">
        <f>LOOKUP(1E+100,M186:AC186)</f>
        <v>1946.6508848780252</v>
      </c>
      <c r="M186" s="279">
        <v>2000</v>
      </c>
      <c r="O186" s="278">
        <v>1946.6508848780252</v>
      </c>
      <c r="R186" s="278" t="str">
        <f>IF(AND((J186="This"),(L186="Only")),VLOOKUP(G186,#REF!,7,FALSE),"")</f>
        <v/>
      </c>
    </row>
    <row r="187" spans="1:22" x14ac:dyDescent="0.25">
      <c r="A187" s="278">
        <v>5</v>
      </c>
      <c r="C187" s="278">
        <f>IF(E187=E186,C186+1,1)</f>
        <v>42</v>
      </c>
      <c r="D187" s="278">
        <f>IF(M187=M186,D186,C187)</f>
        <v>35</v>
      </c>
      <c r="E187" s="278">
        <f>10+VALUE(RIGHT(LEFT(G187,3),1))</f>
        <v>15</v>
      </c>
      <c r="F187" s="278" t="str">
        <f>RIGHT(G187,2) &amp; IF(A187&lt;2,"x","")</f>
        <v>pm</v>
      </c>
      <c r="G187" s="278" t="s">
        <v>193</v>
      </c>
      <c r="H187" s="278" t="s">
        <v>802</v>
      </c>
      <c r="I187" s="278" t="s">
        <v>192</v>
      </c>
      <c r="K187" s="279">
        <f>LOOKUP(1E+100,M187:AC187)</f>
        <v>1934.5993580275974</v>
      </c>
      <c r="M187" s="279">
        <v>2000</v>
      </c>
      <c r="O187" s="278">
        <v>1945.5835796928918</v>
      </c>
      <c r="R187" s="278" t="str">
        <f>IF(AND((J187="This"),(L187="Only")),VLOOKUP(G187,#REF!,7,FALSE),"")</f>
        <v/>
      </c>
      <c r="S187" s="278">
        <v>1904.1046446104472</v>
      </c>
      <c r="T187" s="278">
        <v>1881.9594079860281</v>
      </c>
      <c r="V187" s="278">
        <v>1934.5993580275974</v>
      </c>
    </row>
    <row r="188" spans="1:22" x14ac:dyDescent="0.25">
      <c r="A188" s="278">
        <v>5</v>
      </c>
      <c r="C188" s="278">
        <f>IF(E188=E187,C187+1,1)</f>
        <v>43</v>
      </c>
      <c r="D188" s="278">
        <f>IF(M188=M187,D187,C188)</f>
        <v>35</v>
      </c>
      <c r="E188" s="278">
        <f>10+VALUE(RIGHT(LEFT(G188,3),1))</f>
        <v>15</v>
      </c>
      <c r="F188" s="278" t="str">
        <f>RIGHT(G188,2) &amp; IF(A188&lt;2,"x","")</f>
        <v>pm</v>
      </c>
      <c r="G188" s="278" t="s">
        <v>187</v>
      </c>
      <c r="H188" s="278" t="s">
        <v>301</v>
      </c>
      <c r="I188" s="278" t="s">
        <v>186</v>
      </c>
      <c r="K188" s="279">
        <f>LOOKUP(1E+100,M188:AC188)</f>
        <v>1882.3588043028437</v>
      </c>
      <c r="M188" s="279">
        <v>2000</v>
      </c>
      <c r="R188" s="278" t="str">
        <f>IF(AND((J188="This"),(L188="Only")),VLOOKUP(G188,#REF!,7,FALSE),"")</f>
        <v/>
      </c>
      <c r="S188" s="278">
        <v>1951.6936515310344</v>
      </c>
      <c r="T188" s="278">
        <v>1967.5899225540977</v>
      </c>
      <c r="V188" s="278">
        <v>1882.3588043028437</v>
      </c>
    </row>
    <row r="189" spans="1:22" x14ac:dyDescent="0.25">
      <c r="A189" s="278">
        <v>6</v>
      </c>
      <c r="C189" s="278">
        <f>IF(E189=E188,C188+1,1)</f>
        <v>44</v>
      </c>
      <c r="D189" s="278">
        <f>IF(M189=M188,D188,C189)</f>
        <v>35</v>
      </c>
      <c r="E189" s="278">
        <f>10+VALUE(RIGHT(LEFT(G189,3),1))</f>
        <v>15</v>
      </c>
      <c r="F189" s="278" t="str">
        <f>RIGHT(G189,2) &amp; IF(A189&lt;2,"x","")</f>
        <v>pm</v>
      </c>
      <c r="G189" s="278" t="s">
        <v>195</v>
      </c>
      <c r="H189" s="278" t="s">
        <v>284</v>
      </c>
      <c r="I189" s="278" t="s">
        <v>194</v>
      </c>
      <c r="K189" s="279">
        <f>LOOKUP(1E+100,M189:AC189)</f>
        <v>1769.7324273066286</v>
      </c>
      <c r="M189" s="279">
        <v>2000</v>
      </c>
      <c r="O189" s="278">
        <v>1899.8845696374212</v>
      </c>
      <c r="R189" s="278" t="str">
        <f>IF(AND((J189="This"),(L189="Only")),VLOOKUP(G189,#REF!,7,FALSE),"")</f>
        <v/>
      </c>
      <c r="S189" s="278">
        <v>1879.5086780308623</v>
      </c>
      <c r="T189" s="278">
        <v>1815.1405956068922</v>
      </c>
      <c r="V189" s="278">
        <v>1769.7324273066286</v>
      </c>
    </row>
    <row r="190" spans="1:22" x14ac:dyDescent="0.25">
      <c r="A190" s="278">
        <v>2</v>
      </c>
      <c r="C190" s="278">
        <f>IF(E190=E189,C189+1,1)</f>
        <v>1</v>
      </c>
      <c r="D190" s="278">
        <f>IF(M190=M189,D189,C190)</f>
        <v>1</v>
      </c>
      <c r="E190" s="278">
        <f>10+VALUE(RIGHT(LEFT(G190,3),1))</f>
        <v>16</v>
      </c>
      <c r="F190" s="278" t="str">
        <f>RIGHT(G190,2) &amp; IF(A190&lt;2,"x","")</f>
        <v>pm</v>
      </c>
      <c r="G190" s="278" t="s">
        <v>841</v>
      </c>
      <c r="H190" s="278" t="s">
        <v>268</v>
      </c>
      <c r="I190" s="278" t="s">
        <v>842</v>
      </c>
      <c r="K190" s="279">
        <f>LOOKUP(1E+100,M190:AC190)</f>
        <v>2733.3498205891706</v>
      </c>
      <c r="M190" s="279">
        <v>2600</v>
      </c>
      <c r="N190" s="278">
        <v>2733.3498205891706</v>
      </c>
      <c r="R190" s="278" t="str">
        <f>IF(AND((J190="This"),(L190="Only")),VLOOKUP(G190,#REF!,7,FALSE),"")</f>
        <v/>
      </c>
    </row>
    <row r="191" spans="1:22" x14ac:dyDescent="0.25">
      <c r="A191" s="278">
        <v>3</v>
      </c>
      <c r="C191" s="278">
        <f>IF(E191=E190,C190+1,1)</f>
        <v>2</v>
      </c>
      <c r="D191" s="278">
        <f>IF(M191=M190,D190,C191)</f>
        <v>1</v>
      </c>
      <c r="E191" s="278">
        <f>10+VALUE(RIGHT(LEFT(G191,3),1))</f>
        <v>16</v>
      </c>
      <c r="F191" s="278" t="str">
        <f>RIGHT(G191,2) &amp; IF(A191&lt;2,"x","")</f>
        <v>pm</v>
      </c>
      <c r="G191" s="278" t="s">
        <v>890</v>
      </c>
      <c r="H191" s="278" t="s">
        <v>587</v>
      </c>
      <c r="I191" s="278" t="s">
        <v>891</v>
      </c>
      <c r="K191" s="279">
        <f>LOOKUP(1E+100,M191:AC191)</f>
        <v>2724.8437248403648</v>
      </c>
      <c r="M191" s="279">
        <v>2600</v>
      </c>
      <c r="N191" s="278">
        <v>2622.9233566152002</v>
      </c>
      <c r="O191" s="278">
        <v>2722.5538572122728</v>
      </c>
      <c r="R191" s="278" t="str">
        <f>IF(AND((J191="This"),(L191="Only")),VLOOKUP(G191,#REF!,7,FALSE),"")</f>
        <v/>
      </c>
      <c r="U191" s="278">
        <v>2724.8437248403648</v>
      </c>
    </row>
    <row r="192" spans="1:22" x14ac:dyDescent="0.25">
      <c r="A192" s="278">
        <v>2</v>
      </c>
      <c r="C192" s="278">
        <f>IF(E192=E191,C191+1,1)</f>
        <v>3</v>
      </c>
      <c r="D192" s="278">
        <f>IF(M192=M191,D191,C192)</f>
        <v>1</v>
      </c>
      <c r="E192" s="278">
        <f>10+VALUE(RIGHT(LEFT(G192,3),1))</f>
        <v>16</v>
      </c>
      <c r="F192" s="278" t="str">
        <f>RIGHT(G192,2) &amp; IF(A192&lt;2,"x","")</f>
        <v>pm</v>
      </c>
      <c r="G192" s="278" t="s">
        <v>873</v>
      </c>
      <c r="H192" s="278" t="s">
        <v>434</v>
      </c>
      <c r="I192" s="278" t="s">
        <v>874</v>
      </c>
      <c r="K192" s="279">
        <f>LOOKUP(1E+100,M192:AC192)</f>
        <v>2715.2091329888212</v>
      </c>
      <c r="M192" s="279">
        <v>2600</v>
      </c>
      <c r="N192" s="278">
        <v>2693.2412396436735</v>
      </c>
      <c r="R192" s="278" t="str">
        <f>IF(AND((J192="This"),(L192="Only")),VLOOKUP(G192,#REF!,7,FALSE),"")</f>
        <v/>
      </c>
      <c r="U192" s="278">
        <v>2715.2091329888212</v>
      </c>
    </row>
    <row r="193" spans="1:22" x14ac:dyDescent="0.25">
      <c r="A193" s="278">
        <v>2</v>
      </c>
      <c r="C193" s="278">
        <f>IF(E193=E192,C192+1,1)</f>
        <v>4</v>
      </c>
      <c r="D193" s="278">
        <f>IF(M193=M192,D192,C193)</f>
        <v>1</v>
      </c>
      <c r="E193" s="278">
        <f>10+VALUE(RIGHT(LEFT(G193,3),1))</f>
        <v>16</v>
      </c>
      <c r="F193" s="278" t="str">
        <f>RIGHT(G193,2) &amp; IF(A193&lt;2,"x","")</f>
        <v>pm</v>
      </c>
      <c r="G193" s="278" t="s">
        <v>865</v>
      </c>
      <c r="H193" s="278" t="s">
        <v>226</v>
      </c>
      <c r="I193" s="278" t="s">
        <v>866</v>
      </c>
      <c r="K193" s="279">
        <f>LOOKUP(1E+100,M193:AC193)</f>
        <v>2685.0676164369856</v>
      </c>
      <c r="M193" s="279">
        <v>2600</v>
      </c>
      <c r="R193" s="278" t="str">
        <f>IF(AND((J193="This"),(L193="Only")),VLOOKUP(G193,#REF!,7,FALSE),"")</f>
        <v/>
      </c>
      <c r="S193" s="278">
        <v>2685.0676164369856</v>
      </c>
    </row>
    <row r="194" spans="1:22" x14ac:dyDescent="0.25">
      <c r="A194" s="278">
        <v>4</v>
      </c>
      <c r="C194" s="278">
        <f>IF(E194=E193,C193+1,1)</f>
        <v>5</v>
      </c>
      <c r="D194" s="278">
        <f>IF(M194=M193,D193,C194)</f>
        <v>1</v>
      </c>
      <c r="E194" s="278">
        <f>10+VALUE(RIGHT(LEFT(G194,3),1))</f>
        <v>16</v>
      </c>
      <c r="F194" s="278" t="str">
        <f>RIGHT(G194,2) &amp; IF(A194&lt;2,"x","")</f>
        <v>pm</v>
      </c>
      <c r="G194" s="278" t="s">
        <v>859</v>
      </c>
      <c r="H194" s="278" t="s">
        <v>730</v>
      </c>
      <c r="I194" s="278" t="s">
        <v>860</v>
      </c>
      <c r="K194" s="279">
        <f>LOOKUP(1E+100,M194:AC194)</f>
        <v>2660.4071416594661</v>
      </c>
      <c r="M194" s="279">
        <v>2600</v>
      </c>
      <c r="N194" s="278">
        <v>2611.2686468297929</v>
      </c>
      <c r="R194" s="278" t="str">
        <f>IF(AND((J194="This"),(L194="Only")),VLOOKUP(G194,#REF!,7,FALSE),"")</f>
        <v/>
      </c>
      <c r="U194" s="278">
        <v>2660.4071416594661</v>
      </c>
    </row>
    <row r="195" spans="1:22" x14ac:dyDescent="0.25">
      <c r="A195" s="278">
        <v>2</v>
      </c>
      <c r="C195" s="278">
        <f>IF(E195=E194,C194+1,1)</f>
        <v>6</v>
      </c>
      <c r="D195" s="278">
        <f>IF(M195=M194,D194,C195)</f>
        <v>1</v>
      </c>
      <c r="E195" s="278">
        <f>10+VALUE(RIGHT(LEFT(G195,3),1))</f>
        <v>16</v>
      </c>
      <c r="F195" s="278" t="str">
        <f>RIGHT(G195,2) &amp; IF(A195&lt;2,"x","")</f>
        <v>pm</v>
      </c>
      <c r="G195" s="278" t="s">
        <v>875</v>
      </c>
      <c r="H195" s="278" t="s">
        <v>232</v>
      </c>
      <c r="I195" s="278" t="s">
        <v>876</v>
      </c>
      <c r="K195" s="279">
        <f>LOOKUP(1E+100,M195:AC195)</f>
        <v>2652.1918561210637</v>
      </c>
      <c r="M195" s="279">
        <v>2600</v>
      </c>
      <c r="R195" s="278" t="str">
        <f>IF(AND((J195="This"),(L195="Only")),VLOOKUP(G195,#REF!,7,FALSE),"")</f>
        <v/>
      </c>
      <c r="U195" s="278">
        <v>2652.1918561210637</v>
      </c>
    </row>
    <row r="196" spans="1:22" x14ac:dyDescent="0.25">
      <c r="A196" s="278">
        <v>2</v>
      </c>
      <c r="C196" s="278">
        <f>IF(E196=E195,C195+1,1)</f>
        <v>7</v>
      </c>
      <c r="D196" s="278">
        <f>IF(M196=M195,D195,C196)</f>
        <v>1</v>
      </c>
      <c r="E196" s="278">
        <f>10+VALUE(RIGHT(LEFT(G196,3),1))</f>
        <v>16</v>
      </c>
      <c r="F196" s="278" t="str">
        <f>RIGHT(G196,2) &amp; IF(A196&lt;2,"x","")</f>
        <v>pm</v>
      </c>
      <c r="G196" s="278" t="s">
        <v>867</v>
      </c>
      <c r="H196" s="278" t="s">
        <v>226</v>
      </c>
      <c r="I196" s="278" t="s">
        <v>868</v>
      </c>
      <c r="K196" s="279">
        <f>LOOKUP(1E+100,M196:AC196)</f>
        <v>2627.4206739162182</v>
      </c>
      <c r="M196" s="279">
        <v>2600</v>
      </c>
      <c r="R196" s="278" t="str">
        <f>IF(AND((J196="This"),(L196="Only")),VLOOKUP(G196,#REF!,7,FALSE),"")</f>
        <v/>
      </c>
      <c r="S196" s="278">
        <v>2627.4206739162182</v>
      </c>
    </row>
    <row r="197" spans="1:22" x14ac:dyDescent="0.25">
      <c r="A197" s="278">
        <v>2</v>
      </c>
      <c r="C197" s="278">
        <f>IF(E197=E196,C196+1,1)</f>
        <v>8</v>
      </c>
      <c r="D197" s="278">
        <f>IF(M197=M196,D196,C197)</f>
        <v>1</v>
      </c>
      <c r="E197" s="278">
        <f>10+VALUE(RIGHT(LEFT(G197,3),1))</f>
        <v>16</v>
      </c>
      <c r="F197" s="278" t="str">
        <f>RIGHT(G197,2) &amp; IF(A197&lt;2,"x","")</f>
        <v>pm</v>
      </c>
      <c r="G197" s="278" t="s">
        <v>869</v>
      </c>
      <c r="H197" s="278" t="s">
        <v>226</v>
      </c>
      <c r="I197" s="278" t="s">
        <v>870</v>
      </c>
      <c r="K197" s="279">
        <f>LOOKUP(1E+100,M197:AC197)</f>
        <v>2600</v>
      </c>
      <c r="M197" s="279">
        <v>2600</v>
      </c>
      <c r="R197" s="278" t="str">
        <f>IF(AND((J197="This"),(L197="Only")),VLOOKUP(G197,#REF!,7,FALSE),"")</f>
        <v/>
      </c>
    </row>
    <row r="198" spans="1:22" x14ac:dyDescent="0.25">
      <c r="A198" s="278">
        <v>2</v>
      </c>
      <c r="C198" s="278">
        <f>IF(E198=E197,C197+1,1)</f>
        <v>9</v>
      </c>
      <c r="D198" s="278">
        <f>IF(M198=M197,D197,C198)</f>
        <v>1</v>
      </c>
      <c r="E198" s="278">
        <f>10+VALUE(RIGHT(LEFT(G198,3),1))</f>
        <v>16</v>
      </c>
      <c r="F198" s="278" t="str">
        <f>RIGHT(G198,2) &amp; IF(A198&lt;2,"x","")</f>
        <v>pm</v>
      </c>
      <c r="G198" s="278" t="s">
        <v>881</v>
      </c>
      <c r="H198" s="278" t="s">
        <v>323</v>
      </c>
      <c r="I198" s="278" t="s">
        <v>882</v>
      </c>
      <c r="K198" s="279">
        <f>LOOKUP(1E+100,M198:AC198)</f>
        <v>2600</v>
      </c>
      <c r="M198" s="279">
        <v>2600</v>
      </c>
      <c r="R198" s="278" t="str">
        <f>IF(AND((J198="This"),(L198="Only")),VLOOKUP(G198,#REF!,7,FALSE),"")</f>
        <v/>
      </c>
    </row>
    <row r="199" spans="1:22" x14ac:dyDescent="0.25">
      <c r="A199" s="278">
        <v>4</v>
      </c>
      <c r="C199" s="278">
        <f>IF(E199=E198,C198+1,1)</f>
        <v>10</v>
      </c>
      <c r="D199" s="278">
        <f>IF(M199=M198,D198,C199)</f>
        <v>1</v>
      </c>
      <c r="E199" s="278">
        <f>10+VALUE(RIGHT(LEFT(G199,3),1))</f>
        <v>16</v>
      </c>
      <c r="F199" s="278" t="str">
        <f>RIGHT(G199,2) &amp; IF(A199&lt;2,"x","")</f>
        <v>pm</v>
      </c>
      <c r="G199" s="278" t="s">
        <v>877</v>
      </c>
      <c r="H199" s="278" t="s">
        <v>232</v>
      </c>
      <c r="I199" s="278" t="s">
        <v>878</v>
      </c>
      <c r="K199" s="279">
        <f>LOOKUP(1E+100,M199:AC199)</f>
        <v>2570.7662317811009</v>
      </c>
      <c r="M199" s="279">
        <v>2600</v>
      </c>
      <c r="P199" s="278">
        <v>2584.0507775096944</v>
      </c>
      <c r="R199" s="278" t="str">
        <f>IF(AND((J199="This"),(L199="Only")),VLOOKUP(G199,#REF!,7,FALSE),"")</f>
        <v/>
      </c>
      <c r="U199" s="278">
        <v>2570.7662317811009</v>
      </c>
    </row>
    <row r="200" spans="1:22" x14ac:dyDescent="0.25">
      <c r="A200" s="278">
        <v>6</v>
      </c>
      <c r="C200" s="278">
        <f>IF(E200=E199,C199+1,1)</f>
        <v>11</v>
      </c>
      <c r="D200" s="278">
        <f>IF(M200=M199,D199,C200)</f>
        <v>1</v>
      </c>
      <c r="E200" s="278">
        <f>10+VALUE(RIGHT(LEFT(G200,3),1))</f>
        <v>16</v>
      </c>
      <c r="F200" s="278" t="str">
        <f>RIGHT(G200,2) &amp; IF(A200&lt;2,"x","")</f>
        <v>pm</v>
      </c>
      <c r="G200" s="278" t="s">
        <v>849</v>
      </c>
      <c r="H200" s="278" t="s">
        <v>284</v>
      </c>
      <c r="I200" s="278" t="s">
        <v>850</v>
      </c>
      <c r="K200" s="279">
        <f>LOOKUP(1E+100,M200:AC200)</f>
        <v>2565.5592008458225</v>
      </c>
      <c r="M200" s="279">
        <v>2600</v>
      </c>
      <c r="N200" s="278">
        <v>2557.2067071974066</v>
      </c>
      <c r="P200" s="278">
        <v>2579.1687371210223</v>
      </c>
      <c r="R200" s="278" t="str">
        <f>IF(AND((J200="This"),(L200="Only")),VLOOKUP(G200,#REF!,7,FALSE),"")</f>
        <v/>
      </c>
      <c r="S200" s="278">
        <v>2569.3380197886345</v>
      </c>
      <c r="U200" s="278">
        <v>2565.5592008458225</v>
      </c>
    </row>
    <row r="201" spans="1:22" x14ac:dyDescent="0.25">
      <c r="A201" s="278">
        <v>2</v>
      </c>
      <c r="C201" s="278">
        <f>IF(E201=E200,C200+1,1)</f>
        <v>12</v>
      </c>
      <c r="D201" s="278">
        <f>IF(M201=M200,D200,C201)</f>
        <v>1</v>
      </c>
      <c r="E201" s="278">
        <f>10+VALUE(RIGHT(LEFT(G201,3),1))</f>
        <v>16</v>
      </c>
      <c r="F201" s="278" t="str">
        <f>RIGHT(G201,2) &amp; IF(A201&lt;2,"x","")</f>
        <v>pm</v>
      </c>
      <c r="G201" s="278" t="s">
        <v>853</v>
      </c>
      <c r="H201" s="278" t="s">
        <v>290</v>
      </c>
      <c r="I201" s="278" t="s">
        <v>854</v>
      </c>
      <c r="K201" s="279">
        <f>LOOKUP(1E+100,M201:AC201)</f>
        <v>2547.1639555804077</v>
      </c>
      <c r="M201" s="279">
        <v>2600</v>
      </c>
      <c r="N201" s="278">
        <v>2547.1639555804077</v>
      </c>
      <c r="R201" s="278" t="str">
        <f>IF(AND((J201="This"),(L201="Only")),VLOOKUP(G201,#REF!,7,FALSE),"")</f>
        <v/>
      </c>
    </row>
    <row r="202" spans="1:22" x14ac:dyDescent="0.25">
      <c r="A202" s="278">
        <v>4</v>
      </c>
      <c r="C202" s="278">
        <f>IF(E202=E201,C201+1,1)</f>
        <v>13</v>
      </c>
      <c r="D202" s="278">
        <f>IF(M202=M201,D201,C202)</f>
        <v>1</v>
      </c>
      <c r="E202" s="278">
        <f>10+VALUE(RIGHT(LEFT(G202,3),1))</f>
        <v>16</v>
      </c>
      <c r="F202" s="278" t="str">
        <f>RIGHT(G202,2) &amp; IF(A202&lt;2,"x","")</f>
        <v>pm</v>
      </c>
      <c r="G202" s="278" t="s">
        <v>847</v>
      </c>
      <c r="H202" s="278" t="s">
        <v>281</v>
      </c>
      <c r="I202" s="278" t="s">
        <v>848</v>
      </c>
      <c r="K202" s="279">
        <f>LOOKUP(1E+100,M202:AC202)</f>
        <v>2535.9077333062396</v>
      </c>
      <c r="M202" s="279">
        <v>2600</v>
      </c>
      <c r="N202" s="278">
        <v>2579.117618958388</v>
      </c>
      <c r="R202" s="278" t="str">
        <f>IF(AND((J202="This"),(L202="Only")),VLOOKUP(G202,#REF!,7,FALSE),"")</f>
        <v/>
      </c>
      <c r="U202" s="278">
        <v>2535.9077333062396</v>
      </c>
    </row>
    <row r="203" spans="1:22" x14ac:dyDescent="0.25">
      <c r="A203" s="278">
        <v>4</v>
      </c>
      <c r="C203" s="278">
        <f>IF(E203=E202,C202+1,1)</f>
        <v>14</v>
      </c>
      <c r="D203" s="278">
        <f>IF(M203=M202,D202,C203)</f>
        <v>1</v>
      </c>
      <c r="E203" s="278">
        <f>10+VALUE(RIGHT(LEFT(G203,3),1))</f>
        <v>16</v>
      </c>
      <c r="F203" s="278" t="str">
        <f>RIGHT(G203,2) &amp; IF(A203&lt;2,"x","")</f>
        <v>pm</v>
      </c>
      <c r="G203" s="278" t="s">
        <v>851</v>
      </c>
      <c r="H203" s="278" t="s">
        <v>259</v>
      </c>
      <c r="I203" s="278" t="s">
        <v>852</v>
      </c>
      <c r="K203" s="279">
        <f>LOOKUP(1E+100,M203:AC203)</f>
        <v>2525.0778087923932</v>
      </c>
      <c r="M203" s="279">
        <v>2600</v>
      </c>
      <c r="N203" s="278">
        <v>2541.6561802258602</v>
      </c>
      <c r="R203" s="278" t="str">
        <f>IF(AND((J203="This"),(L203="Only")),VLOOKUP(G203,#REF!,7,FALSE),"")</f>
        <v/>
      </c>
      <c r="S203" s="278">
        <v>2507.3814986686125</v>
      </c>
      <c r="U203" s="278">
        <v>2525.0778087923932</v>
      </c>
    </row>
    <row r="204" spans="1:22" x14ac:dyDescent="0.25">
      <c r="A204" s="278">
        <v>3</v>
      </c>
      <c r="C204" s="278">
        <f>IF(E204=E203,C203+1,1)</f>
        <v>15</v>
      </c>
      <c r="D204" s="278">
        <f>IF(M204=M203,D203,C204)</f>
        <v>1</v>
      </c>
      <c r="E204" s="278">
        <f>10+VALUE(RIGHT(LEFT(G204,3),1))</f>
        <v>16</v>
      </c>
      <c r="F204" s="278" t="str">
        <f>RIGHT(G204,2) &amp; IF(A204&lt;2,"x","")</f>
        <v>pm</v>
      </c>
      <c r="G204" s="278" t="s">
        <v>900</v>
      </c>
      <c r="H204" s="278" t="s">
        <v>416</v>
      </c>
      <c r="I204" s="278" t="s">
        <v>901</v>
      </c>
      <c r="K204" s="279">
        <f>LOOKUP(1E+100,M204:AC204)</f>
        <v>2522.8051516700616</v>
      </c>
      <c r="M204" s="279">
        <v>2600</v>
      </c>
      <c r="P204" s="278">
        <v>2522.8051516700616</v>
      </c>
      <c r="R204" s="278" t="str">
        <f>IF(AND((J204="This"),(L204="Only")),VLOOKUP(G204,#REF!,7,FALSE),"")</f>
        <v/>
      </c>
    </row>
    <row r="205" spans="1:22" x14ac:dyDescent="0.25">
      <c r="A205" s="278">
        <v>5</v>
      </c>
      <c r="C205" s="278">
        <f>IF(E205=E204,C204+1,1)</f>
        <v>16</v>
      </c>
      <c r="D205" s="278">
        <f>IF(M205=M204,D204,C205)</f>
        <v>16</v>
      </c>
      <c r="E205" s="278">
        <f>10+VALUE(RIGHT(LEFT(G205,3),1))</f>
        <v>16</v>
      </c>
      <c r="F205" s="278" t="str">
        <f>RIGHT(G205,2) &amp; IF(A205&lt;2,"x","")</f>
        <v>pm</v>
      </c>
      <c r="G205" s="278" t="s">
        <v>908</v>
      </c>
      <c r="H205" s="278" t="s">
        <v>223</v>
      </c>
      <c r="I205" s="278" t="s">
        <v>909</v>
      </c>
      <c r="K205" s="279">
        <f>LOOKUP(1E+100,M205:AC205)</f>
        <v>2517.2017509538255</v>
      </c>
      <c r="M205" s="279">
        <v>2360</v>
      </c>
      <c r="O205" s="278">
        <v>2441.456768791053</v>
      </c>
      <c r="R205" s="278" t="str">
        <f>IF(AND((J205="This"),(L205="Only")),VLOOKUP(G205,#REF!,7,FALSE),"")</f>
        <v/>
      </c>
      <c r="S205" s="278">
        <v>2517.2017509538255</v>
      </c>
    </row>
    <row r="206" spans="1:22" x14ac:dyDescent="0.25">
      <c r="A206" s="278">
        <v>3</v>
      </c>
      <c r="C206" s="278">
        <f>IF(E206=E205,C205+1,1)</f>
        <v>17</v>
      </c>
      <c r="D206" s="278">
        <f>IF(M206=M205,D205,C206)</f>
        <v>17</v>
      </c>
      <c r="E206" s="278">
        <f>10+VALUE(RIGHT(LEFT(G206,3),1))</f>
        <v>16</v>
      </c>
      <c r="F206" s="278" t="str">
        <f>RIGHT(G206,2) &amp; IF(A206&lt;2,"x","")</f>
        <v>pm</v>
      </c>
      <c r="G206" s="278" t="s">
        <v>906</v>
      </c>
      <c r="H206" s="278" t="s">
        <v>315</v>
      </c>
      <c r="I206" s="278" t="s">
        <v>907</v>
      </c>
      <c r="K206" s="279">
        <f>LOOKUP(1E+100,M206:AC206)</f>
        <v>2508.4044143259307</v>
      </c>
      <c r="M206" s="279">
        <v>2466.6666666666665</v>
      </c>
      <c r="O206" s="278">
        <v>2434.9110744308509</v>
      </c>
      <c r="R206" s="278" t="str">
        <f>IF(AND((J206="This"),(L206="Only")),VLOOKUP(G206,#REF!,7,FALSE),"")</f>
        <v/>
      </c>
      <c r="S206" s="278">
        <v>2508.4044143259307</v>
      </c>
    </row>
    <row r="207" spans="1:22" x14ac:dyDescent="0.25">
      <c r="A207" s="278">
        <v>4</v>
      </c>
      <c r="C207" s="278">
        <f>IF(E207=E206,C206+1,1)</f>
        <v>18</v>
      </c>
      <c r="D207" s="278">
        <f>IF(M207=M206,D206,C207)</f>
        <v>18</v>
      </c>
      <c r="E207" s="278">
        <f>10+VALUE(RIGHT(LEFT(G207,3),1))</f>
        <v>16</v>
      </c>
      <c r="F207" s="278" t="str">
        <f>RIGHT(G207,2) &amp; IF(A207&lt;2,"x","")</f>
        <v>pm</v>
      </c>
      <c r="G207" s="278" t="s">
        <v>845</v>
      </c>
      <c r="H207" s="278" t="s">
        <v>217</v>
      </c>
      <c r="I207" s="278" t="s">
        <v>846</v>
      </c>
      <c r="K207" s="279">
        <f>LOOKUP(1E+100,M207:AC207)</f>
        <v>2486.488090625131</v>
      </c>
      <c r="M207" s="279">
        <v>2600</v>
      </c>
      <c r="N207" s="278">
        <v>2526.5055164901037</v>
      </c>
      <c r="R207" s="278" t="str">
        <f>IF(AND((J207="This"),(L207="Only")),VLOOKUP(G207,#REF!,7,FALSE),"")</f>
        <v/>
      </c>
      <c r="U207" s="278">
        <v>2486.488090625131</v>
      </c>
    </row>
    <row r="208" spans="1:22" x14ac:dyDescent="0.25">
      <c r="A208" s="278">
        <v>5</v>
      </c>
      <c r="C208" s="278">
        <f>IF(E208=E207,C207+1,1)</f>
        <v>19</v>
      </c>
      <c r="D208" s="278">
        <f>IF(M208=M207,D207,C208)</f>
        <v>19</v>
      </c>
      <c r="E208" s="278">
        <f>10+VALUE(RIGHT(LEFT(G208,3),1))</f>
        <v>16</v>
      </c>
      <c r="F208" s="278" t="str">
        <f>RIGHT(G208,2) &amp; IF(A208&lt;2,"x","")</f>
        <v>pm</v>
      </c>
      <c r="G208" s="278" t="s">
        <v>944</v>
      </c>
      <c r="H208" s="278" t="s">
        <v>512</v>
      </c>
      <c r="I208" s="278" t="s">
        <v>945</v>
      </c>
      <c r="K208" s="279">
        <f>LOOKUP(1E+100,M208:AC208)</f>
        <v>2402.3375292126752</v>
      </c>
      <c r="M208" s="279">
        <v>2200</v>
      </c>
      <c r="R208" s="278" t="str">
        <f>IF(AND((J208="This"),(L208="Only")),VLOOKUP(G208,#REF!,7,FALSE),"")</f>
        <v/>
      </c>
      <c r="S208" s="278">
        <v>2312.7657415470694</v>
      </c>
      <c r="T208" s="278">
        <v>2310.9610496243463</v>
      </c>
      <c r="V208" s="278">
        <v>2402.3375292126752</v>
      </c>
    </row>
    <row r="209" spans="1:22" x14ac:dyDescent="0.25">
      <c r="A209" s="278">
        <v>4</v>
      </c>
      <c r="C209" s="278">
        <f>IF(E209=E208,C208+1,1)</f>
        <v>20</v>
      </c>
      <c r="D209" s="278">
        <f>IF(M209=M208,D208,C209)</f>
        <v>20</v>
      </c>
      <c r="E209" s="278">
        <f>10+VALUE(RIGHT(LEFT(G209,3),1))</f>
        <v>16</v>
      </c>
      <c r="F209" s="278" t="str">
        <f>RIGHT(G209,2) &amp; IF(A209&lt;2,"x","")</f>
        <v>pm</v>
      </c>
      <c r="G209" s="278" t="s">
        <v>892</v>
      </c>
      <c r="H209" s="278" t="s">
        <v>587</v>
      </c>
      <c r="I209" s="278" t="s">
        <v>893</v>
      </c>
      <c r="K209" s="279">
        <f>LOOKUP(1E+100,M209:AC209)</f>
        <v>2391.9418446324321</v>
      </c>
      <c r="M209" s="279">
        <v>2600</v>
      </c>
      <c r="N209" s="278">
        <v>2519.373311515817</v>
      </c>
      <c r="R209" s="278" t="str">
        <f>IF(AND((J209="This"),(L209="Only")),VLOOKUP(G209,#REF!,7,FALSE),"")</f>
        <v/>
      </c>
      <c r="S209" s="278">
        <v>2440.4365770006116</v>
      </c>
      <c r="U209" s="278">
        <v>2391.9418446324321</v>
      </c>
    </row>
    <row r="210" spans="1:22" x14ac:dyDescent="0.25">
      <c r="A210" s="278">
        <v>7</v>
      </c>
      <c r="C210" s="278">
        <f>IF(E210=E209,C209+1,1)</f>
        <v>21</v>
      </c>
      <c r="D210" s="278">
        <f>IF(M210=M209,D209,C210)</f>
        <v>21</v>
      </c>
      <c r="E210" s="278">
        <f>10+VALUE(RIGHT(LEFT(G210,3),1))</f>
        <v>16</v>
      </c>
      <c r="F210" s="278" t="str">
        <f>RIGHT(G210,2) &amp; IF(A210&lt;2,"x","")</f>
        <v>pm</v>
      </c>
      <c r="G210" s="278" t="s">
        <v>902</v>
      </c>
      <c r="H210" s="278" t="s">
        <v>445</v>
      </c>
      <c r="I210" s="278" t="s">
        <v>903</v>
      </c>
      <c r="K210" s="279">
        <f>LOOKUP(1E+100,M210:AC210)</f>
        <v>2373.9518684217605</v>
      </c>
      <c r="M210" s="279">
        <v>2571.4285714285716</v>
      </c>
      <c r="N210" s="278">
        <v>2493.8050892225788</v>
      </c>
      <c r="P210" s="278">
        <v>2448.3002595797084</v>
      </c>
      <c r="R210" s="278" t="str">
        <f>IF(AND((J210="This"),(L210="Only")),VLOOKUP(G210,#REF!,7,FALSE),"")</f>
        <v/>
      </c>
      <c r="S210" s="278">
        <v>2384.9147310838553</v>
      </c>
      <c r="U210" s="278">
        <v>2373.9518684217605</v>
      </c>
    </row>
    <row r="211" spans="1:22" x14ac:dyDescent="0.25">
      <c r="A211" s="278">
        <v>4</v>
      </c>
      <c r="C211" s="278">
        <f>IF(E211=E210,C210+1,1)</f>
        <v>22</v>
      </c>
      <c r="D211" s="278">
        <f>IF(M211=M210,D210,C211)</f>
        <v>22</v>
      </c>
      <c r="E211" s="278">
        <f>10+VALUE(RIGHT(LEFT(G211,3),1))</f>
        <v>16</v>
      </c>
      <c r="F211" s="278" t="str">
        <f>RIGHT(G211,2) &amp; IF(A211&lt;2,"x","")</f>
        <v>pm</v>
      </c>
      <c r="G211" s="278" t="s">
        <v>55</v>
      </c>
      <c r="H211" s="278" t="s">
        <v>301</v>
      </c>
      <c r="I211" s="278" t="s">
        <v>54</v>
      </c>
      <c r="K211" s="279">
        <f>LOOKUP(1E+100,M211:AC211)</f>
        <v>2353.5467439155041</v>
      </c>
      <c r="M211" s="279">
        <v>2500</v>
      </c>
      <c r="O211" s="278">
        <v>2435.8191331501785</v>
      </c>
      <c r="R211" s="278" t="str">
        <f>IF(AND((J211="This"),(L211="Only")),VLOOKUP(G211,#REF!,7,FALSE),"")</f>
        <v/>
      </c>
      <c r="S211" s="278">
        <v>2375.2466911492552</v>
      </c>
      <c r="U211" s="278">
        <v>2355.6429300299578</v>
      </c>
      <c r="V211" s="278">
        <v>2353.5467439155041</v>
      </c>
    </row>
    <row r="212" spans="1:22" x14ac:dyDescent="0.25">
      <c r="A212" s="278">
        <v>6</v>
      </c>
      <c r="C212" s="278">
        <f>IF(E212=E211,C211+1,1)</f>
        <v>23</v>
      </c>
      <c r="D212" s="278">
        <f>IF(M212=M211,D211,C212)</f>
        <v>23</v>
      </c>
      <c r="E212" s="278">
        <f>10+VALUE(RIGHT(LEFT(G212,3),1))</f>
        <v>16</v>
      </c>
      <c r="F212" s="278" t="str">
        <f>RIGHT(G212,2) &amp; IF(A212&lt;2,"x","")</f>
        <v>pm</v>
      </c>
      <c r="G212" s="278" t="s">
        <v>904</v>
      </c>
      <c r="H212" s="278" t="s">
        <v>284</v>
      </c>
      <c r="I212" s="278" t="s">
        <v>905</v>
      </c>
      <c r="K212" s="279">
        <f>LOOKUP(1E+100,M212:AC212)</f>
        <v>2284.2292031823108</v>
      </c>
      <c r="M212" s="279">
        <v>2533.3333333333335</v>
      </c>
      <c r="O212" s="278">
        <v>2410.6103701813759</v>
      </c>
      <c r="P212" s="278">
        <v>2349.8800367613849</v>
      </c>
      <c r="R212" s="278" t="str">
        <f>IF(AND((J212="This"),(L212="Only")),VLOOKUP(G212,#REF!,7,FALSE),"")</f>
        <v/>
      </c>
      <c r="S212" s="278">
        <v>2315.1460222697501</v>
      </c>
      <c r="U212" s="278">
        <v>2308.3203044824509</v>
      </c>
      <c r="V212" s="278">
        <v>2284.2292031823108</v>
      </c>
    </row>
    <row r="213" spans="1:22" x14ac:dyDescent="0.25">
      <c r="A213" s="278">
        <v>5</v>
      </c>
      <c r="C213" s="278">
        <f>IF(E213=E212,C212+1,1)</f>
        <v>24</v>
      </c>
      <c r="D213" s="278">
        <f>IF(M213=M212,D212,C213)</f>
        <v>24</v>
      </c>
      <c r="E213" s="278">
        <f>10+VALUE(RIGHT(LEFT(G213,3),1))</f>
        <v>16</v>
      </c>
      <c r="F213" s="278" t="str">
        <f>RIGHT(G213,2) &amp; IF(A213&lt;2,"x","")</f>
        <v>pm</v>
      </c>
      <c r="G213" s="278" t="s">
        <v>910</v>
      </c>
      <c r="H213" s="278" t="s">
        <v>911</v>
      </c>
      <c r="I213" s="278" t="s">
        <v>912</v>
      </c>
      <c r="K213" s="279">
        <f>LOOKUP(1E+100,M213:AC213)</f>
        <v>2278.1955182796933</v>
      </c>
      <c r="M213" s="279">
        <v>2200</v>
      </c>
      <c r="O213" s="278">
        <v>2205.5690555416468</v>
      </c>
      <c r="P213" s="278">
        <v>2197.157441880373</v>
      </c>
      <c r="R213" s="278" t="str">
        <f>IF(AND((J213="This"),(L213="Only")),VLOOKUP(G213,#REF!,7,FALSE),"")</f>
        <v/>
      </c>
      <c r="S213" s="278">
        <v>2197.2479555669461</v>
      </c>
      <c r="T213" s="278">
        <v>2276.1308192442684</v>
      </c>
      <c r="V213" s="278">
        <v>2278.1955182796933</v>
      </c>
    </row>
    <row r="214" spans="1:22" x14ac:dyDescent="0.25">
      <c r="A214" s="278">
        <v>5</v>
      </c>
      <c r="C214" s="278">
        <f>IF(E214=E213,C213+1,1)</f>
        <v>25</v>
      </c>
      <c r="D214" s="278">
        <f>IF(M214=M213,D213,C214)</f>
        <v>24</v>
      </c>
      <c r="E214" s="278">
        <f>10+VALUE(RIGHT(LEFT(G214,3),1))</f>
        <v>16</v>
      </c>
      <c r="F214" s="278" t="str">
        <f>RIGHT(G214,2) &amp; IF(A214&lt;2,"x","")</f>
        <v>pm</v>
      </c>
      <c r="G214" s="278" t="s">
        <v>913</v>
      </c>
      <c r="H214" s="278" t="s">
        <v>604</v>
      </c>
      <c r="I214" s="278" t="s">
        <v>914</v>
      </c>
      <c r="K214" s="279">
        <f>LOOKUP(1E+100,M214:AC214)</f>
        <v>2266.7639928315944</v>
      </c>
      <c r="M214" s="279">
        <v>2200</v>
      </c>
      <c r="O214" s="278">
        <v>2247.1528827365905</v>
      </c>
      <c r="R214" s="278" t="str">
        <f>IF(AND((J214="This"),(L214="Only")),VLOOKUP(G214,#REF!,7,FALSE),"")</f>
        <v/>
      </c>
      <c r="S214" s="278">
        <v>2248.5740109483663</v>
      </c>
      <c r="T214" s="278">
        <v>2239.1016155301213</v>
      </c>
      <c r="V214" s="278">
        <v>2266.7639928315944</v>
      </c>
    </row>
    <row r="215" spans="1:22" x14ac:dyDescent="0.25">
      <c r="A215" s="278">
        <v>5</v>
      </c>
      <c r="C215" s="278">
        <f>IF(E215=E214,C214+1,1)</f>
        <v>26</v>
      </c>
      <c r="D215" s="278">
        <f>IF(M215=M214,D214,C215)</f>
        <v>24</v>
      </c>
      <c r="E215" s="278">
        <f>10+VALUE(RIGHT(LEFT(G215,3),1))</f>
        <v>16</v>
      </c>
      <c r="F215" s="278" t="str">
        <f>RIGHT(G215,2) &amp; IF(A215&lt;2,"x","")</f>
        <v>pm</v>
      </c>
      <c r="G215" s="278" t="s">
        <v>935</v>
      </c>
      <c r="H215" s="278" t="s">
        <v>232</v>
      </c>
      <c r="I215" s="278" t="s">
        <v>936</v>
      </c>
      <c r="K215" s="279">
        <f>LOOKUP(1E+100,M215:AC215)</f>
        <v>2218.4199647772912</v>
      </c>
      <c r="M215" s="279">
        <v>2200</v>
      </c>
      <c r="R215" s="278" t="str">
        <f>IF(AND((J215="This"),(L215="Only")),VLOOKUP(G215,#REF!,7,FALSE),"")</f>
        <v/>
      </c>
      <c r="T215" s="278">
        <v>2222.3068225794136</v>
      </c>
      <c r="V215" s="278">
        <v>2218.4199647772912</v>
      </c>
    </row>
    <row r="216" spans="1:22" x14ac:dyDescent="0.25">
      <c r="A216" s="278">
        <v>6</v>
      </c>
      <c r="C216" s="278">
        <f>IF(E216=E215,C215+1,1)</f>
        <v>27</v>
      </c>
      <c r="D216" s="278">
        <f>IF(M216=M215,D215,C216)</f>
        <v>24</v>
      </c>
      <c r="E216" s="278">
        <f>10+VALUE(RIGHT(LEFT(G216,3),1))</f>
        <v>16</v>
      </c>
      <c r="F216" s="278" t="str">
        <f>RIGHT(G216,2) &amp; IF(A216&lt;2,"x","")</f>
        <v>pm</v>
      </c>
      <c r="G216" s="278" t="s">
        <v>917</v>
      </c>
      <c r="H216" s="278" t="s">
        <v>284</v>
      </c>
      <c r="I216" s="278" t="s">
        <v>918</v>
      </c>
      <c r="K216" s="279">
        <f>LOOKUP(1E+100,M216:AC216)</f>
        <v>2167.0306689877511</v>
      </c>
      <c r="M216" s="279">
        <v>2200</v>
      </c>
      <c r="O216" s="278">
        <v>2147.6804939990402</v>
      </c>
      <c r="R216" s="278" t="str">
        <f>IF(AND((J216="This"),(L216="Only")),VLOOKUP(G216,#REF!,7,FALSE),"")</f>
        <v/>
      </c>
      <c r="S216" s="278">
        <v>2152.6230640752033</v>
      </c>
      <c r="T216" s="278">
        <v>2122.4112829190817</v>
      </c>
      <c r="V216" s="278">
        <v>2167.0306689877511</v>
      </c>
    </row>
    <row r="217" spans="1:22" x14ac:dyDescent="0.25">
      <c r="A217" s="278">
        <v>3</v>
      </c>
      <c r="C217" s="278">
        <f>IF(E217=E216,C216+1,1)</f>
        <v>28</v>
      </c>
      <c r="D217" s="278">
        <f>IF(M217=M216,D216,C217)</f>
        <v>24</v>
      </c>
      <c r="E217" s="278">
        <f>10+VALUE(RIGHT(LEFT(G217,3),1))</f>
        <v>16</v>
      </c>
      <c r="F217" s="278" t="str">
        <f>RIGHT(G217,2) &amp; IF(A217&lt;2,"x","")</f>
        <v>pm</v>
      </c>
      <c r="G217" s="278" t="s">
        <v>939</v>
      </c>
      <c r="H217" s="278" t="s">
        <v>361</v>
      </c>
      <c r="I217" s="278" t="s">
        <v>940</v>
      </c>
      <c r="K217" s="279">
        <f>LOOKUP(1E+100,M217:AC217)</f>
        <v>2160.7120222216377</v>
      </c>
      <c r="M217" s="279">
        <v>2200</v>
      </c>
      <c r="R217" s="278" t="str">
        <f>IF(AND((J217="This"),(L217="Only")),VLOOKUP(G217,#REF!,7,FALSE),"")</f>
        <v/>
      </c>
      <c r="S217" s="278">
        <v>2160.7120222216377</v>
      </c>
    </row>
    <row r="218" spans="1:22" x14ac:dyDescent="0.25">
      <c r="A218" s="278">
        <v>4</v>
      </c>
      <c r="C218" s="278">
        <f>IF(E218=E217,C217+1,1)</f>
        <v>29</v>
      </c>
      <c r="D218" s="278">
        <f>IF(M218=M217,D217,C218)</f>
        <v>24</v>
      </c>
      <c r="E218" s="278">
        <f>10+VALUE(RIGHT(LEFT(G218,3),1))</f>
        <v>16</v>
      </c>
      <c r="F218" s="278" t="str">
        <f>RIGHT(G218,2) &amp; IF(A218&lt;2,"x","")</f>
        <v>pm</v>
      </c>
      <c r="G218" s="278" t="s">
        <v>954</v>
      </c>
      <c r="H218" s="278" t="s">
        <v>416</v>
      </c>
      <c r="I218" s="278" t="s">
        <v>955</v>
      </c>
      <c r="K218" s="279">
        <f>LOOKUP(1E+100,M218:AC218)</f>
        <v>2139.4047424288392</v>
      </c>
      <c r="M218" s="279">
        <v>2200</v>
      </c>
      <c r="R218" s="278" t="str">
        <f>IF(AND((J218="This"),(L218="Only")),VLOOKUP(G218,#REF!,7,FALSE),"")</f>
        <v/>
      </c>
      <c r="S218" s="278">
        <v>2148.4247333494636</v>
      </c>
      <c r="V218" s="278">
        <v>2139.4047424288392</v>
      </c>
    </row>
    <row r="219" spans="1:22" x14ac:dyDescent="0.25">
      <c r="A219" s="278">
        <v>5</v>
      </c>
      <c r="C219" s="278">
        <f>IF(E219=E218,C218+1,1)</f>
        <v>30</v>
      </c>
      <c r="D219" s="278">
        <f>IF(M219=M218,D218,C219)</f>
        <v>24</v>
      </c>
      <c r="E219" s="278">
        <f>10+VALUE(RIGHT(LEFT(G219,3),1))</f>
        <v>16</v>
      </c>
      <c r="F219" s="278" t="str">
        <f>RIGHT(G219,2) &amp; IF(A219&lt;2,"x","")</f>
        <v>pm</v>
      </c>
      <c r="G219" s="278" t="s">
        <v>946</v>
      </c>
      <c r="H219" s="278" t="s">
        <v>512</v>
      </c>
      <c r="I219" s="278" t="s">
        <v>947</v>
      </c>
      <c r="K219" s="279">
        <f>LOOKUP(1E+100,M219:AC219)</f>
        <v>2106.3788912330715</v>
      </c>
      <c r="M219" s="279">
        <v>2200</v>
      </c>
      <c r="R219" s="278" t="str">
        <f>IF(AND((J219="This"),(L219="Only")),VLOOKUP(G219,#REF!,7,FALSE),"")</f>
        <v/>
      </c>
      <c r="S219" s="278">
        <v>2179.626578556059</v>
      </c>
      <c r="T219" s="278">
        <v>2098.9025643154096</v>
      </c>
      <c r="V219" s="278">
        <v>2106.3788912330715</v>
      </c>
    </row>
    <row r="220" spans="1:22" x14ac:dyDescent="0.25">
      <c r="A220" s="278">
        <v>5</v>
      </c>
      <c r="C220" s="278">
        <f>IF(E220=E219,C219+1,1)</f>
        <v>31</v>
      </c>
      <c r="D220" s="278">
        <f>IF(M220=M219,D219,C220)</f>
        <v>24</v>
      </c>
      <c r="E220" s="278">
        <f>10+VALUE(RIGHT(LEFT(G220,3),1))</f>
        <v>16</v>
      </c>
      <c r="F220" s="278" t="str">
        <f>RIGHT(G220,2) &amp; IF(A220&lt;2,"x","")</f>
        <v>pm</v>
      </c>
      <c r="G220" s="278" t="s">
        <v>937</v>
      </c>
      <c r="H220" s="278" t="s">
        <v>232</v>
      </c>
      <c r="I220" s="278" t="s">
        <v>938</v>
      </c>
      <c r="K220" s="279">
        <f>LOOKUP(1E+100,M220:AC220)</f>
        <v>2099.9123103292327</v>
      </c>
      <c r="M220" s="279">
        <v>2200</v>
      </c>
      <c r="R220" s="278" t="str">
        <f>IF(AND((J220="This"),(L220="Only")),VLOOKUP(G220,#REF!,7,FALSE),"")</f>
        <v/>
      </c>
      <c r="S220" s="278">
        <v>2137.2978832051181</v>
      </c>
      <c r="T220" s="278">
        <v>2138.5872760572856</v>
      </c>
      <c r="V220" s="278">
        <v>2099.9123103292327</v>
      </c>
    </row>
    <row r="221" spans="1:22" x14ac:dyDescent="0.25">
      <c r="A221" s="278">
        <v>2</v>
      </c>
      <c r="C221" s="278">
        <f>IF(E221=E220,C220+1,1)</f>
        <v>1</v>
      </c>
      <c r="D221" s="278">
        <f>IF(M221=M220,D220,C221)</f>
        <v>1</v>
      </c>
      <c r="E221" s="278">
        <f>10+VALUE(RIGHT(LEFT(G221,3),1))</f>
        <v>17</v>
      </c>
      <c r="F221" s="278" t="str">
        <f>RIGHT(G221,2) &amp; IF(A221&lt;2,"x","")</f>
        <v>pm</v>
      </c>
      <c r="G221" s="278" t="s">
        <v>1007</v>
      </c>
      <c r="H221" s="278" t="s">
        <v>587</v>
      </c>
      <c r="I221" s="278" t="s">
        <v>1008</v>
      </c>
      <c r="K221" s="279">
        <f>LOOKUP(1E+100,M221:AC221)</f>
        <v>2934.3283800734494</v>
      </c>
      <c r="M221" s="279">
        <v>2800</v>
      </c>
      <c r="N221" s="278">
        <v>2922.5577973738191</v>
      </c>
      <c r="R221" s="278" t="str">
        <f>IF(AND((J221="This"),(L221="Only")),VLOOKUP(G221,#REF!,7,FALSE),"")</f>
        <v/>
      </c>
      <c r="U221" s="278">
        <v>2934.3283800734494</v>
      </c>
    </row>
    <row r="222" spans="1:22" x14ac:dyDescent="0.25">
      <c r="A222" s="278">
        <v>5</v>
      </c>
      <c r="C222" s="278">
        <f>IF(E222=E221,C221+1,1)</f>
        <v>2</v>
      </c>
      <c r="D222" s="278">
        <f>IF(M222=M221,D221,C222)</f>
        <v>1</v>
      </c>
      <c r="E222" s="278">
        <f>10+VALUE(RIGHT(LEFT(G222,3),1))</f>
        <v>17</v>
      </c>
      <c r="F222" s="278" t="str">
        <f>RIGHT(G222,2) &amp; IF(A222&lt;2,"x","")</f>
        <v>pm</v>
      </c>
      <c r="G222" s="278" t="s">
        <v>980</v>
      </c>
      <c r="H222" s="278" t="s">
        <v>981</v>
      </c>
      <c r="I222" s="278" t="s">
        <v>982</v>
      </c>
      <c r="K222" s="279">
        <f>LOOKUP(1E+100,M222:AC222)</f>
        <v>2905.4623849496193</v>
      </c>
      <c r="M222" s="279">
        <v>2800</v>
      </c>
      <c r="P222" s="278">
        <v>2898.4548657689761</v>
      </c>
      <c r="R222" s="278" t="str">
        <f>IF(AND((J222="This"),(L222="Only")),VLOOKUP(G222,#REF!,7,FALSE),"")</f>
        <v/>
      </c>
      <c r="S222" s="278">
        <v>2936.9880533615292</v>
      </c>
      <c r="U222" s="278">
        <v>2905.4623849496193</v>
      </c>
    </row>
    <row r="223" spans="1:22" x14ac:dyDescent="0.25">
      <c r="A223" s="278">
        <v>2</v>
      </c>
      <c r="C223" s="278">
        <f>IF(E223=E222,C222+1,1)</f>
        <v>3</v>
      </c>
      <c r="D223" s="278">
        <f>IF(M223=M222,D222,C223)</f>
        <v>1</v>
      </c>
      <c r="E223" s="278">
        <f>10+VALUE(RIGHT(LEFT(G223,3),1))</f>
        <v>17</v>
      </c>
      <c r="F223" s="278" t="str">
        <f>RIGHT(G223,2) &amp; IF(A223&lt;2,"x","")</f>
        <v>pm</v>
      </c>
      <c r="G223" s="278" t="s">
        <v>991</v>
      </c>
      <c r="H223" s="278" t="s">
        <v>226</v>
      </c>
      <c r="I223" s="278" t="s">
        <v>992</v>
      </c>
      <c r="K223" s="279">
        <f>LOOKUP(1E+100,M223:AC223)</f>
        <v>2901.4124452884193</v>
      </c>
      <c r="M223" s="279">
        <v>2800</v>
      </c>
      <c r="R223" s="278" t="str">
        <f>IF(AND((J223="This"),(L223="Only")),VLOOKUP(G223,#REF!,7,FALSE),"")</f>
        <v/>
      </c>
      <c r="S223" s="278">
        <v>2901.4124452884193</v>
      </c>
    </row>
    <row r="224" spans="1:22" x14ac:dyDescent="0.25">
      <c r="A224" s="278">
        <v>4</v>
      </c>
      <c r="C224" s="278">
        <f>IF(E224=E223,C223+1,1)</f>
        <v>4</v>
      </c>
      <c r="D224" s="278">
        <f>IF(M224=M223,D223,C224)</f>
        <v>1</v>
      </c>
      <c r="E224" s="278">
        <f>10+VALUE(RIGHT(LEFT(G224,3),1))</f>
        <v>17</v>
      </c>
      <c r="F224" s="278" t="str">
        <f>RIGHT(G224,2) &amp; IF(A224&lt;2,"x","")</f>
        <v>pm</v>
      </c>
      <c r="G224" s="278" t="s">
        <v>983</v>
      </c>
      <c r="H224" s="278" t="s">
        <v>296</v>
      </c>
      <c r="I224" s="278" t="s">
        <v>984</v>
      </c>
      <c r="K224" s="279">
        <f>LOOKUP(1E+100,M224:AC224)</f>
        <v>2898.4661809305749</v>
      </c>
      <c r="M224" s="279">
        <v>2800</v>
      </c>
      <c r="P224" s="278">
        <v>2840.4219447808714</v>
      </c>
      <c r="R224" s="278" t="str">
        <f>IF(AND((J224="This"),(L224="Only")),VLOOKUP(G224,#REF!,7,FALSE),"")</f>
        <v/>
      </c>
      <c r="S224" s="278">
        <v>2907.017912342078</v>
      </c>
      <c r="U224" s="278">
        <v>2898.4661809305749</v>
      </c>
    </row>
    <row r="225" spans="1:22" x14ac:dyDescent="0.25">
      <c r="A225" s="278">
        <v>3</v>
      </c>
      <c r="C225" s="278">
        <f>IF(E225=E224,C224+1,1)</f>
        <v>5</v>
      </c>
      <c r="D225" s="278">
        <f>IF(M225=M224,D224,C225)</f>
        <v>1</v>
      </c>
      <c r="E225" s="278">
        <f>10+VALUE(RIGHT(LEFT(G225,3),1))</f>
        <v>17</v>
      </c>
      <c r="F225" s="278" t="str">
        <f>RIGHT(G225,2) &amp; IF(A225&lt;2,"x","")</f>
        <v>pm</v>
      </c>
      <c r="G225" s="278" t="s">
        <v>1013</v>
      </c>
      <c r="H225" s="278" t="s">
        <v>232</v>
      </c>
      <c r="I225" s="278" t="s">
        <v>1014</v>
      </c>
      <c r="K225" s="279">
        <f>LOOKUP(1E+100,M225:AC225)</f>
        <v>2877.9167206621883</v>
      </c>
      <c r="M225" s="279">
        <v>2800</v>
      </c>
      <c r="R225" s="278" t="str">
        <f>IF(AND((J225="This"),(L225="Only")),VLOOKUP(G225,#REF!,7,FALSE),"")</f>
        <v/>
      </c>
      <c r="U225" s="278">
        <v>2877.9167206621883</v>
      </c>
    </row>
    <row r="226" spans="1:22" x14ac:dyDescent="0.25">
      <c r="A226" s="278">
        <v>4</v>
      </c>
      <c r="C226" s="278">
        <f>IF(E226=E225,C225+1,1)</f>
        <v>6</v>
      </c>
      <c r="D226" s="278">
        <f>IF(M226=M225,D225,C226)</f>
        <v>1</v>
      </c>
      <c r="E226" s="278">
        <f>10+VALUE(RIGHT(LEFT(G226,3),1))</f>
        <v>17</v>
      </c>
      <c r="F226" s="278" t="str">
        <f>RIGHT(G226,2) &amp; IF(A226&lt;2,"x","")</f>
        <v>pm</v>
      </c>
      <c r="G226" s="278" t="s">
        <v>971</v>
      </c>
      <c r="H226" s="278" t="s">
        <v>217</v>
      </c>
      <c r="I226" s="278" t="s">
        <v>972</v>
      </c>
      <c r="K226" s="279">
        <f>LOOKUP(1E+100,M226:AC226)</f>
        <v>2869.0678291595218</v>
      </c>
      <c r="M226" s="279">
        <v>2800</v>
      </c>
      <c r="N226" s="278">
        <v>2871.6284059333157</v>
      </c>
      <c r="R226" s="278" t="str">
        <f>IF(AND((J226="This"),(L226="Only")),VLOOKUP(G226,#REF!,7,FALSE),"")</f>
        <v/>
      </c>
      <c r="U226" s="278">
        <v>2869.0678291595218</v>
      </c>
    </row>
    <row r="227" spans="1:22" x14ac:dyDescent="0.25">
      <c r="A227" s="278">
        <v>3</v>
      </c>
      <c r="C227" s="278">
        <f>IF(E227=E226,C226+1,1)</f>
        <v>7</v>
      </c>
      <c r="D227" s="278">
        <f>IF(M227=M226,D226,C227)</f>
        <v>1</v>
      </c>
      <c r="E227" s="278">
        <f>10+VALUE(RIGHT(LEFT(G227,3),1))</f>
        <v>17</v>
      </c>
      <c r="F227" s="278" t="str">
        <f>RIGHT(G227,2) &amp; IF(A227&lt;2,"x","")</f>
        <v>pm</v>
      </c>
      <c r="G227" s="278" t="s">
        <v>989</v>
      </c>
      <c r="H227" s="278" t="s">
        <v>385</v>
      </c>
      <c r="I227" s="278" t="s">
        <v>990</v>
      </c>
      <c r="K227" s="279">
        <f>LOOKUP(1E+100,M227:AC227)</f>
        <v>2867.0704945911393</v>
      </c>
      <c r="M227" s="279">
        <v>2800</v>
      </c>
      <c r="N227" s="278">
        <v>2874.5669843189626</v>
      </c>
      <c r="R227" s="278" t="str">
        <f>IF(AND((J227="This"),(L227="Only")),VLOOKUP(G227,#REF!,7,FALSE),"")</f>
        <v/>
      </c>
      <c r="U227" s="278">
        <v>2867.0704945911393</v>
      </c>
    </row>
    <row r="228" spans="1:22" x14ac:dyDescent="0.25">
      <c r="A228" s="278">
        <v>4</v>
      </c>
      <c r="C228" s="278">
        <f>IF(E228=E227,C227+1,1)</f>
        <v>8</v>
      </c>
      <c r="D228" s="278">
        <f>IF(M228=M227,D227,C228)</f>
        <v>1</v>
      </c>
      <c r="E228" s="278">
        <f>10+VALUE(RIGHT(LEFT(G228,3),1))</f>
        <v>17</v>
      </c>
      <c r="F228" s="278" t="str">
        <f>RIGHT(G228,2) &amp; IF(A228&lt;2,"x","")</f>
        <v>pm</v>
      </c>
      <c r="G228" s="278" t="s">
        <v>969</v>
      </c>
      <c r="H228" s="278" t="s">
        <v>217</v>
      </c>
      <c r="I228" s="278" t="s">
        <v>970</v>
      </c>
      <c r="K228" s="279">
        <f>LOOKUP(1E+100,M228:AC228)</f>
        <v>2842.9172020109409</v>
      </c>
      <c r="M228" s="279">
        <v>2800</v>
      </c>
      <c r="N228" s="278">
        <v>2833.6024184475791</v>
      </c>
      <c r="R228" s="278" t="str">
        <f>IF(AND((J228="This"),(L228="Only")),VLOOKUP(G228,#REF!,7,FALSE),"")</f>
        <v/>
      </c>
      <c r="U228" s="278">
        <v>2842.9172020109409</v>
      </c>
    </row>
    <row r="229" spans="1:22" x14ac:dyDescent="0.25">
      <c r="A229" s="278">
        <v>3</v>
      </c>
      <c r="C229" s="278">
        <f>IF(E229=E228,C228+1,1)</f>
        <v>9</v>
      </c>
      <c r="D229" s="278">
        <f>IF(M229=M228,D228,C229)</f>
        <v>1</v>
      </c>
      <c r="E229" s="278">
        <f>10+VALUE(RIGHT(LEFT(G229,3),1))</f>
        <v>17</v>
      </c>
      <c r="F229" s="278" t="str">
        <f>RIGHT(G229,2) &amp; IF(A229&lt;2,"x","")</f>
        <v>pm</v>
      </c>
      <c r="G229" s="278" t="s">
        <v>1001</v>
      </c>
      <c r="H229" s="278" t="s">
        <v>434</v>
      </c>
      <c r="I229" s="278" t="s">
        <v>1002</v>
      </c>
      <c r="K229" s="279">
        <f>LOOKUP(1E+100,M229:AC229)</f>
        <v>2801.5686837922772</v>
      </c>
      <c r="M229" s="279">
        <v>2800</v>
      </c>
      <c r="N229" s="278">
        <v>2817.626099057934</v>
      </c>
      <c r="P229" s="278">
        <v>2800.0897910250219</v>
      </c>
      <c r="R229" s="278" t="str">
        <f>IF(AND((J229="This"),(L229="Only")),VLOOKUP(G229,#REF!,7,FALSE),"")</f>
        <v/>
      </c>
      <c r="U229" s="278">
        <v>2801.5686837922772</v>
      </c>
    </row>
    <row r="230" spans="1:22" x14ac:dyDescent="0.25">
      <c r="A230" s="278">
        <v>3</v>
      </c>
      <c r="C230" s="278">
        <f>IF(E230=E229,C229+1,1)</f>
        <v>10</v>
      </c>
      <c r="D230" s="278">
        <f>IF(M230=M229,D229,C230)</f>
        <v>1</v>
      </c>
      <c r="E230" s="278">
        <f>10+VALUE(RIGHT(LEFT(G230,3),1))</f>
        <v>17</v>
      </c>
      <c r="F230" s="278" t="str">
        <f>RIGHT(G230,2) &amp; IF(A230&lt;2,"x","")</f>
        <v>pm</v>
      </c>
      <c r="G230" s="278" t="s">
        <v>997</v>
      </c>
      <c r="H230" s="278" t="s">
        <v>497</v>
      </c>
      <c r="I230" s="278" t="s">
        <v>998</v>
      </c>
      <c r="K230" s="279">
        <f>LOOKUP(1E+100,M230:AC230)</f>
        <v>2797.8823937745101</v>
      </c>
      <c r="M230" s="279">
        <v>2800</v>
      </c>
      <c r="N230" s="278">
        <v>2797.8823937745101</v>
      </c>
      <c r="R230" s="278" t="str">
        <f>IF(AND((J230="This"),(L230="Only")),VLOOKUP(G230,#REF!,7,FALSE),"")</f>
        <v/>
      </c>
    </row>
    <row r="231" spans="1:22" x14ac:dyDescent="0.25">
      <c r="A231" s="278">
        <v>2</v>
      </c>
      <c r="C231" s="278">
        <f>IF(E231=E230,C230+1,1)</f>
        <v>11</v>
      </c>
      <c r="D231" s="278">
        <f>IF(M231=M230,D230,C231)</f>
        <v>1</v>
      </c>
      <c r="E231" s="278">
        <f>10+VALUE(RIGHT(LEFT(G231,3),1))</f>
        <v>17</v>
      </c>
      <c r="F231" s="278" t="str">
        <f>RIGHT(G231,2) &amp; IF(A231&lt;2,"x","")</f>
        <v>pm</v>
      </c>
      <c r="G231" s="278" t="s">
        <v>993</v>
      </c>
      <c r="H231" s="278" t="s">
        <v>226</v>
      </c>
      <c r="I231" s="278" t="s">
        <v>994</v>
      </c>
      <c r="K231" s="279">
        <f>LOOKUP(1E+100,M231:AC231)</f>
        <v>2764.8764653951607</v>
      </c>
      <c r="M231" s="279">
        <v>2800</v>
      </c>
      <c r="R231" s="278" t="str">
        <f>IF(AND((J231="This"),(L231="Only")),VLOOKUP(G231,#REF!,7,FALSE),"")</f>
        <v/>
      </c>
      <c r="S231" s="278">
        <v>2764.8764653951607</v>
      </c>
    </row>
    <row r="232" spans="1:22" x14ac:dyDescent="0.25">
      <c r="A232" s="278">
        <v>4</v>
      </c>
      <c r="C232" s="278">
        <f>IF(E232=E231,C231+1,1)</f>
        <v>12</v>
      </c>
      <c r="D232" s="278">
        <f>IF(M232=M231,D231,C232)</f>
        <v>12</v>
      </c>
      <c r="E232" s="278">
        <f>10+VALUE(RIGHT(LEFT(G232,3),1))</f>
        <v>17</v>
      </c>
      <c r="F232" s="278" t="str">
        <f>RIGHT(G232,2) &amp; IF(A232&lt;2,"x","")</f>
        <v>pm</v>
      </c>
      <c r="G232" s="278" t="s">
        <v>1011</v>
      </c>
      <c r="H232" s="278" t="s">
        <v>252</v>
      </c>
      <c r="I232" s="278" t="s">
        <v>1012</v>
      </c>
      <c r="K232" s="279">
        <f>LOOKUP(1E+100,M232:AC232)</f>
        <v>2737.0667429308878</v>
      </c>
      <c r="M232" s="279">
        <v>2750</v>
      </c>
      <c r="R232" s="278" t="str">
        <f>IF(AND((J232="This"),(L232="Only")),VLOOKUP(G232,#REF!,7,FALSE),"")</f>
        <v/>
      </c>
      <c r="S232" s="278">
        <v>2737.0667429308878</v>
      </c>
    </row>
    <row r="233" spans="1:22" x14ac:dyDescent="0.25">
      <c r="A233" s="278">
        <v>4</v>
      </c>
      <c r="C233" s="278">
        <f>IF(E233=E232,C232+1,1)</f>
        <v>13</v>
      </c>
      <c r="D233" s="278">
        <f>IF(M233=M232,D232,C233)</f>
        <v>13</v>
      </c>
      <c r="E233" s="278">
        <f>10+VALUE(RIGHT(LEFT(G233,3),1))</f>
        <v>17</v>
      </c>
      <c r="F233" s="278" t="str">
        <f>RIGHT(G233,2) &amp; IF(A233&lt;2,"x","")</f>
        <v>pm</v>
      </c>
      <c r="G233" s="278" t="s">
        <v>171</v>
      </c>
      <c r="H233" s="278" t="s">
        <v>473</v>
      </c>
      <c r="I233" s="278" t="s">
        <v>170</v>
      </c>
      <c r="K233" s="279">
        <f>LOOKUP(1E+100,M233:AC233)</f>
        <v>2729.9711784317674</v>
      </c>
      <c r="M233" s="279">
        <v>2600</v>
      </c>
      <c r="P233" s="278">
        <v>2708.9205411170788</v>
      </c>
      <c r="R233" s="278" t="str">
        <f>IF(AND((J233="This"),(L233="Only")),VLOOKUP(G233,#REF!,7,FALSE),"")</f>
        <v/>
      </c>
      <c r="S233" s="278">
        <v>2695.9097757652876</v>
      </c>
      <c r="T233" s="278">
        <v>2695.8819375084886</v>
      </c>
      <c r="V233" s="278">
        <v>2729.9711784317674</v>
      </c>
    </row>
    <row r="234" spans="1:22" x14ac:dyDescent="0.25">
      <c r="A234" s="278">
        <v>5</v>
      </c>
      <c r="C234" s="278">
        <f>IF(E234=E233,C233+1,1)</f>
        <v>14</v>
      </c>
      <c r="D234" s="278">
        <f>IF(M234=M233,D233,C234)</f>
        <v>14</v>
      </c>
      <c r="E234" s="278">
        <f>10+VALUE(RIGHT(LEFT(G234,3),1))</f>
        <v>17</v>
      </c>
      <c r="F234" s="278" t="str">
        <f>RIGHT(G234,2) &amp; IF(A234&lt;2,"x","")</f>
        <v>pm</v>
      </c>
      <c r="G234" s="278" t="s">
        <v>1003</v>
      </c>
      <c r="H234" s="278" t="s">
        <v>318</v>
      </c>
      <c r="I234" s="278" t="s">
        <v>1004</v>
      </c>
      <c r="K234" s="279">
        <f>LOOKUP(1E+100,M234:AC234)</f>
        <v>2715.1945084168383</v>
      </c>
      <c r="M234" s="279">
        <v>2800</v>
      </c>
      <c r="N234" s="278">
        <v>2765.4519842745844</v>
      </c>
      <c r="P234" s="278">
        <v>2747.2792108998428</v>
      </c>
      <c r="R234" s="278" t="str">
        <f>IF(AND((J234="This"),(L234="Only")),VLOOKUP(G234,#REF!,7,FALSE),"")</f>
        <v/>
      </c>
      <c r="U234" s="278">
        <v>2715.1945084168383</v>
      </c>
    </row>
    <row r="235" spans="1:22" x14ac:dyDescent="0.25">
      <c r="A235" s="278">
        <v>4</v>
      </c>
      <c r="C235" s="278">
        <f>IF(E235=E234,C234+1,1)</f>
        <v>15</v>
      </c>
      <c r="D235" s="278">
        <f>IF(M235=M234,D234,C235)</f>
        <v>14</v>
      </c>
      <c r="E235" s="278">
        <f>10+VALUE(RIGHT(LEFT(G235,3),1))</f>
        <v>17</v>
      </c>
      <c r="F235" s="278" t="str">
        <f>RIGHT(G235,2) &amp; IF(A235&lt;2,"x","")</f>
        <v>pm</v>
      </c>
      <c r="G235" s="278" t="s">
        <v>978</v>
      </c>
      <c r="H235" s="278" t="s">
        <v>730</v>
      </c>
      <c r="I235" s="278" t="s">
        <v>979</v>
      </c>
      <c r="K235" s="279">
        <f>LOOKUP(1E+100,M235:AC235)</f>
        <v>2683.7023578396006</v>
      </c>
      <c r="M235" s="279">
        <v>2800</v>
      </c>
      <c r="N235" s="278">
        <v>2752.6182883776373</v>
      </c>
      <c r="R235" s="278" t="str">
        <f>IF(AND((J235="This"),(L235="Only")),VLOOKUP(G235,#REF!,7,FALSE),"")</f>
        <v/>
      </c>
      <c r="U235" s="278">
        <v>2683.7023578396006</v>
      </c>
    </row>
    <row r="236" spans="1:22" x14ac:dyDescent="0.25">
      <c r="A236" s="278">
        <v>3</v>
      </c>
      <c r="C236" s="278">
        <f>IF(E236=E235,C235+1,1)</f>
        <v>16</v>
      </c>
      <c r="D236" s="278">
        <f>IF(M236=M235,D235,C236)</f>
        <v>16</v>
      </c>
      <c r="E236" s="278">
        <f>10+VALUE(RIGHT(LEFT(G236,3),1))</f>
        <v>17</v>
      </c>
      <c r="F236" s="278" t="str">
        <f>RIGHT(G236,2) &amp; IF(A236&lt;2,"x","")</f>
        <v>pm</v>
      </c>
      <c r="G236" s="278" t="s">
        <v>1017</v>
      </c>
      <c r="H236" s="278" t="s">
        <v>1018</v>
      </c>
      <c r="I236" s="278" t="s">
        <v>1019</v>
      </c>
      <c r="K236" s="279">
        <f>LOOKUP(1E+100,M236:AC236)</f>
        <v>2588.7054530220494</v>
      </c>
      <c r="M236" s="279">
        <v>2600</v>
      </c>
      <c r="O236" s="278">
        <v>2588.7054530220494</v>
      </c>
      <c r="R236" s="278" t="str">
        <f>IF(AND((J236="This"),(L236="Only")),VLOOKUP(G236,#REF!,7,FALSE),"")</f>
        <v/>
      </c>
    </row>
    <row r="237" spans="1:22" x14ac:dyDescent="0.25">
      <c r="A237" s="278">
        <v>6</v>
      </c>
      <c r="C237" s="278">
        <f>IF(E237=E236,C236+1,1)</f>
        <v>17</v>
      </c>
      <c r="D237" s="278">
        <f>IF(M237=M236,D236,C237)</f>
        <v>17</v>
      </c>
      <c r="E237" s="278">
        <f>10+VALUE(RIGHT(LEFT(G237,3),1))</f>
        <v>17</v>
      </c>
      <c r="F237" s="278" t="str">
        <f>RIGHT(G237,2) &amp; IF(A237&lt;2,"x","")</f>
        <v>pm</v>
      </c>
      <c r="G237" s="278" t="s">
        <v>985</v>
      </c>
      <c r="H237" s="278" t="s">
        <v>333</v>
      </c>
      <c r="I237" s="278" t="s">
        <v>986</v>
      </c>
      <c r="K237" s="279">
        <f>LOOKUP(1E+100,M237:AC237)</f>
        <v>2571.5237468395812</v>
      </c>
      <c r="M237" s="279">
        <v>2800</v>
      </c>
      <c r="N237" s="278">
        <v>2726.4435267606004</v>
      </c>
      <c r="P237" s="278">
        <v>2667.1192641229122</v>
      </c>
      <c r="R237" s="278" t="str">
        <f>IF(AND((J237="This"),(L237="Only")),VLOOKUP(G237,#REF!,7,FALSE),"")</f>
        <v/>
      </c>
      <c r="S237" s="278">
        <v>2635.254000507688</v>
      </c>
      <c r="U237" s="278">
        <v>2571.5237468395812</v>
      </c>
    </row>
    <row r="238" spans="1:22" x14ac:dyDescent="0.25">
      <c r="A238" s="278">
        <v>4</v>
      </c>
      <c r="C238" s="278">
        <f>IF(E238=E237,C237+1,1)</f>
        <v>18</v>
      </c>
      <c r="D238" s="278">
        <f>IF(M238=M237,D237,C238)</f>
        <v>18</v>
      </c>
      <c r="E238" s="278">
        <f>10+VALUE(RIGHT(LEFT(G238,3),1))</f>
        <v>17</v>
      </c>
      <c r="F238" s="278" t="str">
        <f>RIGHT(G238,2) &amp; IF(A238&lt;2,"x","")</f>
        <v>pm</v>
      </c>
      <c r="G238" s="278" t="s">
        <v>1020</v>
      </c>
      <c r="H238" s="278" t="s">
        <v>252</v>
      </c>
      <c r="I238" s="278" t="s">
        <v>1021</v>
      </c>
      <c r="K238" s="279">
        <f>LOOKUP(1E+100,M238:AC238)</f>
        <v>2562.1409322019244</v>
      </c>
      <c r="M238" s="279">
        <v>2600</v>
      </c>
      <c r="R238" s="278" t="str">
        <f>IF(AND((J238="This"),(L238="Only")),VLOOKUP(G238,#REF!,7,FALSE),"")</f>
        <v/>
      </c>
      <c r="S238" s="278">
        <v>2562.1409322019244</v>
      </c>
    </row>
    <row r="239" spans="1:22" x14ac:dyDescent="0.25">
      <c r="A239" s="278">
        <v>6</v>
      </c>
      <c r="C239" s="278">
        <f>IF(E239=E238,C238+1,1)</f>
        <v>19</v>
      </c>
      <c r="D239" s="278">
        <f>IF(M239=M238,D238,C239)</f>
        <v>19</v>
      </c>
      <c r="E239" s="278">
        <f>10+VALUE(RIGHT(LEFT(G239,3),1))</f>
        <v>17</v>
      </c>
      <c r="F239" s="278" t="str">
        <f>RIGHT(G239,2) &amp; IF(A239&lt;2,"x","")</f>
        <v>pm</v>
      </c>
      <c r="G239" s="278" t="s">
        <v>1005</v>
      </c>
      <c r="H239" s="278" t="s">
        <v>318</v>
      </c>
      <c r="I239" s="278" t="s">
        <v>1006</v>
      </c>
      <c r="K239" s="279">
        <f>LOOKUP(1E+100,M239:AC239)</f>
        <v>2508.6951160240778</v>
      </c>
      <c r="M239" s="279">
        <v>2800</v>
      </c>
      <c r="N239" s="278">
        <v>2671.4711193477101</v>
      </c>
      <c r="P239" s="278">
        <v>2618.8887478463598</v>
      </c>
      <c r="R239" s="278" t="str">
        <f>IF(AND((J239="This"),(L239="Only")),VLOOKUP(G239,#REF!,7,FALSE),"")</f>
        <v/>
      </c>
      <c r="U239" s="278">
        <v>2508.6951160240778</v>
      </c>
    </row>
    <row r="240" spans="1:22" x14ac:dyDescent="0.25">
      <c r="A240" s="278">
        <v>5</v>
      </c>
      <c r="C240" s="278">
        <f>IF(E240=E239,C239+1,1)</f>
        <v>20</v>
      </c>
      <c r="D240" s="278">
        <f>IF(M240=M239,D239,C240)</f>
        <v>20</v>
      </c>
      <c r="E240" s="278">
        <f>10+VALUE(RIGHT(LEFT(G240,3),1))</f>
        <v>17</v>
      </c>
      <c r="F240" s="278" t="str">
        <f>RIGHT(G240,2) &amp; IF(A240&lt;2,"x","")</f>
        <v>pm</v>
      </c>
      <c r="G240" s="278" t="s">
        <v>23</v>
      </c>
      <c r="H240" s="278" t="s">
        <v>802</v>
      </c>
      <c r="I240" s="278" t="s">
        <v>22</v>
      </c>
      <c r="K240" s="279">
        <f>LOOKUP(1E+100,M240:AC240)</f>
        <v>2490.7546597563824</v>
      </c>
      <c r="M240" s="279">
        <v>2400</v>
      </c>
      <c r="O240" s="278">
        <v>2391.3097924964568</v>
      </c>
      <c r="R240" s="278" t="str">
        <f>IF(AND((J240="This"),(L240="Only")),VLOOKUP(G240,#REF!,7,FALSE),"")</f>
        <v/>
      </c>
      <c r="S240" s="278">
        <v>2478.0997606551555</v>
      </c>
      <c r="T240" s="278">
        <v>2562.1064003900715</v>
      </c>
      <c r="V240" s="278">
        <v>2490.7546597563824</v>
      </c>
    </row>
    <row r="241" spans="1:22" x14ac:dyDescent="0.25">
      <c r="A241" s="278">
        <v>4</v>
      </c>
      <c r="C241" s="278">
        <f>IF(E241=E240,C240+1,1)</f>
        <v>21</v>
      </c>
      <c r="D241" s="278">
        <f>IF(M241=M240,D240,C241)</f>
        <v>20</v>
      </c>
      <c r="E241" s="278">
        <f>10+VALUE(RIGHT(LEFT(G241,3),1))</f>
        <v>17</v>
      </c>
      <c r="F241" s="278" t="str">
        <f>RIGHT(G241,2) &amp; IF(A241&lt;2,"x","")</f>
        <v>pm</v>
      </c>
      <c r="G241" s="278" t="s">
        <v>46</v>
      </c>
      <c r="H241" s="278" t="s">
        <v>416</v>
      </c>
      <c r="I241" s="278" t="s">
        <v>45</v>
      </c>
      <c r="K241" s="279">
        <f>LOOKUP(1E+100,M241:AC241)</f>
        <v>2486.9719356907308</v>
      </c>
      <c r="M241" s="279">
        <v>2400</v>
      </c>
      <c r="R241" s="278" t="str">
        <f>IF(AND((J241="This"),(L241="Only")),VLOOKUP(G241,#REF!,7,FALSE),"")</f>
        <v/>
      </c>
      <c r="S241" s="278">
        <v>2418.2277960489441</v>
      </c>
      <c r="V241" s="278">
        <v>2486.9719356907308</v>
      </c>
    </row>
    <row r="242" spans="1:22" x14ac:dyDescent="0.25">
      <c r="A242" s="278">
        <v>5</v>
      </c>
      <c r="C242" s="278">
        <f>IF(E242=E241,C241+1,1)</f>
        <v>22</v>
      </c>
      <c r="D242" s="278">
        <f>IF(M242=M241,D241,C242)</f>
        <v>22</v>
      </c>
      <c r="E242" s="278">
        <f>10+VALUE(RIGHT(LEFT(G242,3),1))</f>
        <v>17</v>
      </c>
      <c r="F242" s="278" t="str">
        <f>RIGHT(G242,2) &amp; IF(A242&lt;2,"x","")</f>
        <v>pm</v>
      </c>
      <c r="G242" s="278" t="s">
        <v>37</v>
      </c>
      <c r="H242" s="278" t="s">
        <v>287</v>
      </c>
      <c r="I242" s="278" t="s">
        <v>36</v>
      </c>
      <c r="K242" s="279">
        <f>LOOKUP(1E+100,M242:AC242)</f>
        <v>2470.5768512788477</v>
      </c>
      <c r="M242" s="279">
        <v>2440</v>
      </c>
      <c r="O242" s="278">
        <v>2486.7710445931716</v>
      </c>
      <c r="R242" s="278" t="str">
        <f>IF(AND((J242="This"),(L242="Only")),VLOOKUP(G242,#REF!,7,FALSE),"")</f>
        <v/>
      </c>
      <c r="S242" s="278">
        <v>2462.5038673672475</v>
      </c>
      <c r="V242" s="278">
        <v>2470.5768512788477</v>
      </c>
    </row>
    <row r="243" spans="1:22" x14ac:dyDescent="0.25">
      <c r="A243" s="278">
        <v>6</v>
      </c>
      <c r="C243" s="278">
        <f>IF(E243=E242,C242+1,1)</f>
        <v>23</v>
      </c>
      <c r="D243" s="278">
        <f>IF(M243=M242,D242,C243)</f>
        <v>23</v>
      </c>
      <c r="E243" s="278">
        <f>10+VALUE(RIGHT(LEFT(G243,3),1))</f>
        <v>17</v>
      </c>
      <c r="F243" s="278" t="str">
        <f>RIGHT(G243,2) &amp; IF(A243&lt;2,"x","")</f>
        <v>pm</v>
      </c>
      <c r="G243" s="278" t="s">
        <v>29</v>
      </c>
      <c r="H243" s="278" t="s">
        <v>445</v>
      </c>
      <c r="I243" s="278" t="s">
        <v>28</v>
      </c>
      <c r="K243" s="279">
        <f>LOOKUP(1E+100,M243:AC243)</f>
        <v>2461.1682047986947</v>
      </c>
      <c r="M243" s="279">
        <v>2600</v>
      </c>
      <c r="O243" s="278">
        <v>2533.6041340909615</v>
      </c>
      <c r="R243" s="278" t="str">
        <f>IF(AND((J243="This"),(L243="Only")),VLOOKUP(G243,#REF!,7,FALSE),"")</f>
        <v/>
      </c>
      <c r="S243" s="278">
        <v>2561.5348410704928</v>
      </c>
      <c r="U243" s="278">
        <v>2503.2179928017745</v>
      </c>
      <c r="V243" s="278">
        <v>2461.1682047986947</v>
      </c>
    </row>
    <row r="244" spans="1:22" x14ac:dyDescent="0.25">
      <c r="A244" s="278">
        <v>4</v>
      </c>
      <c r="C244" s="278">
        <f>IF(E244=E243,C243+1,1)</f>
        <v>24</v>
      </c>
      <c r="D244" s="278">
        <f>IF(M244=M243,D243,C244)</f>
        <v>24</v>
      </c>
      <c r="E244" s="278">
        <f>10+VALUE(RIGHT(LEFT(G244,3),1))</f>
        <v>17</v>
      </c>
      <c r="F244" s="278" t="str">
        <f>RIGHT(G244,2) &amp; IF(A244&lt;2,"x","")</f>
        <v>pm</v>
      </c>
      <c r="G244" s="278" t="s">
        <v>1038</v>
      </c>
      <c r="H244" s="278" t="s">
        <v>1039</v>
      </c>
      <c r="I244" s="278" t="s">
        <v>1040</v>
      </c>
      <c r="K244" s="279">
        <f>LOOKUP(1E+100,M244:AC244)</f>
        <v>2456.2391071311727</v>
      </c>
      <c r="M244" s="279">
        <v>2400</v>
      </c>
      <c r="R244" s="278" t="str">
        <f>IF(AND((J244="This"),(L244="Only")),VLOOKUP(G244,#REF!,7,FALSE),"")</f>
        <v/>
      </c>
      <c r="T244" s="278">
        <v>2456.2391071311727</v>
      </c>
    </row>
    <row r="245" spans="1:22" x14ac:dyDescent="0.25">
      <c r="A245" s="278">
        <v>6</v>
      </c>
      <c r="C245" s="278">
        <f>IF(E245=E244,C244+1,1)</f>
        <v>25</v>
      </c>
      <c r="D245" s="278">
        <f>IF(M245=M244,D244,C245)</f>
        <v>25</v>
      </c>
      <c r="E245" s="278">
        <f>10+VALUE(RIGHT(LEFT(G245,3),1))</f>
        <v>17</v>
      </c>
      <c r="F245" s="278" t="str">
        <f>RIGHT(G245,2) &amp; IF(A245&lt;2,"x","")</f>
        <v>pm</v>
      </c>
      <c r="G245" s="278" t="s">
        <v>1015</v>
      </c>
      <c r="H245" s="278" t="s">
        <v>284</v>
      </c>
      <c r="I245" s="278" t="s">
        <v>1016</v>
      </c>
      <c r="K245" s="279">
        <f>LOOKUP(1E+100,M245:AC245)</f>
        <v>2452.0796475240045</v>
      </c>
      <c r="M245" s="279">
        <v>2600</v>
      </c>
      <c r="O245" s="278">
        <v>2571.5996209638265</v>
      </c>
      <c r="P245" s="278">
        <v>2520.9451500265227</v>
      </c>
      <c r="R245" s="278" t="str">
        <f>IF(AND((J245="This"),(L245="Only")),VLOOKUP(G245,#REF!,7,FALSE),"")</f>
        <v/>
      </c>
      <c r="T245" s="278">
        <v>2402.5111436308193</v>
      </c>
      <c r="U245" s="278">
        <v>2452.0796475240045</v>
      </c>
    </row>
    <row r="246" spans="1:22" x14ac:dyDescent="0.25">
      <c r="A246" s="278">
        <v>3</v>
      </c>
      <c r="C246" s="278">
        <f>IF(E246=E245,C245+1,1)</f>
        <v>26</v>
      </c>
      <c r="D246" s="278">
        <f>IF(M246=M245,D245,C246)</f>
        <v>26</v>
      </c>
      <c r="E246" s="278">
        <f>10+VALUE(RIGHT(LEFT(G246,3),1))</f>
        <v>17</v>
      </c>
      <c r="F246" s="278" t="str">
        <f>RIGHT(G246,2) &amp; IF(A246&lt;2,"x","")</f>
        <v>pm</v>
      </c>
      <c r="G246" s="278" t="s">
        <v>1024</v>
      </c>
      <c r="H246" s="278" t="s">
        <v>361</v>
      </c>
      <c r="I246" s="278" t="s">
        <v>1025</v>
      </c>
      <c r="K246" s="279">
        <f>LOOKUP(1E+100,M246:AC246)</f>
        <v>2448.5829328502982</v>
      </c>
      <c r="M246" s="279">
        <v>2533.3333333333335</v>
      </c>
      <c r="R246" s="278" t="str">
        <f>IF(AND((J246="This"),(L246="Only")),VLOOKUP(G246,#REF!,7,FALSE),"")</f>
        <v/>
      </c>
      <c r="T246" s="278">
        <v>2448.5829328502982</v>
      </c>
    </row>
    <row r="247" spans="1:22" x14ac:dyDescent="0.25">
      <c r="A247" s="278">
        <v>4</v>
      </c>
      <c r="C247" s="278">
        <f>IF(E247=E246,C246+1,1)</f>
        <v>27</v>
      </c>
      <c r="D247" s="278">
        <f>IF(M247=M246,D246,C247)</f>
        <v>27</v>
      </c>
      <c r="E247" s="278">
        <f>10+VALUE(RIGHT(LEFT(G247,3),1))</f>
        <v>17</v>
      </c>
      <c r="F247" s="278" t="str">
        <f>RIGHT(G247,2) &amp; IF(A247&lt;2,"x","")</f>
        <v>pm</v>
      </c>
      <c r="G247" s="278" t="s">
        <v>1030</v>
      </c>
      <c r="H247" s="278" t="s">
        <v>296</v>
      </c>
      <c r="I247" s="278" t="s">
        <v>1031</v>
      </c>
      <c r="K247" s="279">
        <f>LOOKUP(1E+100,M247:AC247)</f>
        <v>2431.5669234490088</v>
      </c>
      <c r="M247" s="279">
        <v>2400</v>
      </c>
      <c r="R247" s="278" t="str">
        <f>IF(AND((J247="This"),(L247="Only")),VLOOKUP(G247,#REF!,7,FALSE),"")</f>
        <v/>
      </c>
      <c r="S247" s="278">
        <v>2469.0671056915025</v>
      </c>
      <c r="T247" s="278">
        <v>2431.5669234490088</v>
      </c>
    </row>
    <row r="248" spans="1:22" x14ac:dyDescent="0.25">
      <c r="A248" s="278">
        <v>5</v>
      </c>
      <c r="C248" s="278">
        <f>IF(E248=E247,C247+1,1)</f>
        <v>28</v>
      </c>
      <c r="D248" s="278">
        <f>IF(M248=M247,D247,C248)</f>
        <v>27</v>
      </c>
      <c r="E248" s="278">
        <f>10+VALUE(RIGHT(LEFT(G248,3),1))</f>
        <v>17</v>
      </c>
      <c r="F248" s="278" t="str">
        <f>RIGHT(G248,2) &amp; IF(A248&lt;2,"x","")</f>
        <v>pm</v>
      </c>
      <c r="G248" s="278" t="s">
        <v>61</v>
      </c>
      <c r="H248" s="278" t="s">
        <v>512</v>
      </c>
      <c r="I248" s="278" t="s">
        <v>60</v>
      </c>
      <c r="K248" s="279">
        <f>LOOKUP(1E+100,M248:AC248)</f>
        <v>2405.2146345930723</v>
      </c>
      <c r="M248" s="279">
        <v>2400</v>
      </c>
      <c r="R248" s="278" t="str">
        <f>IF(AND((J248="This"),(L248="Only")),VLOOKUP(G248,#REF!,7,FALSE),"")</f>
        <v/>
      </c>
      <c r="S248" s="278">
        <v>2385.4093469267709</v>
      </c>
      <c r="T248" s="278">
        <v>2357.2024717461968</v>
      </c>
      <c r="V248" s="278">
        <v>2405.2146345930723</v>
      </c>
    </row>
    <row r="249" spans="1:22" x14ac:dyDescent="0.25">
      <c r="A249" s="278">
        <v>2</v>
      </c>
      <c r="C249" s="278">
        <f>IF(E249=E248,C248+1,1)</f>
        <v>29</v>
      </c>
      <c r="D249" s="278">
        <f>IF(M249=M248,D248,C249)</f>
        <v>27</v>
      </c>
      <c r="E249" s="278">
        <f>10+VALUE(RIGHT(LEFT(G249,3),1))</f>
        <v>17</v>
      </c>
      <c r="F249" s="278" t="str">
        <f>RIGHT(G249,2) &amp; IF(A249&lt;2,"x","")</f>
        <v>pm</v>
      </c>
      <c r="G249" s="278" t="s">
        <v>49</v>
      </c>
      <c r="H249" s="278" t="s">
        <v>226</v>
      </c>
      <c r="I249" s="278" t="s">
        <v>48</v>
      </c>
      <c r="K249" s="279">
        <f>LOOKUP(1E+100,M249:AC249)</f>
        <v>2357.6436227783074</v>
      </c>
      <c r="M249" s="279">
        <v>2400</v>
      </c>
      <c r="R249" s="278" t="str">
        <f>IF(AND((J249="This"),(L249="Only")),VLOOKUP(G249,#REF!,7,FALSE),"")</f>
        <v/>
      </c>
      <c r="V249" s="278">
        <v>2357.6436227783074</v>
      </c>
    </row>
    <row r="250" spans="1:22" x14ac:dyDescent="0.25">
      <c r="A250" s="278">
        <v>4</v>
      </c>
      <c r="C250" s="278">
        <f>IF(E250=E249,C249+1,1)</f>
        <v>30</v>
      </c>
      <c r="D250" s="278">
        <f>IF(M250=M249,D249,C250)</f>
        <v>27</v>
      </c>
      <c r="E250" s="278">
        <f>10+VALUE(RIGHT(LEFT(G250,3),1))</f>
        <v>17</v>
      </c>
      <c r="F250" s="278" t="str">
        <f>RIGHT(G250,2) &amp; IF(A250&lt;2,"x","")</f>
        <v>pm</v>
      </c>
      <c r="G250" s="278" t="s">
        <v>58</v>
      </c>
      <c r="H250" s="278" t="s">
        <v>232</v>
      </c>
      <c r="I250" s="278" t="s">
        <v>57</v>
      </c>
      <c r="K250" s="279">
        <f>LOOKUP(1E+100,M250:AC250)</f>
        <v>2329.7910227662092</v>
      </c>
      <c r="M250" s="279">
        <v>2400</v>
      </c>
      <c r="R250" s="278" t="str">
        <f>IF(AND((J250="This"),(L250="Only")),VLOOKUP(G250,#REF!,7,FALSE),"")</f>
        <v/>
      </c>
      <c r="S250" s="278">
        <v>2343.6691822827524</v>
      </c>
      <c r="T250" s="278">
        <v>2355.4932684736682</v>
      </c>
      <c r="V250" s="278">
        <v>2329.7910227662092</v>
      </c>
    </row>
    <row r="251" spans="1:22" x14ac:dyDescent="0.25">
      <c r="A251" s="278">
        <v>4</v>
      </c>
      <c r="C251" s="278">
        <f>IF(E251=E250,C250+1,1)</f>
        <v>31</v>
      </c>
      <c r="D251" s="278">
        <f>IF(M251=M250,D250,C251)</f>
        <v>31</v>
      </c>
      <c r="E251" s="278">
        <f>10+VALUE(RIGHT(LEFT(G251,3),1))</f>
        <v>17</v>
      </c>
      <c r="F251" s="278" t="str">
        <f>RIGHT(G251,2) &amp; IF(A251&lt;2,"x","")</f>
        <v>pm</v>
      </c>
      <c r="G251" s="278" t="s">
        <v>1026</v>
      </c>
      <c r="H251" s="278" t="s">
        <v>609</v>
      </c>
      <c r="I251" s="278" t="s">
        <v>1027</v>
      </c>
      <c r="K251" s="279">
        <f>LOOKUP(1E+100,M251:AC251)</f>
        <v>2294.9565143634281</v>
      </c>
      <c r="M251" s="279">
        <v>2500</v>
      </c>
      <c r="O251" s="278">
        <v>2418.1090459560842</v>
      </c>
      <c r="R251" s="278" t="str">
        <f>IF(AND((J251="This"),(L251="Only")),VLOOKUP(G251,#REF!,7,FALSE),"")</f>
        <v/>
      </c>
      <c r="T251" s="278">
        <v>2297.6185183969365</v>
      </c>
      <c r="U251" s="278">
        <v>2294.9565143634281</v>
      </c>
    </row>
    <row r="252" spans="1:22" x14ac:dyDescent="0.25">
      <c r="A252" s="278">
        <v>2</v>
      </c>
      <c r="C252" s="278">
        <f>IF(E252=E251,C251+1,1)</f>
        <v>1</v>
      </c>
      <c r="D252" s="278">
        <f>IF(M252=M251,D251,C252)</f>
        <v>1</v>
      </c>
      <c r="E252" s="278">
        <f>10+VALUE(RIGHT(LEFT(G252,3),1))</f>
        <v>18</v>
      </c>
      <c r="F252" s="278" t="str">
        <f>RIGHT(G252,2) &amp; IF(A252&lt;2,"x","")</f>
        <v>pm</v>
      </c>
      <c r="G252" s="278" t="s">
        <v>1064</v>
      </c>
      <c r="H252" s="278" t="s">
        <v>226</v>
      </c>
      <c r="I252" s="278" t="s">
        <v>1065</v>
      </c>
      <c r="K252" s="279">
        <f>LOOKUP(1E+100,M252:AC252)</f>
        <v>3106.1013274780757</v>
      </c>
      <c r="M252" s="279">
        <v>3000</v>
      </c>
      <c r="R252" s="278" t="str">
        <f>IF(AND((J252="This"),(L252="Only")),VLOOKUP(G252,#REF!,7,FALSE),"")</f>
        <v/>
      </c>
      <c r="S252" s="278">
        <v>3106.1013274780757</v>
      </c>
    </row>
    <row r="253" spans="1:22" x14ac:dyDescent="0.25">
      <c r="A253" s="278">
        <v>3</v>
      </c>
      <c r="C253" s="278">
        <f>IF(E253=E252,C252+1,1)</f>
        <v>2</v>
      </c>
      <c r="D253" s="278">
        <f>IF(M253=M252,D252,C253)</f>
        <v>1</v>
      </c>
      <c r="E253" s="278">
        <f>10+VALUE(RIGHT(LEFT(G253,3),1))</f>
        <v>18</v>
      </c>
      <c r="F253" s="278" t="str">
        <f>RIGHT(G253,2) &amp; IF(A253&lt;2,"x","")</f>
        <v>pm</v>
      </c>
      <c r="G253" s="278" t="s">
        <v>1049</v>
      </c>
      <c r="H253" s="278" t="s">
        <v>217</v>
      </c>
      <c r="I253" s="278" t="s">
        <v>1050</v>
      </c>
      <c r="K253" s="279">
        <f>LOOKUP(1E+100,M253:AC253)</f>
        <v>3102.9189764040821</v>
      </c>
      <c r="M253" s="279">
        <v>3000</v>
      </c>
      <c r="N253" s="278">
        <v>3042.4287957562287</v>
      </c>
      <c r="R253" s="278" t="str">
        <f>IF(AND((J253="This"),(L253="Only")),VLOOKUP(G253,#REF!,7,FALSE),"")</f>
        <v/>
      </c>
      <c r="U253" s="278">
        <v>3102.9189764040821</v>
      </c>
    </row>
    <row r="254" spans="1:22" x14ac:dyDescent="0.25">
      <c r="A254" s="278">
        <v>2</v>
      </c>
      <c r="C254" s="278">
        <f>IF(E254=E253,C253+1,1)</f>
        <v>3</v>
      </c>
      <c r="D254" s="278">
        <f>IF(M254=M253,D253,C254)</f>
        <v>1</v>
      </c>
      <c r="E254" s="278">
        <f>10+VALUE(RIGHT(LEFT(G254,3),1))</f>
        <v>18</v>
      </c>
      <c r="F254" s="278" t="str">
        <f>RIGHT(G254,2) &amp; IF(A254&lt;2,"x","")</f>
        <v>pm</v>
      </c>
      <c r="G254" s="278" t="s">
        <v>1075</v>
      </c>
      <c r="H254" s="278" t="s">
        <v>232</v>
      </c>
      <c r="I254" s="278" t="s">
        <v>1076</v>
      </c>
      <c r="K254" s="279">
        <f>LOOKUP(1E+100,M254:AC254)</f>
        <v>3033.6021688753772</v>
      </c>
      <c r="M254" s="279">
        <v>3000</v>
      </c>
      <c r="R254" s="278" t="str">
        <f>IF(AND((J254="This"),(L254="Only")),VLOOKUP(G254,#REF!,7,FALSE),"")</f>
        <v/>
      </c>
      <c r="U254" s="278">
        <v>3033.6021688753772</v>
      </c>
    </row>
    <row r="255" spans="1:22" x14ac:dyDescent="0.25">
      <c r="A255" s="278">
        <v>5</v>
      </c>
      <c r="C255" s="278">
        <f>IF(E255=E254,C254+1,1)</f>
        <v>4</v>
      </c>
      <c r="D255" s="278">
        <f>IF(M255=M254,D254,C255)</f>
        <v>1</v>
      </c>
      <c r="E255" s="278">
        <f>10+VALUE(RIGHT(LEFT(G255,3),1))</f>
        <v>18</v>
      </c>
      <c r="F255" s="278" t="str">
        <f>RIGHT(G255,2) &amp; IF(A255&lt;2,"x","")</f>
        <v>pm</v>
      </c>
      <c r="G255" s="278" t="s">
        <v>1083</v>
      </c>
      <c r="H255" s="278" t="s">
        <v>587</v>
      </c>
      <c r="I255" s="278" t="s">
        <v>1084</v>
      </c>
      <c r="K255" s="279">
        <f>LOOKUP(1E+100,M255:AC255)</f>
        <v>3029.7830029113002</v>
      </c>
      <c r="M255" s="279">
        <v>3000</v>
      </c>
      <c r="N255" s="278">
        <v>3009.2514829430538</v>
      </c>
      <c r="R255" s="278" t="str">
        <f>IF(AND((J255="This"),(L255="Only")),VLOOKUP(G255,#REF!,7,FALSE),"")</f>
        <v/>
      </c>
      <c r="S255" s="278">
        <v>2963.2964479003485</v>
      </c>
      <c r="U255" s="278">
        <v>3029.7830029113002</v>
      </c>
    </row>
    <row r="256" spans="1:22" x14ac:dyDescent="0.25">
      <c r="A256" s="278">
        <v>4</v>
      </c>
      <c r="C256" s="278">
        <f>IF(E256=E255,C255+1,1)</f>
        <v>5</v>
      </c>
      <c r="D256" s="278">
        <f>IF(M256=M255,D255,C256)</f>
        <v>1</v>
      </c>
      <c r="E256" s="278">
        <f>10+VALUE(RIGHT(LEFT(G256,3),1))</f>
        <v>18</v>
      </c>
      <c r="F256" s="278" t="str">
        <f>RIGHT(G256,2) &amp; IF(A256&lt;2,"x","")</f>
        <v>pm</v>
      </c>
      <c r="G256" s="278" t="s">
        <v>1057</v>
      </c>
      <c r="H256" s="278" t="s">
        <v>730</v>
      </c>
      <c r="I256" s="278" t="s">
        <v>1058</v>
      </c>
      <c r="K256" s="279">
        <f>LOOKUP(1E+100,M256:AC256)</f>
        <v>3026.1359908797672</v>
      </c>
      <c r="M256" s="279">
        <v>3000</v>
      </c>
      <c r="N256" s="278">
        <v>2980.2992862947854</v>
      </c>
      <c r="R256" s="278" t="str">
        <f>IF(AND((J256="This"),(L256="Only")),VLOOKUP(G256,#REF!,7,FALSE),"")</f>
        <v/>
      </c>
      <c r="U256" s="278">
        <v>3026.1359908797672</v>
      </c>
    </row>
    <row r="257" spans="1:22" x14ac:dyDescent="0.25">
      <c r="A257" s="278">
        <v>2</v>
      </c>
      <c r="C257" s="278">
        <f>IF(E257=E256,C256+1,1)</f>
        <v>6</v>
      </c>
      <c r="D257" s="278">
        <f>IF(M257=M256,D256,C257)</f>
        <v>1</v>
      </c>
      <c r="E257" s="278">
        <f>10+VALUE(RIGHT(LEFT(G257,3),1))</f>
        <v>18</v>
      </c>
      <c r="F257" s="278" t="str">
        <f>RIGHT(G257,2) &amp; IF(A257&lt;2,"x","")</f>
        <v>pm</v>
      </c>
      <c r="G257" s="278" t="s">
        <v>1051</v>
      </c>
      <c r="H257" s="278" t="s">
        <v>259</v>
      </c>
      <c r="I257" s="278" t="s">
        <v>1052</v>
      </c>
      <c r="K257" s="279">
        <f>LOOKUP(1E+100,M257:AC257)</f>
        <v>3013.3111133784737</v>
      </c>
      <c r="M257" s="279">
        <v>3000</v>
      </c>
      <c r="N257" s="278">
        <v>3013.3111133784737</v>
      </c>
      <c r="R257" s="278" t="str">
        <f>IF(AND((J257="This"),(L257="Only")),VLOOKUP(G257,#REF!,7,FALSE),"")</f>
        <v/>
      </c>
    </row>
    <row r="258" spans="1:22" x14ac:dyDescent="0.25">
      <c r="A258" s="278">
        <v>2</v>
      </c>
      <c r="C258" s="278">
        <f>IF(E258=E257,C257+1,1)</f>
        <v>7</v>
      </c>
      <c r="D258" s="278">
        <f>IF(M258=M257,D257,C258)</f>
        <v>1</v>
      </c>
      <c r="E258" s="278">
        <f>10+VALUE(RIGHT(LEFT(G258,3),1))</f>
        <v>18</v>
      </c>
      <c r="F258" s="278" t="str">
        <f>RIGHT(G258,2) &amp; IF(A258&lt;2,"x","")</f>
        <v>pm</v>
      </c>
      <c r="G258" s="278" t="s">
        <v>1066</v>
      </c>
      <c r="H258" s="278" t="s">
        <v>226</v>
      </c>
      <c r="I258" s="278" t="s">
        <v>1067</v>
      </c>
      <c r="K258" s="279">
        <f>LOOKUP(1E+100,M258:AC258)</f>
        <v>3000</v>
      </c>
      <c r="M258" s="279">
        <v>3000</v>
      </c>
      <c r="R258" s="278" t="str">
        <f>IF(AND((J258="This"),(L258="Only")),VLOOKUP(G258,#REF!,7,FALSE),"")</f>
        <v/>
      </c>
    </row>
    <row r="259" spans="1:22" x14ac:dyDescent="0.25">
      <c r="A259" s="278">
        <v>6</v>
      </c>
      <c r="C259" s="278">
        <f>IF(E259=E258,C258+1,1)</f>
        <v>8</v>
      </c>
      <c r="D259" s="278">
        <f>IF(M259=M258,D258,C259)</f>
        <v>1</v>
      </c>
      <c r="E259" s="278">
        <f>10+VALUE(RIGHT(LEFT(G259,3),1))</f>
        <v>18</v>
      </c>
      <c r="F259" s="278" t="str">
        <f>RIGHT(G259,2) &amp; IF(A259&lt;2,"x","")</f>
        <v>pm</v>
      </c>
      <c r="G259" s="278" t="s">
        <v>1061</v>
      </c>
      <c r="H259" s="278" t="s">
        <v>333</v>
      </c>
      <c r="I259" s="278" t="s">
        <v>1062</v>
      </c>
      <c r="K259" s="279">
        <f>LOOKUP(1E+100,M259:AC259)</f>
        <v>2929.4323751758852</v>
      </c>
      <c r="M259" s="279">
        <v>3000</v>
      </c>
      <c r="N259" s="278">
        <v>2917.3787570454606</v>
      </c>
      <c r="P259" s="278">
        <v>2966.1072131875057</v>
      </c>
      <c r="R259" s="278" t="str">
        <f>IF(AND((J259="This"),(L259="Only")),VLOOKUP(G259,#REF!,7,FALSE),"")</f>
        <v/>
      </c>
      <c r="S259" s="278">
        <v>2924.8856891760802</v>
      </c>
      <c r="U259" s="278">
        <v>2929.4323751758852</v>
      </c>
    </row>
    <row r="260" spans="1:22" x14ac:dyDescent="0.25">
      <c r="A260" s="278">
        <v>3</v>
      </c>
      <c r="C260" s="278">
        <f>IF(E260=E259,C259+1,1)</f>
        <v>9</v>
      </c>
      <c r="D260" s="278">
        <f>IF(M260=M259,D259,C260)</f>
        <v>1</v>
      </c>
      <c r="E260" s="278">
        <f>10+VALUE(RIGHT(LEFT(G260,3),1))</f>
        <v>18</v>
      </c>
      <c r="F260" s="278" t="str">
        <f>RIGHT(G260,2) &amp; IF(A260&lt;2,"x","")</f>
        <v>pm</v>
      </c>
      <c r="G260" s="278" t="s">
        <v>1045</v>
      </c>
      <c r="H260" s="278" t="s">
        <v>268</v>
      </c>
      <c r="I260" s="278" t="s">
        <v>1046</v>
      </c>
      <c r="K260" s="279">
        <f>LOOKUP(1E+100,M260:AC260)</f>
        <v>2913.866898564183</v>
      </c>
      <c r="M260" s="279">
        <v>3000</v>
      </c>
      <c r="N260" s="278">
        <v>2913.866898564183</v>
      </c>
      <c r="R260" s="278" t="str">
        <f>IF(AND((J260="This"),(L260="Only")),VLOOKUP(G260,#REF!,7,FALSE),"")</f>
        <v/>
      </c>
    </row>
    <row r="261" spans="1:22" x14ac:dyDescent="0.25">
      <c r="A261" s="278">
        <v>6</v>
      </c>
      <c r="C261" s="278">
        <f>IF(E261=E260,C260+1,1)</f>
        <v>10</v>
      </c>
      <c r="D261" s="278">
        <f>IF(M261=M260,D260,C261)</f>
        <v>1</v>
      </c>
      <c r="E261" s="278">
        <f>10+VALUE(RIGHT(LEFT(G261,3),1))</f>
        <v>18</v>
      </c>
      <c r="F261" s="278" t="str">
        <f>RIGHT(G261,2) &amp; IF(A261&lt;2,"x","")</f>
        <v>pm</v>
      </c>
      <c r="G261" s="278" t="s">
        <v>1059</v>
      </c>
      <c r="H261" s="278" t="s">
        <v>293</v>
      </c>
      <c r="I261" s="278" t="s">
        <v>1060</v>
      </c>
      <c r="K261" s="279">
        <f>LOOKUP(1E+100,M261:AC261)</f>
        <v>2875.3494936020707</v>
      </c>
      <c r="M261" s="279">
        <v>3000</v>
      </c>
      <c r="P261" s="278">
        <v>3018.0395256703673</v>
      </c>
      <c r="R261" s="278" t="str">
        <f>IF(AND((J261="This"),(L261="Only")),VLOOKUP(G261,#REF!,7,FALSE),"")</f>
        <v/>
      </c>
      <c r="S261" s="278">
        <v>2936.7667185645291</v>
      </c>
      <c r="U261" s="278">
        <v>2875.3494936020707</v>
      </c>
    </row>
    <row r="262" spans="1:22" x14ac:dyDescent="0.25">
      <c r="A262" s="278">
        <v>4</v>
      </c>
      <c r="C262" s="278">
        <f>IF(E262=E261,C261+1,1)</f>
        <v>11</v>
      </c>
      <c r="D262" s="278">
        <f>IF(M262=M261,D261,C262)</f>
        <v>11</v>
      </c>
      <c r="E262" s="278">
        <f>10+VALUE(RIGHT(LEFT(G262,3),1))</f>
        <v>18</v>
      </c>
      <c r="F262" s="278" t="str">
        <f>RIGHT(G262,2) &amp; IF(A262&lt;2,"x","")</f>
        <v>pm</v>
      </c>
      <c r="G262" s="278" t="s">
        <v>1094</v>
      </c>
      <c r="H262" s="278" t="s">
        <v>287</v>
      </c>
      <c r="I262" s="278" t="s">
        <v>1095</v>
      </c>
      <c r="K262" s="279">
        <f>LOOKUP(1E+100,M262:AC262)</f>
        <v>2863.8315277287957</v>
      </c>
      <c r="M262" s="279">
        <v>2900</v>
      </c>
      <c r="O262" s="278">
        <v>2844.5131492724072</v>
      </c>
      <c r="P262" s="278">
        <v>2852.013041893284</v>
      </c>
      <c r="R262" s="278" t="str">
        <f>IF(AND((J262="This"),(L262="Only")),VLOOKUP(G262,#REF!,7,FALSE),"")</f>
        <v/>
      </c>
      <c r="U262" s="278">
        <v>2863.8315277287957</v>
      </c>
    </row>
    <row r="263" spans="1:22" x14ac:dyDescent="0.25">
      <c r="A263" s="278">
        <v>4</v>
      </c>
      <c r="C263" s="278">
        <f>IF(E263=E262,C262+1,1)</f>
        <v>12</v>
      </c>
      <c r="D263" s="278">
        <f>IF(M263=M262,D262,C263)</f>
        <v>12</v>
      </c>
      <c r="E263" s="278">
        <f>10+VALUE(RIGHT(LEFT(G263,3),1))</f>
        <v>18</v>
      </c>
      <c r="F263" s="278" t="str">
        <f>RIGHT(G263,2) &amp; IF(A263&lt;2,"x","")</f>
        <v>pm</v>
      </c>
      <c r="G263" s="278" t="s">
        <v>1096</v>
      </c>
      <c r="H263" s="278" t="s">
        <v>301</v>
      </c>
      <c r="I263" s="278" t="s">
        <v>1097</v>
      </c>
      <c r="K263" s="279">
        <f>LOOKUP(1E+100,M263:AC263)</f>
        <v>2827.7212205588357</v>
      </c>
      <c r="M263" s="279">
        <v>2700</v>
      </c>
      <c r="O263" s="278">
        <v>2776.0452308811364</v>
      </c>
      <c r="R263" s="278" t="str">
        <f>IF(AND((J263="This"),(L263="Only")),VLOOKUP(G263,#REF!,7,FALSE),"")</f>
        <v/>
      </c>
      <c r="S263" s="278">
        <v>2783.0988267322386</v>
      </c>
      <c r="U263" s="278">
        <v>2827.7212205588357</v>
      </c>
    </row>
    <row r="264" spans="1:22" x14ac:dyDescent="0.25">
      <c r="A264" s="278">
        <v>4</v>
      </c>
      <c r="C264" s="278">
        <f>IF(E264=E263,C263+1,1)</f>
        <v>13</v>
      </c>
      <c r="D264" s="278">
        <f>IF(M264=M263,D263,C264)</f>
        <v>13</v>
      </c>
      <c r="E264" s="278">
        <f>10+VALUE(RIGHT(LEFT(G264,3),1))</f>
        <v>18</v>
      </c>
      <c r="F264" s="278" t="str">
        <f>RIGHT(G264,2) &amp; IF(A264&lt;2,"x","")</f>
        <v>pm</v>
      </c>
      <c r="G264" s="278" t="s">
        <v>1091</v>
      </c>
      <c r="H264" s="278" t="s">
        <v>1092</v>
      </c>
      <c r="I264" s="278" t="s">
        <v>1093</v>
      </c>
      <c r="K264" s="279">
        <f>LOOKUP(1E+100,M264:AC264)</f>
        <v>2778.8957456721564</v>
      </c>
      <c r="M264" s="279">
        <v>2900</v>
      </c>
      <c r="P264" s="278">
        <v>2825.7321255667107</v>
      </c>
      <c r="R264" s="278" t="str">
        <f>IF(AND((J264="This"),(L264="Only")),VLOOKUP(G264,#REF!,7,FALSE),"")</f>
        <v/>
      </c>
      <c r="S264" s="278">
        <v>2756.6598634333782</v>
      </c>
      <c r="U264" s="278">
        <v>2778.8957456721564</v>
      </c>
    </row>
    <row r="265" spans="1:22" x14ac:dyDescent="0.25">
      <c r="A265" s="278">
        <v>4</v>
      </c>
      <c r="C265" s="278">
        <f>IF(E265=E264,C264+1,1)</f>
        <v>14</v>
      </c>
      <c r="D265" s="278">
        <f>IF(M265=M264,D264,C265)</f>
        <v>14</v>
      </c>
      <c r="E265" s="278">
        <f>10+VALUE(RIGHT(LEFT(G265,3),1))</f>
        <v>18</v>
      </c>
      <c r="F265" s="278" t="str">
        <f>RIGHT(G265,2) &amp; IF(A265&lt;2,"x","")</f>
        <v>pm</v>
      </c>
      <c r="G265" s="278" t="s">
        <v>1104</v>
      </c>
      <c r="H265" s="278" t="s">
        <v>1105</v>
      </c>
      <c r="I265" s="278" t="s">
        <v>1106</v>
      </c>
      <c r="K265" s="279">
        <f>LOOKUP(1E+100,M265:AC265)</f>
        <v>2769.9544095367178</v>
      </c>
      <c r="M265" s="279">
        <v>2600</v>
      </c>
      <c r="O265" s="278">
        <v>2680.3264856208189</v>
      </c>
      <c r="R265" s="278" t="str">
        <f>IF(AND((J265="This"),(L265="Only")),VLOOKUP(G265,#REF!,7,FALSE),"")</f>
        <v/>
      </c>
      <c r="T265" s="278">
        <v>2769.9544095367178</v>
      </c>
    </row>
    <row r="266" spans="1:22" x14ac:dyDescent="0.25">
      <c r="A266" s="278">
        <v>7</v>
      </c>
      <c r="C266" s="278">
        <f>IF(E266=E265,C265+1,1)</f>
        <v>15</v>
      </c>
      <c r="D266" s="278">
        <f>IF(M266=M265,D265,C266)</f>
        <v>14</v>
      </c>
      <c r="E266" s="278">
        <f>10+VALUE(RIGHT(LEFT(G266,3),1))</f>
        <v>18</v>
      </c>
      <c r="F266" s="278" t="str">
        <f>RIGHT(G266,2) &amp; IF(A266&lt;2,"x","")</f>
        <v>pm</v>
      </c>
      <c r="G266" s="278" t="s">
        <v>173</v>
      </c>
      <c r="H266" s="278" t="s">
        <v>933</v>
      </c>
      <c r="I266" s="278" t="s">
        <v>172</v>
      </c>
      <c r="K266" s="279">
        <f>LOOKUP(1E+100,M266:AC266)</f>
        <v>2679.7684181029094</v>
      </c>
      <c r="M266" s="279">
        <v>2600</v>
      </c>
      <c r="O266" s="278">
        <v>2635.3110386339977</v>
      </c>
      <c r="R266" s="278" t="str">
        <f>IF(AND((J266="This"),(L266="Only")),VLOOKUP(G266,#REF!,7,FALSE),"")</f>
        <v/>
      </c>
      <c r="S266" s="278">
        <v>2679.1300397754653</v>
      </c>
      <c r="T266" s="278">
        <v>2607.9641530366357</v>
      </c>
      <c r="V266" s="278">
        <v>2679.7684181029094</v>
      </c>
    </row>
    <row r="267" spans="1:22" x14ac:dyDescent="0.25">
      <c r="A267" s="278">
        <v>5</v>
      </c>
      <c r="C267" s="278">
        <f>IF(E267=E266,C266+1,1)</f>
        <v>16</v>
      </c>
      <c r="D267" s="278">
        <f>IF(M267=M266,D266,C267)</f>
        <v>14</v>
      </c>
      <c r="E267" s="278">
        <f>10+VALUE(RIGHT(LEFT(G267,3),1))</f>
        <v>18</v>
      </c>
      <c r="F267" s="278" t="str">
        <f>RIGHT(G267,2) &amp; IF(A267&lt;2,"x","")</f>
        <v>pm</v>
      </c>
      <c r="G267" s="278" t="s">
        <v>177</v>
      </c>
      <c r="H267" s="278" t="s">
        <v>512</v>
      </c>
      <c r="I267" s="278" t="s">
        <v>176</v>
      </c>
      <c r="K267" s="279">
        <f>LOOKUP(1E+100,M267:AC267)</f>
        <v>2580.5462836263409</v>
      </c>
      <c r="M267" s="279">
        <v>2600</v>
      </c>
      <c r="R267" s="278" t="str">
        <f>IF(AND((J267="This"),(L267="Only")),VLOOKUP(G267,#REF!,7,FALSE),"")</f>
        <v/>
      </c>
      <c r="S267" s="278">
        <v>2637.3852923767972</v>
      </c>
      <c r="T267" s="278">
        <v>2601.7693263635874</v>
      </c>
      <c r="V267" s="278">
        <v>2580.5462836263409</v>
      </c>
    </row>
    <row r="268" spans="1:22" x14ac:dyDescent="0.25">
      <c r="A268" s="278">
        <v>6</v>
      </c>
      <c r="C268" s="278">
        <f>IF(E268=E267,C267+1,1)</f>
        <v>17</v>
      </c>
      <c r="D268" s="278">
        <f>IF(M268=M267,D267,C268)</f>
        <v>14</v>
      </c>
      <c r="E268" s="278">
        <f>10+VALUE(RIGHT(LEFT(G268,3),1))</f>
        <v>18</v>
      </c>
      <c r="F268" s="278" t="str">
        <f>RIGHT(G268,2) &amp; IF(A268&lt;2,"x","")</f>
        <v>pm</v>
      </c>
      <c r="G268" s="278" t="s">
        <v>175</v>
      </c>
      <c r="H268" s="278" t="s">
        <v>620</v>
      </c>
      <c r="I268" s="278" t="s">
        <v>174</v>
      </c>
      <c r="K268" s="279">
        <f>LOOKUP(1E+100,M268:AC268)</f>
        <v>2574.5716672740141</v>
      </c>
      <c r="M268" s="279">
        <v>2600</v>
      </c>
      <c r="O268" s="278">
        <v>2566.197479933051</v>
      </c>
      <c r="R268" s="278" t="str">
        <f>IF(AND((J268="This"),(L268="Only")),VLOOKUP(G268,#REF!,7,FALSE),"")</f>
        <v/>
      </c>
      <c r="S268" s="278">
        <v>2571.5829841924087</v>
      </c>
      <c r="T268" s="278">
        <v>2604.5313523756722</v>
      </c>
      <c r="V268" s="278">
        <v>2574.5716672740141</v>
      </c>
    </row>
    <row r="269" spans="1:22" x14ac:dyDescent="0.25">
      <c r="A269" s="278">
        <v>6</v>
      </c>
      <c r="C269" s="278">
        <f>IF(E269=E268,C268+1,1)</f>
        <v>18</v>
      </c>
      <c r="D269" s="278">
        <f>IF(M269=M268,D268,C269)</f>
        <v>18</v>
      </c>
      <c r="E269" s="278">
        <f>10+VALUE(RIGHT(LEFT(G269,3),1))</f>
        <v>18</v>
      </c>
      <c r="F269" s="278" t="str">
        <f>RIGHT(G269,2) &amp; IF(A269&lt;2,"x","")</f>
        <v>pm</v>
      </c>
      <c r="G269" s="278" t="s">
        <v>179</v>
      </c>
      <c r="H269" s="278" t="s">
        <v>604</v>
      </c>
      <c r="I269" s="278" t="s">
        <v>178</v>
      </c>
      <c r="K269" s="279">
        <f>LOOKUP(1E+100,M269:AC269)</f>
        <v>2478.8272462330083</v>
      </c>
      <c r="M269" s="279">
        <v>2666.6666666666665</v>
      </c>
      <c r="O269" s="278">
        <v>2606.2172201158401</v>
      </c>
      <c r="R269" s="278" t="str">
        <f>IF(AND((J269="This"),(L269="Only")),VLOOKUP(G269,#REF!,7,FALSE),"")</f>
        <v/>
      </c>
      <c r="S269" s="278">
        <v>2533.5380243836562</v>
      </c>
      <c r="V269" s="278">
        <v>2478.8272462330083</v>
      </c>
    </row>
    <row r="274" spans="7:7" x14ac:dyDescent="0.25">
      <c r="G274" s="280"/>
    </row>
    <row r="288" spans="7:7" x14ac:dyDescent="0.25">
      <c r="G288" s="280"/>
    </row>
    <row r="429" spans="7:9" x14ac:dyDescent="0.25">
      <c r="G429" s="282"/>
      <c r="H429" s="280"/>
    </row>
    <row r="430" spans="7:9" x14ac:dyDescent="0.25">
      <c r="G430" s="282"/>
      <c r="H430" s="280"/>
      <c r="I430" s="280"/>
    </row>
    <row r="431" spans="7:9" x14ac:dyDescent="0.25">
      <c r="G431" s="282"/>
      <c r="H431" s="280"/>
      <c r="I431" s="280"/>
    </row>
  </sheetData>
  <sortState ref="A2:AI433">
    <sortCondition ref="E2:E999"/>
    <sortCondition descending="1" ref="K2:K999"/>
    <sortCondition ref="G2:G999"/>
  </sortState>
  <conditionalFormatting sqref="C264:F264 AJ428:XFD431 A428:AG431 A434:AG1048576 AJ434:XFD1048576">
    <cfRule type="expression" dxfId="222" priority="116">
      <formula>$E264=10</formula>
    </cfRule>
    <cfRule type="expression" dxfId="221" priority="117">
      <formula>$E264=11</formula>
    </cfRule>
    <cfRule type="expression" dxfId="220" priority="118">
      <formula>$E264=18</formula>
    </cfRule>
    <cfRule type="expression" dxfId="219" priority="119">
      <formula>$E264=17</formula>
    </cfRule>
    <cfRule type="expression" dxfId="218" priority="120">
      <formula>$E264=16</formula>
    </cfRule>
    <cfRule type="expression" dxfId="217" priority="121">
      <formula>$E264=15</formula>
    </cfRule>
    <cfRule type="expression" dxfId="216" priority="122">
      <formula>$E264=14</formula>
    </cfRule>
    <cfRule type="expression" dxfId="215" priority="123">
      <formula>$E264=13</formula>
    </cfRule>
    <cfRule type="expression" dxfId="214" priority="124">
      <formula>$E264=12</formula>
    </cfRule>
  </conditionalFormatting>
  <conditionalFormatting sqref="K2:K427">
    <cfRule type="expression" dxfId="213" priority="107">
      <formula>$E2=10</formula>
    </cfRule>
    <cfRule type="expression" dxfId="212" priority="108">
      <formula>$E2=11</formula>
    </cfRule>
    <cfRule type="expression" dxfId="211" priority="109">
      <formula>$E2=18</formula>
    </cfRule>
    <cfRule type="expression" dxfId="210" priority="110">
      <formula>$E2=17</formula>
    </cfRule>
    <cfRule type="expression" dxfId="209" priority="111">
      <formula>$E2=16</formula>
    </cfRule>
    <cfRule type="expression" dxfId="208" priority="112">
      <formula>$E2=15</formula>
    </cfRule>
    <cfRule type="expression" dxfId="207" priority="113">
      <formula>$E2=14</formula>
    </cfRule>
    <cfRule type="expression" dxfId="206" priority="114">
      <formula>$E2=13</formula>
    </cfRule>
    <cfRule type="expression" dxfId="205" priority="115">
      <formula>$E2=12</formula>
    </cfRule>
  </conditionalFormatting>
  <conditionalFormatting sqref="G1:I1">
    <cfRule type="containsText" dxfId="204" priority="223" operator="containsText" text="CSRA">
      <formula>NOT(ISERROR(SEARCH("CSRA",G1)))</formula>
    </cfRule>
  </conditionalFormatting>
  <conditionalFormatting sqref="AJ1:XFD431 A1:AG431 A434:AG1048576 AJ434:XFD1048576">
    <cfRule type="expression" dxfId="203" priority="215">
      <formula>$E1&lt;12</formula>
    </cfRule>
    <cfRule type="expression" dxfId="202" priority="216">
      <formula>$E1=18</formula>
    </cfRule>
    <cfRule type="expression" dxfId="201" priority="217">
      <formula>$E1=17</formula>
    </cfRule>
    <cfRule type="expression" dxfId="200" priority="218">
      <formula>$E1=16</formula>
    </cfRule>
    <cfRule type="expression" dxfId="199" priority="219">
      <formula>$E1=15</formula>
    </cfRule>
    <cfRule type="expression" dxfId="198" priority="220">
      <formula>$E1=14</formula>
    </cfRule>
    <cfRule type="expression" dxfId="197" priority="221">
      <formula>$E1=13</formula>
    </cfRule>
    <cfRule type="expression" dxfId="196" priority="222">
      <formula>$E1=12</formula>
    </cfRule>
  </conditionalFormatting>
  <conditionalFormatting sqref="AJ1:XFD427 A1:AG427 R428:R431">
    <cfRule type="expression" dxfId="195" priority="206">
      <formula>$E1=10</formula>
    </cfRule>
    <cfRule type="expression" dxfId="194" priority="207">
      <formula>$E1=11</formula>
    </cfRule>
    <cfRule type="expression" dxfId="193" priority="208">
      <formula>$E1=18</formula>
    </cfRule>
    <cfRule type="expression" dxfId="192" priority="209">
      <formula>$E1=17</formula>
    </cfRule>
    <cfRule type="expression" dxfId="191" priority="210">
      <formula>$E1=16</formula>
    </cfRule>
    <cfRule type="expression" dxfId="190" priority="211">
      <formula>$E1=15</formula>
    </cfRule>
    <cfRule type="expression" dxfId="189" priority="212">
      <formula>$E1=14</formula>
    </cfRule>
    <cfRule type="expression" dxfId="188" priority="213">
      <formula>$E1=13</formula>
    </cfRule>
    <cfRule type="expression" dxfId="187" priority="214">
      <formula>$E1=12</formula>
    </cfRule>
  </conditionalFormatting>
  <conditionalFormatting sqref="A255:AG255 AK255:XFD255">
    <cfRule type="expression" dxfId="186" priority="197">
      <formula>$E255=10</formula>
    </cfRule>
    <cfRule type="expression" dxfId="185" priority="198">
      <formula>$E255=11</formula>
    </cfRule>
    <cfRule type="expression" dxfId="184" priority="199">
      <formula>$E255=18</formula>
    </cfRule>
    <cfRule type="expression" dxfId="183" priority="200">
      <formula>$E255=17</formula>
    </cfRule>
    <cfRule type="expression" dxfId="182" priority="201">
      <formula>$E255=16</formula>
    </cfRule>
    <cfRule type="expression" dxfId="181" priority="202">
      <formula>$E255=15</formula>
    </cfRule>
    <cfRule type="expression" dxfId="180" priority="203">
      <formula>$E255=14</formula>
    </cfRule>
    <cfRule type="expression" dxfId="179" priority="204">
      <formula>$E255=13</formula>
    </cfRule>
    <cfRule type="expression" dxfId="178" priority="205">
      <formula>$E255=12</formula>
    </cfRule>
  </conditionalFormatting>
  <conditionalFormatting sqref="AK265:XFD268 IX258:XFD263 A265:AG268">
    <cfRule type="expression" dxfId="177" priority="188">
      <formula>$E258=10</formula>
    </cfRule>
    <cfRule type="expression" dxfId="176" priority="189">
      <formula>$E258=11</formula>
    </cfRule>
    <cfRule type="expression" dxfId="175" priority="190">
      <formula>$E258=18</formula>
    </cfRule>
    <cfRule type="expression" dxfId="174" priority="191">
      <formula>$E258=17</formula>
    </cfRule>
    <cfRule type="expression" dxfId="173" priority="192">
      <formula>$E258=16</formula>
    </cfRule>
    <cfRule type="expression" dxfId="172" priority="193">
      <formula>$E258=15</formula>
    </cfRule>
    <cfRule type="expression" dxfId="171" priority="194">
      <formula>$E258=14</formula>
    </cfRule>
    <cfRule type="expression" dxfId="170" priority="195">
      <formula>$E258=13</formula>
    </cfRule>
    <cfRule type="expression" dxfId="169" priority="196">
      <formula>$E258=12</formula>
    </cfRule>
  </conditionalFormatting>
  <conditionalFormatting sqref="A262:AG262 A261:F261 J261:AG261 H263 K263:AG263 A263:F263 AJ261:IW263">
    <cfRule type="expression" dxfId="168" priority="179">
      <formula>$E261=10</formula>
    </cfRule>
    <cfRule type="expression" dxfId="167" priority="180">
      <formula>$E261=11</formula>
    </cfRule>
    <cfRule type="expression" dxfId="166" priority="181">
      <formula>$E261=18</formula>
    </cfRule>
    <cfRule type="expression" dxfId="165" priority="182">
      <formula>$E261=17</formula>
    </cfRule>
    <cfRule type="expression" dxfId="164" priority="183">
      <formula>$E261=16</formula>
    </cfRule>
    <cfRule type="expression" dxfId="163" priority="184">
      <formula>$E261=15</formula>
    </cfRule>
    <cfRule type="expression" dxfId="162" priority="185">
      <formula>$E261=14</formula>
    </cfRule>
    <cfRule type="expression" dxfId="161" priority="186">
      <formula>$E261=13</formula>
    </cfRule>
    <cfRule type="expression" dxfId="160" priority="187">
      <formula>$E261=12</formula>
    </cfRule>
  </conditionalFormatting>
  <conditionalFormatting sqref="H261">
    <cfRule type="expression" dxfId="159" priority="170">
      <formula>$E261=10</formula>
    </cfRule>
    <cfRule type="expression" dxfId="158" priority="171">
      <formula>$E261=11</formula>
    </cfRule>
    <cfRule type="expression" dxfId="157" priority="172">
      <formula>$E261=18</formula>
    </cfRule>
    <cfRule type="expression" dxfId="156" priority="173">
      <formula>$E261=17</formula>
    </cfRule>
    <cfRule type="expression" dxfId="155" priority="174">
      <formula>$E261=16</formula>
    </cfRule>
    <cfRule type="expression" dxfId="154" priority="175">
      <formula>$E261=15</formula>
    </cfRule>
    <cfRule type="expression" dxfId="153" priority="176">
      <formula>$E261=14</formula>
    </cfRule>
    <cfRule type="expression" dxfId="152" priority="177">
      <formula>$E261=13</formula>
    </cfRule>
    <cfRule type="expression" dxfId="151" priority="178">
      <formula>$E261=12</formula>
    </cfRule>
  </conditionalFormatting>
  <conditionalFormatting sqref="A258:AG260 C261:F427 AJ258:IW260">
    <cfRule type="expression" dxfId="150" priority="161">
      <formula>$E258=10</formula>
    </cfRule>
    <cfRule type="expression" dxfId="149" priority="162">
      <formula>$E258=11</formula>
    </cfRule>
    <cfRule type="expression" dxfId="148" priority="163">
      <formula>$E258=18</formula>
    </cfRule>
    <cfRule type="expression" dxfId="147" priority="164">
      <formula>$E258=17</formula>
    </cfRule>
    <cfRule type="expression" dxfId="146" priority="165">
      <formula>$E258=16</formula>
    </cfRule>
    <cfRule type="expression" dxfId="145" priority="166">
      <formula>$E258=15</formula>
    </cfRule>
    <cfRule type="expression" dxfId="144" priority="167">
      <formula>$E258=14</formula>
    </cfRule>
    <cfRule type="expression" dxfId="143" priority="168">
      <formula>$E258=13</formula>
    </cfRule>
    <cfRule type="expression" dxfId="142" priority="169">
      <formula>$E258=12</formula>
    </cfRule>
  </conditionalFormatting>
  <conditionalFormatting sqref="A264:B264 J264 N264:AG264 L264 H264 AJ264:XFD264">
    <cfRule type="expression" dxfId="141" priority="152">
      <formula>$E264=10</formula>
    </cfRule>
    <cfRule type="expression" dxfId="140" priority="153">
      <formula>$E264=11</formula>
    </cfRule>
    <cfRule type="expression" dxfId="139" priority="154">
      <formula>$E264=18</formula>
    </cfRule>
    <cfRule type="expression" dxfId="138" priority="155">
      <formula>$E264=17</formula>
    </cfRule>
    <cfRule type="expression" dxfId="137" priority="156">
      <formula>$E264=16</formula>
    </cfRule>
    <cfRule type="expression" dxfId="136" priority="157">
      <formula>$E264=15</formula>
    </cfRule>
    <cfRule type="expression" dxfId="135" priority="158">
      <formula>$E264=14</formula>
    </cfRule>
    <cfRule type="expression" dxfId="134" priority="159">
      <formula>$E264=13</formula>
    </cfRule>
    <cfRule type="expression" dxfId="133" priority="160">
      <formula>$E264=12</formula>
    </cfRule>
  </conditionalFormatting>
  <conditionalFormatting sqref="M264">
    <cfRule type="expression" dxfId="132" priority="143">
      <formula>$E264=10</formula>
    </cfRule>
    <cfRule type="expression" dxfId="131" priority="144">
      <formula>$E264=11</formula>
    </cfRule>
    <cfRule type="expression" dxfId="130" priority="145">
      <formula>$E264=18</formula>
    </cfRule>
    <cfRule type="expression" dxfId="129" priority="146">
      <formula>$E264=17</formula>
    </cfRule>
    <cfRule type="expression" dxfId="128" priority="147">
      <formula>$E264=16</formula>
    </cfRule>
    <cfRule type="expression" dxfId="127" priority="148">
      <formula>$E264=15</formula>
    </cfRule>
    <cfRule type="expression" dxfId="126" priority="149">
      <formula>$E264=14</formula>
    </cfRule>
    <cfRule type="expression" dxfId="125" priority="150">
      <formula>$E264=13</formula>
    </cfRule>
    <cfRule type="expression" dxfId="124" priority="151">
      <formula>$E264=12</formula>
    </cfRule>
  </conditionalFormatting>
  <conditionalFormatting sqref="K264">
    <cfRule type="expression" dxfId="123" priority="134">
      <formula>$E264=10</formula>
    </cfRule>
    <cfRule type="expression" dxfId="122" priority="135">
      <formula>$E264=11</formula>
    </cfRule>
    <cfRule type="expression" dxfId="121" priority="136">
      <formula>$E264=18</formula>
    </cfRule>
    <cfRule type="expression" dxfId="120" priority="137">
      <formula>$E264=17</formula>
    </cfRule>
    <cfRule type="expression" dxfId="119" priority="138">
      <formula>$E264=16</formula>
    </cfRule>
    <cfRule type="expression" dxfId="118" priority="139">
      <formula>$E264=15</formula>
    </cfRule>
    <cfRule type="expression" dxfId="117" priority="140">
      <formula>$E264=14</formula>
    </cfRule>
    <cfRule type="expression" dxfId="116" priority="141">
      <formula>$E264=13</formula>
    </cfRule>
    <cfRule type="expression" dxfId="115" priority="142">
      <formula>$E264=12</formula>
    </cfRule>
  </conditionalFormatting>
  <conditionalFormatting sqref="G264">
    <cfRule type="expression" dxfId="114" priority="125">
      <formula>$E264=10</formula>
    </cfRule>
    <cfRule type="expression" dxfId="113" priority="126">
      <formula>$E264=11</formula>
    </cfRule>
    <cfRule type="expression" dxfId="112" priority="127">
      <formula>$E264=18</formula>
    </cfRule>
    <cfRule type="expression" dxfId="111" priority="128">
      <formula>$E264=17</formula>
    </cfRule>
    <cfRule type="expression" dxfId="110" priority="129">
      <formula>$E264=16</formula>
    </cfRule>
    <cfRule type="expression" dxfId="109" priority="130">
      <formula>$E264=15</formula>
    </cfRule>
    <cfRule type="expression" dxfId="108" priority="131">
      <formula>$E264=14</formula>
    </cfRule>
    <cfRule type="expression" dxfId="107" priority="132">
      <formula>$E264=13</formula>
    </cfRule>
    <cfRule type="expression" dxfId="106" priority="133">
      <formula>$E264=12</formula>
    </cfRule>
  </conditionalFormatting>
  <conditionalFormatting sqref="C429:F431">
    <cfRule type="expression" dxfId="105" priority="98">
      <formula>$E429=10</formula>
    </cfRule>
    <cfRule type="expression" dxfId="104" priority="99">
      <formula>$E429=11</formula>
    </cfRule>
    <cfRule type="expression" dxfId="103" priority="100">
      <formula>$E429=18</formula>
    </cfRule>
    <cfRule type="expression" dxfId="102" priority="101">
      <formula>$E429=17</formula>
    </cfRule>
    <cfRule type="expression" dxfId="101" priority="102">
      <formula>$E429=16</formula>
    </cfRule>
    <cfRule type="expression" dxfId="100" priority="103">
      <formula>$E429=15</formula>
    </cfRule>
    <cfRule type="expression" dxfId="99" priority="104">
      <formula>$E429=14</formula>
    </cfRule>
    <cfRule type="expression" dxfId="98" priority="105">
      <formula>$E429=13</formula>
    </cfRule>
    <cfRule type="expression" dxfId="97" priority="106">
      <formula>$E429=12</formula>
    </cfRule>
  </conditionalFormatting>
  <conditionalFormatting sqref="C429:F431">
    <cfRule type="expression" dxfId="96" priority="89">
      <formula>$E429=10</formula>
    </cfRule>
    <cfRule type="expression" dxfId="95" priority="90">
      <formula>$E429=11</formula>
    </cfRule>
    <cfRule type="expression" dxfId="94" priority="91">
      <formula>$E429=18</formula>
    </cfRule>
    <cfRule type="expression" dxfId="93" priority="92">
      <formula>$E429=17</formula>
    </cfRule>
    <cfRule type="expression" dxfId="92" priority="93">
      <formula>$E429=16</formula>
    </cfRule>
    <cfRule type="expression" dxfId="91" priority="94">
      <formula>$E429=15</formula>
    </cfRule>
    <cfRule type="expression" dxfId="90" priority="95">
      <formula>$E429=14</formula>
    </cfRule>
    <cfRule type="expression" dxfId="89" priority="96">
      <formula>$E429=13</formula>
    </cfRule>
    <cfRule type="expression" dxfId="88" priority="97">
      <formula>$E429=12</formula>
    </cfRule>
  </conditionalFormatting>
  <conditionalFormatting sqref="K429:K431">
    <cfRule type="expression" dxfId="87" priority="71">
      <formula>$E429=10</formula>
    </cfRule>
    <cfRule type="expression" dxfId="86" priority="72">
      <formula>$E429=11</formula>
    </cfRule>
    <cfRule type="expression" dxfId="85" priority="73">
      <formula>$E429=18</formula>
    </cfRule>
    <cfRule type="expression" dxfId="84" priority="74">
      <formula>$E429=17</formula>
    </cfRule>
    <cfRule type="expression" dxfId="83" priority="75">
      <formula>$E429=16</formula>
    </cfRule>
    <cfRule type="expression" dxfId="82" priority="76">
      <formula>$E429=15</formula>
    </cfRule>
    <cfRule type="expression" dxfId="81" priority="77">
      <formula>$E429=14</formula>
    </cfRule>
    <cfRule type="expression" dxfId="80" priority="78">
      <formula>$E429=13</formula>
    </cfRule>
    <cfRule type="expression" dxfId="79" priority="79">
      <formula>$E429=12</formula>
    </cfRule>
  </conditionalFormatting>
  <conditionalFormatting sqref="H429:M431">
    <cfRule type="expression" dxfId="78" priority="80">
      <formula>$E429=10</formula>
    </cfRule>
    <cfRule type="expression" dxfId="77" priority="81">
      <formula>$E429=11</formula>
    </cfRule>
    <cfRule type="expression" dxfId="76" priority="82">
      <formula>$E429=18</formula>
    </cfRule>
    <cfRule type="expression" dxfId="75" priority="83">
      <formula>$E429=17</formula>
    </cfRule>
    <cfRule type="expression" dxfId="74" priority="84">
      <formula>$E429=16</formula>
    </cfRule>
    <cfRule type="expression" dxfId="73" priority="85">
      <formula>$E429=15</formula>
    </cfRule>
    <cfRule type="expression" dxfId="72" priority="86">
      <formula>$E429=14</formula>
    </cfRule>
    <cfRule type="expression" dxfId="71" priority="87">
      <formula>$E429=13</formula>
    </cfRule>
    <cfRule type="expression" dxfId="70" priority="88">
      <formula>$E429=12</formula>
    </cfRule>
  </conditionalFormatting>
  <conditionalFormatting sqref="AJ432:XFD432 A432:AG432">
    <cfRule type="expression" dxfId="69" priority="54">
      <formula>$E432=10</formula>
    </cfRule>
    <cfRule type="expression" dxfId="68" priority="55">
      <formula>$E432=11</formula>
    </cfRule>
    <cfRule type="expression" dxfId="67" priority="56">
      <formula>$E432=18</formula>
    </cfRule>
    <cfRule type="expression" dxfId="66" priority="57">
      <formula>$E432=17</formula>
    </cfRule>
    <cfRule type="expression" dxfId="65" priority="58">
      <formula>$E432=16</formula>
    </cfRule>
    <cfRule type="expression" dxfId="64" priority="59">
      <formula>$E432=15</formula>
    </cfRule>
    <cfRule type="expression" dxfId="63" priority="60">
      <formula>$E432=14</formula>
    </cfRule>
    <cfRule type="expression" dxfId="62" priority="61">
      <formula>$E432=13</formula>
    </cfRule>
    <cfRule type="expression" dxfId="61" priority="62">
      <formula>$E432=12</formula>
    </cfRule>
  </conditionalFormatting>
  <conditionalFormatting sqref="K432">
    <cfRule type="expression" dxfId="60" priority="36">
      <formula>$E432=10</formula>
    </cfRule>
    <cfRule type="expression" dxfId="59" priority="37">
      <formula>$E432=11</formula>
    </cfRule>
    <cfRule type="expression" dxfId="58" priority="38">
      <formula>$E432=18</formula>
    </cfRule>
    <cfRule type="expression" dxfId="57" priority="39">
      <formula>$E432=17</formula>
    </cfRule>
    <cfRule type="expression" dxfId="56" priority="40">
      <formula>$E432=16</formula>
    </cfRule>
    <cfRule type="expression" dxfId="55" priority="41">
      <formula>$E432=15</formula>
    </cfRule>
    <cfRule type="expression" dxfId="54" priority="42">
      <formula>$E432=14</formula>
    </cfRule>
    <cfRule type="expression" dxfId="53" priority="43">
      <formula>$E432=13</formula>
    </cfRule>
    <cfRule type="expression" dxfId="52" priority="44">
      <formula>$E432=12</formula>
    </cfRule>
  </conditionalFormatting>
  <conditionalFormatting sqref="C432:F432">
    <cfRule type="expression" dxfId="51" priority="45">
      <formula>$E432=10</formula>
    </cfRule>
    <cfRule type="expression" dxfId="50" priority="46">
      <formula>$E432=11</formula>
    </cfRule>
    <cfRule type="expression" dxfId="49" priority="47">
      <formula>$E432=18</formula>
    </cfRule>
    <cfRule type="expression" dxfId="48" priority="48">
      <formula>$E432=17</formula>
    </cfRule>
    <cfRule type="expression" dxfId="47" priority="49">
      <formula>$E432=16</formula>
    </cfRule>
    <cfRule type="expression" dxfId="46" priority="50">
      <formula>$E432=15</formula>
    </cfRule>
    <cfRule type="expression" dxfId="45" priority="51">
      <formula>$E432=14</formula>
    </cfRule>
    <cfRule type="expression" dxfId="44" priority="52">
      <formula>$E432=13</formula>
    </cfRule>
    <cfRule type="expression" dxfId="43" priority="53">
      <formula>$E432=12</formula>
    </cfRule>
  </conditionalFormatting>
  <conditionalFormatting sqref="AJ432:XFD432 A432:AG432">
    <cfRule type="expression" dxfId="42" priority="63">
      <formula>$E432&lt;12</formula>
    </cfRule>
    <cfRule type="expression" dxfId="41" priority="64">
      <formula>$E432=18</formula>
    </cfRule>
    <cfRule type="expression" dxfId="40" priority="65">
      <formula>$E432=17</formula>
    </cfRule>
    <cfRule type="expression" dxfId="39" priority="66">
      <formula>$E432=16</formula>
    </cfRule>
    <cfRule type="expression" dxfId="38" priority="67">
      <formula>$E432=15</formula>
    </cfRule>
    <cfRule type="expression" dxfId="37" priority="68">
      <formula>$E432=14</formula>
    </cfRule>
    <cfRule type="expression" dxfId="36" priority="69">
      <formula>$E432=13</formula>
    </cfRule>
    <cfRule type="expression" dxfId="35" priority="70">
      <formula>$E432=12</formula>
    </cfRule>
  </conditionalFormatting>
  <conditionalFormatting sqref="C433:F433">
    <cfRule type="expression" dxfId="34" priority="10">
      <formula>$E433=10</formula>
    </cfRule>
    <cfRule type="expression" dxfId="33" priority="11">
      <formula>$E433=11</formula>
    </cfRule>
    <cfRule type="expression" dxfId="32" priority="12">
      <formula>$E433=18</formula>
    </cfRule>
    <cfRule type="expression" dxfId="31" priority="13">
      <formula>$E433=17</formula>
    </cfRule>
    <cfRule type="expression" dxfId="30" priority="14">
      <formula>$E433=16</formula>
    </cfRule>
    <cfRule type="expression" dxfId="29" priority="15">
      <formula>$E433=15</formula>
    </cfRule>
    <cfRule type="expression" dxfId="28" priority="16">
      <formula>$E433=14</formula>
    </cfRule>
    <cfRule type="expression" dxfId="27" priority="17">
      <formula>$E433=13</formula>
    </cfRule>
    <cfRule type="expression" dxfId="26" priority="18">
      <formula>$E433=12</formula>
    </cfRule>
  </conditionalFormatting>
  <conditionalFormatting sqref="K433">
    <cfRule type="expression" dxfId="25" priority="1">
      <formula>$E433=10</formula>
    </cfRule>
    <cfRule type="expression" dxfId="24" priority="2">
      <formula>$E433=11</formula>
    </cfRule>
    <cfRule type="expression" dxfId="23" priority="3">
      <formula>$E433=18</formula>
    </cfRule>
    <cfRule type="expression" dxfId="22" priority="4">
      <formula>$E433=17</formula>
    </cfRule>
    <cfRule type="expression" dxfId="21" priority="5">
      <formula>$E433=16</formula>
    </cfRule>
    <cfRule type="expression" dxfId="20" priority="6">
      <formula>$E433=15</formula>
    </cfRule>
    <cfRule type="expression" dxfId="19" priority="7">
      <formula>$E433=14</formula>
    </cfRule>
    <cfRule type="expression" dxfId="18" priority="8">
      <formula>$E433=13</formula>
    </cfRule>
    <cfRule type="expression" dxfId="17" priority="9">
      <formula>$E433=12</formula>
    </cfRule>
  </conditionalFormatting>
  <conditionalFormatting sqref="AJ433:XFD433 A433:AG433">
    <cfRule type="expression" dxfId="16" priority="28">
      <formula>$E433&lt;12</formula>
    </cfRule>
    <cfRule type="expression" dxfId="15" priority="29">
      <formula>$E433=18</formula>
    </cfRule>
    <cfRule type="expression" dxfId="14" priority="30">
      <formula>$E433=17</formula>
    </cfRule>
    <cfRule type="expression" dxfId="13" priority="31">
      <formula>$E433=16</formula>
    </cfRule>
    <cfRule type="expression" dxfId="12" priority="32">
      <formula>$E433=15</formula>
    </cfRule>
    <cfRule type="expression" dxfId="11" priority="33">
      <formula>$E433=14</formula>
    </cfRule>
    <cfRule type="expression" dxfId="10" priority="34">
      <formula>$E433=13</formula>
    </cfRule>
    <cfRule type="expression" dxfId="9" priority="35">
      <formula>$E433=12</formula>
    </cfRule>
  </conditionalFormatting>
  <conditionalFormatting sqref="AJ433:XFD433 A433:AG433">
    <cfRule type="expression" dxfId="8" priority="19">
      <formula>$E433=10</formula>
    </cfRule>
    <cfRule type="expression" dxfId="7" priority="20">
      <formula>$E433=11</formula>
    </cfRule>
    <cfRule type="expression" dxfId="6" priority="21">
      <formula>$E433=18</formula>
    </cfRule>
    <cfRule type="expression" dxfId="5" priority="22">
      <formula>$E433=17</formula>
    </cfRule>
    <cfRule type="expression" dxfId="4" priority="23">
      <formula>$E433=16</formula>
    </cfRule>
    <cfRule type="expression" dxfId="3" priority="24">
      <formula>$E433=15</formula>
    </cfRule>
    <cfRule type="expression" dxfId="2" priority="25">
      <formula>$E433=14</formula>
    </cfRule>
    <cfRule type="expression" dxfId="1" priority="26">
      <formula>$E433=13</formula>
    </cfRule>
    <cfRule type="expression" dxfId="0" priority="27">
      <formula>$E433=12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14</vt:i4>
      </vt:variant>
    </vt:vector>
  </HeadingPairs>
  <TitlesOfParts>
    <vt:vector size="32" baseType="lpstr">
      <vt:lpstr>7tm Kidz AM r2</vt:lpstr>
      <vt:lpstr>7tm Kidz AM r1</vt:lpstr>
      <vt:lpstr>7tm PM r2</vt:lpstr>
      <vt:lpstr>7tm Kidz PM r1</vt:lpstr>
      <vt:lpstr> 12 Club 10 tm pool </vt:lpstr>
      <vt:lpstr>13 Club Div A 10 tm pool </vt:lpstr>
      <vt:lpstr>13 Club Div B 8 tm pool</vt:lpstr>
      <vt:lpstr>14 Club Div A 10 tm pool  </vt:lpstr>
      <vt:lpstr>14 Club Div B 10 tm pool </vt:lpstr>
      <vt:lpstr>15 Club Div A 10 tm pool</vt:lpstr>
      <vt:lpstr>15 Club Div B  5 tm pool </vt:lpstr>
      <vt:lpstr>16 Club 10 tm Pool </vt:lpstr>
      <vt:lpstr>17 Club 10 tm Pool</vt:lpstr>
      <vt:lpstr>18 Club  5 tm pool</vt:lpstr>
      <vt:lpstr>RatingResultsSummary</vt:lpstr>
      <vt:lpstr>Initial</vt:lpstr>
      <vt:lpstr>Final</vt:lpstr>
      <vt:lpstr>Final-PM</vt:lpstr>
      <vt:lpstr>' 12 Club 10 tm pool '!Print_Area</vt:lpstr>
      <vt:lpstr>'13 Club Div A 10 tm pool '!Print_Area</vt:lpstr>
      <vt:lpstr>'13 Club Div B 8 tm pool'!Print_Area</vt:lpstr>
      <vt:lpstr>'14 Club Div A 10 tm pool  '!Print_Area</vt:lpstr>
      <vt:lpstr>'14 Club Div B 10 tm pool '!Print_Area</vt:lpstr>
      <vt:lpstr>'15 Club Div A 10 tm pool'!Print_Area</vt:lpstr>
      <vt:lpstr>'15 Club Div B  5 tm pool '!Print_Area</vt:lpstr>
      <vt:lpstr>'16 Club 10 tm Pool '!Print_Area</vt:lpstr>
      <vt:lpstr>'17 Club 10 tm Pool'!Print_Area</vt:lpstr>
      <vt:lpstr>'18 Club  5 tm pool'!Print_Area</vt:lpstr>
      <vt:lpstr>'7tm Kidz AM r1'!Print_Area</vt:lpstr>
      <vt:lpstr>'7tm Kidz AM r2'!Print_Area</vt:lpstr>
      <vt:lpstr>'7tm Kidz PM r1'!Print_Area</vt:lpstr>
      <vt:lpstr>'7tm PM r2'!Print_Area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Lance</dc:creator>
  <cp:lastModifiedBy>Lance</cp:lastModifiedBy>
  <dcterms:created xsi:type="dcterms:W3CDTF">2016-02-21T01:06:24Z</dcterms:created>
  <dcterms:modified xsi:type="dcterms:W3CDTF">2016-02-22T01:44:19Z</dcterms:modified>
</cp:coreProperties>
</file>